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5C83CF6-AB03-451E-85AF-DB9FC1AEA0AC}" xr6:coauthVersionLast="40" xr6:coauthVersionMax="40" xr10:uidLastSave="{00000000-0000-0000-0000-000000000000}"/>
  <bookViews>
    <workbookView xWindow="-120" yWindow="-120" windowWidth="29040" windowHeight="15840" tabRatio="905" activeTab="11"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Tablas Técnicas" sheetId="25" r:id="rId11"/>
    <sheet name="Creación de Técnicas (2)" sheetId="24" r:id="rId12"/>
    <sheet name="Creación de Técnicas" sheetId="17" r:id="rId13"/>
    <sheet name="Elan" sheetId="23" r:id="rId14"/>
    <sheet name="Personalización" sheetId="9" r:id="rId15"/>
    <sheet name="Tablas" sheetId="11" r:id="rId16"/>
    <sheet name="Tablas Magia" sheetId="19" r:id="rId17"/>
    <sheet name="Tablas Sheele" sheetId="13" r:id="rId18"/>
    <sheet name="Tablas psiquica" sheetId="18" r:id="rId19"/>
    <sheet name="TablasTec" sheetId="15" r:id="rId20"/>
    <sheet name="Grimorio Magia" sheetId="20" r:id="rId21"/>
    <sheet name="Grimorio de Vía" sheetId="22" r:id="rId22"/>
    <sheet name="Compendio Técnicas" sheetId="16" r:id="rId23"/>
    <sheet name="Grimorio Psíquica" sheetId="21" r:id="rId24"/>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 localSheetId="10">'Tablas Técnicas'!$A$3:$A$8</definedName>
    <definedName name="Car_Opcional">TablasTec!$A$3:$A$8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3">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 localSheetId="10">'Tablas Técnicas'!$A$673:$A$759</definedName>
    <definedName name="DESVENTAJAS_KI">TablasTec!$A$673:$A$759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 localSheetId="10">'Tablas Técnicas'!$S$1:$S$73</definedName>
    <definedName name="EFECTOS">TablasTec!$X$1:$X$73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 localSheetId="10">'Tablas Técnicas'!$A$559:$A$583</definedName>
    <definedName name="estados">TablasTec!$A$559:$A$583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fectosTécnicas">'Tablas Técnicas'!$B$4:$B$76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MantenimTécnicas">'Tablas Técnicas'!$Z$20:$Z$23</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3">Personalización!$F$6</definedName>
    <definedName name="Nivel_Sobrenatural">Personalización!$F$6</definedName>
    <definedName name="nivel_tecnica" localSheetId="10">'Tablas Técnicas'!$W$6:$W$8</definedName>
    <definedName name="nivel_tecnica">TablasTec!$P$6:$P$8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2">'Compendio Técnicas'!$A$1:$AN$68</definedName>
    <definedName name="_xlnm.Print_Area" localSheetId="12">'Creación de Técnicas'!$A$1:$BY$379</definedName>
    <definedName name="_xlnm.Print_Area" localSheetId="11">'Creación de Técnicas (2)'!$A$1:$BE$379</definedName>
    <definedName name="_xlnm.Print_Area" localSheetId="13">Elan!$A$1:$AK$51</definedName>
    <definedName name="_xlnm.Print_Area" localSheetId="1">General!$A$1:$AL$66</definedName>
    <definedName name="_xlnm.Print_Area" localSheetId="21">'Grimorio de Vía'!$A$1:$CP$119</definedName>
    <definedName name="_xlnm.Print_Area" localSheetId="20">'Grimorio Magia'!$A$1:$BE$66</definedName>
    <definedName name="_xlnm.Print_Area" localSheetId="23">'Grimorio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4">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 localSheetId="10">'Tablas Técnicas'!$A$767:$A$771</definedName>
    <definedName name="Rebajar_coste_de_CM">TablasTec!$A$767:$A$771</definedName>
    <definedName name="Rebajar_coste_de_Ki" localSheetId="10">'Tablas Técnicas'!$A$761:$A$766</definedName>
    <definedName name="Rebajar_coste_de_Ki">TablasTec!$A$761:$A$766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 localSheetId="10">'Tablas Técnicas'!$C$5:$C$6</definedName>
    <definedName name="Si_o_No">TablasTec!$C$3:$C$4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fectos_Referencias">'Tablas Técnicas'!$B$4:$C$76</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 localSheetId="10">'Tablas Técnicas'!$AF$18:$AF$30</definedName>
    <definedName name="tipo_tecnica">TablasTec!$Z$2:$Z$14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7" i="24" l="1"/>
  <c r="T27" i="24"/>
  <c r="N27" i="24"/>
  <c r="B27" i="24"/>
  <c r="C73" i="25" l="1"/>
  <c r="C69" i="25"/>
  <c r="C65" i="25"/>
  <c r="C61" i="25"/>
  <c r="C57" i="25"/>
  <c r="C53" i="25"/>
  <c r="C49" i="25"/>
  <c r="C45" i="25"/>
  <c r="C41" i="25"/>
  <c r="C37" i="25"/>
  <c r="C33" i="25"/>
  <c r="C29" i="25"/>
  <c r="C25" i="25"/>
  <c r="C21" i="25"/>
  <c r="C17" i="25"/>
  <c r="C13" i="25"/>
  <c r="C9" i="25"/>
  <c r="C5" i="25"/>
  <c r="P588" i="25"/>
  <c r="P589" i="25"/>
  <c r="P590" i="25"/>
  <c r="P591" i="25"/>
  <c r="P592" i="25"/>
  <c r="P593" i="25"/>
  <c r="P594" i="25"/>
  <c r="P587" i="25"/>
  <c r="P576" i="25"/>
  <c r="P577" i="25"/>
  <c r="P578" i="25"/>
  <c r="P579" i="25"/>
  <c r="P580" i="25"/>
  <c r="P581" i="25"/>
  <c r="P582" i="25"/>
  <c r="P583" i="25"/>
  <c r="P584" i="25"/>
  <c r="P585" i="25"/>
  <c r="P575" i="25"/>
  <c r="P550" i="25"/>
  <c r="P551" i="25"/>
  <c r="P552" i="25"/>
  <c r="P553" i="25"/>
  <c r="P554" i="25"/>
  <c r="P555" i="25"/>
  <c r="P556" i="25"/>
  <c r="P557" i="25"/>
  <c r="P558" i="25"/>
  <c r="P559" i="25"/>
  <c r="P560" i="25"/>
  <c r="P561" i="25"/>
  <c r="P562" i="25"/>
  <c r="P563" i="25"/>
  <c r="P564" i="25"/>
  <c r="P565" i="25"/>
  <c r="P566" i="25"/>
  <c r="P567" i="25"/>
  <c r="P568" i="25"/>
  <c r="P569" i="25"/>
  <c r="P570" i="25"/>
  <c r="P571" i="25"/>
  <c r="P572" i="25"/>
  <c r="P573" i="25"/>
  <c r="P549" i="25"/>
  <c r="P540" i="25"/>
  <c r="P541" i="25"/>
  <c r="P542" i="25"/>
  <c r="P543" i="25"/>
  <c r="P544" i="25"/>
  <c r="P545" i="25"/>
  <c r="P546" i="25"/>
  <c r="P547" i="25"/>
  <c r="P539" i="25"/>
  <c r="O538" i="25"/>
  <c r="H27" i="24"/>
  <c r="N6" i="24"/>
  <c r="H12" i="25"/>
  <c r="O160" i="25"/>
  <c r="P160" i="25"/>
  <c r="P156" i="25"/>
  <c r="P157" i="25"/>
  <c r="P158" i="25"/>
  <c r="P161" i="25"/>
  <c r="P155" i="25"/>
  <c r="O72" i="25"/>
  <c r="P72" i="25"/>
  <c r="O73" i="25"/>
  <c r="P73" i="25"/>
  <c r="O74" i="25"/>
  <c r="P74" i="25"/>
  <c r="O75" i="25"/>
  <c r="P75" i="25"/>
  <c r="O76" i="25"/>
  <c r="P76" i="25"/>
  <c r="O77" i="25"/>
  <c r="P77" i="25"/>
  <c r="O78" i="25"/>
  <c r="P78" i="25"/>
  <c r="O79" i="25"/>
  <c r="P79" i="25"/>
  <c r="O80" i="25"/>
  <c r="P80" i="25"/>
  <c r="O81" i="25"/>
  <c r="P81" i="25"/>
  <c r="O82" i="25"/>
  <c r="P82" i="25"/>
  <c r="O83" i="25"/>
  <c r="P83" i="25"/>
  <c r="O84" i="25"/>
  <c r="P84" i="25"/>
  <c r="O85" i="25"/>
  <c r="P85" i="25"/>
  <c r="O86" i="25"/>
  <c r="P86" i="25"/>
  <c r="O87" i="25"/>
  <c r="P87" i="25"/>
  <c r="O88" i="25"/>
  <c r="P88" i="25"/>
  <c r="O89" i="25"/>
  <c r="P89" i="25"/>
  <c r="O90" i="25"/>
  <c r="P90" i="25"/>
  <c r="O91" i="25"/>
  <c r="P91" i="25"/>
  <c r="O92" i="25"/>
  <c r="P92" i="25"/>
  <c r="O93" i="25"/>
  <c r="P93" i="25"/>
  <c r="O94" i="25"/>
  <c r="P94" i="25"/>
  <c r="O95" i="25"/>
  <c r="P95" i="25"/>
  <c r="O96" i="25"/>
  <c r="P96" i="25"/>
  <c r="O97" i="25"/>
  <c r="P97" i="25"/>
  <c r="O98" i="25"/>
  <c r="P98" i="25"/>
  <c r="O99" i="25"/>
  <c r="P99" i="25"/>
  <c r="O100" i="25"/>
  <c r="P100" i="25"/>
  <c r="O101" i="25"/>
  <c r="P101" i="25"/>
  <c r="O102" i="25"/>
  <c r="P102" i="25"/>
  <c r="O103" i="25"/>
  <c r="P103" i="25"/>
  <c r="O104" i="25"/>
  <c r="P104" i="25"/>
  <c r="O105" i="25"/>
  <c r="P105" i="25"/>
  <c r="O106" i="25"/>
  <c r="P106" i="25"/>
  <c r="O107" i="25"/>
  <c r="P107" i="25"/>
  <c r="O108" i="25"/>
  <c r="P108" i="25"/>
  <c r="O109" i="25"/>
  <c r="P109" i="25"/>
  <c r="O110" i="25"/>
  <c r="P110" i="25"/>
  <c r="O111" i="25"/>
  <c r="P111" i="25"/>
  <c r="O112" i="25"/>
  <c r="P112" i="25"/>
  <c r="O113" i="25"/>
  <c r="P113" i="25"/>
  <c r="O114" i="25"/>
  <c r="P114" i="25"/>
  <c r="O115" i="25"/>
  <c r="P115" i="25"/>
  <c r="O116" i="25"/>
  <c r="P116" i="25"/>
  <c r="O117" i="25"/>
  <c r="P117" i="25"/>
  <c r="O118" i="25"/>
  <c r="P118" i="25"/>
  <c r="O119" i="25"/>
  <c r="P119" i="25"/>
  <c r="O120" i="25"/>
  <c r="P120" i="25"/>
  <c r="O121" i="25"/>
  <c r="P121" i="25"/>
  <c r="O122" i="25"/>
  <c r="P122" i="25"/>
  <c r="O123" i="25"/>
  <c r="P123" i="25"/>
  <c r="O124" i="25"/>
  <c r="P124" i="25"/>
  <c r="O125" i="25"/>
  <c r="P125" i="25"/>
  <c r="O126" i="25"/>
  <c r="P126" i="25"/>
  <c r="O127" i="25"/>
  <c r="P127" i="25"/>
  <c r="O128" i="25"/>
  <c r="P128" i="25"/>
  <c r="O129" i="25"/>
  <c r="P129" i="25"/>
  <c r="O130" i="25"/>
  <c r="P130" i="25"/>
  <c r="O131" i="25"/>
  <c r="P131" i="25"/>
  <c r="O132" i="25"/>
  <c r="P132" i="25"/>
  <c r="O133" i="25"/>
  <c r="P133" i="25"/>
  <c r="O134" i="25"/>
  <c r="P134" i="25"/>
  <c r="O135" i="25"/>
  <c r="P135" i="25"/>
  <c r="O136" i="25"/>
  <c r="P136" i="25"/>
  <c r="O137" i="25"/>
  <c r="P137" i="25"/>
  <c r="O138" i="25"/>
  <c r="P138" i="25"/>
  <c r="O139" i="25"/>
  <c r="P139" i="25"/>
  <c r="O140" i="25"/>
  <c r="P140" i="25"/>
  <c r="O141" i="25"/>
  <c r="P141" i="25"/>
  <c r="O142" i="25"/>
  <c r="P142" i="25"/>
  <c r="O143" i="25"/>
  <c r="P143" i="25"/>
  <c r="O144" i="25"/>
  <c r="P144" i="25"/>
  <c r="O145" i="25"/>
  <c r="P145" i="25"/>
  <c r="O146" i="25"/>
  <c r="P146" i="25"/>
  <c r="O147" i="25"/>
  <c r="P147" i="25"/>
  <c r="O148" i="25"/>
  <c r="P148" i="25"/>
  <c r="O149" i="25"/>
  <c r="P149" i="25"/>
  <c r="O150" i="25"/>
  <c r="P150" i="25"/>
  <c r="O151" i="25"/>
  <c r="P151" i="25"/>
  <c r="O152" i="25"/>
  <c r="P152" i="25"/>
  <c r="O153" i="25"/>
  <c r="P153" i="25"/>
  <c r="O154" i="25"/>
  <c r="P154" i="25"/>
  <c r="O162" i="25"/>
  <c r="P162" i="25"/>
  <c r="O163" i="25"/>
  <c r="P163" i="25"/>
  <c r="O164" i="25"/>
  <c r="P164" i="25"/>
  <c r="O165" i="25"/>
  <c r="P165" i="25"/>
  <c r="O166" i="25"/>
  <c r="P166" i="25"/>
  <c r="O167" i="25"/>
  <c r="P167" i="25"/>
  <c r="O168" i="25"/>
  <c r="P168" i="25"/>
  <c r="O169" i="25"/>
  <c r="P169" i="25"/>
  <c r="O170" i="25"/>
  <c r="P170" i="25"/>
  <c r="O171" i="25"/>
  <c r="P171" i="25"/>
  <c r="O172" i="25"/>
  <c r="P172" i="25"/>
  <c r="O173" i="25"/>
  <c r="P173" i="25"/>
  <c r="O174" i="25"/>
  <c r="P174" i="25"/>
  <c r="O175" i="25"/>
  <c r="P175" i="25"/>
  <c r="O176" i="25"/>
  <c r="P176" i="25"/>
  <c r="O177" i="25"/>
  <c r="P177" i="25"/>
  <c r="O178" i="25"/>
  <c r="P178" i="25"/>
  <c r="O179" i="25"/>
  <c r="P179" i="25"/>
  <c r="O180" i="25"/>
  <c r="P180" i="25"/>
  <c r="O181" i="25"/>
  <c r="P181" i="25"/>
  <c r="O182" i="25"/>
  <c r="P182" i="25"/>
  <c r="O183" i="25"/>
  <c r="P183" i="25"/>
  <c r="O184" i="25"/>
  <c r="P184" i="25"/>
  <c r="O185" i="25"/>
  <c r="P185" i="25"/>
  <c r="O186" i="25"/>
  <c r="P186" i="25"/>
  <c r="O187" i="25"/>
  <c r="P187" i="25"/>
  <c r="O188" i="25"/>
  <c r="P188" i="25"/>
  <c r="O189" i="25"/>
  <c r="P189" i="25"/>
  <c r="O190" i="25"/>
  <c r="P190" i="25"/>
  <c r="O191" i="25"/>
  <c r="P191" i="25"/>
  <c r="O192" i="25"/>
  <c r="P192" i="25"/>
  <c r="O193" i="25"/>
  <c r="P193" i="25"/>
  <c r="O194" i="25"/>
  <c r="P194" i="25"/>
  <c r="O195" i="25"/>
  <c r="P195" i="25"/>
  <c r="O196" i="25"/>
  <c r="P196" i="25"/>
  <c r="O197" i="25"/>
  <c r="P197" i="25"/>
  <c r="O198" i="25"/>
  <c r="P198" i="25"/>
  <c r="O199" i="25"/>
  <c r="P199" i="25"/>
  <c r="O200" i="25"/>
  <c r="P200" i="25"/>
  <c r="O201" i="25"/>
  <c r="P201" i="25"/>
  <c r="O202" i="25"/>
  <c r="P202" i="25"/>
  <c r="O203" i="25"/>
  <c r="P203" i="25"/>
  <c r="O204" i="25"/>
  <c r="P204" i="25"/>
  <c r="O205" i="25"/>
  <c r="P205" i="25"/>
  <c r="O206" i="25"/>
  <c r="P206" i="25"/>
  <c r="O207" i="25"/>
  <c r="P207" i="25"/>
  <c r="O208" i="25"/>
  <c r="P208" i="25"/>
  <c r="O209" i="25"/>
  <c r="P209" i="25"/>
  <c r="O210" i="25"/>
  <c r="P210" i="25"/>
  <c r="O211" i="25"/>
  <c r="P211" i="25"/>
  <c r="O212" i="25"/>
  <c r="P212" i="25"/>
  <c r="O213" i="25"/>
  <c r="P213" i="25"/>
  <c r="O214" i="25"/>
  <c r="P214" i="25"/>
  <c r="O215" i="25"/>
  <c r="P215" i="25"/>
  <c r="O216" i="25"/>
  <c r="P216" i="25"/>
  <c r="O217" i="25"/>
  <c r="P217" i="25"/>
  <c r="O218" i="25"/>
  <c r="P218" i="25"/>
  <c r="O219" i="25"/>
  <c r="P219" i="25"/>
  <c r="O220" i="25"/>
  <c r="P220" i="25"/>
  <c r="O221" i="25"/>
  <c r="P221" i="25"/>
  <c r="O222" i="25"/>
  <c r="P222" i="25"/>
  <c r="O223" i="25"/>
  <c r="P223" i="25"/>
  <c r="O224" i="25"/>
  <c r="P224" i="25"/>
  <c r="O225" i="25"/>
  <c r="P225" i="25"/>
  <c r="O226" i="25"/>
  <c r="P226" i="25"/>
  <c r="O227" i="25"/>
  <c r="P227" i="25"/>
  <c r="O228" i="25"/>
  <c r="P228" i="25"/>
  <c r="O229" i="25"/>
  <c r="P229" i="25"/>
  <c r="O230" i="25"/>
  <c r="P230" i="25"/>
  <c r="O231" i="25"/>
  <c r="P231" i="25"/>
  <c r="O232" i="25"/>
  <c r="P232" i="25"/>
  <c r="O233" i="25"/>
  <c r="P233" i="25"/>
  <c r="O234" i="25"/>
  <c r="P234" i="25"/>
  <c r="O235" i="25"/>
  <c r="P235" i="25"/>
  <c r="O236" i="25"/>
  <c r="P236" i="25"/>
  <c r="O237" i="25"/>
  <c r="P237" i="25"/>
  <c r="O238" i="25"/>
  <c r="P238" i="25"/>
  <c r="O239" i="25"/>
  <c r="P239" i="25"/>
  <c r="O240" i="25"/>
  <c r="P240" i="25"/>
  <c r="O241" i="25"/>
  <c r="P241" i="25"/>
  <c r="O242" i="25"/>
  <c r="P242" i="25"/>
  <c r="O243" i="25"/>
  <c r="P243" i="25"/>
  <c r="O244" i="25"/>
  <c r="P244" i="25"/>
  <c r="O245" i="25"/>
  <c r="P245" i="25"/>
  <c r="O246" i="25"/>
  <c r="P246" i="25"/>
  <c r="O247" i="25"/>
  <c r="P247" i="25"/>
  <c r="O248" i="25"/>
  <c r="P248" i="25"/>
  <c r="O249" i="25"/>
  <c r="P249" i="25"/>
  <c r="O250" i="25"/>
  <c r="P250" i="25"/>
  <c r="O251" i="25"/>
  <c r="P251" i="25"/>
  <c r="O252" i="25"/>
  <c r="P252" i="25"/>
  <c r="O253" i="25"/>
  <c r="P253" i="25"/>
  <c r="O254" i="25"/>
  <c r="P254" i="25"/>
  <c r="O255" i="25"/>
  <c r="P255" i="25"/>
  <c r="O256" i="25"/>
  <c r="P256" i="25"/>
  <c r="O257" i="25"/>
  <c r="P257" i="25"/>
  <c r="O258" i="25"/>
  <c r="P258" i="25"/>
  <c r="O259" i="25"/>
  <c r="P259" i="25"/>
  <c r="O260" i="25"/>
  <c r="P260" i="25"/>
  <c r="O261" i="25"/>
  <c r="P261" i="25"/>
  <c r="O262" i="25"/>
  <c r="P262" i="25"/>
  <c r="O263" i="25"/>
  <c r="P263" i="25"/>
  <c r="O264" i="25"/>
  <c r="P264" i="25"/>
  <c r="O265" i="25"/>
  <c r="P265" i="25"/>
  <c r="O266" i="25"/>
  <c r="P266" i="25"/>
  <c r="O267" i="25"/>
  <c r="P267" i="25"/>
  <c r="O268" i="25"/>
  <c r="P268" i="25"/>
  <c r="O269" i="25"/>
  <c r="P269" i="25"/>
  <c r="O270" i="25"/>
  <c r="P270" i="25"/>
  <c r="O271" i="25"/>
  <c r="P271" i="25"/>
  <c r="O272" i="25"/>
  <c r="P272" i="25"/>
  <c r="O273" i="25"/>
  <c r="P273" i="25"/>
  <c r="O274" i="25"/>
  <c r="P274" i="25"/>
  <c r="O275" i="25"/>
  <c r="P275" i="25"/>
  <c r="O276" i="25"/>
  <c r="P276" i="25"/>
  <c r="O277" i="25"/>
  <c r="P277" i="25"/>
  <c r="O278" i="25"/>
  <c r="P278" i="25"/>
  <c r="O279" i="25"/>
  <c r="P279" i="25"/>
  <c r="O280" i="25"/>
  <c r="P280" i="25"/>
  <c r="O281" i="25"/>
  <c r="P281" i="25"/>
  <c r="O282" i="25"/>
  <c r="P282" i="25"/>
  <c r="O283" i="25"/>
  <c r="P283" i="25"/>
  <c r="O284" i="25"/>
  <c r="P284" i="25"/>
  <c r="O285" i="25"/>
  <c r="P285" i="25"/>
  <c r="O286" i="25"/>
  <c r="P286" i="25"/>
  <c r="O287" i="25"/>
  <c r="P287" i="25"/>
  <c r="O288" i="25"/>
  <c r="P288" i="25"/>
  <c r="O289" i="25"/>
  <c r="P289" i="25"/>
  <c r="O290" i="25"/>
  <c r="P290" i="25"/>
  <c r="O291" i="25"/>
  <c r="P291" i="25"/>
  <c r="O292" i="25"/>
  <c r="P292" i="25"/>
  <c r="O293" i="25"/>
  <c r="P293" i="25"/>
  <c r="O294" i="25"/>
  <c r="P294" i="25"/>
  <c r="O295" i="25"/>
  <c r="P295" i="25"/>
  <c r="O296" i="25"/>
  <c r="P296" i="25"/>
  <c r="O297" i="25"/>
  <c r="P297" i="25"/>
  <c r="O298" i="25"/>
  <c r="P298" i="25"/>
  <c r="O299" i="25"/>
  <c r="P299" i="25"/>
  <c r="O300" i="25"/>
  <c r="P300" i="25"/>
  <c r="O301" i="25"/>
  <c r="P301" i="25"/>
  <c r="O302" i="25"/>
  <c r="P302" i="25"/>
  <c r="O303" i="25"/>
  <c r="P303" i="25"/>
  <c r="O304" i="25"/>
  <c r="P304" i="25"/>
  <c r="O305" i="25"/>
  <c r="P305" i="25"/>
  <c r="O306" i="25"/>
  <c r="P306" i="25"/>
  <c r="O307" i="25"/>
  <c r="P307" i="25"/>
  <c r="O308" i="25"/>
  <c r="P308" i="25"/>
  <c r="O309" i="25"/>
  <c r="P309" i="25"/>
  <c r="O310" i="25"/>
  <c r="P310" i="25"/>
  <c r="O311" i="25"/>
  <c r="P311" i="25"/>
  <c r="O312" i="25"/>
  <c r="P312" i="25"/>
  <c r="O313" i="25"/>
  <c r="P313" i="25"/>
  <c r="O314" i="25"/>
  <c r="P314" i="25"/>
  <c r="O315" i="25"/>
  <c r="P315" i="25"/>
  <c r="O316" i="25"/>
  <c r="P316" i="25"/>
  <c r="O317" i="25"/>
  <c r="P317" i="25"/>
  <c r="O318" i="25"/>
  <c r="P318" i="25"/>
  <c r="O319" i="25"/>
  <c r="P319" i="25"/>
  <c r="O320" i="25"/>
  <c r="P320" i="25"/>
  <c r="O321" i="25"/>
  <c r="P321" i="25"/>
  <c r="O322" i="25"/>
  <c r="P322" i="25"/>
  <c r="O323" i="25"/>
  <c r="P323" i="25"/>
  <c r="O324" i="25"/>
  <c r="P324" i="25"/>
  <c r="O325" i="25"/>
  <c r="P325" i="25"/>
  <c r="O326" i="25"/>
  <c r="P326" i="25"/>
  <c r="O327" i="25"/>
  <c r="P327" i="25"/>
  <c r="O328" i="25"/>
  <c r="P328" i="25"/>
  <c r="O329" i="25"/>
  <c r="P329" i="25"/>
  <c r="O330" i="25"/>
  <c r="P330" i="25"/>
  <c r="O331" i="25"/>
  <c r="P331" i="25"/>
  <c r="O332" i="25"/>
  <c r="P332" i="25"/>
  <c r="O333" i="25"/>
  <c r="P333" i="25"/>
  <c r="O334" i="25"/>
  <c r="P334" i="25"/>
  <c r="O335" i="25"/>
  <c r="P335" i="25"/>
  <c r="O336" i="25"/>
  <c r="P336" i="25"/>
  <c r="O337" i="25"/>
  <c r="P337" i="25"/>
  <c r="O338" i="25"/>
  <c r="P338" i="25"/>
  <c r="O339" i="25"/>
  <c r="P339" i="25"/>
  <c r="O340" i="25"/>
  <c r="P340" i="25"/>
  <c r="O341" i="25"/>
  <c r="P341" i="25"/>
  <c r="O342" i="25"/>
  <c r="P342" i="25"/>
  <c r="O343" i="25"/>
  <c r="P343" i="25"/>
  <c r="O344" i="25"/>
  <c r="P344" i="25"/>
  <c r="O345" i="25"/>
  <c r="P345" i="25"/>
  <c r="O346" i="25"/>
  <c r="P346" i="25"/>
  <c r="O347" i="25"/>
  <c r="P347" i="25"/>
  <c r="O348" i="25"/>
  <c r="P348" i="25"/>
  <c r="O349" i="25"/>
  <c r="P349" i="25"/>
  <c r="O350" i="25"/>
  <c r="P350" i="25"/>
  <c r="O351" i="25"/>
  <c r="P351" i="25"/>
  <c r="O352" i="25"/>
  <c r="P352" i="25"/>
  <c r="O353" i="25"/>
  <c r="P353" i="25"/>
  <c r="O354" i="25"/>
  <c r="P354" i="25"/>
  <c r="O355" i="25"/>
  <c r="P355" i="25"/>
  <c r="O356" i="25"/>
  <c r="P356" i="25"/>
  <c r="O357" i="25"/>
  <c r="P357" i="25"/>
  <c r="O358" i="25"/>
  <c r="P358" i="25"/>
  <c r="O359" i="25"/>
  <c r="P359" i="25"/>
  <c r="O360" i="25"/>
  <c r="P360" i="25"/>
  <c r="O361" i="25"/>
  <c r="P361" i="25"/>
  <c r="O362" i="25"/>
  <c r="P362" i="25"/>
  <c r="O363" i="25"/>
  <c r="P363" i="25"/>
  <c r="O364" i="25"/>
  <c r="P364" i="25"/>
  <c r="O365" i="25"/>
  <c r="P365" i="25"/>
  <c r="O366" i="25"/>
  <c r="P366" i="25"/>
  <c r="O367" i="25"/>
  <c r="P367" i="25"/>
  <c r="O368" i="25"/>
  <c r="P368" i="25"/>
  <c r="O369" i="25"/>
  <c r="P369" i="25"/>
  <c r="O370" i="25"/>
  <c r="P370" i="25"/>
  <c r="O371" i="25"/>
  <c r="P371" i="25"/>
  <c r="O372" i="25"/>
  <c r="P372" i="25"/>
  <c r="O373" i="25"/>
  <c r="P373" i="25"/>
  <c r="O374" i="25"/>
  <c r="P374" i="25"/>
  <c r="O375" i="25"/>
  <c r="P375" i="25"/>
  <c r="O376" i="25"/>
  <c r="P376" i="25"/>
  <c r="O377" i="25"/>
  <c r="P377" i="25"/>
  <c r="O378" i="25"/>
  <c r="P378" i="25"/>
  <c r="O379" i="25"/>
  <c r="P379" i="25"/>
  <c r="O380" i="25"/>
  <c r="P380" i="25"/>
  <c r="O381" i="25"/>
  <c r="P381" i="25"/>
  <c r="O382" i="25"/>
  <c r="P382" i="25"/>
  <c r="O383" i="25"/>
  <c r="P383" i="25"/>
  <c r="O384" i="25"/>
  <c r="P384" i="25"/>
  <c r="O385" i="25"/>
  <c r="P385" i="25"/>
  <c r="O386" i="25"/>
  <c r="P386" i="25"/>
  <c r="O387" i="25"/>
  <c r="P387" i="25"/>
  <c r="O388" i="25"/>
  <c r="P388" i="25"/>
  <c r="O389" i="25"/>
  <c r="P389" i="25"/>
  <c r="O390" i="25"/>
  <c r="P390" i="25"/>
  <c r="O391" i="25"/>
  <c r="P391" i="25"/>
  <c r="O392" i="25"/>
  <c r="P392" i="25"/>
  <c r="O393" i="25"/>
  <c r="P393" i="25"/>
  <c r="O394" i="25"/>
  <c r="P394" i="25"/>
  <c r="O395" i="25"/>
  <c r="P395" i="25"/>
  <c r="O396" i="25"/>
  <c r="P396" i="25"/>
  <c r="O397" i="25"/>
  <c r="P397" i="25"/>
  <c r="O398" i="25"/>
  <c r="P398" i="25"/>
  <c r="O399" i="25"/>
  <c r="P399" i="25"/>
  <c r="O400" i="25"/>
  <c r="P400" i="25"/>
  <c r="O401" i="25"/>
  <c r="P401" i="25"/>
  <c r="O402" i="25"/>
  <c r="P402" i="25"/>
  <c r="O403" i="25"/>
  <c r="P403" i="25"/>
  <c r="O404" i="25"/>
  <c r="P404" i="25"/>
  <c r="O405" i="25"/>
  <c r="P405" i="25"/>
  <c r="O406" i="25"/>
  <c r="P406" i="25"/>
  <c r="O407" i="25"/>
  <c r="P407" i="25"/>
  <c r="O408" i="25"/>
  <c r="P408" i="25"/>
  <c r="O409" i="25"/>
  <c r="P409" i="25"/>
  <c r="O410" i="25"/>
  <c r="P410" i="25"/>
  <c r="O411" i="25"/>
  <c r="P411" i="25"/>
  <c r="O412" i="25"/>
  <c r="P412" i="25"/>
  <c r="O413" i="25"/>
  <c r="P413" i="25"/>
  <c r="O414" i="25"/>
  <c r="P414" i="25"/>
  <c r="O415" i="25"/>
  <c r="P415" i="25"/>
  <c r="O416" i="25"/>
  <c r="P416" i="25"/>
  <c r="O417" i="25"/>
  <c r="P417" i="25"/>
  <c r="O418" i="25"/>
  <c r="P418" i="25"/>
  <c r="O419" i="25"/>
  <c r="P419" i="25"/>
  <c r="O420" i="25"/>
  <c r="P420" i="25"/>
  <c r="O421" i="25"/>
  <c r="P421" i="25"/>
  <c r="O422" i="25"/>
  <c r="P422" i="25"/>
  <c r="O423" i="25"/>
  <c r="P423" i="25"/>
  <c r="O424" i="25"/>
  <c r="P424" i="25"/>
  <c r="O425" i="25"/>
  <c r="P425" i="25"/>
  <c r="O426" i="25"/>
  <c r="P426" i="25"/>
  <c r="O427" i="25"/>
  <c r="P427" i="25"/>
  <c r="O428" i="25"/>
  <c r="P428" i="25"/>
  <c r="O429" i="25"/>
  <c r="P429" i="25"/>
  <c r="O430" i="25"/>
  <c r="P430" i="25"/>
  <c r="O431" i="25"/>
  <c r="P431" i="25"/>
  <c r="O432" i="25"/>
  <c r="P432" i="25"/>
  <c r="O433" i="25"/>
  <c r="P433" i="25"/>
  <c r="O434" i="25"/>
  <c r="P434" i="25"/>
  <c r="O435" i="25"/>
  <c r="P435" i="25"/>
  <c r="O436" i="25"/>
  <c r="P436" i="25"/>
  <c r="O437" i="25"/>
  <c r="P437" i="25"/>
  <c r="O438" i="25"/>
  <c r="P438" i="25"/>
  <c r="O439" i="25"/>
  <c r="P439" i="25"/>
  <c r="O440" i="25"/>
  <c r="P440" i="25"/>
  <c r="O441" i="25"/>
  <c r="P441" i="25"/>
  <c r="O442" i="25"/>
  <c r="P442" i="25"/>
  <c r="O443" i="25"/>
  <c r="P443" i="25"/>
  <c r="O444" i="25"/>
  <c r="P444" i="25"/>
  <c r="O445" i="25"/>
  <c r="P445" i="25"/>
  <c r="O446" i="25"/>
  <c r="P446" i="25"/>
  <c r="O447" i="25"/>
  <c r="P447" i="25"/>
  <c r="O448" i="25"/>
  <c r="P448" i="25"/>
  <c r="O449" i="25"/>
  <c r="P449" i="25"/>
  <c r="O450" i="25"/>
  <c r="P450" i="25"/>
  <c r="O451" i="25"/>
  <c r="P451" i="25"/>
  <c r="O452" i="25"/>
  <c r="P452" i="25"/>
  <c r="O453" i="25"/>
  <c r="P453" i="25"/>
  <c r="O454" i="25"/>
  <c r="P454" i="25"/>
  <c r="O455" i="25"/>
  <c r="P455" i="25"/>
  <c r="O456" i="25"/>
  <c r="P456" i="25"/>
  <c r="O457" i="25"/>
  <c r="P457" i="25"/>
  <c r="O458" i="25"/>
  <c r="P458" i="25"/>
  <c r="O459" i="25"/>
  <c r="P459" i="25"/>
  <c r="O460" i="25"/>
  <c r="P460" i="25"/>
  <c r="O461" i="25"/>
  <c r="P461" i="25"/>
  <c r="O462" i="25"/>
  <c r="P462" i="25"/>
  <c r="O463" i="25"/>
  <c r="P463" i="25"/>
  <c r="O464" i="25"/>
  <c r="P464" i="25"/>
  <c r="O465" i="25"/>
  <c r="P465" i="25"/>
  <c r="O466" i="25"/>
  <c r="P466" i="25"/>
  <c r="O467" i="25"/>
  <c r="P467" i="25"/>
  <c r="O468" i="25"/>
  <c r="P468" i="25"/>
  <c r="O469" i="25"/>
  <c r="P469" i="25"/>
  <c r="O470" i="25"/>
  <c r="P470" i="25"/>
  <c r="O471" i="25"/>
  <c r="P471" i="25"/>
  <c r="O472" i="25"/>
  <c r="P472" i="25"/>
  <c r="O473" i="25"/>
  <c r="P473" i="25"/>
  <c r="O474" i="25"/>
  <c r="P474" i="25"/>
  <c r="O475" i="25"/>
  <c r="P475" i="25"/>
  <c r="O476" i="25"/>
  <c r="P476" i="25"/>
  <c r="O477" i="25"/>
  <c r="P477" i="25"/>
  <c r="O478" i="25"/>
  <c r="P478" i="25"/>
  <c r="O479" i="25"/>
  <c r="P479" i="25"/>
  <c r="O480" i="25"/>
  <c r="P480" i="25"/>
  <c r="O481" i="25"/>
  <c r="P481" i="25"/>
  <c r="O482" i="25"/>
  <c r="P482" i="25"/>
  <c r="O483" i="25"/>
  <c r="P483" i="25"/>
  <c r="O484" i="25"/>
  <c r="P484" i="25"/>
  <c r="O485" i="25"/>
  <c r="P485" i="25"/>
  <c r="O486" i="25"/>
  <c r="P486" i="25"/>
  <c r="O487" i="25"/>
  <c r="P487" i="25"/>
  <c r="O488" i="25"/>
  <c r="P488" i="25"/>
  <c r="O489" i="25"/>
  <c r="P489" i="25"/>
  <c r="O490" i="25"/>
  <c r="P490" i="25"/>
  <c r="O491" i="25"/>
  <c r="P491" i="25"/>
  <c r="O492" i="25"/>
  <c r="P492" i="25"/>
  <c r="O493" i="25"/>
  <c r="P493" i="25"/>
  <c r="O494" i="25"/>
  <c r="P494" i="25"/>
  <c r="O495" i="25"/>
  <c r="P495" i="25"/>
  <c r="O496" i="25"/>
  <c r="P496" i="25"/>
  <c r="O497" i="25"/>
  <c r="P497" i="25"/>
  <c r="O498" i="25"/>
  <c r="P498" i="25"/>
  <c r="O499" i="25"/>
  <c r="P499" i="25"/>
  <c r="O500" i="25"/>
  <c r="P500" i="25"/>
  <c r="O501" i="25"/>
  <c r="P501" i="25"/>
  <c r="O502" i="25"/>
  <c r="P502" i="25"/>
  <c r="O503" i="25"/>
  <c r="P503" i="25"/>
  <c r="O504" i="25"/>
  <c r="P504" i="25"/>
  <c r="O505" i="25"/>
  <c r="P505" i="25"/>
  <c r="O506" i="25"/>
  <c r="P506" i="25"/>
  <c r="O507" i="25"/>
  <c r="P507" i="25"/>
  <c r="O508" i="25"/>
  <c r="P508" i="25"/>
  <c r="O509" i="25"/>
  <c r="P509" i="25"/>
  <c r="O510" i="25"/>
  <c r="P510" i="25"/>
  <c r="O511" i="25"/>
  <c r="P511" i="25"/>
  <c r="O512" i="25"/>
  <c r="P512" i="25"/>
  <c r="O513" i="25"/>
  <c r="P513" i="25"/>
  <c r="O514" i="25"/>
  <c r="P514" i="25"/>
  <c r="O515" i="25"/>
  <c r="P515" i="25"/>
  <c r="O516" i="25"/>
  <c r="P516" i="25"/>
  <c r="O517" i="25"/>
  <c r="P517" i="25"/>
  <c r="O518" i="25"/>
  <c r="P518" i="25"/>
  <c r="O519" i="25"/>
  <c r="P519" i="25"/>
  <c r="O520" i="25"/>
  <c r="P520" i="25"/>
  <c r="O521" i="25"/>
  <c r="P521" i="25"/>
  <c r="O522" i="25"/>
  <c r="P522" i="25"/>
  <c r="O523" i="25"/>
  <c r="P523" i="25"/>
  <c r="O524" i="25"/>
  <c r="P524" i="25"/>
  <c r="O525" i="25"/>
  <c r="P525" i="25"/>
  <c r="O526" i="25"/>
  <c r="P526" i="25"/>
  <c r="O527" i="25"/>
  <c r="P527" i="25"/>
  <c r="O528" i="25"/>
  <c r="P528" i="25"/>
  <c r="O529" i="25"/>
  <c r="P529" i="25"/>
  <c r="O530" i="25"/>
  <c r="P530" i="25"/>
  <c r="O531" i="25"/>
  <c r="P531" i="25"/>
  <c r="O532" i="25"/>
  <c r="P532" i="25"/>
  <c r="O533" i="25"/>
  <c r="P533" i="25"/>
  <c r="O534" i="25"/>
  <c r="P534" i="25"/>
  <c r="O535" i="25"/>
  <c r="P535" i="25"/>
  <c r="O536" i="25"/>
  <c r="P536" i="25"/>
  <c r="O537" i="25"/>
  <c r="P537" i="25"/>
  <c r="P538" i="25"/>
  <c r="P548" i="25"/>
  <c r="P574" i="25"/>
  <c r="P586" i="25"/>
  <c r="O595" i="25"/>
  <c r="P595" i="25"/>
  <c r="O596" i="25"/>
  <c r="P596" i="25"/>
  <c r="O597" i="25"/>
  <c r="P597" i="25"/>
  <c r="O598" i="25"/>
  <c r="P598" i="25"/>
  <c r="O599" i="25"/>
  <c r="P599" i="25"/>
  <c r="O600" i="25"/>
  <c r="P600" i="25"/>
  <c r="O601" i="25"/>
  <c r="P601" i="25"/>
  <c r="O602" i="25"/>
  <c r="P602" i="25"/>
  <c r="O603" i="25"/>
  <c r="P603" i="25"/>
  <c r="O604" i="25"/>
  <c r="P604" i="25"/>
  <c r="O605" i="25"/>
  <c r="P605" i="25"/>
  <c r="O606" i="25"/>
  <c r="P606" i="25"/>
  <c r="O607" i="25"/>
  <c r="P607" i="25"/>
  <c r="O608" i="25"/>
  <c r="P608" i="25"/>
  <c r="O609" i="25"/>
  <c r="P609" i="25"/>
  <c r="O610" i="25"/>
  <c r="P610" i="25"/>
  <c r="O611" i="25"/>
  <c r="P611" i="25"/>
  <c r="O612" i="25"/>
  <c r="P612" i="25"/>
  <c r="O613" i="25"/>
  <c r="P613" i="25"/>
  <c r="O614" i="25"/>
  <c r="P614" i="25"/>
  <c r="O615" i="25"/>
  <c r="P615" i="25"/>
  <c r="O616" i="25"/>
  <c r="P616" i="25"/>
  <c r="O617" i="25"/>
  <c r="P617" i="25"/>
  <c r="O618" i="25"/>
  <c r="P618" i="25"/>
  <c r="O619" i="25"/>
  <c r="P619" i="25"/>
  <c r="O620" i="25"/>
  <c r="P620" i="25"/>
  <c r="O621" i="25"/>
  <c r="P621" i="25"/>
  <c r="O622" i="25"/>
  <c r="P622" i="25"/>
  <c r="O623" i="25"/>
  <c r="P623" i="25"/>
  <c r="O624" i="25"/>
  <c r="P624" i="25"/>
  <c r="O625" i="25"/>
  <c r="P625" i="25"/>
  <c r="O626" i="25"/>
  <c r="P626" i="25"/>
  <c r="O627" i="25"/>
  <c r="P627" i="25"/>
  <c r="O628" i="25"/>
  <c r="P628" i="25"/>
  <c r="O629" i="25"/>
  <c r="P629" i="25"/>
  <c r="O630" i="25"/>
  <c r="P630" i="25"/>
  <c r="O631" i="25"/>
  <c r="P631" i="25"/>
  <c r="O632" i="25"/>
  <c r="P632" i="25"/>
  <c r="O633" i="25"/>
  <c r="P633" i="25"/>
  <c r="O634" i="25"/>
  <c r="P634" i="25"/>
  <c r="O635" i="25"/>
  <c r="P635" i="25"/>
  <c r="O636" i="25"/>
  <c r="P636" i="25"/>
  <c r="O637" i="25"/>
  <c r="P637" i="25"/>
  <c r="O638" i="25"/>
  <c r="P638" i="25"/>
  <c r="O639" i="25"/>
  <c r="P639" i="25"/>
  <c r="O640" i="25"/>
  <c r="P640" i="25"/>
  <c r="O641" i="25"/>
  <c r="P641" i="25"/>
  <c r="O642" i="25"/>
  <c r="P642" i="25"/>
  <c r="O643" i="25"/>
  <c r="P643" i="25"/>
  <c r="O644" i="25"/>
  <c r="P644" i="25"/>
  <c r="O645" i="25"/>
  <c r="P645" i="25"/>
  <c r="O646" i="25"/>
  <c r="P646" i="25"/>
  <c r="O647" i="25"/>
  <c r="P647" i="25"/>
  <c r="O648" i="25"/>
  <c r="P648" i="25"/>
  <c r="O649" i="25"/>
  <c r="P649" i="25"/>
  <c r="O650" i="25"/>
  <c r="P650" i="25"/>
  <c r="O651" i="25"/>
  <c r="P651" i="25"/>
  <c r="O652" i="25"/>
  <c r="P652" i="25"/>
  <c r="O653" i="25"/>
  <c r="P653" i="25"/>
  <c r="O654" i="25"/>
  <c r="P654" i="25"/>
  <c r="O655" i="25"/>
  <c r="P655" i="25"/>
  <c r="O656" i="25"/>
  <c r="P656" i="25"/>
  <c r="O657" i="25"/>
  <c r="P657" i="25"/>
  <c r="O658" i="25"/>
  <c r="P658" i="25"/>
  <c r="O659" i="25"/>
  <c r="P659" i="25"/>
  <c r="O660" i="25"/>
  <c r="P660" i="25"/>
  <c r="O661" i="25"/>
  <c r="P661" i="25"/>
  <c r="P71" i="25"/>
  <c r="O71" i="25"/>
  <c r="O17" i="25"/>
  <c r="C76" i="25" s="1"/>
  <c r="P17" i="25"/>
  <c r="O18" i="25"/>
  <c r="P18" i="25"/>
  <c r="O19" i="25"/>
  <c r="P19" i="25"/>
  <c r="O20" i="25"/>
  <c r="P20" i="25"/>
  <c r="O21" i="25"/>
  <c r="P21" i="25"/>
  <c r="O22" i="25"/>
  <c r="P22" i="25"/>
  <c r="O23" i="25"/>
  <c r="P23" i="25"/>
  <c r="O24" i="25"/>
  <c r="P24" i="25"/>
  <c r="O25" i="25"/>
  <c r="P25" i="25"/>
  <c r="O26" i="25"/>
  <c r="P26" i="25"/>
  <c r="O27" i="25"/>
  <c r="P27" i="25"/>
  <c r="O28" i="25"/>
  <c r="P28" i="25"/>
  <c r="O29" i="25"/>
  <c r="P29" i="25"/>
  <c r="O30" i="25"/>
  <c r="P30" i="25"/>
  <c r="O31" i="25"/>
  <c r="P31" i="25"/>
  <c r="O32" i="25"/>
  <c r="P32" i="25"/>
  <c r="O33" i="25"/>
  <c r="P33" i="25"/>
  <c r="O34" i="25"/>
  <c r="P34" i="25"/>
  <c r="O35" i="25"/>
  <c r="P35" i="25"/>
  <c r="O36" i="25"/>
  <c r="P36" i="25"/>
  <c r="O37" i="25"/>
  <c r="P37" i="25"/>
  <c r="O38" i="25"/>
  <c r="P38" i="25"/>
  <c r="O39" i="25"/>
  <c r="P39" i="25"/>
  <c r="O40" i="25"/>
  <c r="P40" i="25"/>
  <c r="O41" i="25"/>
  <c r="P41" i="25"/>
  <c r="O42" i="25"/>
  <c r="P42" i="25"/>
  <c r="O43" i="25"/>
  <c r="P43" i="25"/>
  <c r="O44" i="25"/>
  <c r="P44" i="25"/>
  <c r="O45" i="25"/>
  <c r="P45" i="25"/>
  <c r="O46" i="25"/>
  <c r="P46" i="25"/>
  <c r="O47" i="25"/>
  <c r="P47" i="25"/>
  <c r="O48" i="25"/>
  <c r="P48" i="25"/>
  <c r="O49" i="25"/>
  <c r="P49" i="25"/>
  <c r="O50" i="25"/>
  <c r="P50" i="25"/>
  <c r="O51" i="25"/>
  <c r="P51" i="25"/>
  <c r="O52" i="25"/>
  <c r="P52" i="25"/>
  <c r="O53" i="25"/>
  <c r="P53" i="25"/>
  <c r="O54" i="25"/>
  <c r="P54" i="25"/>
  <c r="O55" i="25"/>
  <c r="P55" i="25"/>
  <c r="O56" i="25"/>
  <c r="P56" i="25"/>
  <c r="O60" i="25"/>
  <c r="P60" i="25"/>
  <c r="O61" i="25"/>
  <c r="P61" i="25"/>
  <c r="O62" i="25"/>
  <c r="P62" i="25"/>
  <c r="O63" i="25"/>
  <c r="P63" i="25"/>
  <c r="O64" i="25"/>
  <c r="P64" i="25"/>
  <c r="O65" i="25"/>
  <c r="P65" i="25"/>
  <c r="O66" i="25"/>
  <c r="P66" i="25"/>
  <c r="O67" i="25"/>
  <c r="P67" i="25"/>
  <c r="O68" i="25"/>
  <c r="P68" i="25"/>
  <c r="B36" i="24" l="1"/>
  <c r="C6" i="25"/>
  <c r="C10" i="25"/>
  <c r="C14" i="25"/>
  <c r="C18" i="25"/>
  <c r="C22" i="25"/>
  <c r="C26" i="25"/>
  <c r="C30" i="25"/>
  <c r="C34" i="25"/>
  <c r="C38" i="25"/>
  <c r="C42" i="25"/>
  <c r="C46" i="25"/>
  <c r="C50" i="25"/>
  <c r="C54" i="25"/>
  <c r="C58" i="25"/>
  <c r="C62" i="25"/>
  <c r="C66" i="25"/>
  <c r="C70" i="25"/>
  <c r="C74" i="25"/>
  <c r="G36" i="24"/>
  <c r="C7" i="25"/>
  <c r="C11" i="25"/>
  <c r="C15" i="25"/>
  <c r="C19" i="25"/>
  <c r="C23" i="25"/>
  <c r="C27" i="25"/>
  <c r="C31" i="25"/>
  <c r="C35" i="25"/>
  <c r="C39" i="25"/>
  <c r="C43" i="25"/>
  <c r="C47" i="25"/>
  <c r="C51" i="25"/>
  <c r="C55" i="25"/>
  <c r="C59" i="25"/>
  <c r="C63" i="25"/>
  <c r="C67" i="25"/>
  <c r="C71" i="25"/>
  <c r="C75" i="25"/>
  <c r="L36" i="24"/>
  <c r="C8" i="25"/>
  <c r="C12" i="25"/>
  <c r="C16" i="25"/>
  <c r="C20" i="25"/>
  <c r="C24" i="25"/>
  <c r="C28" i="25"/>
  <c r="C32" i="25"/>
  <c r="C36" i="25"/>
  <c r="C40" i="25"/>
  <c r="C44" i="25"/>
  <c r="C48" i="25"/>
  <c r="C52" i="25"/>
  <c r="C56" i="25"/>
  <c r="C60" i="25"/>
  <c r="C64" i="25"/>
  <c r="C68" i="25"/>
  <c r="C72" i="25"/>
  <c r="Q36" i="24"/>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G367" i="17"/>
  <c r="BF367" i="17"/>
  <c r="BD367" i="17"/>
  <c r="BE367" i="17" s="1"/>
  <c r="BC367" i="17"/>
  <c r="BB367" i="17"/>
  <c r="AZ367" i="17"/>
  <c r="AQ369" i="17" s="1"/>
  <c r="AX367" i="17"/>
  <c r="AY367" i="17" s="1"/>
  <c r="AW367" i="17"/>
  <c r="AV367" i="17"/>
  <c r="AT367" i="17"/>
  <c r="AU367" i="17" s="1"/>
  <c r="AR367" i="17"/>
  <c r="AS367" i="17" s="1"/>
  <c r="AP367" i="17"/>
  <c r="AG369" i="17" s="1"/>
  <c r="AN367" i="17"/>
  <c r="AO367" i="17" s="1"/>
  <c r="AL367" i="17"/>
  <c r="AM367" i="17" s="1"/>
  <c r="AK367" i="17"/>
  <c r="AJ367" i="17"/>
  <c r="AH367" i="17"/>
  <c r="AI367" i="17" s="1"/>
  <c r="AF367" i="17"/>
  <c r="AD367" i="17"/>
  <c r="AE367" i="17" s="1"/>
  <c r="AB367" i="17"/>
  <c r="AC367" i="17" s="1"/>
  <c r="AA367" i="17"/>
  <c r="Z367" i="17"/>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U355" i="17"/>
  <c r="AT355" i="17"/>
  <c r="AR355" i="17"/>
  <c r="AS355" i="17" s="1"/>
  <c r="AP355" i="17"/>
  <c r="AG357" i="17" s="1"/>
  <c r="AN355" i="17"/>
  <c r="AO355" i="17" s="1"/>
  <c r="AL355" i="17"/>
  <c r="AM355" i="17" s="1"/>
  <c r="AJ355" i="17"/>
  <c r="AK355" i="17" s="1"/>
  <c r="AH355" i="17"/>
  <c r="AI355" i="17" s="1"/>
  <c r="AF355" i="17"/>
  <c r="AD355" i="17"/>
  <c r="AE355" i="17" s="1"/>
  <c r="AB355" i="17"/>
  <c r="AC355" i="17" s="1"/>
  <c r="Z355" i="17"/>
  <c r="AA355" i="17" s="1"/>
  <c r="Y355" i="17"/>
  <c r="X355" i="17"/>
  <c r="V355" i="17"/>
  <c r="V357" i="17" s="1"/>
  <c r="U355" i="17"/>
  <c r="T355" i="17"/>
  <c r="R355" i="17"/>
  <c r="S355" i="17" s="1"/>
  <c r="Q355" i="17"/>
  <c r="P355" i="17"/>
  <c r="N355" i="17"/>
  <c r="M355" i="17"/>
  <c r="K355" i="17"/>
  <c r="BK359" i="17" s="1"/>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V351" i="17"/>
  <c r="R351" i="17"/>
  <c r="S351" i="17" s="1"/>
  <c r="Q351" i="17"/>
  <c r="P351" i="17"/>
  <c r="N351" i="17"/>
  <c r="M351" i="17"/>
  <c r="K351" i="17"/>
  <c r="J351" i="17"/>
  <c r="H351" i="17"/>
  <c r="G351" i="17"/>
  <c r="BR350" i="17"/>
  <c r="BQ350" i="17"/>
  <c r="BP350" i="17"/>
  <c r="S350" i="17"/>
  <c r="R350" i="17"/>
  <c r="Q350" i="17"/>
  <c r="P350" i="17"/>
  <c r="N350" i="17"/>
  <c r="M350" i="17"/>
  <c r="K350" i="17"/>
  <c r="BN348" i="17" s="1"/>
  <c r="BN339" i="17" s="1"/>
  <c r="J350" i="17"/>
  <c r="H350" i="17"/>
  <c r="G350" i="17"/>
  <c r="BR349" i="17"/>
  <c r="BQ349" i="17"/>
  <c r="BP349" i="17"/>
  <c r="BM349" i="17"/>
  <c r="BL349" i="17"/>
  <c r="BK349" i="17"/>
  <c r="BJ349" i="17"/>
  <c r="BA351" i="17" s="1"/>
  <c r="BH349" i="17"/>
  <c r="BI349" i="17" s="1"/>
  <c r="BG349" i="17"/>
  <c r="BF349" i="17"/>
  <c r="BD349" i="17"/>
  <c r="BE349" i="17" s="1"/>
  <c r="BB349" i="17"/>
  <c r="BC349" i="17" s="1"/>
  <c r="AZ349" i="17"/>
  <c r="AQ351" i="17" s="1"/>
  <c r="AY349" i="17"/>
  <c r="AX349" i="17"/>
  <c r="AW349" i="17"/>
  <c r="AV349" i="17"/>
  <c r="AU349" i="17"/>
  <c r="AT349" i="17"/>
  <c r="AS349" i="17"/>
  <c r="AR349" i="17"/>
  <c r="AP349" i="17"/>
  <c r="AG351" i="17" s="1"/>
  <c r="AN349" i="17"/>
  <c r="AO349" i="17" s="1"/>
  <c r="AL349" i="17"/>
  <c r="AM349" i="17" s="1"/>
  <c r="AK349" i="17"/>
  <c r="AJ349" i="17"/>
  <c r="AH349" i="17"/>
  <c r="AI349" i="17" s="1"/>
  <c r="AF349" i="17"/>
  <c r="AE349" i="17"/>
  <c r="AD349" i="17"/>
  <c r="AC349" i="17"/>
  <c r="AB349" i="17"/>
  <c r="Z349" i="17"/>
  <c r="AA349" i="17" s="1"/>
  <c r="Y349" i="17"/>
  <c r="X349" i="17"/>
  <c r="V349" i="17"/>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BP339" i="17" s="1"/>
  <c r="W345" i="17"/>
  <c r="R345" i="17"/>
  <c r="S345" i="17" s="1"/>
  <c r="Q345" i="17"/>
  <c r="P345" i="17"/>
  <c r="N345" i="17"/>
  <c r="M345" i="17"/>
  <c r="K345" i="17"/>
  <c r="J345" i="17"/>
  <c r="H345" i="17"/>
  <c r="F345" i="17"/>
  <c r="BR344" i="17"/>
  <c r="BQ344" i="17"/>
  <c r="BP344" i="17"/>
  <c r="R344" i="17"/>
  <c r="S344" i="17" s="1"/>
  <c r="Q344" i="17"/>
  <c r="P344" i="17"/>
  <c r="N344" i="17"/>
  <c r="M344" i="17"/>
  <c r="K344" i="17"/>
  <c r="BN342" i="17" s="1"/>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U343" i="17"/>
  <c r="AT343" i="17"/>
  <c r="AR343" i="17"/>
  <c r="AS343" i="17" s="1"/>
  <c r="AP343" i="17"/>
  <c r="AG345" i="17" s="1"/>
  <c r="AN343" i="17"/>
  <c r="AO343" i="17" s="1"/>
  <c r="AL343" i="17"/>
  <c r="AM343" i="17" s="1"/>
  <c r="AJ343" i="17"/>
  <c r="AK343" i="17" s="1"/>
  <c r="AI343" i="17"/>
  <c r="AH343" i="17"/>
  <c r="AF343" i="17"/>
  <c r="AD343" i="17"/>
  <c r="AE343" i="17" s="1"/>
  <c r="AC343" i="17"/>
  <c r="AB343" i="17"/>
  <c r="Z343" i="17"/>
  <c r="AA343" i="17" s="1"/>
  <c r="Y343" i="17"/>
  <c r="X343" i="17"/>
  <c r="V343" i="17"/>
  <c r="V345" i="17" s="1"/>
  <c r="U343" i="17"/>
  <c r="T343" i="17"/>
  <c r="R343" i="17"/>
  <c r="S343" i="17" s="1"/>
  <c r="Q343" i="17"/>
  <c r="P343" i="17"/>
  <c r="N343" i="17"/>
  <c r="M343" i="17"/>
  <c r="K343" i="17"/>
  <c r="J343" i="17"/>
  <c r="H343" i="17"/>
  <c r="F343" i="17"/>
  <c r="BV342" i="17"/>
  <c r="BR342" i="17"/>
  <c r="BQ342" i="17"/>
  <c r="BP342" i="17"/>
  <c r="BO342" i="17"/>
  <c r="BO340"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G330" i="17"/>
  <c r="BF330" i="17"/>
  <c r="BD330" i="17"/>
  <c r="BE330" i="17" s="1"/>
  <c r="BC330" i="17"/>
  <c r="BB330" i="17"/>
  <c r="AZ330" i="17"/>
  <c r="AQ332" i="17" s="1"/>
  <c r="AX330" i="17"/>
  <c r="AY330" i="17" s="1"/>
  <c r="AW330" i="17"/>
  <c r="AV330" i="17"/>
  <c r="AT330" i="17"/>
  <c r="AU330" i="17" s="1"/>
  <c r="AR330" i="17"/>
  <c r="AS330" i="17" s="1"/>
  <c r="AP330" i="17"/>
  <c r="AG332" i="17" s="1"/>
  <c r="AN330" i="17"/>
  <c r="AO330" i="17" s="1"/>
  <c r="AL330" i="17"/>
  <c r="AM330" i="17" s="1"/>
  <c r="AK330" i="17"/>
  <c r="AJ330" i="17"/>
  <c r="AH330" i="17"/>
  <c r="AI330" i="17" s="1"/>
  <c r="AF330" i="17"/>
  <c r="AE330" i="17"/>
  <c r="AD330" i="17"/>
  <c r="AB330" i="17"/>
  <c r="AC330" i="17" s="1"/>
  <c r="Z330" i="17"/>
  <c r="AA330" i="17" s="1"/>
  <c r="X330" i="17"/>
  <c r="Y330" i="17" s="1"/>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R326" i="17"/>
  <c r="S326" i="17" s="1"/>
  <c r="Q326" i="17"/>
  <c r="P326" i="17"/>
  <c r="N326" i="17"/>
  <c r="M326" i="17"/>
  <c r="K326" i="17"/>
  <c r="J326" i="17"/>
  <c r="H326" i="17"/>
  <c r="G326" i="17"/>
  <c r="BR325" i="17"/>
  <c r="BQ325" i="17"/>
  <c r="BP325" i="17"/>
  <c r="R325" i="17"/>
  <c r="S325" i="17" s="1"/>
  <c r="Q325" i="17"/>
  <c r="P325" i="17"/>
  <c r="N325" i="17"/>
  <c r="M325" i="17"/>
  <c r="K325" i="17"/>
  <c r="BK328" i="17" s="1"/>
  <c r="J325" i="17"/>
  <c r="H325" i="17"/>
  <c r="G325" i="17"/>
  <c r="BR324" i="17"/>
  <c r="BQ324" i="17"/>
  <c r="BP324" i="17"/>
  <c r="BM324" i="17"/>
  <c r="BL324" i="17"/>
  <c r="BK324" i="17"/>
  <c r="BJ324" i="17"/>
  <c r="BH324" i="17"/>
  <c r="BI324" i="17" s="1"/>
  <c r="BF324" i="17"/>
  <c r="BG324" i="17" s="1"/>
  <c r="BD324" i="17"/>
  <c r="BE324" i="17" s="1"/>
  <c r="BB324" i="17"/>
  <c r="BC324" i="17" s="1"/>
  <c r="AZ324" i="17"/>
  <c r="AQ326" i="17" s="1"/>
  <c r="AY324" i="17"/>
  <c r="AX324" i="17"/>
  <c r="AV324" i="17"/>
  <c r="AW324" i="17" s="1"/>
  <c r="AU324" i="17"/>
  <c r="AT324" i="17"/>
  <c r="AR324" i="17"/>
  <c r="AS324" i="17" s="1"/>
  <c r="AP324" i="17"/>
  <c r="AG326" i="17" s="1"/>
  <c r="AN324" i="17"/>
  <c r="AO324" i="17" s="1"/>
  <c r="AL324" i="17"/>
  <c r="AM324" i="17" s="1"/>
  <c r="AJ324" i="17"/>
  <c r="AK324" i="17" s="1"/>
  <c r="AH324" i="17"/>
  <c r="AI324" i="17" s="1"/>
  <c r="AF324" i="17"/>
  <c r="BK327" i="17" s="1"/>
  <c r="AD324" i="17"/>
  <c r="AE324" i="17" s="1"/>
  <c r="AB324" i="17"/>
  <c r="AC324" i="17" s="1"/>
  <c r="Z324" i="17"/>
  <c r="AA324" i="17" s="1"/>
  <c r="Y324" i="17"/>
  <c r="X324" i="17"/>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W320" i="17"/>
  <c r="S320" i="17"/>
  <c r="R320" i="17"/>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E318" i="17"/>
  <c r="BD318" i="17"/>
  <c r="BB318" i="17"/>
  <c r="BC318" i="17" s="1"/>
  <c r="AZ318" i="17"/>
  <c r="AQ320" i="17" s="1"/>
  <c r="AY318" i="17"/>
  <c r="AX318" i="17"/>
  <c r="AV318" i="17"/>
  <c r="AW318" i="17" s="1"/>
  <c r="AT318" i="17"/>
  <c r="AU318" i="17" s="1"/>
  <c r="AR318" i="17"/>
  <c r="AS318" i="17" s="1"/>
  <c r="AP318" i="17"/>
  <c r="AG320" i="17" s="1"/>
  <c r="AN318" i="17"/>
  <c r="AO318" i="17" s="1"/>
  <c r="AM318" i="17"/>
  <c r="AL318" i="17"/>
  <c r="AJ318" i="17"/>
  <c r="AK318" i="17" s="1"/>
  <c r="AH318" i="17"/>
  <c r="AI318" i="17" s="1"/>
  <c r="AF318" i="17"/>
  <c r="AD318" i="17"/>
  <c r="AE318" i="17" s="1"/>
  <c r="AB318" i="17"/>
  <c r="AC318" i="17" s="1"/>
  <c r="Z318" i="17"/>
  <c r="AA318" i="17" s="1"/>
  <c r="Y318" i="17"/>
  <c r="X318" i="17"/>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Q302" i="17" s="1"/>
  <c r="BP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AA312" i="17"/>
  <c r="Z312" i="17"/>
  <c r="X312" i="17"/>
  <c r="Y312" i="17" s="1"/>
  <c r="V312" i="17"/>
  <c r="V314" i="17" s="1"/>
  <c r="U312" i="17"/>
  <c r="T312" i="17"/>
  <c r="R312" i="17"/>
  <c r="S312" i="17" s="1"/>
  <c r="Q312" i="17"/>
  <c r="P312" i="17"/>
  <c r="N312" i="17"/>
  <c r="M312" i="17"/>
  <c r="K312" i="17"/>
  <c r="J312" i="17"/>
  <c r="H312" i="17"/>
  <c r="G312" i="17"/>
  <c r="BR311" i="17"/>
  <c r="BQ311" i="17"/>
  <c r="BP311" i="17"/>
  <c r="BO311" i="17"/>
  <c r="BO302" i="17" s="1"/>
  <c r="BR310" i="17"/>
  <c r="BQ310" i="17"/>
  <c r="BP310" i="17"/>
  <c r="R310" i="17"/>
  <c r="S310" i="17" s="1"/>
  <c r="Q310" i="17"/>
  <c r="P310" i="17"/>
  <c r="N310" i="17"/>
  <c r="M310" i="17"/>
  <c r="K310" i="17"/>
  <c r="J310" i="17"/>
  <c r="H310" i="17"/>
  <c r="F310" i="17"/>
  <c r="BR309" i="17"/>
  <c r="BQ309" i="17"/>
  <c r="BP309" i="17"/>
  <c r="S309" i="17"/>
  <c r="R309" i="17"/>
  <c r="Q309" i="17"/>
  <c r="P309" i="17"/>
  <c r="N309" i="17"/>
  <c r="M309" i="17"/>
  <c r="K309" i="17"/>
  <c r="J309" i="17"/>
  <c r="H309" i="17"/>
  <c r="F309" i="17"/>
  <c r="BR308" i="17"/>
  <c r="BQ308" i="17"/>
  <c r="BP308" i="17"/>
  <c r="R308" i="17"/>
  <c r="S308" i="17" s="1"/>
  <c r="Q308" i="17"/>
  <c r="P308" i="17"/>
  <c r="N308" i="17"/>
  <c r="M308" i="17"/>
  <c r="K308" i="17"/>
  <c r="BN305" i="17" s="1"/>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S306" i="17"/>
  <c r="AR306" i="17"/>
  <c r="AP306" i="17"/>
  <c r="AG308" i="17" s="1"/>
  <c r="AN306" i="17"/>
  <c r="AO306" i="17" s="1"/>
  <c r="AL306" i="17"/>
  <c r="AM306" i="17" s="1"/>
  <c r="AJ306" i="17"/>
  <c r="AK306" i="17" s="1"/>
  <c r="AH306" i="17"/>
  <c r="AI306" i="17" s="1"/>
  <c r="AF306" i="17"/>
  <c r="AE306" i="17"/>
  <c r="AD306" i="17"/>
  <c r="AB306" i="17"/>
  <c r="AC306" i="17" s="1"/>
  <c r="AA306" i="17"/>
  <c r="Z306" i="17"/>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S297" i="17"/>
  <c r="R297" i="17"/>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BA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H293" i="17"/>
  <c r="BI293" i="17" s="1"/>
  <c r="BG293" i="17"/>
  <c r="BF293" i="17"/>
  <c r="BD293" i="17"/>
  <c r="BE293" i="17" s="1"/>
  <c r="BB293" i="17"/>
  <c r="BC293" i="17" s="1"/>
  <c r="AZ293" i="17"/>
  <c r="AQ295" i="17" s="1"/>
  <c r="AX293" i="17"/>
  <c r="AY293" i="17" s="1"/>
  <c r="AV293" i="17"/>
  <c r="AW293" i="17" s="1"/>
  <c r="AT293" i="17"/>
  <c r="AU293" i="17" s="1"/>
  <c r="AR293" i="17"/>
  <c r="AS293" i="17" s="1"/>
  <c r="AP293" i="17"/>
  <c r="AG295" i="17" s="1"/>
  <c r="AO293" i="17"/>
  <c r="AN293" i="17"/>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H287" i="17"/>
  <c r="BI287" i="17" s="1"/>
  <c r="BF287" i="17"/>
  <c r="BG287" i="17" s="1"/>
  <c r="BD287" i="17"/>
  <c r="BE287" i="17" s="1"/>
  <c r="BB287" i="17"/>
  <c r="BC287" i="17" s="1"/>
  <c r="AZ287" i="17"/>
  <c r="AQ289" i="17" s="1"/>
  <c r="AY287" i="17"/>
  <c r="AX287" i="17"/>
  <c r="AV287" i="17"/>
  <c r="AW287" i="17" s="1"/>
  <c r="AU287" i="17"/>
  <c r="AT287" i="17"/>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W281" i="17"/>
  <c r="AV281" i="17"/>
  <c r="AT281" i="17"/>
  <c r="AU281" i="17" s="1"/>
  <c r="AR281" i="17"/>
  <c r="AS281" i="17" s="1"/>
  <c r="AP281" i="17"/>
  <c r="AG283" i="17" s="1"/>
  <c r="AN281" i="17"/>
  <c r="AO281" i="17" s="1"/>
  <c r="AL281" i="17"/>
  <c r="AM281" i="17" s="1"/>
  <c r="AJ281" i="17"/>
  <c r="AK281" i="17" s="1"/>
  <c r="AH281" i="17"/>
  <c r="AI281" i="17" s="1"/>
  <c r="AF281" i="17"/>
  <c r="W283" i="17" s="1"/>
  <c r="AE281" i="17"/>
  <c r="AD281" i="17"/>
  <c r="AC281" i="17"/>
  <c r="AB281" i="17"/>
  <c r="Z281" i="17"/>
  <c r="AA281" i="17" s="1"/>
  <c r="X281" i="17"/>
  <c r="Y281" i="17" s="1"/>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Y275" i="17"/>
  <c r="X275" i="17"/>
  <c r="V275" i="17"/>
  <c r="V277" i="17" s="1"/>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Q265" i="17" s="1"/>
  <c r="BP272" i="17"/>
  <c r="R272" i="17"/>
  <c r="S272" i="17" s="1"/>
  <c r="Q272" i="17"/>
  <c r="P272" i="17"/>
  <c r="N272" i="17"/>
  <c r="M272" i="17"/>
  <c r="K272" i="17"/>
  <c r="J272" i="17"/>
  <c r="H272" i="17"/>
  <c r="F272" i="17"/>
  <c r="BR271" i="17"/>
  <c r="BR265" i="17" s="1"/>
  <c r="BQ271" i="17"/>
  <c r="BP271" i="17"/>
  <c r="AG271" i="17"/>
  <c r="W271" i="17"/>
  <c r="R271" i="17"/>
  <c r="S271" i="17" s="1"/>
  <c r="Q271" i="17"/>
  <c r="P271" i="17"/>
  <c r="N271" i="17"/>
  <c r="M271" i="17"/>
  <c r="K271" i="17"/>
  <c r="J271" i="17"/>
  <c r="H271" i="17"/>
  <c r="F271" i="17"/>
  <c r="BR270" i="17"/>
  <c r="BQ270" i="17"/>
  <c r="BP270" i="17"/>
  <c r="BP265" i="17" s="1"/>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N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G256" i="17"/>
  <c r="BF256" i="17"/>
  <c r="BD256" i="17"/>
  <c r="BE256" i="17" s="1"/>
  <c r="BC256" i="17"/>
  <c r="BB256" i="17"/>
  <c r="AZ256" i="17"/>
  <c r="AQ258" i="17" s="1"/>
  <c r="AX256" i="17"/>
  <c r="AY256" i="17" s="1"/>
  <c r="AW256" i="17"/>
  <c r="AV256" i="17"/>
  <c r="AT256" i="17"/>
  <c r="AU256" i="17" s="1"/>
  <c r="AR256" i="17"/>
  <c r="AS256" i="17" s="1"/>
  <c r="AP256" i="17"/>
  <c r="AG258" i="17" s="1"/>
  <c r="AN256" i="17"/>
  <c r="AO256" i="17" s="1"/>
  <c r="AL256" i="17"/>
  <c r="AM256" i="17" s="1"/>
  <c r="AK256" i="17"/>
  <c r="AJ256" i="17"/>
  <c r="AH256" i="17"/>
  <c r="AI256" i="17" s="1"/>
  <c r="AF256" i="17"/>
  <c r="AE256" i="17"/>
  <c r="AD256" i="17"/>
  <c r="AB256" i="17"/>
  <c r="AC256" i="17" s="1"/>
  <c r="Z256" i="17"/>
  <c r="AA256" i="17" s="1"/>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S251" i="17"/>
  <c r="R251" i="17"/>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Y250" i="17"/>
  <c r="AX250" i="17"/>
  <c r="AW250" i="17"/>
  <c r="AV250" i="17"/>
  <c r="AU250" i="17"/>
  <c r="AT250" i="17"/>
  <c r="AS250" i="17"/>
  <c r="AR250" i="17"/>
  <c r="AP250" i="17"/>
  <c r="AG252" i="17" s="1"/>
  <c r="AN250" i="17"/>
  <c r="AO250" i="17" s="1"/>
  <c r="AL250" i="17"/>
  <c r="AM250" i="17" s="1"/>
  <c r="AJ250" i="17"/>
  <c r="AK250" i="17" s="1"/>
  <c r="AH250" i="17"/>
  <c r="AI250" i="17" s="1"/>
  <c r="AF250" i="17"/>
  <c r="AE250" i="17"/>
  <c r="AD250" i="17"/>
  <c r="AC250" i="17"/>
  <c r="AB250" i="17"/>
  <c r="AA250" i="17"/>
  <c r="Z250" i="17"/>
  <c r="Y250" i="17"/>
  <c r="X250" i="17"/>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BN243" i="17" s="1"/>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I244" i="17"/>
  <c r="AH244" i="17"/>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O228" i="17" s="1"/>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V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Q228" i="17" s="1"/>
  <c r="BP238" i="17"/>
  <c r="BM238" i="17"/>
  <c r="BL238" i="17"/>
  <c r="BK238" i="17"/>
  <c r="BJ238" i="17"/>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C238" i="17"/>
  <c r="AB238" i="17"/>
  <c r="Z238" i="17"/>
  <c r="AA238" i="17" s="1"/>
  <c r="X238" i="17"/>
  <c r="Y238" i="17" s="1"/>
  <c r="V238" i="17"/>
  <c r="U238" i="17"/>
  <c r="T238" i="17"/>
  <c r="S238" i="17"/>
  <c r="R238" i="17"/>
  <c r="Q238" i="17"/>
  <c r="P238" i="17"/>
  <c r="N238" i="17"/>
  <c r="M238" i="17"/>
  <c r="K238" i="17"/>
  <c r="J238" i="17"/>
  <c r="H238" i="17"/>
  <c r="G238" i="17"/>
  <c r="BR237" i="17"/>
  <c r="BQ237" i="17"/>
  <c r="BP237" i="17"/>
  <c r="BO237" i="17"/>
  <c r="BR236" i="17"/>
  <c r="BQ236" i="17"/>
  <c r="BP236" i="17"/>
  <c r="BP229" i="17" s="1"/>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S234" i="17"/>
  <c r="R234" i="17"/>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I232" i="17"/>
  <c r="BH232" i="17"/>
  <c r="BF232" i="17"/>
  <c r="BG232" i="17" s="1"/>
  <c r="BD232" i="17"/>
  <c r="BE232" i="17" s="1"/>
  <c r="BB232" i="17"/>
  <c r="BC232" i="17" s="1"/>
  <c r="AZ232" i="17"/>
  <c r="AQ234" i="17" s="1"/>
  <c r="AY232" i="17"/>
  <c r="AX232" i="17"/>
  <c r="AW232" i="17"/>
  <c r="AV232" i="17"/>
  <c r="AU232" i="17"/>
  <c r="AT232" i="17"/>
  <c r="AS232" i="17"/>
  <c r="AR232" i="17"/>
  <c r="AP232" i="17"/>
  <c r="AG234" i="17" s="1"/>
  <c r="AN232" i="17"/>
  <c r="AO232" i="17" s="1"/>
  <c r="AM232" i="17"/>
  <c r="AL232" i="17"/>
  <c r="AJ232" i="17"/>
  <c r="AK232" i="17" s="1"/>
  <c r="AH232" i="17"/>
  <c r="AI232" i="17" s="1"/>
  <c r="AF232" i="17"/>
  <c r="AD232" i="17"/>
  <c r="AE232" i="17" s="1"/>
  <c r="AB232" i="17"/>
  <c r="AC232" i="17" s="1"/>
  <c r="AA232" i="17"/>
  <c r="Z232" i="17"/>
  <c r="X232" i="17"/>
  <c r="Y232" i="17" s="1"/>
  <c r="V232" i="17"/>
  <c r="V234" i="17" s="1"/>
  <c r="U232" i="17"/>
  <c r="T232" i="17"/>
  <c r="R232" i="17"/>
  <c r="S232" i="17" s="1"/>
  <c r="Q232" i="17"/>
  <c r="P232" i="17"/>
  <c r="N232" i="17"/>
  <c r="M232" i="17"/>
  <c r="K232" i="17"/>
  <c r="BK236" i="17" s="1"/>
  <c r="J232" i="17"/>
  <c r="H232" i="17"/>
  <c r="F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S223" i="17"/>
  <c r="R223" i="17"/>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BA221" i="17"/>
  <c r="R221" i="17"/>
  <c r="S221" i="17" s="1"/>
  <c r="Q221" i="17"/>
  <c r="P221" i="17"/>
  <c r="N221" i="17"/>
  <c r="M221" i="17"/>
  <c r="K221" i="17"/>
  <c r="J221" i="17"/>
  <c r="H221" i="17"/>
  <c r="G221" i="17"/>
  <c r="BR220" i="17"/>
  <c r="BQ220" i="17"/>
  <c r="BP220" i="17"/>
  <c r="R220" i="17"/>
  <c r="S220" i="17" s="1"/>
  <c r="Q220" i="17"/>
  <c r="P220" i="17"/>
  <c r="N220" i="17"/>
  <c r="M220" i="17"/>
  <c r="K220" i="17"/>
  <c r="BN218" i="17" s="1"/>
  <c r="J220" i="17"/>
  <c r="H220" i="17"/>
  <c r="G220" i="17"/>
  <c r="BR219" i="17"/>
  <c r="BQ219" i="17"/>
  <c r="BP219" i="17"/>
  <c r="BM219" i="17"/>
  <c r="BL219" i="17"/>
  <c r="BK219" i="17"/>
  <c r="BJ219" i="17"/>
  <c r="BH219" i="17"/>
  <c r="BI219" i="17" s="1"/>
  <c r="BG219" i="17"/>
  <c r="BF219" i="17"/>
  <c r="BD219" i="17"/>
  <c r="BE219" i="17" s="1"/>
  <c r="BB219" i="17"/>
  <c r="BC219" i="17" s="1"/>
  <c r="AZ219" i="17"/>
  <c r="AQ221" i="17" s="1"/>
  <c r="AX219" i="17"/>
  <c r="AY219" i="17" s="1"/>
  <c r="AV219" i="17"/>
  <c r="AW219" i="17" s="1"/>
  <c r="AT219" i="17"/>
  <c r="AU219" i="17" s="1"/>
  <c r="AR219" i="17"/>
  <c r="AS219" i="17" s="1"/>
  <c r="AP219" i="17"/>
  <c r="AG221" i="17" s="1"/>
  <c r="AO219" i="17"/>
  <c r="AN219" i="17"/>
  <c r="AL219" i="17"/>
  <c r="AM219" i="17" s="1"/>
  <c r="AJ219" i="17"/>
  <c r="AK219" i="17" s="1"/>
  <c r="AH219" i="17"/>
  <c r="AI219" i="17" s="1"/>
  <c r="AF219" i="17"/>
  <c r="AD219" i="17"/>
  <c r="AE219" i="17" s="1"/>
  <c r="AB219" i="17"/>
  <c r="AC219" i="17" s="1"/>
  <c r="AA219" i="17"/>
  <c r="Z219" i="17"/>
  <c r="X219" i="17"/>
  <c r="Y219" i="17" s="1"/>
  <c r="V219" i="17"/>
  <c r="V221" i="17" s="1"/>
  <c r="U219" i="17"/>
  <c r="T219" i="17"/>
  <c r="S219" i="17"/>
  <c r="R219" i="17"/>
  <c r="Q219" i="17"/>
  <c r="P219" i="17"/>
  <c r="N219" i="17"/>
  <c r="M219" i="17"/>
  <c r="K219" i="17"/>
  <c r="J219" i="17"/>
  <c r="H219" i="17"/>
  <c r="G219" i="17"/>
  <c r="BR218" i="17"/>
  <c r="BQ218" i="17"/>
  <c r="BP218" i="17"/>
  <c r="BO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H213" i="17"/>
  <c r="BI213" i="17" s="1"/>
  <c r="BF213" i="17"/>
  <c r="BG213" i="17" s="1"/>
  <c r="BD213" i="17"/>
  <c r="BE213" i="17" s="1"/>
  <c r="BB213" i="17"/>
  <c r="BC213" i="17" s="1"/>
  <c r="AZ213" i="17"/>
  <c r="AQ215" i="17" s="1"/>
  <c r="AY213" i="17"/>
  <c r="AX213" i="17"/>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Y213" i="17"/>
  <c r="X213" i="17"/>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S209" i="17"/>
  <c r="R209" i="17"/>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W203" i="17" s="1"/>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S199" i="17"/>
  <c r="R199" i="17"/>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AQ197" i="17"/>
  <c r="S197" i="17"/>
  <c r="R197" i="17"/>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Q192" i="17" s="1"/>
  <c r="BP194" i="17"/>
  <c r="BO194" i="17"/>
  <c r="BO192" i="17" s="1"/>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C182" i="17"/>
  <c r="BB182" i="17"/>
  <c r="AZ182" i="17"/>
  <c r="AQ184" i="17" s="1"/>
  <c r="AX182" i="17"/>
  <c r="AY182" i="17" s="1"/>
  <c r="AW182" i="17"/>
  <c r="AV182" i="17"/>
  <c r="AT182" i="17"/>
  <c r="AU182" i="17" s="1"/>
  <c r="AR182" i="17"/>
  <c r="AS182" i="17" s="1"/>
  <c r="AP182" i="17"/>
  <c r="AG184" i="17" s="1"/>
  <c r="AO182" i="17"/>
  <c r="AN182" i="17"/>
  <c r="AL182" i="17"/>
  <c r="AM182" i="17" s="1"/>
  <c r="AJ182" i="17"/>
  <c r="AK182" i="17" s="1"/>
  <c r="AH182" i="17"/>
  <c r="AI182" i="17" s="1"/>
  <c r="AF182" i="17"/>
  <c r="AD182" i="17"/>
  <c r="AE182" i="17" s="1"/>
  <c r="AB182" i="17"/>
  <c r="AC182" i="17" s="1"/>
  <c r="AA182" i="17"/>
  <c r="Z182" i="17"/>
  <c r="X182" i="17"/>
  <c r="Y182" i="17" s="1"/>
  <c r="V182" i="17"/>
  <c r="V184" i="17" s="1"/>
  <c r="U182" i="17"/>
  <c r="T182" i="17"/>
  <c r="S182" i="17"/>
  <c r="R182" i="17"/>
  <c r="Q182" i="17"/>
  <c r="P182" i="17"/>
  <c r="N182" i="17"/>
  <c r="M182" i="17"/>
  <c r="K182" i="17"/>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U170" i="17"/>
  <c r="AT170" i="17"/>
  <c r="AR170" i="17"/>
  <c r="AS170" i="17" s="1"/>
  <c r="AP170" i="17"/>
  <c r="AG172" i="17" s="1"/>
  <c r="AN170" i="17"/>
  <c r="AO170" i="17" s="1"/>
  <c r="AL170" i="17"/>
  <c r="AM170" i="17" s="1"/>
  <c r="AJ170" i="17"/>
  <c r="AK170" i="17" s="1"/>
  <c r="AI170" i="17"/>
  <c r="AH170" i="17"/>
  <c r="AF170" i="17"/>
  <c r="W172" i="17" s="1"/>
  <c r="AD170" i="17"/>
  <c r="AE170" i="17" s="1"/>
  <c r="AC170" i="17"/>
  <c r="AB170" i="17"/>
  <c r="Z170" i="17"/>
  <c r="AA170" i="17" s="1"/>
  <c r="Y170" i="17"/>
  <c r="X170" i="17"/>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Y164" i="17"/>
  <c r="AX164" i="17"/>
  <c r="AV164" i="17"/>
  <c r="AW164" i="17" s="1"/>
  <c r="AT164" i="17"/>
  <c r="AU164" i="17" s="1"/>
  <c r="AR164" i="17"/>
  <c r="AS164" i="17" s="1"/>
  <c r="AP164" i="17"/>
  <c r="AG166" i="17" s="1"/>
  <c r="AN164" i="17"/>
  <c r="AO164" i="17" s="1"/>
  <c r="AL164" i="17"/>
  <c r="AM164" i="17" s="1"/>
  <c r="AJ164" i="17"/>
  <c r="AK164" i="17" s="1"/>
  <c r="AH164" i="17"/>
  <c r="AI164" i="17" s="1"/>
  <c r="AF164" i="17"/>
  <c r="W166" i="17" s="1"/>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S161" i="17"/>
  <c r="R161" i="17"/>
  <c r="Q161" i="17"/>
  <c r="P161" i="17"/>
  <c r="N161" i="17"/>
  <c r="M161" i="17"/>
  <c r="K161" i="17"/>
  <c r="J161" i="17"/>
  <c r="H161" i="17"/>
  <c r="F161" i="17"/>
  <c r="BR160" i="17"/>
  <c r="BQ160" i="17"/>
  <c r="BP160" i="17"/>
  <c r="BP155" i="17" s="1"/>
  <c r="R160" i="17"/>
  <c r="S160" i="17" s="1"/>
  <c r="Q160" i="17"/>
  <c r="P160" i="17"/>
  <c r="N160" i="17"/>
  <c r="M160" i="17"/>
  <c r="K160" i="17"/>
  <c r="BN157" i="17" s="1"/>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I158" i="17"/>
  <c r="BH158" i="17"/>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I158" i="17"/>
  <c r="AH158" i="17"/>
  <c r="AF158" i="17"/>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R157" i="17"/>
  <c r="BQ157" i="17"/>
  <c r="BP157" i="17"/>
  <c r="BO157" i="17"/>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C145" i="17"/>
  <c r="BB145" i="17"/>
  <c r="AZ145" i="17"/>
  <c r="AQ147" i="17" s="1"/>
  <c r="AX145" i="17"/>
  <c r="AY145" i="17" s="1"/>
  <c r="AW145" i="17"/>
  <c r="AV145" i="17"/>
  <c r="AT145" i="17"/>
  <c r="AU145" i="17" s="1"/>
  <c r="AS145" i="17"/>
  <c r="AR145" i="17"/>
  <c r="AP145" i="17"/>
  <c r="AG147" i="17" s="1"/>
  <c r="AN145" i="17"/>
  <c r="AO145" i="17" s="1"/>
  <c r="AL145" i="17"/>
  <c r="AM145" i="17" s="1"/>
  <c r="AJ145" i="17"/>
  <c r="AK145" i="17" s="1"/>
  <c r="AH145" i="17"/>
  <c r="AI145" i="17" s="1"/>
  <c r="AF145" i="17"/>
  <c r="AD145" i="17"/>
  <c r="AE145" i="17" s="1"/>
  <c r="AB145" i="17"/>
  <c r="AC145" i="17" s="1"/>
  <c r="AA145" i="17"/>
  <c r="Z145" i="17"/>
  <c r="X145" i="17"/>
  <c r="Y145" i="17" s="1"/>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V141" i="17"/>
  <c r="S141" i="17"/>
  <c r="R141" i="17"/>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W139" i="17"/>
  <c r="AV139" i="17"/>
  <c r="AT139" i="17"/>
  <c r="AU139" i="17" s="1"/>
  <c r="AR139" i="17"/>
  <c r="AS139" i="17" s="1"/>
  <c r="AP139" i="17"/>
  <c r="AG141" i="17" s="1"/>
  <c r="AN139" i="17"/>
  <c r="AO139" i="17" s="1"/>
  <c r="AL139" i="17"/>
  <c r="AM139" i="17" s="1"/>
  <c r="AJ139" i="17"/>
  <c r="AK139" i="17" s="1"/>
  <c r="AH139" i="17"/>
  <c r="AI139" i="17" s="1"/>
  <c r="AF139" i="17"/>
  <c r="AD139" i="17"/>
  <c r="AE139" i="17" s="1"/>
  <c r="AC139" i="17"/>
  <c r="AB139" i="17"/>
  <c r="Z139" i="17"/>
  <c r="AA139" i="17" s="1"/>
  <c r="Y139" i="17"/>
  <c r="X139" i="17"/>
  <c r="V139" i="17"/>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BK136" i="17" s="1"/>
  <c r="AD133" i="17"/>
  <c r="AE133" i="17" s="1"/>
  <c r="AB133" i="17"/>
  <c r="AC133" i="17" s="1"/>
  <c r="Z133" i="17"/>
  <c r="AA133" i="17" s="1"/>
  <c r="Y133" i="17"/>
  <c r="X133" i="17"/>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BK131" i="17" s="1"/>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Y127" i="17"/>
  <c r="AX127" i="17"/>
  <c r="AV127" i="17"/>
  <c r="AW127" i="17" s="1"/>
  <c r="AU127" i="17"/>
  <c r="AT127" i="17"/>
  <c r="AR127" i="17"/>
  <c r="AS127" i="17" s="1"/>
  <c r="AP127" i="17"/>
  <c r="AG129" i="17" s="1"/>
  <c r="AN127" i="17"/>
  <c r="AO127" i="17" s="1"/>
  <c r="AL127" i="17"/>
  <c r="AM127" i="17" s="1"/>
  <c r="AJ127" i="17"/>
  <c r="AK127" i="17" s="1"/>
  <c r="AH127" i="17"/>
  <c r="AI127" i="17" s="1"/>
  <c r="AF127" i="17"/>
  <c r="AD127" i="17"/>
  <c r="AE127" i="17" s="1"/>
  <c r="AC127" i="17"/>
  <c r="AB127" i="17"/>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S124" i="17"/>
  <c r="R124" i="17"/>
  <c r="Q124" i="17"/>
  <c r="P124" i="17"/>
  <c r="N124" i="17"/>
  <c r="M124" i="17"/>
  <c r="K124" i="17"/>
  <c r="J124" i="17"/>
  <c r="H124" i="17"/>
  <c r="F124" i="17"/>
  <c r="BR123" i="17"/>
  <c r="BQ123" i="17"/>
  <c r="BP123" i="17"/>
  <c r="R123" i="17"/>
  <c r="S123" i="17" s="1"/>
  <c r="Q123" i="17"/>
  <c r="P123" i="17"/>
  <c r="N123" i="17"/>
  <c r="M123" i="17"/>
  <c r="K123" i="17"/>
  <c r="BN120" i="17" s="1"/>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C121" i="17"/>
  <c r="AB121" i="17"/>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G108" i="17"/>
  <c r="BF108" i="17"/>
  <c r="BD108" i="17"/>
  <c r="BE108" i="17" s="1"/>
  <c r="BC108" i="17"/>
  <c r="BB108" i="17"/>
  <c r="AZ108" i="17"/>
  <c r="AQ110" i="17" s="1"/>
  <c r="AX108" i="17"/>
  <c r="AY108" i="17" s="1"/>
  <c r="AW108" i="17"/>
  <c r="AV108" i="17"/>
  <c r="AT108" i="17"/>
  <c r="AU108" i="17" s="1"/>
  <c r="AR108" i="17"/>
  <c r="AS108" i="17" s="1"/>
  <c r="AP108" i="17"/>
  <c r="AG110" i="17" s="1"/>
  <c r="AN108" i="17"/>
  <c r="AO108" i="17" s="1"/>
  <c r="AL108" i="17"/>
  <c r="AM108" i="17" s="1"/>
  <c r="AK108" i="17"/>
  <c r="AJ108" i="17"/>
  <c r="AH108" i="17"/>
  <c r="AI108" i="17" s="1"/>
  <c r="AF108" i="17"/>
  <c r="AE108" i="17"/>
  <c r="AD108" i="17"/>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H102" i="17"/>
  <c r="BI102" i="17" s="1"/>
  <c r="BF102" i="17"/>
  <c r="BG102" i="17" s="1"/>
  <c r="BD102" i="17"/>
  <c r="BE102" i="17" s="1"/>
  <c r="BB102" i="17"/>
  <c r="BC102" i="17" s="1"/>
  <c r="AZ102" i="17"/>
  <c r="AQ104" i="17" s="1"/>
  <c r="AY102" i="17"/>
  <c r="AX102" i="17"/>
  <c r="AV102" i="17"/>
  <c r="AW102" i="17" s="1"/>
  <c r="AU102" i="17"/>
  <c r="AT102" i="17"/>
  <c r="AR102" i="17"/>
  <c r="AS102" i="17" s="1"/>
  <c r="AP102" i="17"/>
  <c r="AG104" i="17" s="1"/>
  <c r="AN102" i="17"/>
  <c r="AO102" i="17" s="1"/>
  <c r="AL102" i="17"/>
  <c r="AM102" i="17" s="1"/>
  <c r="AJ102" i="17"/>
  <c r="AK102" i="17" s="1"/>
  <c r="AH102" i="17"/>
  <c r="AI102" i="17" s="1"/>
  <c r="AF102" i="17"/>
  <c r="AD102" i="17"/>
  <c r="AE102" i="17" s="1"/>
  <c r="AC102" i="17"/>
  <c r="AB102" i="17"/>
  <c r="Z102" i="17"/>
  <c r="AA102" i="17" s="1"/>
  <c r="Y102" i="17"/>
  <c r="X102" i="17"/>
  <c r="V102" i="17"/>
  <c r="U102" i="17"/>
  <c r="T102" i="17"/>
  <c r="S102" i="17"/>
  <c r="R102" i="17"/>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BA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H96" i="17"/>
  <c r="BI96" i="17" s="1"/>
  <c r="BF96" i="17"/>
  <c r="BG96" i="17" s="1"/>
  <c r="BD96" i="17"/>
  <c r="BE96" i="17" s="1"/>
  <c r="BB96" i="17"/>
  <c r="BC96" i="17" s="1"/>
  <c r="AZ96" i="17"/>
  <c r="AQ98" i="17" s="1"/>
  <c r="AX96" i="17"/>
  <c r="AY96" i="17" s="1"/>
  <c r="AV96" i="17"/>
  <c r="AW96" i="17" s="1"/>
  <c r="AU96" i="17"/>
  <c r="AT96" i="17"/>
  <c r="AR96" i="17"/>
  <c r="AS96" i="17" s="1"/>
  <c r="AP96" i="17"/>
  <c r="AG98" i="17" s="1"/>
  <c r="AN96" i="17"/>
  <c r="AO96" i="17" s="1"/>
  <c r="AL96" i="17"/>
  <c r="AM96" i="17" s="1"/>
  <c r="AJ96" i="17"/>
  <c r="AK96" i="17" s="1"/>
  <c r="AI96" i="17"/>
  <c r="AH96" i="17"/>
  <c r="AF96" i="17"/>
  <c r="AD96" i="17"/>
  <c r="AE96" i="17" s="1"/>
  <c r="AC96" i="17"/>
  <c r="AB96" i="17"/>
  <c r="Z96" i="17"/>
  <c r="AA96" i="17" s="1"/>
  <c r="Y96" i="17"/>
  <c r="X96" i="17"/>
  <c r="V96" i="17"/>
  <c r="V98" i="17" s="1"/>
  <c r="U96" i="17"/>
  <c r="T96" i="17"/>
  <c r="S96" i="17"/>
  <c r="R96" i="17"/>
  <c r="Q96" i="17"/>
  <c r="P96" i="17"/>
  <c r="N96" i="17"/>
  <c r="M96" i="17"/>
  <c r="K96" i="17"/>
  <c r="BN95" i="17" s="1"/>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V92" i="17"/>
  <c r="S92" i="17"/>
  <c r="R92" i="17"/>
  <c r="Q92" i="17"/>
  <c r="P92" i="17"/>
  <c r="N92" i="17"/>
  <c r="M92" i="17"/>
  <c r="K92" i="17"/>
  <c r="J92" i="17"/>
  <c r="H92" i="17"/>
  <c r="G92" i="17"/>
  <c r="BR91" i="17"/>
  <c r="BQ91" i="17"/>
  <c r="BP91" i="17"/>
  <c r="R91" i="17"/>
  <c r="S91" i="17" s="1"/>
  <c r="Q91" i="17"/>
  <c r="P91" i="17"/>
  <c r="N91" i="17"/>
  <c r="M91" i="17"/>
  <c r="K91" i="17"/>
  <c r="BK94" i="17" s="1"/>
  <c r="J91" i="17"/>
  <c r="H91" i="17"/>
  <c r="G91" i="17"/>
  <c r="BR90" i="17"/>
  <c r="BQ90" i="17"/>
  <c r="BP90" i="17"/>
  <c r="BM90" i="17"/>
  <c r="BL90" i="17"/>
  <c r="BK90" i="17"/>
  <c r="BJ90" i="17"/>
  <c r="BA92" i="17" s="1"/>
  <c r="BH90" i="17"/>
  <c r="BI90" i="17" s="1"/>
  <c r="BG90" i="17"/>
  <c r="BF90" i="17"/>
  <c r="BD90" i="17"/>
  <c r="BE90" i="17" s="1"/>
  <c r="BB90" i="17"/>
  <c r="BC90" i="17" s="1"/>
  <c r="AZ90" i="17"/>
  <c r="AX90" i="17"/>
  <c r="AY90" i="17" s="1"/>
  <c r="AV90" i="17"/>
  <c r="AW90" i="17" s="1"/>
  <c r="AU90" i="17"/>
  <c r="AT90" i="17"/>
  <c r="AR90" i="17"/>
  <c r="AS90" i="17" s="1"/>
  <c r="AP90" i="17"/>
  <c r="AG92" i="17" s="1"/>
  <c r="AO90" i="17"/>
  <c r="AN90" i="17"/>
  <c r="AL90" i="17"/>
  <c r="AM90" i="17" s="1"/>
  <c r="AK90" i="17"/>
  <c r="AJ90" i="17"/>
  <c r="AH90" i="17"/>
  <c r="AI90" i="17" s="1"/>
  <c r="AF90" i="17"/>
  <c r="AD90" i="17"/>
  <c r="AE90" i="17" s="1"/>
  <c r="AC90" i="17"/>
  <c r="AB90" i="17"/>
  <c r="Z90" i="17"/>
  <c r="AA90" i="17" s="1"/>
  <c r="Y90" i="17"/>
  <c r="X90" i="17"/>
  <c r="V90" i="17"/>
  <c r="U90" i="17"/>
  <c r="T90" i="17"/>
  <c r="S90" i="17"/>
  <c r="R90" i="17"/>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W86" i="17"/>
  <c r="R86" i="17"/>
  <c r="S86" i="17" s="1"/>
  <c r="Q86" i="17"/>
  <c r="P86" i="17"/>
  <c r="N86" i="17"/>
  <c r="M86" i="17"/>
  <c r="K86" i="17"/>
  <c r="J86" i="17"/>
  <c r="H86" i="17"/>
  <c r="F86" i="17"/>
  <c r="BR85" i="17"/>
  <c r="BQ85" i="17"/>
  <c r="BQ80" i="17" s="1"/>
  <c r="BP85" i="17"/>
  <c r="S85" i="17"/>
  <c r="R85" i="17"/>
  <c r="Q85" i="17"/>
  <c r="P85" i="17"/>
  <c r="N85" i="17"/>
  <c r="M85" i="17"/>
  <c r="K85" i="17"/>
  <c r="J85" i="17"/>
  <c r="H85" i="17"/>
  <c r="F85" i="17"/>
  <c r="BR84" i="17"/>
  <c r="BQ84" i="17"/>
  <c r="BP84" i="17"/>
  <c r="BM84" i="17"/>
  <c r="BL84" i="17"/>
  <c r="BK84" i="17"/>
  <c r="BJ84" i="17"/>
  <c r="BA86" i="17" s="1"/>
  <c r="BH84" i="17"/>
  <c r="BI84" i="17" s="1"/>
  <c r="BF84" i="17"/>
  <c r="BG84" i="17" s="1"/>
  <c r="BE84" i="17"/>
  <c r="BD84" i="17"/>
  <c r="BB84" i="17"/>
  <c r="BC84" i="17" s="1"/>
  <c r="AZ84" i="17"/>
  <c r="AQ86" i="17" s="1"/>
  <c r="AX84" i="17"/>
  <c r="AY84" i="17" s="1"/>
  <c r="AV84" i="17"/>
  <c r="AW84" i="17" s="1"/>
  <c r="AT84" i="17"/>
  <c r="AU84" i="17" s="1"/>
  <c r="AS84" i="17"/>
  <c r="AR84" i="17"/>
  <c r="AP84" i="17"/>
  <c r="AG86" i="17" s="1"/>
  <c r="AN84" i="17"/>
  <c r="AO84" i="17" s="1"/>
  <c r="AM84" i="17"/>
  <c r="AL84" i="17"/>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Y71" i="17"/>
  <c r="AX71" i="17"/>
  <c r="AV71" i="17"/>
  <c r="AW71" i="17" s="1"/>
  <c r="AU71" i="17"/>
  <c r="AT71" i="17"/>
  <c r="AR71" i="17"/>
  <c r="AS71" i="17" s="1"/>
  <c r="AP71" i="17"/>
  <c r="AG73" i="17" s="1"/>
  <c r="AN71" i="17"/>
  <c r="AO71" i="17" s="1"/>
  <c r="AL71" i="17"/>
  <c r="AM71" i="17" s="1"/>
  <c r="AJ71" i="17"/>
  <c r="AK71" i="17" s="1"/>
  <c r="AH71" i="17"/>
  <c r="AI71" i="17" s="1"/>
  <c r="AF71" i="17"/>
  <c r="AD71" i="17"/>
  <c r="AE71" i="17" s="1"/>
  <c r="AC71" i="17"/>
  <c r="AB71" i="17"/>
  <c r="Z71" i="17"/>
  <c r="AA71" i="17" s="1"/>
  <c r="Y71" i="17"/>
  <c r="X71" i="17"/>
  <c r="V71" i="17"/>
  <c r="V73" i="17" s="1"/>
  <c r="U71" i="17"/>
  <c r="T71" i="17"/>
  <c r="R71" i="17"/>
  <c r="S71" i="17" s="1"/>
  <c r="Q71" i="17"/>
  <c r="P71" i="17"/>
  <c r="N71" i="17"/>
  <c r="M71" i="17"/>
  <c r="K71" i="17"/>
  <c r="BK75" i="17" s="1"/>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W65" i="17"/>
  <c r="AV65" i="17"/>
  <c r="AT65" i="17"/>
  <c r="AU65" i="17" s="1"/>
  <c r="AR65" i="17"/>
  <c r="AS65" i="17" s="1"/>
  <c r="AP65" i="17"/>
  <c r="AG67" i="17" s="1"/>
  <c r="AN65" i="17"/>
  <c r="AO65" i="17" s="1"/>
  <c r="AL65" i="17"/>
  <c r="AM65" i="17" s="1"/>
  <c r="AJ65" i="17"/>
  <c r="AK65" i="17" s="1"/>
  <c r="AH65" i="17"/>
  <c r="AI65" i="17" s="1"/>
  <c r="AF65" i="17"/>
  <c r="AD65" i="17"/>
  <c r="AE65" i="17" s="1"/>
  <c r="AC65" i="17"/>
  <c r="AB65" i="17"/>
  <c r="Z65" i="17"/>
  <c r="AA65" i="17" s="1"/>
  <c r="X65" i="17"/>
  <c r="Y65" i="17" s="1"/>
  <c r="V65" i="17"/>
  <c r="V67" i="17" s="1"/>
  <c r="U65" i="17"/>
  <c r="T65" i="17"/>
  <c r="S65" i="17"/>
  <c r="R65" i="17"/>
  <c r="Q65" i="17"/>
  <c r="P65" i="17"/>
  <c r="N65" i="17"/>
  <c r="M65" i="17"/>
  <c r="K65" i="17"/>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W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I59" i="17"/>
  <c r="BH59" i="17"/>
  <c r="BF59" i="17"/>
  <c r="BG59" i="17" s="1"/>
  <c r="BD59" i="17"/>
  <c r="BE59" i="17" s="1"/>
  <c r="BB59" i="17"/>
  <c r="BC59" i="17" s="1"/>
  <c r="AZ59" i="17"/>
  <c r="AQ61" i="17" s="1"/>
  <c r="AX59" i="17"/>
  <c r="AY59" i="17" s="1"/>
  <c r="AV59" i="17"/>
  <c r="AW59" i="17" s="1"/>
  <c r="AU59" i="17"/>
  <c r="AT59" i="17"/>
  <c r="AR59" i="17"/>
  <c r="AS59" i="17" s="1"/>
  <c r="AP59" i="17"/>
  <c r="AG61" i="17" s="1"/>
  <c r="AN59" i="17"/>
  <c r="AO59" i="17" s="1"/>
  <c r="AL59" i="17"/>
  <c r="AM59" i="17" s="1"/>
  <c r="AJ59" i="17"/>
  <c r="AK59" i="17" s="1"/>
  <c r="AH59" i="17"/>
  <c r="AI59" i="17" s="1"/>
  <c r="AF59" i="17"/>
  <c r="AD59" i="17"/>
  <c r="AE59" i="17" s="1"/>
  <c r="AC59" i="17"/>
  <c r="AB59" i="17"/>
  <c r="Z59" i="17"/>
  <c r="AA59" i="17" s="1"/>
  <c r="X59" i="17"/>
  <c r="Y59" i="17" s="1"/>
  <c r="V59" i="17"/>
  <c r="V61" i="17" s="1"/>
  <c r="U59" i="17"/>
  <c r="T59" i="17"/>
  <c r="S59" i="17"/>
  <c r="R59" i="17"/>
  <c r="Q59" i="17"/>
  <c r="P59" i="17"/>
  <c r="N59" i="17"/>
  <c r="M59" i="17"/>
  <c r="K59" i="17"/>
  <c r="J59" i="17"/>
  <c r="H59" i="17"/>
  <c r="G59" i="17"/>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S54" i="17"/>
  <c r="R54" i="17"/>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Y53" i="17"/>
  <c r="AX53" i="17"/>
  <c r="AV53" i="17"/>
  <c r="AW53" i="17" s="1"/>
  <c r="AU53" i="17"/>
  <c r="AT53" i="17"/>
  <c r="AR53" i="17"/>
  <c r="AS53" i="17" s="1"/>
  <c r="AP53" i="17"/>
  <c r="AG55" i="17" s="1"/>
  <c r="AO53" i="17"/>
  <c r="AN53" i="17"/>
  <c r="AL53" i="17"/>
  <c r="AM53" i="17" s="1"/>
  <c r="AK53" i="17"/>
  <c r="AJ53" i="17"/>
  <c r="AH53" i="17"/>
  <c r="AI53" i="17" s="1"/>
  <c r="AF53" i="17"/>
  <c r="AE53" i="17"/>
  <c r="AD53" i="17"/>
  <c r="AB53" i="17"/>
  <c r="AC53" i="17" s="1"/>
  <c r="AA53" i="17"/>
  <c r="Z53" i="17"/>
  <c r="X53" i="17"/>
  <c r="Y53" i="17" s="1"/>
  <c r="V53" i="17"/>
  <c r="V55" i="17" s="1"/>
  <c r="U53" i="17"/>
  <c r="T53" i="17"/>
  <c r="R53" i="17"/>
  <c r="S53" i="17" s="1"/>
  <c r="Q53" i="17"/>
  <c r="P53" i="17"/>
  <c r="N53" i="17"/>
  <c r="M53" i="17"/>
  <c r="K53" i="17"/>
  <c r="BK57" i="17" s="1"/>
  <c r="J53" i="17"/>
  <c r="H53" i="17"/>
  <c r="G53" i="17"/>
  <c r="BR52" i="17"/>
  <c r="BQ52" i="17"/>
  <c r="BP52" i="17"/>
  <c r="BO52" i="17"/>
  <c r="BN52" i="17"/>
  <c r="BR51" i="17"/>
  <c r="BQ51" i="17"/>
  <c r="BP51" i="17"/>
  <c r="S51" i="17"/>
  <c r="R51" i="17"/>
  <c r="Q51" i="17"/>
  <c r="P51" i="17"/>
  <c r="N51" i="17"/>
  <c r="M51" i="17"/>
  <c r="K51" i="17"/>
  <c r="J51" i="17"/>
  <c r="H51" i="17"/>
  <c r="F51" i="17"/>
  <c r="BR50" i="17"/>
  <c r="BQ50" i="17"/>
  <c r="BP50" i="17"/>
  <c r="R50" i="17"/>
  <c r="S50" i="17" s="1"/>
  <c r="Q50" i="17"/>
  <c r="P50" i="17"/>
  <c r="N50" i="17"/>
  <c r="M50" i="17"/>
  <c r="K50" i="17"/>
  <c r="J50" i="17"/>
  <c r="H50" i="17"/>
  <c r="F50" i="17"/>
  <c r="BR49" i="17"/>
  <c r="BQ49" i="17"/>
  <c r="BP49" i="17"/>
  <c r="W49" i="17"/>
  <c r="S49" i="17"/>
  <c r="R49" i="17"/>
  <c r="Q49" i="17"/>
  <c r="P49" i="17"/>
  <c r="N49" i="17"/>
  <c r="M49" i="17"/>
  <c r="K49" i="17"/>
  <c r="J49" i="17"/>
  <c r="H49" i="17"/>
  <c r="F49" i="17"/>
  <c r="BR48" i="17"/>
  <c r="BQ48" i="17"/>
  <c r="BP48" i="17"/>
  <c r="BP44" i="17" s="1"/>
  <c r="S48" i="17"/>
  <c r="R48" i="17"/>
  <c r="Q48" i="17"/>
  <c r="P48" i="17"/>
  <c r="N48" i="17"/>
  <c r="M48" i="17"/>
  <c r="K48" i="17"/>
  <c r="BN46" i="17" s="1"/>
  <c r="J48" i="17"/>
  <c r="H48" i="17"/>
  <c r="F48" i="17"/>
  <c r="BR47" i="17"/>
  <c r="BQ47" i="17"/>
  <c r="BQ44" i="17" s="1"/>
  <c r="BP47" i="17"/>
  <c r="BM47" i="17"/>
  <c r="BL47" i="17"/>
  <c r="BK47" i="17"/>
  <c r="BJ47" i="17"/>
  <c r="BA49" i="17" s="1"/>
  <c r="BH47" i="17"/>
  <c r="BI47" i="17" s="1"/>
  <c r="BF47" i="17"/>
  <c r="BG47" i="17" s="1"/>
  <c r="BD47" i="17"/>
  <c r="BE47" i="17" s="1"/>
  <c r="BB47" i="17"/>
  <c r="BC47" i="17" s="1"/>
  <c r="AZ47" i="17"/>
  <c r="AQ49" i="17" s="1"/>
  <c r="AY47" i="17"/>
  <c r="AX47" i="17"/>
  <c r="AV47" i="17"/>
  <c r="AW47" i="17" s="1"/>
  <c r="AT47" i="17"/>
  <c r="AU47" i="17" s="1"/>
  <c r="AS47" i="17"/>
  <c r="AR47" i="17"/>
  <c r="AP47" i="17"/>
  <c r="AG49" i="17" s="1"/>
  <c r="AN47" i="17"/>
  <c r="AO47" i="17" s="1"/>
  <c r="AM47" i="17"/>
  <c r="AL47" i="17"/>
  <c r="AJ47" i="17"/>
  <c r="AK47" i="17" s="1"/>
  <c r="AI47" i="17"/>
  <c r="AH47" i="17"/>
  <c r="AF47" i="17"/>
  <c r="AD47" i="17"/>
  <c r="AE47" i="17" s="1"/>
  <c r="AC47" i="17"/>
  <c r="AB47" i="17"/>
  <c r="Z47" i="17"/>
  <c r="AA47" i="17" s="1"/>
  <c r="X47" i="17"/>
  <c r="Y47" i="17" s="1"/>
  <c r="V47" i="17"/>
  <c r="V49" i="17" s="1"/>
  <c r="U47" i="17"/>
  <c r="T47" i="17"/>
  <c r="R47" i="17"/>
  <c r="S47" i="17" s="1"/>
  <c r="Q47" i="17"/>
  <c r="P47" i="17"/>
  <c r="N47" i="17"/>
  <c r="M47" i="17"/>
  <c r="K47" i="17"/>
  <c r="J47" i="17"/>
  <c r="H47" i="17"/>
  <c r="F47" i="17"/>
  <c r="BV46" i="17"/>
  <c r="BR46" i="17"/>
  <c r="BQ46" i="17"/>
  <c r="BP46" i="17"/>
  <c r="BO46" i="17"/>
  <c r="BO44" i="17" s="1"/>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59" i="15"/>
  <c r="BQ81" i="17" l="1"/>
  <c r="BK56" i="17"/>
  <c r="BK137" i="17"/>
  <c r="W135" i="17"/>
  <c r="BK161" i="17"/>
  <c r="W160" i="17"/>
  <c r="BK179" i="17"/>
  <c r="BK247" i="17"/>
  <c r="W246" i="17"/>
  <c r="BP266" i="17"/>
  <c r="BK309" i="17"/>
  <c r="W308" i="17"/>
  <c r="BP302" i="17"/>
  <c r="BP303" i="17"/>
  <c r="BK111" i="17"/>
  <c r="BN70" i="17"/>
  <c r="BN44" i="17" s="1"/>
  <c r="BR80" i="17"/>
  <c r="BK93" i="17"/>
  <c r="BK99" i="17"/>
  <c r="BQ118" i="17"/>
  <c r="BK50" i="17"/>
  <c r="BK63" i="17"/>
  <c r="BK62" i="17"/>
  <c r="BK69" i="17"/>
  <c r="BK74" i="17"/>
  <c r="BK87" i="17"/>
  <c r="BN83" i="17"/>
  <c r="BP80" i="17"/>
  <c r="BR117" i="17"/>
  <c r="BK142" i="17"/>
  <c r="BN138" i="17"/>
  <c r="BO155" i="17"/>
  <c r="BR192" i="17"/>
  <c r="BK100" i="17"/>
  <c r="BR44" i="17"/>
  <c r="BK51" i="17"/>
  <c r="BK68" i="17"/>
  <c r="BR81" i="17"/>
  <c r="BK88" i="17"/>
  <c r="W98" i="17"/>
  <c r="BK105" i="17"/>
  <c r="BR118" i="17"/>
  <c r="BK125" i="17"/>
  <c r="BK124" i="17"/>
  <c r="BP117" i="17"/>
  <c r="BK130" i="17"/>
  <c r="BK148" i="17"/>
  <c r="BP154" i="17"/>
  <c r="BP192" i="17"/>
  <c r="BK235" i="17"/>
  <c r="W234" i="17"/>
  <c r="BK278" i="17"/>
  <c r="W277" i="17"/>
  <c r="BR155" i="17"/>
  <c r="BK162" i="17"/>
  <c r="BK180" i="17"/>
  <c r="BK199" i="17"/>
  <c r="BP191" i="17"/>
  <c r="BK211" i="17"/>
  <c r="BQ229" i="17"/>
  <c r="BN237" i="17"/>
  <c r="BN228" i="17" s="1"/>
  <c r="BK253" i="17"/>
  <c r="BK259" i="17"/>
  <c r="BO266" i="17"/>
  <c r="BR266" i="17"/>
  <c r="BQ303" i="17"/>
  <c r="BK310" i="17"/>
  <c r="BK333" i="17"/>
  <c r="BP340" i="17"/>
  <c r="BK370" i="17"/>
  <c r="BQ155" i="17"/>
  <c r="BK168" i="17"/>
  <c r="BK174" i="17"/>
  <c r="BK186" i="17"/>
  <c r="BK185" i="17"/>
  <c r="BK198" i="17"/>
  <c r="BN212" i="17"/>
  <c r="BK223" i="17"/>
  <c r="BK222" i="17"/>
  <c r="BR229" i="17"/>
  <c r="BR228" i="17"/>
  <c r="BK241" i="17"/>
  <c r="BN249" i="17"/>
  <c r="BN268" i="17"/>
  <c r="BN266" i="17" s="1"/>
  <c r="BQ339" i="17"/>
  <c r="BR154" i="17"/>
  <c r="BK167" i="17"/>
  <c r="BN194" i="17"/>
  <c r="W197" i="17"/>
  <c r="BR191" i="17"/>
  <c r="BK204" i="17"/>
  <c r="BK205" i="17"/>
  <c r="BK210" i="17"/>
  <c r="W209" i="17"/>
  <c r="BK216" i="17"/>
  <c r="BO229" i="17"/>
  <c r="BN231" i="17"/>
  <c r="BP228" i="17"/>
  <c r="BQ266" i="17"/>
  <c r="BK272" i="17"/>
  <c r="BK297" i="17"/>
  <c r="BR303" i="17"/>
  <c r="BK315" i="17"/>
  <c r="BQ340" i="17"/>
  <c r="BK346" i="17"/>
  <c r="BR339" i="17"/>
  <c r="BK358" i="17"/>
  <c r="BK248" i="17"/>
  <c r="BK273" i="17"/>
  <c r="BK290" i="17"/>
  <c r="BK296" i="17"/>
  <c r="BK316" i="17"/>
  <c r="BK322" i="17"/>
  <c r="BK321" i="17"/>
  <c r="BR340" i="17"/>
  <c r="BK347" i="17"/>
  <c r="W357" i="17"/>
  <c r="BK364" i="17"/>
  <c r="BK352" i="17"/>
  <c r="BN360" i="17"/>
  <c r="BN340" i="17" s="1"/>
  <c r="BK353" i="17"/>
  <c r="BK365" i="17"/>
  <c r="W351" i="17"/>
  <c r="W363" i="17"/>
  <c r="W369" i="17"/>
  <c r="BR302" i="17"/>
  <c r="BN311" i="17"/>
  <c r="BN302" i="17" s="1"/>
  <c r="W314" i="17"/>
  <c r="BX327" i="17" s="1"/>
  <c r="BY327" i="17" s="1"/>
  <c r="BN323" i="17"/>
  <c r="W326" i="17"/>
  <c r="W332" i="17"/>
  <c r="BK284" i="17"/>
  <c r="W289" i="17"/>
  <c r="W295" i="17"/>
  <c r="BK242" i="17"/>
  <c r="BK254" i="17"/>
  <c r="W240" i="17"/>
  <c r="W252" i="17"/>
  <c r="W258" i="17"/>
  <c r="BK217" i="17"/>
  <c r="BN200" i="17"/>
  <c r="BN191" i="17" s="1"/>
  <c r="W215" i="17"/>
  <c r="BT216" i="17" s="1"/>
  <c r="BW216" i="17" s="1"/>
  <c r="AG203" i="17"/>
  <c r="W221" i="17"/>
  <c r="BT175" i="17"/>
  <c r="BW175" i="17" s="1"/>
  <c r="BN163" i="17"/>
  <c r="BN154" i="17" s="1"/>
  <c r="BK173" i="17"/>
  <c r="BN175" i="17"/>
  <c r="W178" i="17"/>
  <c r="W184" i="17"/>
  <c r="BT177" i="17" s="1"/>
  <c r="BW177" i="17" s="1"/>
  <c r="BN132" i="17"/>
  <c r="BK143" i="17"/>
  <c r="BN126" i="17"/>
  <c r="BN117" i="17" s="1"/>
  <c r="W129" i="17"/>
  <c r="BT144" i="17" s="1"/>
  <c r="BW144" i="17" s="1"/>
  <c r="W141" i="17"/>
  <c r="W147" i="17"/>
  <c r="BT101" i="17"/>
  <c r="BW101" i="17" s="1"/>
  <c r="BK106" i="17"/>
  <c r="BN89" i="17"/>
  <c r="BN80" i="17" s="1"/>
  <c r="W92" i="17"/>
  <c r="W104" i="17"/>
  <c r="W110" i="17"/>
  <c r="BX97" i="17" s="1"/>
  <c r="BY97" i="17" s="1"/>
  <c r="W55" i="17"/>
  <c r="W67" i="17"/>
  <c r="W73" i="17"/>
  <c r="BX64" i="17" s="1"/>
  <c r="BY64" i="17" s="1"/>
  <c r="AD43" i="3"/>
  <c r="AD44" i="3"/>
  <c r="AD45" i="3"/>
  <c r="AH767" i="11"/>
  <c r="AG767" i="11"/>
  <c r="AI767" i="11"/>
  <c r="BX179" i="17" l="1"/>
  <c r="BY179" i="17" s="1"/>
  <c r="BX208" i="17"/>
  <c r="BY208" i="17" s="1"/>
  <c r="BT255" i="17"/>
  <c r="BW255" i="17" s="1"/>
  <c r="BT366" i="17"/>
  <c r="BW366" i="17" s="1"/>
  <c r="BX214" i="17"/>
  <c r="BY214" i="17" s="1"/>
  <c r="BT142" i="17"/>
  <c r="BW142" i="17" s="1"/>
  <c r="BT181" i="17"/>
  <c r="BW181" i="17" s="1"/>
  <c r="BT292" i="17"/>
  <c r="BW292" i="17" s="1"/>
  <c r="BN229" i="17"/>
  <c r="BT70" i="17"/>
  <c r="BW70" i="17" s="1"/>
  <c r="BX105" i="17"/>
  <c r="BY105" i="17" s="1"/>
  <c r="BT97" i="17"/>
  <c r="BW97" i="17" s="1"/>
  <c r="BX175" i="17"/>
  <c r="BY175" i="17" s="1"/>
  <c r="BT218" i="17"/>
  <c r="BW218" i="17" s="1"/>
  <c r="BX216" i="17"/>
  <c r="BY216"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H25" i="6"/>
  <c r="H24" i="6"/>
  <c r="H23" i="6"/>
  <c r="H22" i="6"/>
  <c r="H21" i="6"/>
  <c r="H20"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X25" i="3" l="1"/>
  <c r="AJ40" i="2"/>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76" i="17" l="1" a="1"/>
  <c r="H76" i="17" s="1"/>
  <c r="H132" i="17" a="1"/>
  <c r="H132" i="17" s="1"/>
  <c r="H243" i="17" a="1"/>
  <c r="H243" i="17" s="1"/>
  <c r="H95" i="17" a="1"/>
  <c r="H95" i="17" s="1"/>
  <c r="H181" i="17" a="1"/>
  <c r="H181" i="17" s="1"/>
  <c r="H175" i="17" a="1"/>
  <c r="H175" i="17" s="1"/>
  <c r="H212" i="17" a="1"/>
  <c r="H212" i="17" s="1"/>
  <c r="H280" i="17" a="1"/>
  <c r="H280" i="17" s="1"/>
  <c r="H311" i="17" a="1"/>
  <c r="H311" i="17" s="1"/>
  <c r="H335" i="17" a="1"/>
  <c r="H335" i="17" s="1"/>
  <c r="H360" i="17" a="1"/>
  <c r="H360" i="17" s="1"/>
  <c r="H70" i="17" a="1"/>
  <c r="H70" i="17" s="1"/>
  <c r="H169" i="17" a="1"/>
  <c r="H169" i="17" s="1"/>
  <c r="H224" i="17" a="1"/>
  <c r="H224" i="17" s="1"/>
  <c r="H372" i="17" a="1"/>
  <c r="H372" i="17" s="1"/>
  <c r="H64" i="17" a="1"/>
  <c r="H64" i="17" s="1"/>
  <c r="H113" i="17" a="1"/>
  <c r="H113" i="17" s="1"/>
  <c r="H138" i="17" a="1"/>
  <c r="H138" i="17" s="1"/>
  <c r="H58" i="17" a="1"/>
  <c r="H58" i="17" s="1"/>
  <c r="H101" i="17" a="1"/>
  <c r="H101" i="17" s="1"/>
  <c r="H206" i="17" a="1"/>
  <c r="H206" i="17" s="1"/>
  <c r="H329" i="17" a="1"/>
  <c r="H329" i="17" s="1"/>
  <c r="H348" i="17" a="1"/>
  <c r="H348" i="17" s="1"/>
  <c r="H249" i="17" a="1"/>
  <c r="H249" i="17" s="1"/>
  <c r="H286" i="17" a="1"/>
  <c r="H286" i="17" s="1"/>
  <c r="H354" i="17" a="1"/>
  <c r="H354" i="17" s="1"/>
  <c r="H144" i="17" a="1"/>
  <c r="H144" i="17" s="1"/>
  <c r="H163" i="17" a="1"/>
  <c r="H163" i="17" s="1"/>
  <c r="H218" i="17" a="1"/>
  <c r="H218" i="17" s="1"/>
  <c r="H107" i="17" a="1"/>
  <c r="H107" i="17" s="1"/>
  <c r="H150" i="17" a="1"/>
  <c r="H150" i="17" s="1"/>
  <c r="H292" i="17" a="1"/>
  <c r="H292" i="17" s="1"/>
  <c r="H52" i="17" a="1"/>
  <c r="H52" i="17" s="1"/>
  <c r="H89" i="17" a="1"/>
  <c r="H89" i="17" s="1"/>
  <c r="H126" i="17" a="1"/>
  <c r="H126" i="17" s="1"/>
  <c r="H187" i="17" a="1"/>
  <c r="H187" i="17" s="1"/>
  <c r="H237" i="17" a="1"/>
  <c r="H237" i="17" s="1"/>
  <c r="H274" i="17" a="1"/>
  <c r="H274" i="17" s="1"/>
  <c r="H317" i="17" a="1"/>
  <c r="H317" i="17" s="1"/>
  <c r="H200" i="17" a="1"/>
  <c r="H200" i="17" s="1"/>
  <c r="H255" i="17" a="1"/>
  <c r="H255" i="17" s="1"/>
  <c r="H298" i="17" a="1"/>
  <c r="H298" i="17" s="1"/>
  <c r="H261" i="17" a="1"/>
  <c r="H261" i="17" s="1"/>
  <c r="H366" i="17" a="1"/>
  <c r="H366" i="17" s="1"/>
  <c r="H323" i="17" a="1"/>
  <c r="H323" i="17" s="1"/>
  <c r="AF35" i="2"/>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2" i="11"/>
  <c r="S1971" i="11"/>
  <c r="S1974" i="11"/>
  <c r="L1915" i="11" l="1"/>
  <c r="T1971" i="11" s="1"/>
  <c r="T1974" i="11"/>
  <c r="AI57" i="1"/>
  <c r="AJ60" i="1"/>
  <c r="AB23" i="2"/>
  <c r="AB27" i="2" s="1"/>
  <c r="AA26" i="2" s="1"/>
  <c r="T1970" i="11" l="1"/>
  <c r="V1970" i="11" s="1"/>
  <c r="T1973" i="11"/>
  <c r="V1973" i="11" s="1"/>
  <c r="T1972" i="11"/>
  <c r="V1972" i="11" s="1"/>
  <c r="V1974" i="11"/>
  <c r="V1971" i="11"/>
  <c r="W1970" i="11"/>
  <c r="W1972" i="11"/>
  <c r="W1971" i="11"/>
  <c r="U1971" i="11"/>
  <c r="U1974" i="11"/>
  <c r="W1974" i="11"/>
  <c r="U42" i="2"/>
  <c r="U1972" i="11" l="1"/>
  <c r="W1973" i="1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U268" i="17"/>
  <c r="BT270" i="17" s="1"/>
  <c r="BT194" i="17"/>
  <c r="BT157" i="17"/>
  <c r="BT268" i="17"/>
  <c r="BT120" i="17"/>
  <c r="BT83" i="17"/>
  <c r="BT46" i="17"/>
  <c r="BT342" i="17"/>
  <c r="BU231" i="17"/>
  <c r="BT233" i="17" s="1"/>
  <c r="BU157" i="17"/>
  <c r="BT159" i="17" s="1"/>
  <c r="BU120" i="17"/>
  <c r="BT122" i="17" s="1"/>
  <c r="BU83" i="17"/>
  <c r="BT85" i="17" s="1"/>
  <c r="BU46" i="17"/>
  <c r="BT48" i="17" s="1"/>
  <c r="BU305" i="17"/>
  <c r="BT307" i="17" s="1"/>
  <c r="BU194" i="17"/>
  <c r="BT196" i="17" s="1"/>
  <c r="BS342" i="17"/>
  <c r="BS305" i="17"/>
  <c r="BS231" i="17"/>
  <c r="BS194" i="17"/>
  <c r="BS157" i="17"/>
  <c r="BS268" i="17"/>
  <c r="BS83" i="17"/>
  <c r="BS46" i="17"/>
  <c r="BS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54" i="11"/>
  <c r="C1950" i="11"/>
  <c r="C1949" i="11"/>
  <c r="C1946" i="11"/>
  <c r="C1945" i="11"/>
  <c r="C1937" i="11"/>
  <c r="C1927" i="11"/>
  <c r="C1923" i="11"/>
  <c r="C1922" i="11"/>
  <c r="C1919" i="11"/>
  <c r="C1915" i="11"/>
  <c r="C1913" i="11"/>
  <c r="C190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K31" i="17" s="1"/>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W24" i="17" l="1"/>
  <c r="BK25" i="17"/>
  <c r="BK37" i="17"/>
  <c r="C1905" i="11"/>
  <c r="C1916" i="11"/>
  <c r="C1924" i="11"/>
  <c r="C1960" i="11"/>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W18" i="17" l="1"/>
  <c r="BK19" i="17"/>
  <c r="L44" i="4"/>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AO12" i="2" l="1"/>
  <c r="E7" i="25" a="1"/>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E7" i="25" l="1"/>
  <c r="I7" i="25"/>
  <c r="F7" i="25"/>
  <c r="J7" i="25"/>
  <c r="H7" i="25"/>
  <c r="L7" i="25"/>
  <c r="G7" i="25"/>
  <c r="K7" i="25"/>
  <c r="Z189" i="3"/>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N13" i="10"/>
  <c r="E67" i="2"/>
  <c r="H15" i="2"/>
  <c r="U150" i="3" s="1"/>
  <c r="D11" i="10"/>
  <c r="P5" i="2"/>
  <c r="P5" i="23" s="1"/>
  <c r="C234" i="11"/>
  <c r="J34" i="2" s="1"/>
  <c r="C12" i="6"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47" i="11"/>
  <c r="S1946" i="11"/>
  <c r="S1962" i="11"/>
  <c r="S1963" i="11"/>
  <c r="S1969" i="11"/>
  <c r="S1937" i="11"/>
  <c r="S1942" i="11"/>
  <c r="S1927"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54" i="11"/>
  <c r="S1950" i="11"/>
  <c r="S1945" i="11"/>
  <c r="S1938" i="11"/>
  <c r="S1949" i="11"/>
  <c r="S1935" i="11"/>
  <c r="S1944" i="11"/>
  <c r="S1956" i="11"/>
  <c r="S1939" i="11"/>
  <c r="S1966" i="11"/>
  <c r="S1968" i="11"/>
  <c r="S1930" i="11"/>
  <c r="S1967" i="11"/>
  <c r="S1931" i="11"/>
  <c r="S1924" i="11"/>
  <c r="S1941" i="11"/>
  <c r="S1959" i="11"/>
  <c r="S1955" i="11"/>
  <c r="S1926" i="11"/>
  <c r="S1961" i="11"/>
  <c r="S1964" i="11"/>
  <c r="S1948" i="11"/>
  <c r="S1925" i="11"/>
  <c r="S1921" i="11"/>
  <c r="S1943" i="11"/>
  <c r="S1920" i="11"/>
  <c r="S1922" i="11"/>
  <c r="S1929" i="11"/>
  <c r="S1932" i="11"/>
  <c r="S1960" i="11"/>
  <c r="S1933" i="11"/>
  <c r="S1957" i="11"/>
  <c r="S1934" i="11"/>
  <c r="S1951" i="11"/>
  <c r="S1923" i="11"/>
  <c r="S1965" i="11"/>
  <c r="S1936" i="11"/>
  <c r="S1952" i="11"/>
  <c r="S1928"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85" i="11" s="1"/>
  <c r="C29" i="6"/>
  <c r="C1983" i="11" l="1"/>
  <c r="C1984" i="11"/>
  <c r="G1909" i="11"/>
  <c r="I20" i="6"/>
  <c r="G1908" i="11"/>
  <c r="I19" i="6"/>
  <c r="I16" i="6"/>
  <c r="G1905" i="11"/>
  <c r="G1912" i="11"/>
  <c r="I23" i="6"/>
  <c r="G1911" i="11"/>
  <c r="I22" i="6"/>
  <c r="G1906" i="11"/>
  <c r="I17" i="6"/>
  <c r="I24" i="6"/>
  <c r="G1913" i="11"/>
  <c r="G1914" i="11"/>
  <c r="I25" i="6"/>
  <c r="E2011" i="11" l="1"/>
  <c r="E2010" i="11"/>
  <c r="E2014" i="11"/>
  <c r="E2013" i="11"/>
  <c r="E1999" i="11"/>
  <c r="E1993" i="11"/>
  <c r="E2021" i="11"/>
  <c r="E2004" i="11"/>
  <c r="E2007" i="11"/>
  <c r="E1997" i="11"/>
  <c r="E1983" i="11"/>
  <c r="E1990" i="11"/>
  <c r="E2000" i="11"/>
  <c r="E2009" i="11"/>
  <c r="E2022" i="11"/>
  <c r="E2020" i="11"/>
  <c r="E2018" i="11"/>
  <c r="E2008" i="11"/>
  <c r="E2003" i="11"/>
  <c r="E1984" i="11"/>
  <c r="E2025" i="11"/>
  <c r="E2015" i="11"/>
  <c r="E1985" i="11"/>
  <c r="E1996" i="11"/>
  <c r="E2024" i="11"/>
  <c r="E2019" i="11"/>
  <c r="E1998" i="11"/>
  <c r="E1991" i="11"/>
  <c r="E2006" i="11"/>
  <c r="E1988" i="11"/>
  <c r="E2012" i="11"/>
  <c r="E1989" i="11"/>
  <c r="E1995" i="11"/>
  <c r="E2023" i="11"/>
  <c r="E1994" i="11"/>
  <c r="E2017" i="11"/>
  <c r="E1987" i="11"/>
  <c r="E2001" i="11"/>
  <c r="E2002" i="11"/>
  <c r="E2016" i="11"/>
  <c r="E1992" i="11"/>
  <c r="E2005" i="11"/>
  <c r="E1986"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<sst xmlns="http://schemas.openxmlformats.org/spreadsheetml/2006/main" count="30791" uniqueCount="10349">
  <si>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</si>
  <si>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</si>
  <si>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</si>
  <si>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</si>
  <si>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</si>
  <si>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</si>
  <si>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</si>
  <si>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</si>
  <si>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</si>
  <si>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</si>
  <si>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</si>
  <si>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</si>
  <si>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</si>
  <si>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</si>
  <si>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</si>
  <si>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</si>
  <si>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</si>
  <si>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</si>
  <si>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</si>
  <si>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</si>
  <si>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</si>
  <si>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</si>
  <si>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</si>
  <si>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</si>
  <si>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</si>
  <si>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</si>
  <si>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</si>
  <si>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</si>
  <si>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</si>
  <si>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</si>
  <si>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</si>
  <si>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</si>
  <si>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</si>
  <si>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</si>
  <si>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</si>
  <si>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</si>
  <si>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</si>
  <si>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</si>
  <si>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</si>
  <si>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</si>
  <si>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</si>
  <si>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</si>
  <si>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</si>
  <si>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</si>
  <si>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</si>
  <si>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</si>
  <si>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</si>
  <si>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</si>
  <si>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</si>
  <si>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</si>
  <si>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</si>
  <si>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</si>
  <si>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</si>
  <si>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</si>
  <si>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</si>
  <si>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</si>
  <si>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</si>
  <si>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</si>
  <si>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</si>
  <si>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</si>
  <si>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</si>
  <si>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</si>
  <si>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</si>
  <si>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</si>
  <si>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</si>
  <si>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</si>
  <si>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</si>
  <si>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</si>
  <si>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</si>
  <si>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</si>
  <si>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</si>
  <si>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</si>
  <si>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</si>
  <si>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</si>
  <si>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</si>
  <si>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</si>
  <si>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</si>
  <si>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</si>
  <si>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</si>
  <si>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</si>
  <si>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</si>
  <si>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</si>
  <si>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</si>
  <si>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</si>
  <si>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</si>
  <si>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</si>
  <si>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</si>
  <si>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</si>
  <si>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</si>
  <si>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</si>
  <si>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</si>
  <si>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</si>
  <si>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</si>
  <si>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</si>
  <si>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</si>
  <si>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</si>
  <si>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</si>
  <si>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</si>
  <si>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</si>
  <si>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</si>
  <si>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</si>
  <si>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</si>
  <si>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</si>
  <si>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</si>
  <si>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</si>
  <si>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</si>
  <si>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</si>
  <si>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</si>
  <si>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</si>
  <si>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</si>
  <si>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</si>
  <si>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</si>
  <si>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</si>
  <si>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</si>
  <si>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</si>
  <si>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</si>
  <si>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</si>
  <si>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</si>
  <si>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</si>
  <si>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</si>
  <si>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</si>
  <si>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</si>
  <si>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</si>
  <si>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</si>
  <si>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</si>
  <si>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</si>
  <si>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</si>
  <si>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</si>
  <si>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</si>
  <si>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</si>
  <si>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</si>
  <si>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</si>
  <si>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</si>
  <si>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</si>
  <si>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</si>
  <si>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</si>
  <si>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</si>
  <si>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</si>
  <si>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</si>
  <si>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</si>
  <si>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</si>
  <si>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</si>
  <si>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</si>
  <si>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</si>
  <si>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</si>
  <si>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</si>
  <si>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</si>
  <si>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</si>
  <si>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</si>
  <si>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</si>
  <si>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</si>
  <si>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</si>
  <si>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</si>
  <si>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</si>
  <si>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</si>
  <si>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</si>
  <si>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</si>
  <si>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</si>
  <si>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</si>
  <si>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</si>
  <si>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</si>
  <si>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</si>
  <si>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</si>
  <si>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</si>
  <si>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</si>
  <si>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</si>
  <si>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</si>
  <si>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</si>
  <si>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</si>
  <si>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</si>
  <si>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</si>
  <si>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</si>
  <si>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</si>
  <si>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</si>
  <si>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</si>
  <si>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</si>
  <si>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</si>
  <si>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</si>
  <si>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</si>
  <si>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</si>
  <si>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</si>
  <si>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</si>
  <si>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</si>
  <si>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</si>
  <si>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</si>
  <si>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</si>
  <si>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</si>
  <si>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</si>
  <si>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</si>
  <si>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</si>
  <si>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</si>
  <si>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</si>
  <si>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</si>
  <si>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</si>
  <si>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</si>
  <si>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</si>
  <si>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</si>
  <si>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</si>
  <si>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</si>
  <si>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</si>
  <si>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</si>
  <si>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</si>
  <si>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</si>
  <si>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</si>
  <si>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</si>
  <si>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</si>
  <si>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</si>
  <si>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</si>
  <si>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</si>
  <si>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</si>
  <si>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</si>
  <si>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</si>
  <si>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</si>
  <si>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</si>
  <si>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</si>
  <si>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</si>
  <si>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</si>
  <si>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</si>
  <si>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</si>
  <si>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</si>
  <si>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</si>
  <si>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</si>
  <si>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</si>
  <si>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</si>
  <si>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</si>
  <si>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</si>
  <si>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</si>
  <si>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</si>
  <si>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</si>
  <si>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</si>
  <si>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</si>
  <si>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</si>
  <si>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</si>
  <si>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</si>
  <si>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</si>
  <si>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</si>
  <si>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</si>
  <si>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</si>
  <si>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</si>
  <si>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</si>
  <si>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</si>
  <si>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</si>
  <si>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</si>
  <si>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</si>
  <si>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</si>
  <si>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</si>
  <si>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</si>
  <si>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</si>
  <si>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</si>
  <si>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</si>
  <si>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</si>
  <si>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</si>
  <si>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</si>
  <si>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</si>
  <si>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</si>
  <si>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</si>
  <si>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</si>
  <si>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</si>
  <si>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</si>
  <si>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</si>
  <si>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</si>
  <si>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</si>
  <si>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</si>
  <si>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</si>
  <si>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</si>
  <si>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</si>
  <si>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</si>
  <si>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</si>
  <si>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</si>
  <si>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</si>
  <si>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</si>
  <si>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</si>
  <si>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</si>
  <si>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</si>
  <si>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</si>
  <si>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</si>
  <si>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</si>
  <si>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</si>
  <si>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</si>
  <si>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</si>
  <si>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</si>
  <si>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</si>
  <si>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</si>
  <si>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</si>
  <si>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</si>
  <si>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</si>
  <si>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</si>
  <si>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</si>
  <si>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</si>
  <si>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</si>
  <si>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</si>
  <si>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</si>
  <si>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</si>
  <si>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</si>
  <si>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</si>
  <si>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</si>
  <si>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</si>
  <si>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</si>
  <si>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</si>
  <si>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</si>
  <si>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</si>
  <si>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</si>
  <si>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</si>
  <si>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</si>
  <si>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</si>
  <si>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</si>
  <si>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</si>
  <si>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</si>
  <si>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</si>
  <si>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</si>
  <si>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</si>
  <si>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</si>
  <si>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</si>
  <si>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</si>
  <si>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</si>
  <si>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</si>
  <si>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</si>
  <si>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</si>
  <si>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</si>
  <si>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</si>
  <si>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</si>
  <si>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</si>
  <si>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</si>
  <si>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</si>
  <si>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</si>
  <si>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</si>
  <si>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</si>
  <si>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</si>
  <si>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</si>
  <si>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</si>
  <si>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</si>
  <si>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</si>
  <si>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</si>
  <si>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</si>
  <si>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</si>
  <si>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</si>
  <si>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</si>
  <si>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</si>
  <si>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</si>
  <si>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</si>
  <si>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</si>
  <si>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</si>
  <si>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</si>
  <si>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</si>
  <si>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</si>
  <si>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</si>
  <si>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</si>
  <si>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</si>
  <si>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</si>
  <si>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</si>
  <si>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</si>
  <si>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</si>
  <si>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</si>
  <si>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</si>
  <si>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</si>
  <si>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</si>
  <si>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</si>
  <si>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</si>
  <si>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</si>
  <si>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</si>
  <si>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</si>
  <si>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</si>
  <si>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</si>
  <si>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</si>
  <si>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</si>
  <si>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</si>
  <si>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</si>
  <si>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</si>
  <si>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</si>
  <si>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</si>
  <si>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</si>
  <si>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</si>
  <si>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</si>
  <si>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</si>
  <si>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</si>
  <si>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</si>
  <si>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</si>
  <si>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</si>
  <si>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</si>
  <si>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</si>
  <si>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</si>
  <si>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</si>
  <si>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</si>
  <si>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</si>
  <si>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</si>
  <si>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</si>
  <si>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</si>
  <si>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</si>
  <si>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</si>
  <si>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</si>
  <si>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</si>
  <si>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</si>
  <si>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</si>
  <si>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</si>
  <si>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</si>
  <si>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</si>
  <si>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</si>
  <si>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</si>
  <si>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</si>
  <si>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</si>
  <si>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</si>
  <si>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</si>
  <si>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</si>
  <si>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</si>
  <si>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</si>
  <si>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</si>
  <si>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</si>
  <si>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</si>
  <si>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</si>
  <si>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</si>
  <si>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</si>
  <si>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</si>
  <si>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</si>
  <si>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</si>
  <si>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</si>
  <si>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</si>
  <si>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</si>
  <si>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</si>
  <si>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</si>
  <si>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</si>
  <si>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</si>
  <si>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</si>
  <si>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</si>
  <si>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</si>
  <si>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</si>
  <si>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</si>
  <si>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</si>
  <si>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</si>
  <si>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</si>
  <si>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</si>
  <si>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</si>
  <si>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</si>
  <si>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</si>
  <si>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</si>
  <si>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</si>
  <si>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</si>
  <si>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</si>
  <si>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</si>
  <si>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</si>
  <si>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</si>
  <si>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</si>
  <si>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</si>
  <si>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</si>
  <si>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</si>
  <si>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</si>
  <si>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</si>
  <si>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</si>
  <si>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</si>
  <si>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</si>
  <si>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</si>
  <si>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</si>
  <si>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</si>
  <si>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</si>
  <si>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</si>
  <si>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</si>
  <si>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</si>
  <si>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</si>
  <si>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</si>
  <si>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</si>
  <si>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</si>
  <si>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</si>
  <si>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</si>
  <si>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</si>
  <si>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</si>
  <si>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</si>
  <si>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</si>
  <si>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</si>
  <si>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</si>
  <si>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</si>
  <si>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</si>
  <si>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</si>
  <si>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</si>
  <si>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</si>
  <si>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</si>
  <si>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</si>
  <si>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</si>
  <si>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</si>
  <si>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</si>
  <si>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</si>
  <si>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</si>
  <si>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</si>
  <si>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</si>
  <si>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</si>
  <si>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</si>
  <si>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</si>
  <si>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</si>
  <si>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</si>
  <si>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</si>
  <si>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</si>
  <si>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</si>
  <si>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</si>
  <si>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</si>
  <si>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</si>
  <si>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</si>
  <si>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</si>
  <si>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</si>
  <si>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</si>
  <si>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</si>
  <si>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</si>
  <si>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</si>
  <si>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</si>
  <si>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</si>
  <si>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</si>
  <si>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</si>
  <si>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</si>
  <si>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</si>
  <si>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</si>
  <si>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</si>
  <si>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</si>
  <si>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</si>
  <si>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</si>
  <si>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</si>
  <si>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</si>
  <si>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</si>
  <si>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</si>
  <si>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</si>
  <si>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</si>
  <si>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</si>
  <si>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</si>
  <si>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</si>
  <si>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</si>
  <si>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</si>
  <si>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</si>
  <si>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</si>
  <si>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</si>
  <si>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</si>
  <si>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</si>
  <si>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</si>
  <si>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</si>
  <si>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</si>
  <si>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</si>
  <si>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</si>
  <si>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</si>
  <si>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</si>
  <si>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</si>
  <si>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</si>
  <si>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</si>
  <si>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</si>
  <si>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</si>
  <si>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</si>
  <si>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</si>
  <si>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</si>
  <si>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</si>
  <si>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</si>
  <si>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</si>
  <si>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</si>
  <si>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</si>
  <si>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</si>
  <si>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</si>
  <si>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</si>
  <si>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</si>
  <si>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</si>
  <si>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</si>
  <si>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</si>
  <si>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</si>
  <si>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</si>
  <si>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</si>
  <si>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</si>
  <si>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</si>
  <si>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</si>
  <si>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</si>
  <si>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</si>
  <si>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</si>
  <si>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</si>
  <si>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</si>
  <si>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</si>
  <si>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</si>
  <si>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</si>
  <si>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</si>
  <si>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</si>
  <si>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</si>
  <si>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</si>
  <si>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</si>
  <si>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</si>
  <si>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</si>
  <si>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</si>
  <si>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</si>
  <si>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</si>
  <si>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</si>
  <si>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</si>
  <si>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</si>
  <si>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</si>
  <si>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</si>
  <si>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</si>
  <si>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</si>
  <si>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</si>
  <si>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</si>
  <si>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</si>
  <si>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</si>
  <si>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</si>
  <si>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</si>
  <si>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</si>
  <si>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</si>
  <si>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</si>
  <si>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</si>
  <si>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</si>
  <si>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</si>
  <si>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</si>
  <si>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</si>
  <si>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</si>
  <si>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</si>
  <si>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</si>
  <si>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</si>
  <si>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</si>
  <si>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</si>
  <si>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</si>
  <si>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</si>
  <si>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</si>
  <si>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</si>
  <si>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</si>
  <si>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</si>
  <si>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</si>
  <si>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</si>
  <si>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</si>
  <si>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</si>
  <si>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</si>
  <si>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</si>
  <si>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</si>
  <si>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</si>
  <si>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</si>
  <si>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</si>
  <si>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</si>
  <si>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</si>
  <si>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</si>
  <si>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</si>
  <si>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</si>
  <si>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</si>
  <si>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</si>
  <si>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</si>
  <si>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</si>
  <si>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</si>
  <si>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</si>
  <si>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</si>
  <si>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</si>
  <si>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</si>
  <si>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</si>
  <si>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</si>
  <si>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</si>
  <si>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</si>
  <si>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</si>
  <si>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</si>
  <si>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</si>
  <si>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</si>
  <si>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</si>
  <si>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</si>
  <si>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</si>
  <si>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</si>
  <si>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</si>
  <si>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</si>
  <si>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</si>
  <si>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</si>
  <si>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</si>
  <si>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</si>
  <si>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</si>
  <si>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</si>
  <si>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</si>
  <si>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</si>
  <si>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</si>
  <si>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</si>
  <si>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</si>
  <si>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</si>
  <si>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</si>
  <si>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</si>
  <si>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</si>
  <si>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</si>
  <si>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</si>
  <si>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</si>
  <si>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</si>
  <si>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</si>
  <si>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</si>
  <si>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</si>
  <si>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</si>
  <si>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</si>
  <si>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</si>
  <si>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</si>
  <si>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</si>
  <si>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</si>
  <si>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</si>
  <si>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</si>
  <si>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</si>
  <si>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</si>
  <si>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</si>
  <si>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</si>
  <si>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</si>
  <si>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</si>
  <si>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</si>
  <si>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</si>
  <si>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</si>
  <si>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</si>
  <si>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</si>
  <si>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</si>
  <si>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</si>
  <si>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</si>
  <si>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</si>
  <si>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</si>
  <si>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</si>
  <si>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</si>
  <si>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</si>
  <si>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</si>
  <si>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</si>
  <si>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</si>
  <si>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</si>
  <si>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</si>
  <si>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</si>
  <si>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</si>
  <si>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</si>
  <si>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</si>
  <si>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</si>
  <si>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</si>
  <si>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</si>
  <si>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</si>
  <si>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</si>
  <si>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</si>
  <si>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</si>
  <si>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</si>
  <si>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</si>
  <si>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</si>
  <si>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</si>
  <si>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</si>
  <si>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</si>
  <si>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</si>
  <si>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</si>
  <si>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</si>
  <si>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</si>
  <si>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</si>
  <si>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</si>
  <si>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</si>
  <si>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</si>
  <si>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</si>
  <si>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</si>
  <si>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</si>
  <si>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</si>
  <si>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</si>
  <si>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</si>
  <si>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</si>
  <si>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</si>
  <si>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</si>
  <si>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</si>
  <si>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</si>
  <si>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</si>
  <si>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</si>
  <si>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</si>
  <si>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</si>
  <si>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</si>
  <si>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</si>
  <si>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</si>
  <si>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</si>
  <si>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</si>
  <si>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</si>
  <si>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</si>
  <si>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</si>
  <si>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</si>
  <si>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</si>
  <si>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</si>
  <si>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</si>
  <si>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</si>
  <si>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</si>
  <si>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</si>
  <si>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</si>
  <si>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</si>
  <si>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</si>
  <si>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</si>
  <si>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</si>
  <si>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</si>
  <si>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</si>
  <si>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</si>
  <si>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</si>
  <si>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</si>
  <si>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</si>
  <si>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</si>
  <si>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</si>
  <si>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</si>
  <si>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</si>
  <si>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</si>
  <si>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</si>
  <si>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</si>
  <si>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</si>
  <si>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</si>
  <si>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</si>
  <si>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</si>
  <si>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</si>
  <si>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</si>
  <si>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</si>
  <si>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</si>
  <si>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</si>
  <si>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</si>
  <si>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</si>
  <si>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</si>
  <si>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</si>
  <si>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</si>
  <si>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</si>
  <si>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</si>
  <si>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</si>
  <si>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</si>
  <si>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</si>
  <si>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</si>
  <si>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</si>
  <si>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</si>
  <si>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</si>
  <si>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</si>
  <si>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</si>
  <si>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</si>
  <si>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</si>
  <si>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</si>
  <si>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</si>
  <si>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</si>
  <si>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</si>
  <si>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</si>
  <si>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</si>
  <si>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</si>
  <si>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</si>
  <si>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</si>
  <si>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</si>
  <si>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</si>
  <si>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</si>
  <si>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</si>
  <si>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</si>
  <si>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</si>
  <si>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</si>
  <si>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</si>
  <si>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</si>
  <si>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</si>
  <si>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</si>
  <si>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</si>
  <si>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</si>
  <si>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</si>
  <si>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</si>
  <si>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</si>
  <si>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</si>
  <si>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</si>
  <si>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</si>
  <si>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</si>
  <si>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</si>
  <si>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</si>
  <si>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</si>
  <si>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</si>
  <si>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</si>
  <si>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</si>
  <si>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</si>
  <si>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</si>
  <si>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</si>
  <si>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</si>
  <si>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</si>
  <si>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</si>
  <si>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</si>
  <si>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</si>
  <si>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</si>
  <si>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</si>
  <si>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</si>
  <si>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</si>
  <si>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</si>
  <si>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</si>
  <si>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</si>
  <si>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</si>
  <si>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</si>
  <si>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</si>
  <si>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</si>
  <si>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</si>
  <si>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</si>
  <si>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</si>
  <si>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</si>
  <si>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</si>
  <si>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</si>
  <si>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</si>
  <si>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</si>
  <si>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</si>
  <si>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</si>
  <si>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</si>
  <si>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</si>
  <si>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</si>
  <si>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</si>
  <si>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</si>
  <si>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</si>
  <si>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</si>
  <si>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</si>
  <si>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</si>
  <si>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</si>
  <si>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</si>
  <si>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</si>
  <si>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</si>
  <si>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</si>
  <si>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</si>
  <si>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</si>
  <si>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</si>
  <si>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</si>
  <si>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</si>
  <si>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</si>
  <si>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</si>
  <si>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</si>
  <si>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</si>
  <si>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</si>
  <si>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</si>
  <si>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</si>
  <si>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</si>
  <si>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</si>
  <si>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</si>
  <si>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</si>
  <si>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</si>
  <si>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</si>
  <si>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</si>
  <si>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</si>
  <si>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</si>
  <si>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</si>
  <si>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</si>
  <si>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</si>
  <si>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</si>
  <si>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</si>
  <si>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</si>
  <si>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</si>
  <si>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</si>
  <si>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</si>
  <si>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</si>
  <si>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</si>
  <si>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</si>
  <si>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</si>
  <si>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</si>
  <si>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</si>
  <si>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</si>
  <si>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</si>
  <si>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</si>
  <si>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</si>
  <si>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</si>
  <si>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</si>
  <si>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</si>
  <si>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</si>
  <si>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</si>
  <si>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</si>
  <si>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</si>
  <si>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</si>
  <si>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</si>
  <si>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</si>
  <si>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</si>
  <si>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</si>
  <si>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</si>
  <si>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</si>
  <si>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</si>
  <si>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</si>
  <si>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</si>
  <si>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</si>
  <si>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</si>
  <si>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</si>
  <si>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</si>
  <si>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</si>
  <si>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</si>
  <si>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</si>
  <si>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</si>
  <si>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</si>
  <si>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</si>
  <si>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</si>
  <si>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</si>
  <si>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</si>
  <si>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</si>
  <si>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</si>
  <si>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</si>
  <si>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</si>
  <si>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</si>
  <si>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</si>
  <si>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</si>
  <si>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</si>
  <si>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</si>
  <si>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</si>
  <si>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</si>
  <si>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</si>
  <si>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</si>
  <si>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</si>
  <si>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</si>
  <si>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</si>
  <si>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</si>
  <si>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</si>
  <si>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</si>
  <si>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</si>
  <si>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</si>
  <si>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</si>
  <si>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</si>
  <si>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</si>
  <si>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</si>
  <si>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</si>
  <si>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</si>
  <si>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</si>
  <si>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</si>
  <si>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</si>
  <si>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</si>
  <si>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</si>
  <si>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</si>
  <si>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</si>
  <si>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</si>
  <si>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</si>
  <si>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</si>
  <si>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</si>
  <si>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</si>
  <si>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</si>
  <si>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</si>
  <si>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</si>
  <si>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</si>
  <si>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</si>
  <si>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</si>
  <si>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</si>
  <si>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</si>
  <si>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</si>
  <si>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</si>
  <si>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</si>
  <si>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</si>
  <si>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</si>
  <si>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</si>
  <si>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</si>
  <si>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</si>
  <si>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</si>
  <si>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</si>
  <si>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</si>
  <si>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</si>
  <si>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</si>
  <si>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</si>
  <si>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</si>
  <si>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</si>
  <si>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</si>
  <si>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</si>
  <si>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</si>
  <si>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</si>
  <si>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</si>
  <si>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</si>
  <si>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</si>
  <si>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</si>
  <si>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</si>
  <si>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</si>
  <si>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</si>
  <si>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</si>
  <si>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</si>
  <si>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</si>
  <si>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</si>
  <si>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</si>
  <si>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</si>
  <si>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</si>
  <si>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</si>
  <si>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</si>
  <si>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</si>
  <si>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</si>
  <si>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</si>
  <si>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</si>
  <si>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</si>
  <si>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</si>
  <si>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</si>
  <si>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</si>
  <si>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</si>
  <si>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</si>
  <si>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</si>
  <si>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</si>
  <si>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</si>
  <si>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</si>
  <si>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</si>
  <si>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</si>
  <si>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</si>
  <si>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</si>
  <si>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</si>
  <si>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</si>
  <si>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</si>
  <si>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</si>
  <si>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</si>
  <si>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</si>
  <si>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</si>
  <si>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</si>
  <si>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</si>
  <si>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</si>
  <si>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</si>
  <si>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</si>
  <si>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</si>
  <si>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</si>
  <si>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</si>
  <si>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</si>
  <si>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</si>
  <si>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</si>
  <si>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</si>
  <si>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</si>
  <si>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</si>
  <si>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</si>
  <si>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</si>
  <si>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</si>
  <si>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</si>
  <si>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</si>
  <si>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</si>
  <si>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</si>
  <si>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</si>
  <si>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</si>
  <si>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</si>
  <si>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</si>
  <si>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</si>
  <si>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</si>
  <si>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</si>
  <si>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</si>
  <si>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</si>
  <si>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</si>
  <si>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</si>
  <si>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</si>
  <si>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</si>
  <si>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</si>
  <si>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</si>
  <si>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</si>
  <si>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</si>
  <si>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</si>
  <si>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</si>
  <si>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</si>
  <si>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</si>
  <si>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</si>
  <si>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</si>
  <si>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</si>
  <si>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</si>
  <si>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</si>
  <si>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</si>
  <si>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</si>
  <si>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</si>
  <si>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</si>
  <si>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</si>
  <si>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</si>
  <si>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</si>
  <si>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</si>
  <si>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</si>
  <si>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</si>
  <si>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</si>
  <si>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</si>
  <si>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</si>
  <si>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</si>
  <si>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</si>
  <si>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</si>
  <si>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</si>
  <si>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</si>
  <si>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</si>
  <si>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</si>
  <si>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</si>
  <si>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</si>
  <si>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</si>
  <si>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</si>
  <si>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</si>
  <si>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</si>
  <si>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</si>
  <si>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</si>
  <si>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</si>
  <si>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</si>
  <si>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</si>
  <si>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</si>
  <si>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</si>
  <si>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</si>
  <si>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</si>
  <si>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</si>
  <si>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</si>
  <si>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</si>
  <si>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</si>
  <si>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</si>
  <si>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</si>
  <si>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</si>
  <si>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</si>
  <si>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</si>
  <si>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</si>
  <si>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</si>
  <si>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</si>
  <si>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</si>
  <si>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</si>
  <si>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</si>
  <si>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</si>
  <si>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</si>
  <si>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</si>
  <si>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</si>
  <si>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</si>
  <si>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</si>
  <si>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</si>
  <si>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</si>
  <si>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</si>
  <si>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</si>
  <si>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</si>
  <si>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</si>
  <si>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</si>
  <si>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</si>
  <si>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</si>
  <si>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</si>
  <si>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</si>
  <si>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</si>
  <si>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</si>
  <si>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</si>
  <si>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</si>
  <si>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</si>
  <si>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</si>
  <si>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</si>
  <si>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</si>
  <si>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</si>
  <si>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</si>
  <si>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</si>
  <si>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</si>
  <si>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</si>
  <si>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</si>
  <si>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</si>
  <si>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</si>
  <si>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</si>
  <si>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</si>
  <si>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</si>
  <si>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</si>
  <si>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</si>
  <si>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</si>
  <si>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</si>
  <si>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</si>
  <si>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</si>
  <si>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</si>
  <si>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</si>
  <si>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</si>
  <si>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</si>
  <si>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</si>
  <si>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</si>
  <si>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</si>
  <si>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</si>
  <si>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</si>
  <si>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</si>
  <si>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</si>
  <si>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</si>
  <si>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</si>
  <si>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</si>
  <si>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</si>
  <si>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</si>
  <si>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</si>
  <si>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</si>
  <si>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</si>
  <si>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</si>
  <si>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</si>
  <si>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</si>
  <si>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</si>
  <si>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</si>
  <si>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</si>
  <si>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</si>
  <si>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</si>
  <si>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</si>
  <si>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</si>
  <si>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</si>
  <si>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</si>
  <si>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</si>
  <si>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</si>
  <si>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</si>
  <si>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</si>
  <si>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</si>
  <si>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</si>
  <si>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</si>
  <si>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</si>
  <si>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</si>
  <si>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</si>
  <si>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</si>
  <si>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</si>
  <si>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</si>
  <si>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</si>
  <si>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</si>
  <si>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</si>
  <si>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</si>
  <si>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</si>
  <si>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</si>
  <si>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</si>
  <si>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</si>
  <si>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</si>
  <si>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</si>
  <si>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</si>
  <si>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</si>
  <si>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</si>
  <si>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</si>
  <si>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</si>
  <si>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</si>
  <si>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</si>
  <si>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</si>
  <si>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</si>
  <si>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</si>
  <si>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</si>
  <si>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</si>
  <si>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</si>
  <si>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</si>
  <si>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</si>
  <si>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</si>
  <si>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</si>
  <si>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</si>
  <si>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</si>
  <si>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</si>
  <si>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</si>
  <si>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</si>
  <si>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</si>
  <si>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</si>
  <si>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</si>
  <si>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</si>
  <si>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</si>
  <si>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</si>
  <si>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</si>
  <si>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</si>
  <si>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</si>
  <si>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</si>
  <si>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</si>
  <si>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</si>
  <si>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</si>
  <si>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</si>
  <si>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</si>
  <si>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</si>
  <si>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</si>
  <si>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</si>
  <si>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</si>
  <si>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</si>
  <si>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</si>
  <si>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</si>
  <si>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</si>
  <si>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</si>
  <si>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</si>
  <si>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</si>
  <si>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</si>
  <si>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</si>
  <si>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</si>
  <si>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</si>
  <si>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</si>
  <si>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</si>
  <si>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</si>
  <si>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</si>
  <si>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</si>
  <si>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</si>
  <si>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</si>
  <si>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</si>
  <si>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</si>
  <si>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</si>
  <si>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</si>
  <si>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</si>
  <si>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</si>
  <si>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</si>
  <si>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</si>
  <si>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</si>
  <si>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</si>
  <si>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</si>
  <si>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</si>
  <si>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</si>
  <si>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</si>
  <si>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</si>
  <si>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</si>
  <si>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</si>
  <si>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</si>
  <si>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</si>
  <si>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</si>
  <si>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</si>
  <si>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</si>
  <si>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</si>
  <si>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</si>
  <si>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</si>
  <si>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</si>
  <si>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</si>
  <si>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</si>
  <si>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</si>
  <si>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</si>
  <si>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</si>
  <si>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</si>
  <si>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</si>
  <si>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</si>
  <si>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</si>
  <si>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</si>
  <si>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</si>
  <si>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</si>
  <si>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</si>
  <si>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</si>
  <si>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</si>
  <si>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</si>
  <si>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</si>
  <si>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</si>
  <si>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</si>
  <si>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</si>
  <si>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</si>
  <si>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</si>
  <si>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</si>
  <si>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</si>
  <si>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</si>
  <si>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</si>
  <si>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</si>
  <si>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</si>
  <si>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</si>
  <si>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</si>
  <si>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</si>
  <si>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</si>
  <si>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</si>
  <si>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</si>
  <si>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</si>
  <si>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</si>
  <si>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</si>
  <si>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</si>
  <si>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</si>
  <si>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</si>
  <si>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</si>
  <si>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</si>
  <si>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</si>
  <si>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</si>
  <si>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</si>
  <si>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</si>
  <si>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</si>
  <si>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</si>
  <si>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</si>
  <si>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</si>
  <si>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</si>
  <si>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</si>
  <si>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</si>
  <si>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</si>
  <si>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</si>
  <si>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</si>
  <si>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</si>
  <si>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</si>
  <si>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</si>
  <si>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</si>
  <si>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</si>
  <si>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</si>
  <si>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</si>
  <si>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</si>
  <si>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</si>
  <si>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</si>
  <si>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</si>
  <si>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</si>
  <si>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</si>
  <si>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</si>
  <si>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</si>
  <si>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</si>
  <si>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</si>
  <si>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</si>
  <si>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</si>
  <si>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</si>
  <si>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</si>
  <si>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</si>
  <si>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</si>
  <si>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</si>
  <si>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</si>
  <si>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</si>
  <si>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</si>
  <si>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</si>
  <si>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</si>
  <si>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</si>
  <si>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</si>
  <si>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</si>
  <si>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</si>
  <si>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</si>
  <si>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</si>
  <si>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</si>
  <si>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</si>
  <si>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</si>
  <si>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</si>
  <si>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</si>
  <si>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</si>
  <si>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</si>
  <si>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</si>
  <si>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</si>
  <si>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</si>
  <si>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</si>
  <si>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</si>
  <si>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</si>
  <si>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</si>
  <si>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</si>
  <si>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</si>
  <si>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</si>
  <si>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</si>
  <si>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</si>
  <si>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</si>
  <si>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</si>
  <si>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</si>
  <si>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</si>
  <si>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</si>
  <si>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</si>
  <si>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</si>
  <si>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</si>
  <si>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</si>
  <si>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</si>
  <si>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</si>
  <si>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</si>
  <si>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</si>
  <si>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</si>
  <si>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</si>
  <si>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</si>
  <si>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</si>
  <si>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</si>
  <si>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</si>
  <si>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</si>
  <si>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</si>
  <si>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</si>
  <si>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</si>
  <si>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</si>
  <si>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</si>
  <si>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</si>
  <si>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</si>
  <si>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</si>
  <si>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</si>
  <si>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</si>
  <si>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</si>
  <si>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</si>
  <si>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</si>
  <si>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</si>
  <si>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</si>
  <si>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</si>
  <si>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</si>
  <si>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</si>
  <si>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</si>
  <si>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</si>
  <si>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</si>
  <si>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</si>
  <si>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</si>
  <si>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</si>
  <si>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</si>
  <si>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</si>
  <si>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</si>
  <si>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</si>
  <si>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</si>
  <si>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</si>
  <si>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</si>
  <si>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</si>
  <si>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</si>
  <si>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</si>
  <si>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</si>
  <si>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</si>
  <si>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</si>
  <si>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</si>
  <si>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</si>
  <si>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</si>
  <si>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</si>
  <si>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</si>
  <si>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</si>
  <si>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</si>
  <si>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</si>
  <si>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</si>
  <si>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</si>
  <si>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</si>
  <si>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</si>
  <si>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</si>
  <si>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</si>
  <si>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</si>
  <si>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</si>
  <si>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</si>
  <si>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</si>
  <si>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</si>
  <si>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</si>
  <si>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</si>
  <si>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</si>
  <si>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</si>
  <si>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</si>
  <si>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</si>
  <si>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</si>
  <si>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</si>
  <si>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</si>
  <si>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</si>
  <si>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</si>
  <si>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</si>
  <si>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</si>
  <si>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</si>
  <si>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</si>
  <si>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</si>
  <si>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</si>
  <si>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</si>
  <si>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</si>
  <si>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</si>
  <si>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</si>
  <si>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</si>
  <si>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</si>
  <si>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</si>
  <si>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</si>
  <si>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</si>
  <si>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</si>
  <si>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</si>
  <si>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</si>
  <si>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</si>
  <si>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</si>
  <si>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</si>
  <si>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</si>
  <si>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</si>
  <si>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</si>
  <si>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</si>
  <si>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</si>
  <si>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</si>
  <si>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</si>
  <si>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</si>
  <si>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</si>
  <si>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</si>
  <si>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</si>
  <si>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</si>
  <si>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</si>
  <si>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</si>
  <si>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</si>
  <si>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</si>
  <si>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</si>
  <si>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</si>
  <si>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</si>
  <si>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</si>
  <si>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</si>
  <si>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</si>
  <si>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</si>
  <si>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</si>
  <si>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</si>
  <si>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</si>
  <si>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</si>
  <si>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</si>
  <si>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</si>
  <si>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</si>
  <si>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</si>
  <si>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</si>
  <si>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</si>
  <si>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</si>
  <si>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</si>
  <si>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</si>
  <si>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</si>
  <si>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</si>
  <si>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</si>
  <si>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</si>
  <si>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</si>
  <si>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</si>
  <si>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</si>
  <si>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</si>
  <si>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</si>
  <si>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</si>
  <si>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</si>
  <si>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</si>
  <si>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</si>
  <si>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</si>
  <si>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</si>
  <si>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</si>
  <si>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</si>
  <si>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</si>
  <si>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</si>
  <si>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</si>
  <si>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</si>
  <si>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</si>
  <si>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</si>
  <si>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</si>
  <si>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</si>
  <si>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</si>
  <si>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</si>
  <si>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</si>
  <si>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</si>
  <si>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</si>
  <si>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</si>
  <si>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</si>
  <si>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</si>
  <si>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</si>
  <si>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</si>
  <si>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</si>
  <si>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</si>
  <si>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</si>
  <si>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</si>
  <si>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</si>
  <si>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</si>
  <si>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</si>
  <si>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</si>
  <si>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</si>
  <si>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</si>
  <si>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</si>
  <si>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</si>
  <si>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</si>
  <si>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</si>
  <si>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</si>
  <si>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</si>
  <si>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</si>
  <si>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</si>
  <si>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</si>
  <si>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</si>
  <si>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</si>
  <si>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</si>
  <si>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</si>
  <si>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</si>
  <si>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</si>
  <si>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</si>
  <si>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</si>
  <si>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</si>
  <si>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</si>
  <si>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</si>
  <si>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</si>
  <si>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</si>
  <si>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</si>
  <si>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</si>
  <si>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</si>
  <si>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</si>
  <si>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</si>
  <si>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</si>
  <si>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</si>
  <si>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</si>
  <si>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</si>
  <si>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</si>
  <si>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</si>
  <si>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</si>
  <si>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</si>
  <si>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</si>
  <si>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</si>
  <si>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</si>
  <si>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</si>
  <si>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</si>
  <si>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</si>
  <si>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</si>
  <si>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</si>
  <si>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</si>
  <si>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</si>
  <si>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</si>
  <si>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</si>
  <si>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</si>
  <si>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</si>
  <si>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</si>
  <si>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</si>
  <si>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</si>
  <si>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</si>
  <si>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</si>
  <si>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</si>
  <si>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</si>
  <si>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</si>
  <si>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</si>
  <si>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</si>
  <si>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</si>
  <si>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</si>
  <si>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</si>
  <si>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</si>
  <si>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</si>
  <si>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</si>
  <si>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</si>
  <si>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</si>
  <si>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</si>
  <si>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</si>
  <si>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</si>
  <si>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</si>
  <si>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</si>
  <si>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</si>
  <si>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</si>
  <si>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</si>
  <si>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</si>
  <si>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</si>
  <si>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</si>
  <si>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</si>
  <si>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</si>
  <si>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</si>
  <si>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</si>
  <si>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</si>
  <si>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</si>
  <si>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</si>
  <si>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</si>
  <si>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</si>
  <si>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</si>
  <si>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</si>
  <si>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</si>
  <si>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</si>
  <si>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</si>
  <si>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</si>
  <si>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</si>
  <si>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</si>
  <si>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</si>
  <si>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</si>
  <si>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</si>
  <si>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</si>
  <si>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</si>
  <si>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</si>
  <si>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</si>
  <si>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</si>
  <si>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</si>
  <si>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</si>
  <si>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</si>
  <si>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</si>
  <si>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</si>
  <si>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</si>
  <si>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</si>
  <si>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</si>
  <si>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</si>
  <si>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</si>
  <si>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</si>
  <si>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</si>
  <si>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</si>
  <si>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</si>
  <si>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</si>
  <si>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</si>
  <si>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</si>
  <si>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</si>
  <si>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</si>
  <si>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</si>
  <si>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</si>
  <si>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</si>
  <si>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</si>
  <si>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</si>
  <si>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</si>
  <si>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</si>
  <si>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</si>
  <si>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</si>
  <si>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</si>
  <si>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</si>
  <si>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</si>
  <si>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</si>
  <si>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</si>
  <si>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</si>
  <si>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</si>
  <si>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</si>
  <si>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</si>
  <si>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</si>
  <si>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</si>
  <si>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</si>
  <si>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</si>
  <si>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</si>
  <si>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</si>
  <si>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</si>
  <si>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</si>
  <si>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</si>
  <si>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</si>
  <si>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</si>
  <si>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</si>
  <si>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</si>
  <si>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</si>
  <si>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</si>
  <si>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</si>
  <si>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</si>
  <si>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</si>
  <si>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</si>
  <si>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</si>
  <si>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</si>
  <si>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</si>
  <si>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</si>
  <si>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</si>
  <si>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</si>
  <si>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</si>
  <si>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</si>
  <si>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</si>
  <si>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</si>
  <si>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</si>
  <si>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</si>
  <si>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</si>
  <si>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</si>
  <si>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</si>
  <si>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</si>
  <si>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</si>
  <si>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</si>
  <si>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</si>
  <si>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</si>
  <si>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</si>
  <si>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</si>
  <si>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</si>
  <si>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</si>
  <si>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</si>
  <si>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</si>
  <si>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</si>
  <si>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</si>
  <si>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</si>
  <si>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</si>
  <si>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</si>
  <si>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</si>
  <si>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</si>
  <si>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</si>
  <si>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</si>
  <si>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</si>
  <si>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</si>
  <si>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</si>
  <si>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</si>
  <si>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</si>
  <si>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</si>
  <si>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</si>
  <si>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</si>
  <si>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</si>
  <si>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</si>
  <si>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</si>
  <si>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</si>
  <si>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</si>
  <si>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</si>
  <si>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</si>
  <si>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</si>
  <si>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</si>
  <si>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</si>
  <si>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</si>
  <si>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</si>
  <si>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</si>
  <si>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</si>
  <si>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</si>
  <si>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</si>
  <si>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</si>
  <si>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</si>
  <si>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</si>
  <si>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</si>
  <si>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</si>
  <si>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</si>
  <si>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</si>
  <si>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</si>
  <si>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</si>
  <si>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</si>
  <si>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</si>
  <si>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</si>
  <si>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</si>
  <si>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</si>
  <si>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</si>
  <si>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</si>
  <si>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</si>
  <si>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</si>
  <si>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</si>
  <si>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</si>
  <si>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</si>
  <si>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</si>
  <si>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</si>
  <si>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</si>
  <si>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</si>
  <si>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</si>
  <si>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</si>
  <si>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</si>
  <si>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</si>
  <si>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</si>
  <si>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</si>
  <si>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</si>
  <si>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</si>
  <si>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</si>
  <si>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</si>
  <si>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</si>
  <si>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</si>
  <si>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</si>
  <si>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</si>
  <si>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</si>
  <si>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</si>
  <si>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</si>
  <si>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</si>
  <si>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</si>
  <si>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</si>
  <si>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</si>
  <si>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</si>
  <si>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</si>
  <si>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</si>
  <si>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</si>
  <si>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</si>
  <si>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</si>
  <si>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</si>
  <si>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</si>
  <si>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</si>
  <si>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</si>
  <si>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</si>
  <si>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</si>
  <si>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</si>
  <si>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</si>
  <si>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</si>
  <si>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</si>
  <si>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</si>
  <si>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</si>
  <si>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</si>
  <si>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</si>
  <si>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</si>
  <si>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</si>
  <si>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</si>
  <si>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</si>
  <si>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</si>
  <si>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</si>
  <si>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</si>
  <si>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</si>
  <si>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</si>
  <si>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</si>
  <si>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</si>
  <si>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</si>
  <si>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</si>
  <si>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</si>
  <si>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</si>
  <si>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</si>
  <si>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</si>
  <si>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</si>
  <si>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</si>
  <si>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</si>
  <si>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</si>
  <si>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</si>
  <si>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</si>
  <si>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</si>
  <si>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</si>
  <si>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</si>
  <si>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</si>
  <si>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</si>
  <si>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</si>
  <si>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</si>
  <si>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</si>
  <si>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</si>
  <si>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</si>
  <si>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</si>
  <si>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</si>
  <si>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</si>
  <si>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</si>
  <si>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</si>
  <si>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</si>
  <si>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</si>
  <si>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</si>
  <si>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</si>
  <si>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</si>
  <si>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</si>
  <si>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</si>
  <si>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</si>
  <si>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</si>
  <si>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</si>
  <si>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</si>
  <si>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</si>
  <si>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</si>
  <si>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</si>
  <si>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</si>
  <si>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</si>
  <si>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</si>
  <si>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</si>
  <si>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</si>
  <si>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</si>
  <si>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</si>
  <si>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</si>
  <si>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</si>
  <si>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</si>
  <si>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</si>
  <si>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</si>
  <si>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</si>
  <si>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</si>
  <si>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</si>
  <si>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</si>
  <si>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</si>
  <si>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</si>
  <si>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</si>
  <si>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</si>
  <si>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</si>
  <si>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</si>
  <si>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</si>
  <si>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</si>
  <si>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</si>
  <si>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</si>
  <si>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</si>
  <si>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</si>
  <si>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</si>
  <si>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</si>
  <si>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</si>
  <si>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</si>
  <si>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</si>
  <si>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</si>
  <si>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</si>
  <si>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</si>
  <si>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</si>
  <si>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</si>
  <si>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</si>
  <si>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</si>
  <si>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</si>
  <si>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</si>
  <si>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</si>
  <si>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</si>
  <si>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</si>
  <si>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</si>
  <si>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</si>
  <si>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</si>
  <si>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</si>
  <si>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</si>
  <si>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</si>
  <si>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</si>
  <si>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</si>
  <si>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</si>
  <si>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</si>
  <si>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</si>
  <si>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</si>
  <si>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</si>
  <si>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</si>
  <si>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</si>
  <si>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</si>
  <si>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</si>
  <si>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</si>
  <si>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</si>
  <si>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</si>
  <si>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</si>
  <si>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</si>
  <si>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</si>
  <si>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</si>
  <si>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</si>
  <si>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</si>
  <si>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</si>
  <si>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</si>
  <si>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</si>
  <si>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</si>
  <si>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</si>
  <si>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</si>
  <si>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</si>
  <si>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</si>
  <si>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</si>
  <si>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</si>
  <si>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</si>
  <si>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</si>
  <si>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</si>
  <si>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</si>
  <si>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</si>
  <si>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</si>
  <si>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</si>
  <si>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</si>
  <si>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</si>
  <si>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</si>
  <si>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</si>
  <si>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</si>
  <si>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</si>
  <si>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</si>
  <si>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</si>
  <si>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</si>
  <si>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</si>
  <si>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</si>
  <si>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</si>
  <si>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</si>
  <si>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</si>
  <si>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</si>
  <si>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</si>
  <si>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</si>
  <si>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</si>
  <si>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</si>
  <si>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</si>
  <si>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</si>
  <si>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</si>
  <si>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</si>
  <si>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</si>
  <si>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</si>
  <si>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</si>
  <si>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</si>
  <si>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</si>
  <si>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</si>
  <si>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</si>
  <si>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</si>
  <si>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</si>
  <si>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</si>
  <si>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</si>
  <si>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</si>
  <si>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</si>
  <si>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</si>
  <si>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</si>
  <si>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</si>
  <si>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</si>
  <si>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</si>
  <si>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</si>
  <si>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</si>
  <si>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</si>
  <si>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</si>
  <si>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</si>
  <si>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</si>
  <si>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</si>
  <si>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</si>
  <si>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</si>
  <si>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</si>
  <si>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</si>
  <si>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</si>
  <si>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</si>
  <si>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</si>
  <si>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</si>
  <si>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</si>
  <si>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</si>
  <si>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</si>
  <si>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</si>
  <si>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</si>
  <si>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</si>
  <si>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</si>
  <si>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</si>
  <si>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</si>
  <si>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</si>
  <si>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</si>
  <si>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</si>
  <si>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</si>
  <si>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</si>
  <si>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</si>
  <si>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</si>
  <si>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</si>
  <si>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</si>
  <si>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</si>
  <si>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</si>
  <si>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</si>
  <si>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</si>
  <si>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</si>
  <si>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</si>
  <si>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</si>
  <si>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</si>
  <si>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</si>
  <si>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</si>
  <si>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</si>
  <si>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</si>
  <si>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</si>
  <si>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</si>
  <si>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</si>
  <si>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</si>
  <si>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</si>
  <si>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</si>
  <si>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</si>
  <si>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</si>
  <si>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</si>
  <si>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</si>
  <si>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</si>
  <si>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</si>
  <si>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</si>
  <si>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</si>
  <si>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</si>
  <si>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</si>
  <si>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</si>
  <si>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</si>
  <si>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</si>
  <si>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</si>
  <si>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</si>
  <si>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</si>
  <si>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</si>
  <si>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</si>
  <si>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</si>
  <si>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</si>
  <si>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</si>
  <si>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</si>
  <si>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</si>
  <si>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</si>
  <si>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</si>
  <si>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</si>
  <si>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</si>
  <si>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</si>
  <si>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</si>
  <si>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</si>
  <si>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</si>
  <si>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</si>
  <si>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</si>
  <si>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</si>
  <si>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</si>
  <si>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</si>
  <si>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</si>
  <si>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</si>
  <si>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</si>
  <si>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</si>
  <si>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</si>
  <si>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</si>
  <si>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</si>
  <si>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</si>
  <si>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</si>
  <si>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</si>
  <si>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</si>
  <si>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</si>
  <si>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</si>
  <si>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</si>
  <si>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</si>
  <si>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</si>
  <si>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</si>
  <si>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</si>
  <si>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</si>
  <si>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</si>
  <si>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</si>
  <si>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</si>
  <si>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</si>
  <si>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</si>
  <si>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</si>
  <si>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</si>
  <si>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</si>
  <si>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</si>
  <si>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</si>
  <si>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</si>
  <si>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</si>
  <si>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</si>
  <si>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</si>
  <si>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</si>
  <si>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</si>
  <si>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</si>
  <si>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</si>
  <si>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</si>
  <si>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</si>
  <si>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</si>
  <si>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</si>
  <si>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</si>
  <si>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</si>
  <si>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</si>
  <si>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</si>
  <si>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</si>
  <si>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</si>
  <si>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</si>
  <si>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</si>
  <si>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</si>
  <si>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</si>
  <si>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</si>
  <si>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</si>
  <si>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</si>
  <si>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</si>
  <si>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</si>
  <si>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</si>
  <si>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</si>
  <si>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</si>
  <si>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</si>
  <si>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</si>
  <si>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</si>
  <si>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</si>
  <si>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</si>
  <si>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</si>
  <si>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</si>
  <si>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</si>
  <si>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</si>
  <si>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</si>
  <si>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</si>
  <si>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</si>
  <si>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</si>
  <si>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</si>
  <si>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</si>
  <si>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</si>
  <si>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</si>
  <si>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</si>
  <si>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</si>
  <si>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</si>
  <si>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</si>
  <si>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</si>
  <si>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</si>
  <si>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</si>
  <si>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</si>
  <si>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</si>
  <si>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</si>
  <si>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</si>
  <si>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</si>
  <si>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</si>
  <si>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</si>
  <si>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</si>
  <si>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</si>
  <si>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</si>
  <si>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</si>
  <si>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</si>
  <si>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</si>
  <si>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</si>
  <si>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</si>
  <si>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</si>
  <si>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</si>
  <si>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</si>
  <si>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</si>
  <si>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</si>
  <si>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</si>
  <si>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</si>
  <si>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</si>
  <si>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</si>
  <si>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</si>
  <si>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</si>
  <si>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</si>
  <si>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</si>
  <si>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</si>
  <si>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</si>
  <si>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</si>
  <si>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</si>
  <si>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</si>
  <si>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</si>
  <si>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</si>
  <si>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</si>
  <si>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</si>
  <si>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</si>
  <si>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</si>
  <si>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</si>
  <si>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</si>
  <si>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</si>
  <si>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</si>
  <si>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</si>
  <si>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</si>
  <si>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</si>
  <si>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</si>
  <si>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</si>
  <si>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</si>
  <si>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</si>
  <si>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</si>
  <si>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</si>
  <si>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</si>
  <si>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</si>
  <si>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</si>
  <si>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</si>
  <si>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</si>
  <si>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</si>
  <si>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</si>
  <si>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</si>
  <si>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</si>
  <si>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</si>
  <si>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</si>
  <si>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</si>
  <si>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</si>
  <si>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</si>
  <si>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</si>
  <si>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</si>
  <si>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</si>
  <si>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</si>
  <si>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</si>
  <si>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</si>
  <si>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</si>
  <si>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</si>
  <si>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</si>
  <si>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</si>
  <si>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</si>
  <si>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</si>
  <si>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</si>
  <si>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</si>
  <si>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</si>
  <si>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</si>
  <si>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</si>
  <si>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</si>
  <si>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</si>
  <si>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</si>
  <si>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</si>
  <si>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</si>
  <si>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</si>
  <si>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</si>
  <si>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</si>
  <si>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</si>
  <si>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</si>
  <si>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</si>
  <si>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</si>
  <si>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</si>
  <si>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</si>
  <si>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</si>
  <si>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</si>
  <si>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</si>
  <si>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</si>
  <si>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</si>
  <si>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</si>
  <si>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</si>
  <si>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</si>
  <si>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</si>
  <si>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</si>
  <si>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</si>
  <si>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</si>
  <si>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</si>
  <si>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</si>
  <si>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</si>
  <si>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</si>
  <si>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</si>
  <si>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</si>
  <si>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</si>
  <si>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</si>
  <si>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</si>
  <si>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</si>
  <si>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</si>
  <si>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</si>
  <si>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</si>
  <si>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</si>
  <si>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</si>
  <si>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</si>
  <si>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</si>
  <si>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</si>
  <si>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</si>
  <si>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</si>
  <si>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</si>
  <si>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</si>
  <si>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</si>
  <si>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</si>
  <si>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</si>
  <si>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</si>
  <si>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</si>
  <si>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</si>
  <si>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</si>
  <si>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</si>
  <si>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</si>
  <si>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</si>
  <si>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</si>
  <si>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</si>
  <si>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</si>
  <si>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</si>
  <si>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</si>
  <si>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</si>
  <si>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</si>
  <si>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</si>
  <si>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</si>
  <si>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</si>
  <si>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</si>
  <si>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</si>
  <si>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</si>
  <si>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</si>
  <si>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</si>
  <si>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</si>
  <si>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</si>
  <si>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</si>
  <si>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</si>
  <si>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</si>
  <si>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</si>
  <si>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</si>
  <si>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</si>
  <si>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</si>
  <si>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</si>
  <si>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</si>
  <si>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</si>
  <si>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</si>
  <si>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</si>
  <si>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</si>
  <si>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</si>
  <si>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</si>
  <si>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</si>
  <si>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</si>
  <si>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</si>
  <si>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</si>
  <si>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</si>
  <si>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</si>
  <si>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</si>
  <si>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</si>
  <si>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</si>
  <si>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</si>
  <si>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</si>
  <si>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</si>
  <si>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</si>
  <si>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</si>
  <si>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</si>
  <si>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</si>
  <si>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</si>
  <si>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</si>
  <si>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</si>
  <si>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</si>
  <si>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</si>
  <si>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</si>
  <si>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</si>
  <si>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</si>
  <si>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</si>
  <si>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</si>
  <si>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</si>
  <si>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</si>
  <si>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</si>
  <si>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</si>
  <si>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</si>
  <si>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</si>
  <si>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</si>
  <si>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</si>
  <si>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</si>
  <si>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</si>
  <si>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</si>
  <si>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</si>
  <si>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</si>
  <si>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</si>
  <si>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</si>
  <si>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</si>
  <si>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</si>
  <si>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</si>
  <si>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</si>
  <si>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</si>
  <si>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</si>
  <si>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</si>
  <si>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</si>
  <si>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</si>
  <si>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</si>
  <si>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</si>
  <si>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</si>
  <si>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</si>
  <si>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</si>
  <si>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</si>
  <si>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</si>
  <si>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</si>
  <si>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</si>
  <si>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</si>
  <si>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</si>
  <si>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</si>
  <si>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</si>
  <si>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</si>
  <si>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</si>
  <si>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</si>
  <si>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</si>
  <si>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</si>
  <si>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</si>
  <si>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</si>
  <si>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</si>
  <si>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</si>
  <si>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</si>
  <si>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</si>
  <si>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</si>
  <si>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</si>
  <si>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</si>
  <si>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</si>
  <si>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</si>
  <si>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</si>
  <si>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</si>
  <si>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</si>
  <si>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</si>
  <si>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</si>
  <si>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</si>
  <si>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</si>
  <si>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</si>
  <si>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</si>
  <si>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</si>
  <si>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</si>
  <si>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</si>
  <si>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</si>
  <si>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</si>
  <si>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</si>
  <si>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</si>
  <si>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</si>
  <si>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</si>
  <si>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</si>
  <si>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</si>
  <si>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</si>
  <si>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</si>
  <si>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</si>
  <si>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</si>
  <si>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</si>
  <si>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</si>
  <si>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</si>
  <si>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</si>
  <si>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</si>
  <si>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</si>
  <si>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</si>
  <si>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</si>
  <si>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</si>
  <si>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</si>
  <si>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</si>
  <si>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</si>
  <si>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</si>
  <si>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</si>
  <si>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</si>
  <si>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</si>
  <si>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</si>
  <si>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</si>
  <si>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</si>
  <si>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</si>
  <si>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</si>
  <si>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</si>
  <si>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</si>
  <si>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</si>
  <si>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</si>
  <si>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</si>
  <si>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</si>
  <si>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</si>
  <si>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</si>
  <si>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</si>
  <si>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</si>
  <si>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</si>
  <si>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</si>
  <si>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</si>
  <si>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</si>
  <si>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</si>
  <si>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</si>
  <si>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</si>
  <si>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</si>
  <si>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</si>
  <si>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</si>
  <si>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</si>
  <si>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</si>
  <si>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</si>
  <si>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</si>
  <si>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</si>
  <si>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</si>
  <si>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</si>
  <si>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</si>
  <si>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</si>
  <si>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</si>
  <si>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</si>
  <si>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</si>
  <si>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</si>
  <si>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</si>
  <si>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</si>
  <si>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</si>
  <si>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</si>
  <si>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</si>
  <si>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</si>
  <si>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</si>
  <si>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</si>
  <si>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</si>
  <si>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</si>
  <si>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</si>
  <si>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</si>
  <si>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</si>
  <si>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</si>
  <si>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</si>
  <si>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</si>
  <si>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</si>
  <si>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</si>
  <si>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</si>
  <si>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</si>
  <si>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</si>
  <si>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</si>
  <si>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</si>
  <si>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</si>
  <si>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</si>
  <si>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</si>
  <si>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</si>
  <si>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</si>
  <si>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</si>
  <si>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</si>
  <si>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</si>
  <si>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</si>
  <si>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</si>
  <si>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</si>
  <si>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</si>
  <si>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</si>
  <si>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</si>
  <si>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</si>
  <si>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</si>
  <si>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</si>
  <si>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</si>
  <si>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</si>
  <si>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</si>
  <si>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</si>
  <si>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</si>
  <si>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</si>
  <si>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</si>
  <si>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</si>
  <si>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</si>
  <si>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</si>
  <si>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</si>
  <si>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</si>
  <si>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</si>
  <si>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</si>
  <si>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</si>
  <si>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</si>
  <si>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</si>
  <si>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</si>
  <si>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</si>
  <si>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</si>
  <si>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</si>
  <si>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</si>
  <si>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</si>
  <si>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</si>
  <si>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</si>
  <si>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</si>
  <si>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</si>
  <si>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</si>
  <si>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</si>
  <si>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</si>
  <si>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</si>
  <si>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</si>
  <si>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</si>
  <si>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</si>
  <si>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</si>
  <si>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</si>
  <si>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</si>
  <si>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</si>
  <si>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</si>
  <si>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</si>
  <si>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</si>
  <si>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</si>
  <si>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</si>
  <si>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</si>
  <si>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</si>
  <si>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</si>
  <si>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</si>
  <si>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</si>
  <si>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</si>
  <si>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</si>
  <si>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</si>
  <si>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</si>
  <si>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</si>
  <si>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</si>
  <si>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</si>
  <si>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</si>
  <si>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</si>
  <si>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</si>
  <si>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</si>
  <si>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</si>
  <si>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</si>
  <si>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</si>
  <si>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</si>
  <si>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</si>
  <si>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</si>
  <si>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</si>
  <si>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</si>
  <si>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</si>
  <si>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</si>
  <si>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</si>
  <si>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</si>
  <si>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</si>
  <si>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</si>
  <si>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</si>
  <si>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</si>
  <si>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</si>
  <si>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</si>
  <si>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</si>
  <si>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</si>
  <si>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</si>
  <si>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</si>
  <si>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</si>
  <si>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</si>
  <si>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</si>
  <si>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</si>
  <si>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</si>
  <si>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</si>
  <si>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</si>
  <si>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</si>
  <si>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</si>
  <si>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</si>
  <si>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</si>
  <si>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</si>
  <si>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</si>
  <si>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</si>
  <si>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</si>
  <si>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</si>
  <si>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</si>
  <si>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</si>
  <si>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</si>
  <si>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</si>
  <si>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</si>
  <si>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</si>
  <si>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</si>
  <si>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</si>
  <si>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</si>
  <si>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</si>
  <si>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</si>
  <si>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</si>
  <si>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</si>
  <si>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</si>
  <si>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</si>
  <si>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</si>
  <si>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</si>
  <si>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</si>
  <si>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</si>
  <si>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</si>
  <si>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</si>
  <si>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</si>
  <si>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</si>
  <si>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</si>
  <si>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</si>
  <si>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</si>
  <si>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</si>
  <si>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</si>
  <si>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</si>
  <si>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</si>
  <si>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</si>
  <si>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</si>
  <si>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</si>
  <si>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</si>
  <si>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</si>
  <si>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</si>
  <si>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</si>
  <si>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</si>
  <si>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</si>
  <si>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</si>
  <si>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</si>
  <si>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</si>
  <si>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</si>
  <si>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</si>
  <si>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</si>
  <si>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</si>
  <si>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</si>
  <si>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</si>
  <si>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</si>
  <si>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</si>
  <si>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</si>
  <si>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</si>
  <si>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</si>
  <si>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</si>
  <si>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</si>
  <si>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</si>
  <si>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</si>
  <si>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</si>
  <si>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</si>
  <si>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</si>
  <si>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</si>
  <si>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</si>
  <si>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</si>
  <si>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</si>
  <si>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</si>
  <si>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</si>
  <si>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</si>
  <si>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</si>
  <si>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</si>
  <si>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</si>
  <si>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</si>
  <si>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</si>
  <si>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</si>
  <si>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</si>
  <si>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</si>
  <si>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</si>
  <si>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</si>
  <si>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</si>
  <si>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</si>
  <si>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</si>
  <si>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</si>
  <si>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</si>
  <si>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</si>
  <si>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</si>
  <si>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</si>
  <si>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</si>
  <si>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</si>
  <si>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</si>
  <si>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</si>
  <si>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</si>
  <si>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</si>
  <si>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</si>
  <si>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</si>
  <si>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</si>
  <si>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</si>
  <si>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</si>
  <si>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</si>
  <si>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</si>
  <si>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</si>
  <si>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</si>
  <si>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</si>
  <si>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</si>
  <si>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</si>
  <si>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</si>
  <si>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</si>
  <si>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</si>
  <si>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</si>
  <si>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</si>
  <si>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</si>
  <si>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</si>
  <si>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</si>
  <si>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</si>
  <si>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</si>
  <si>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</si>
  <si>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</si>
  <si>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</si>
  <si>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</si>
  <si>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</si>
  <si>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</si>
  <si>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</si>
  <si>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</si>
  <si>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</si>
  <si>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</si>
  <si>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</si>
  <si>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</si>
  <si>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</si>
  <si>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</si>
  <si>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</si>
  <si>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</si>
  <si>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</si>
  <si>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</si>
  <si>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</si>
  <si>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</si>
  <si>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</si>
  <si>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</si>
  <si>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</si>
  <si>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</si>
  <si>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</si>
  <si>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</si>
  <si>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</si>
  <si>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</si>
  <si>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</si>
  <si>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</si>
  <si>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</si>
  <si>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</si>
  <si>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</si>
  <si>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</si>
  <si>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</si>
  <si>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</si>
  <si>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</si>
  <si>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</si>
  <si>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</si>
  <si>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</si>
  <si>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</si>
  <si>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</si>
  <si>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</si>
  <si>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</si>
  <si>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</si>
  <si>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</si>
  <si>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</si>
  <si>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</si>
  <si>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</si>
  <si>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</si>
  <si>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</si>
  <si>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</si>
  <si>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</si>
  <si>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</si>
  <si>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</si>
  <si>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</si>
  <si>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</si>
  <si>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</si>
  <si>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</si>
  <si>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</si>
  <si>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</si>
  <si>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</si>
  <si>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</si>
  <si>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</si>
  <si>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</si>
  <si>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</si>
  <si>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</si>
  <si>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</si>
  <si>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</si>
  <si>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</si>
  <si>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</si>
  <si>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</si>
  <si>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</si>
  <si>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</si>
  <si>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</si>
  <si>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</si>
  <si>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</si>
  <si>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</si>
  <si>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</si>
  <si>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</si>
  <si>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</si>
  <si>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</si>
  <si>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</si>
  <si>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</si>
  <si>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</si>
  <si>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</si>
  <si>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</si>
  <si>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</si>
  <si>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</si>
  <si>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</si>
  <si>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</si>
  <si>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</si>
  <si>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</si>
  <si>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</si>
  <si>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</si>
  <si>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</si>
  <si>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</si>
  <si>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</si>
  <si>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</si>
  <si>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</si>
  <si>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</si>
  <si>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</si>
  <si>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</si>
  <si>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</si>
  <si>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</si>
  <si>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</si>
  <si>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</si>
  <si>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</si>
  <si>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</si>
  <si>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</si>
  <si>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</si>
  <si>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</si>
  <si>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</si>
  <si>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</si>
  <si>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</si>
  <si>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</si>
  <si>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</si>
  <si>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</si>
  <si>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</si>
  <si>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</si>
  <si>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</si>
  <si>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</si>
  <si>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</si>
  <si>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</si>
  <si>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</si>
  <si>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</si>
  <si>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</si>
  <si>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</si>
  <si>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</si>
  <si>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</si>
  <si>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</si>
  <si>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</si>
  <si>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</si>
  <si>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</si>
  <si>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</si>
  <si>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</si>
  <si>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</si>
  <si>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</si>
  <si>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</si>
  <si>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</si>
  <si>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</si>
  <si>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</si>
  <si>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</si>
  <si>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</si>
  <si>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</si>
  <si>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</si>
  <si>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</si>
  <si>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</si>
  <si>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</si>
  <si>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</si>
  <si>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</si>
  <si>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</si>
  <si>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</si>
  <si>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</si>
  <si>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</si>
  <si>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</si>
  <si>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</si>
  <si>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</si>
  <si>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</si>
  <si>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</si>
  <si>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</si>
  <si>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</si>
  <si>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</si>
  <si>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</si>
  <si>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</si>
  <si>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</si>
  <si>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</si>
  <si>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</si>
  <si>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</si>
  <si>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</si>
  <si>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</si>
  <si>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</si>
  <si>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</si>
  <si>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</si>
  <si>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</si>
  <si>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</si>
  <si>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</si>
  <si>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</si>
  <si>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</si>
  <si>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</si>
  <si>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</si>
  <si>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</si>
  <si>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</si>
  <si>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</si>
  <si>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</si>
  <si>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</si>
  <si>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</si>
  <si>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</si>
  <si>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</si>
  <si>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</si>
  <si>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</si>
  <si>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</si>
  <si>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</si>
  <si>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</si>
  <si>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</si>
  <si>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</si>
  <si>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</si>
  <si>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</si>
  <si>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</si>
  <si>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</si>
  <si>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</si>
  <si>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</si>
  <si>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</si>
  <si>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</si>
  <si>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</si>
  <si>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</si>
  <si>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</si>
  <si>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</si>
  <si>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</si>
  <si>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</si>
  <si>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</si>
  <si>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</si>
  <si>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</si>
  <si>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</si>
  <si>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</si>
  <si>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</si>
  <si>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</si>
  <si>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</si>
  <si>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</si>
  <si>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</si>
  <si>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</si>
  <si>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</si>
  <si>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</si>
  <si>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</si>
  <si>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</si>
  <si>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</si>
  <si>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</si>
  <si>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</si>
  <si>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</si>
  <si>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</si>
  <si>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</si>
  <si>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</si>
  <si>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</si>
  <si>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</si>
  <si>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</si>
  <si>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</si>
  <si>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</si>
  <si>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</si>
  <si>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</si>
  <si>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</si>
  <si>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</si>
  <si>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</si>
  <si>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</si>
  <si>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</si>
  <si>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</si>
  <si>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</si>
  <si>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</si>
  <si>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</si>
  <si>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</si>
  <si>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</si>
  <si>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</si>
  <si>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</si>
  <si>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</si>
  <si>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</si>
  <si>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</si>
  <si>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</si>
  <si>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</si>
  <si>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</si>
  <si>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</si>
  <si>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</si>
  <si>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</si>
  <si>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</si>
  <si>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</si>
  <si>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</si>
  <si>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</si>
  <si>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</si>
  <si>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</si>
  <si>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</si>
  <si>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</si>
  <si>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</si>
  <si>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</si>
  <si>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</si>
  <si>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</si>
  <si>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</si>
  <si>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</si>
  <si>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</si>
  <si>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</si>
  <si>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</si>
  <si>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</si>
  <si>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</si>
  <si>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</si>
  <si>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</si>
  <si>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</si>
  <si>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</si>
  <si>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</si>
  <si>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</si>
  <si>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</si>
  <si>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</si>
  <si>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</si>
  <si>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</si>
  <si>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</si>
  <si>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</si>
  <si>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</si>
  <si>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</si>
  <si>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</si>
  <si>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</si>
  <si>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</si>
  <si>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</si>
  <si>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</si>
  <si>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</si>
  <si>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</si>
  <si>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</si>
  <si>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</si>
  <si>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</si>
  <si>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</si>
  <si>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</si>
  <si>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</si>
  <si>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</si>
  <si>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</si>
  <si>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</si>
  <si>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</si>
  <si>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</si>
  <si>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</si>
  <si>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</si>
  <si>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</si>
  <si>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</si>
  <si>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</si>
  <si>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</si>
  <si>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</si>
  <si>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</si>
  <si>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</si>
  <si>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</si>
  <si>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</si>
  <si>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</si>
  <si>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</si>
  <si>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</si>
  <si>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</si>
  <si>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</si>
  <si>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</si>
  <si>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</si>
  <si>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</si>
  <si>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</si>
  <si>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</si>
  <si>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</si>
  <si>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</si>
  <si>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</si>
  <si>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</si>
  <si>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</si>
  <si>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</si>
  <si>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</si>
  <si>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</si>
  <si>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</si>
  <si>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</si>
  <si>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</si>
  <si>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</si>
  <si>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</si>
  <si>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</si>
  <si>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</si>
  <si>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</si>
  <si>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</si>
  <si>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</si>
  <si>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</si>
  <si>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</si>
  <si>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</si>
  <si>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</si>
  <si>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</si>
  <si>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</si>
  <si>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</si>
  <si>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</si>
  <si>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</si>
  <si>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</si>
  <si>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</si>
  <si>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</si>
  <si>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</si>
  <si>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</si>
  <si>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</si>
  <si>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</si>
  <si>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</si>
  <si>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</si>
  <si>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</si>
  <si>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</si>
  <si>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</si>
  <si>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</si>
  <si>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</si>
  <si>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</si>
  <si>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</si>
  <si>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</si>
  <si>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</si>
  <si>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</si>
  <si>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</si>
  <si>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</si>
  <si>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</si>
  <si>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</si>
  <si>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</si>
  <si>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</si>
  <si>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</si>
  <si>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</si>
  <si>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</si>
  <si>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</si>
  <si>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</si>
  <si>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</si>
  <si>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</si>
  <si>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</si>
  <si>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</si>
  <si>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</si>
  <si>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</si>
  <si>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</si>
  <si>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</si>
  <si>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</si>
  <si>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</si>
  <si>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</si>
  <si>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</si>
  <si>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</si>
  <si>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</si>
  <si>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</si>
  <si>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</si>
  <si>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</si>
  <si>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</si>
  <si>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</si>
  <si>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</si>
  <si>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</si>
  <si>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</si>
  <si>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</si>
  <si>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</si>
  <si>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</si>
  <si>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</si>
  <si>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</si>
  <si>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</si>
  <si>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</si>
  <si>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</si>
  <si>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</si>
  <si>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</si>
  <si>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</si>
  <si>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</si>
  <si>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</si>
  <si>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</si>
  <si>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</si>
  <si>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</si>
  <si>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</si>
  <si>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</si>
  <si>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</si>
  <si>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</si>
  <si>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</si>
  <si>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</si>
  <si>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</si>
  <si>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</si>
  <si>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</si>
  <si>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</si>
  <si>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</si>
  <si>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</si>
  <si>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</si>
  <si>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</si>
  <si>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</si>
  <si>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</si>
  <si>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</si>
  <si>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</si>
  <si>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</si>
  <si>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</si>
  <si>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</si>
  <si>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</si>
  <si>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</si>
  <si>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</si>
  <si>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</si>
  <si>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</si>
  <si>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</si>
  <si>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</si>
  <si>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</si>
  <si>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</si>
  <si>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</si>
  <si>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</si>
  <si>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</si>
  <si>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</si>
  <si>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</si>
  <si>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</si>
  <si>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</si>
  <si>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</si>
  <si>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</si>
  <si>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</si>
  <si>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</si>
  <si>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</si>
  <si>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</si>
  <si>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</si>
  <si>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</si>
  <si>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</si>
  <si>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</si>
  <si>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</si>
  <si>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</si>
  <si>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</si>
  <si>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</si>
  <si>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</si>
  <si>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</si>
  <si>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</si>
  <si>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</si>
  <si>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</si>
  <si>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</si>
  <si>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</si>
  <si>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</si>
  <si>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</si>
  <si>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</si>
  <si>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</si>
  <si>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</si>
  <si>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</si>
  <si>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</si>
  <si>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</si>
  <si>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</si>
  <si>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</si>
  <si>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</si>
  <si>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</si>
  <si>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</si>
  <si>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</si>
  <si>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</si>
  <si>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</si>
  <si>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</si>
  <si>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</si>
  <si>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</si>
  <si>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</si>
  <si>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</si>
  <si>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</si>
  <si>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</si>
  <si>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</si>
  <si>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</si>
  <si>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</si>
  <si>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</si>
  <si>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</si>
  <si>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</si>
  <si>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</si>
  <si>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</si>
  <si>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</si>
  <si>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</si>
  <si>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</si>
  <si>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</si>
  <si>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</si>
  <si>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</si>
  <si>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</si>
  <si>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</si>
  <si>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</si>
  <si>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</si>
  <si>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</si>
  <si>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</si>
  <si>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</si>
  <si>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</si>
  <si>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</si>
  <si>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</si>
  <si>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</si>
  <si>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</si>
  <si>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</si>
  <si>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</si>
  <si>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</si>
  <si>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</si>
  <si>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</si>
  <si>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</si>
  <si>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</si>
  <si>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</si>
  <si>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</si>
  <si>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</si>
  <si>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</si>
  <si>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</si>
  <si>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</si>
  <si>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</si>
  <si>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</si>
  <si>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</si>
  <si>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</si>
  <si>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</si>
  <si>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</si>
  <si>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</si>
  <si>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</si>
  <si>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</si>
  <si>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</si>
  <si>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</si>
  <si>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</si>
  <si>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</si>
  <si>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</si>
  <si>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</si>
  <si>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</si>
  <si>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</si>
  <si>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</si>
  <si>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</si>
  <si>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</si>
  <si>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</si>
  <si>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</si>
  <si>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</si>
  <si>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</si>
  <si>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</si>
  <si>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</si>
  <si>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</si>
  <si>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</si>
  <si>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</si>
  <si>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</si>
  <si>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</si>
  <si>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</si>
  <si>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</si>
  <si>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</si>
  <si>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</si>
  <si>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</si>
  <si>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</si>
  <si>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</si>
  <si>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</si>
  <si>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</si>
  <si>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</si>
  <si>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</si>
  <si>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</si>
  <si>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</si>
  <si>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</si>
  <si>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</si>
  <si>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</si>
  <si>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</si>
  <si>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</si>
  <si>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</si>
  <si>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</si>
  <si>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</si>
  <si>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</si>
  <si>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</si>
  <si>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</si>
  <si>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</si>
  <si>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</si>
  <si>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</si>
  <si>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</si>
  <si>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</si>
  <si>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</si>
  <si>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</si>
  <si>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</si>
  <si>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</si>
  <si>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</si>
  <si>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</si>
  <si>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</si>
  <si>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</si>
  <si>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</si>
  <si>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</si>
  <si>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</si>
  <si>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</si>
  <si>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</si>
  <si>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</si>
  <si>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</si>
  <si>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</si>
  <si>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</si>
  <si>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</si>
  <si>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</si>
  <si>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</si>
  <si>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</si>
  <si>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</si>
  <si>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</si>
  <si>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</si>
  <si>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</si>
  <si>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</si>
  <si>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</si>
  <si>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</si>
  <si>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</si>
  <si>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</si>
  <si>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</si>
  <si>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</si>
  <si>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</si>
  <si>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</si>
  <si>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</si>
  <si>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</si>
  <si>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</si>
  <si>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</si>
  <si>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</si>
  <si>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</si>
  <si>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</si>
  <si>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</si>
  <si>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</si>
  <si>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</si>
  <si>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</si>
  <si>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</si>
  <si>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</si>
  <si>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</si>
  <si>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</si>
  <si>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</si>
  <si>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</si>
  <si>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</si>
  <si>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</si>
  <si>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</si>
  <si>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</si>
  <si>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</si>
  <si>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</si>
  <si>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</si>
  <si>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</si>
  <si>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</si>
  <si>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</si>
  <si>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</si>
  <si>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</si>
  <si>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</si>
  <si>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</si>
  <si>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</si>
  <si>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</si>
  <si>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</si>
  <si>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</si>
  <si>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</si>
  <si>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</si>
  <si>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</si>
  <si>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</si>
  <si>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</si>
  <si>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</si>
  <si>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</si>
  <si>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</si>
  <si>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</si>
  <si>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</si>
  <si>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</si>
  <si>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</si>
  <si>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</si>
  <si>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</si>
  <si>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</si>
  <si>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</si>
  <si>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</si>
  <si>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</si>
  <si>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</si>
  <si>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</si>
  <si>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</si>
  <si>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</si>
  <si>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</si>
  <si>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</si>
  <si>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</si>
  <si>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</si>
  <si>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</si>
  <si>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</si>
  <si>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</si>
  <si>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</si>
  <si>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</si>
  <si>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</si>
  <si>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</si>
  <si>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</si>
  <si>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</si>
  <si>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</si>
  <si>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</si>
  <si>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</si>
  <si>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</si>
  <si>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</si>
  <si>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</si>
  <si>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</si>
  <si>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</si>
  <si>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</si>
  <si>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</si>
  <si>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</si>
  <si>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</si>
  <si>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</si>
  <si>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</si>
  <si>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</si>
  <si>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</si>
  <si>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</si>
  <si>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</si>
  <si>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</si>
  <si>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</si>
  <si>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</si>
  <si>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</si>
  <si>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</si>
  <si>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</si>
  <si>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</si>
  <si>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</si>
  <si>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</si>
  <si>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</si>
  <si>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</si>
  <si>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</si>
  <si>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</si>
  <si>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</si>
  <si>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</si>
  <si>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</si>
  <si>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</si>
  <si>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</si>
  <si>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</si>
  <si>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</si>
  <si>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</si>
  <si>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</si>
  <si>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</si>
  <si>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</si>
  <si>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</si>
  <si>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</si>
  <si>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</si>
  <si>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</si>
  <si>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</si>
  <si>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</si>
  <si>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</si>
  <si>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</si>
  <si>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</si>
  <si>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</si>
  <si>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</si>
  <si>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</si>
  <si>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</si>
  <si>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</si>
  <si>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</si>
  <si>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</si>
  <si>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</si>
  <si>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</si>
  <si>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</si>
  <si>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</si>
  <si>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</si>
  <si>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</si>
  <si>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</si>
  <si>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</si>
  <si>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</si>
  <si>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</si>
  <si>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</si>
  <si>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</si>
  <si>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</si>
  <si>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</si>
  <si>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</si>
  <si>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</si>
  <si>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</si>
  <si>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</si>
  <si>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</si>
  <si>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</si>
  <si>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</si>
  <si>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</si>
  <si>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</si>
  <si>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</si>
  <si>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</si>
  <si>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</si>
  <si>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</si>
  <si>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</si>
  <si>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</si>
  <si>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</si>
  <si>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</si>
  <si>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</si>
  <si>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</si>
  <si>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</si>
  <si>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</si>
  <si>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</si>
  <si>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</si>
  <si>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</si>
  <si>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</si>
  <si>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</si>
  <si>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</si>
  <si>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</si>
  <si>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</si>
  <si>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</si>
  <si>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</si>
  <si>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</si>
  <si>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</si>
  <si>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</si>
  <si>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</si>
  <si>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</si>
  <si>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</si>
  <si>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</si>
  <si>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</si>
  <si>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</si>
  <si>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</si>
  <si>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</si>
  <si>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</si>
  <si>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</si>
  <si>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</si>
  <si>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</si>
  <si>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</si>
  <si>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</si>
  <si>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</si>
  <si>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</si>
  <si>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</si>
  <si>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</si>
  <si>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</si>
  <si>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</si>
  <si>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</si>
  <si>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</si>
  <si>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</si>
  <si>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</si>
  <si>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</si>
  <si>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</si>
  <si>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</si>
  <si>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</si>
  <si>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</si>
  <si>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</si>
  <si>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</si>
  <si>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</si>
  <si>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</si>
  <si>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</si>
  <si>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</si>
  <si>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</si>
  <si>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</si>
  <si>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</si>
  <si>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</si>
  <si>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</si>
  <si>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</si>
  <si>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</si>
  <si>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</si>
  <si>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</si>
  <si>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</si>
  <si>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</si>
  <si>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</si>
  <si>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</si>
  <si>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</si>
  <si>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</si>
  <si>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</si>
  <si>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</si>
  <si>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</si>
  <si>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</si>
  <si>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</si>
  <si>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</si>
  <si>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</si>
  <si>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</si>
  <si>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</si>
  <si>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</si>
  <si>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</si>
  <si>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</si>
  <si>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</si>
  <si>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</si>
  <si>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</si>
  <si>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</si>
  <si>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</si>
  <si>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</si>
  <si>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</si>
  <si>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</si>
  <si>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</si>
  <si>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</si>
  <si>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</si>
  <si>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</si>
  <si>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</si>
  <si>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</si>
  <si>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</si>
  <si>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</si>
  <si>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</si>
  <si>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</si>
  <si>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</si>
  <si>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</si>
  <si>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</si>
  <si>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</si>
  <si>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</si>
  <si>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</si>
  <si>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</si>
  <si>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</si>
  <si>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</si>
  <si>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</si>
  <si>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</si>
  <si>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</si>
  <si>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</si>
  <si>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</si>
  <si>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</si>
  <si>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</si>
  <si>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</si>
  <si>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</si>
  <si>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</si>
  <si>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</si>
  <si>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</si>
  <si>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</si>
  <si>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</si>
  <si>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</si>
  <si>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</si>
  <si>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</si>
  <si>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</si>
  <si>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</si>
  <si>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</si>
  <si>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</si>
  <si>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</si>
  <si>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</si>
  <si>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</si>
  <si>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</si>
  <si>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</si>
  <si>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</si>
  <si>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</si>
  <si>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</si>
  <si>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</si>
  <si>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</si>
  <si>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</si>
  <si>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</si>
  <si>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</si>
  <si>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</si>
  <si>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</si>
  <si>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</si>
  <si>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</si>
  <si>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</si>
  <si>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</si>
  <si>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</si>
  <si>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</si>
  <si>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</si>
  <si>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</si>
  <si>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</si>
  <si>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</si>
  <si>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</si>
  <si>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</si>
  <si>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</si>
  <si>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</si>
  <si>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</si>
  <si>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</si>
  <si>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</si>
  <si>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</si>
  <si>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</si>
  <si>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</si>
  <si>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</si>
  <si>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</si>
  <si>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</si>
  <si>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</si>
  <si>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</si>
  <si>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</si>
  <si>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</si>
  <si>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</si>
  <si>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</si>
  <si>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</si>
  <si>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</si>
  <si>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</si>
  <si>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</si>
  <si>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</si>
  <si>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</si>
  <si>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</si>
  <si>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</si>
  <si>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</si>
  <si>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</si>
  <si>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</si>
  <si>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</si>
  <si>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</si>
  <si>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</si>
  <si>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</si>
  <si>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</si>
  <si>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</si>
  <si>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</si>
  <si>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</si>
  <si>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</si>
  <si>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</si>
  <si>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</si>
  <si>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</si>
  <si>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</si>
  <si>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</si>
  <si>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</si>
  <si>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</si>
  <si>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</si>
  <si>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</si>
  <si>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</si>
  <si>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</si>
  <si>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</si>
  <si>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</si>
  <si>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</si>
  <si>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</si>
  <si>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</si>
  <si>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</si>
  <si>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</si>
  <si>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</si>
  <si>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</si>
  <si>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</si>
  <si>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</si>
  <si>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</si>
  <si>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</si>
  <si>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</si>
  <si>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</si>
  <si>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</si>
  <si>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</si>
  <si>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</si>
  <si>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</si>
  <si>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</si>
  <si>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</si>
  <si>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</si>
  <si>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</si>
  <si>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</si>
  <si>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</si>
  <si>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</si>
  <si>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</si>
  <si>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</si>
  <si>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</si>
  <si>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</si>
  <si>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</si>
  <si>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</si>
  <si>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</si>
  <si>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</si>
  <si>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</si>
  <si>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</si>
  <si>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</si>
  <si>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</si>
  <si>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</si>
  <si>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</si>
  <si>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</si>
  <si>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</si>
  <si>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</si>
  <si>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</si>
  <si>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</si>
  <si>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</si>
  <si>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</si>
  <si>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</si>
  <si>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</si>
  <si>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</si>
  <si>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</si>
  <si>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</si>
  <si>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</si>
  <si>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</si>
  <si>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</si>
  <si>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</si>
  <si>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</si>
  <si>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</si>
  <si>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</si>
  <si>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</si>
  <si>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</si>
  <si>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</si>
  <si>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</si>
  <si>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</si>
  <si>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</si>
  <si>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</si>
  <si>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</si>
  <si>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</si>
  <si>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</si>
  <si>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</si>
  <si>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</si>
  <si>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</si>
  <si>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</si>
  <si>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</si>
  <si>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</si>
  <si>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</si>
  <si>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</si>
  <si>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</si>
  <si>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</si>
  <si>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</si>
  <si>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</si>
  <si>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</si>
  <si>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</si>
  <si>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</si>
  <si>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</si>
  <si>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</si>
  <si>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</si>
  <si>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</si>
  <si>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</si>
  <si>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</si>
  <si>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</si>
  <si>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</si>
  <si>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</si>
  <si>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</si>
  <si>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</si>
  <si>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</si>
  <si>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</si>
  <si>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</si>
  <si>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</si>
  <si>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</si>
  <si>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</si>
  <si>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</si>
  <si>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</si>
  <si>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</si>
  <si>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</si>
  <si>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</si>
  <si>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</si>
  <si>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</si>
  <si>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</si>
  <si>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</si>
  <si>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</si>
  <si>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</si>
  <si>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</si>
  <si>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</si>
  <si>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</si>
  <si>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</si>
  <si>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</si>
  <si>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</si>
  <si>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</si>
  <si>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</si>
  <si>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</si>
  <si>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</si>
  <si>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</si>
  <si>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</si>
  <si>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</si>
  <si>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</si>
  <si>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</si>
  <si>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</si>
  <si>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</si>
  <si>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</si>
  <si>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</si>
  <si>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</si>
  <si>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</si>
  <si>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</si>
  <si>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</si>
  <si>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</si>
  <si>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</si>
  <si>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</si>
  <si>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</si>
  <si>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</si>
  <si>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</si>
  <si>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</si>
  <si>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</si>
  <si>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</si>
  <si>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</si>
  <si>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</si>
  <si>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</si>
  <si>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</si>
  <si>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</si>
  <si>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</si>
  <si>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</si>
  <si>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</si>
  <si>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</si>
  <si>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</si>
  <si>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</si>
  <si>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</si>
  <si>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</si>
  <si>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</si>
  <si>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</si>
  <si>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</si>
  <si>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</si>
  <si>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</si>
  <si>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</si>
  <si>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</si>
  <si>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</si>
  <si>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</si>
  <si>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</si>
  <si>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</si>
  <si>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</si>
  <si>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</si>
  <si>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</si>
  <si>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</si>
  <si>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</si>
  <si>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</si>
  <si>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</si>
  <si>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</si>
  <si>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</si>
  <si>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</si>
  <si>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</si>
  <si>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</si>
  <si>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</si>
  <si>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</si>
  <si>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</si>
  <si>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</si>
  <si>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</si>
  <si>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</si>
  <si>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</si>
  <si>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</si>
  <si>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</si>
  <si>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</si>
  <si>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</si>
  <si>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</si>
  <si>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</si>
  <si>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</si>
  <si>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</si>
  <si>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</si>
  <si>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</si>
  <si>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</si>
  <si>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</si>
  <si>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</si>
  <si>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</si>
  <si>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</si>
  <si>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</si>
  <si>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</si>
  <si>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</si>
  <si>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</si>
  <si>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</si>
  <si>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</si>
  <si>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</si>
  <si>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</si>
  <si>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</si>
  <si>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</si>
  <si>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</si>
  <si>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</si>
  <si>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</si>
  <si>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</si>
  <si>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</si>
  <si>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</si>
  <si>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</si>
  <si>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</si>
  <si>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</si>
  <si>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</si>
  <si>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</si>
  <si>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</si>
  <si>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</si>
  <si>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</si>
  <si>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</si>
  <si>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</si>
  <si>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</si>
  <si>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</si>
  <si>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</si>
  <si>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</si>
  <si>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</si>
  <si>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</si>
  <si>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</si>
  <si>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</si>
  <si>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</si>
  <si>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</si>
  <si>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</si>
  <si>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</si>
  <si>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</si>
  <si>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</si>
  <si>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</si>
  <si>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</si>
  <si>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</si>
  <si>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</si>
  <si>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</si>
  <si>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</si>
  <si>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</si>
  <si>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</si>
  <si>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</si>
  <si>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</si>
  <si>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</si>
  <si>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</si>
  <si>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</si>
  <si>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</si>
  <si>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</si>
  <si>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</si>
  <si>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</si>
  <si>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</si>
  <si>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</si>
  <si>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</si>
  <si>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</si>
  <si>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</si>
  <si>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</si>
  <si>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</si>
  <si>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</si>
  <si>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</si>
  <si>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</si>
  <si>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</si>
  <si>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</si>
  <si>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</si>
  <si>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</si>
  <si>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</si>
  <si>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</si>
  <si>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</si>
  <si>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</si>
  <si>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</si>
  <si>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</si>
  <si>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</si>
  <si>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</si>
  <si>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</si>
  <si>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</si>
  <si>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</si>
  <si>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</si>
  <si>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</si>
  <si>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</si>
  <si>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</si>
  <si>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</si>
  <si>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</si>
  <si>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</si>
  <si>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</si>
  <si>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</si>
  <si>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</si>
  <si>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</si>
  <si>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</si>
  <si>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</si>
  <si>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</si>
  <si>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</si>
  <si>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</si>
  <si>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</si>
  <si>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</si>
  <si>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</si>
  <si>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</si>
  <si>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</si>
  <si>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</si>
  <si>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</si>
  <si>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</si>
  <si>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</si>
  <si>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</si>
  <si>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</si>
  <si>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</si>
  <si>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</si>
  <si>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</si>
  <si>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</si>
  <si>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</si>
  <si>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</si>
  <si>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</si>
  <si>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</si>
  <si>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</si>
  <si>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</si>
  <si>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</si>
  <si>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</si>
  <si>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</si>
  <si>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</si>
  <si>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</si>
  <si>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</si>
  <si>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</si>
  <si>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</si>
  <si>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</si>
  <si>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</si>
  <si>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</si>
  <si>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</si>
  <si>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</si>
  <si>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</si>
  <si>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</si>
  <si>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</si>
  <si>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</si>
  <si>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</si>
  <si>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</si>
  <si>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</si>
  <si>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</si>
  <si>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</si>
  <si>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</si>
  <si>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</si>
  <si>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</si>
  <si>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</si>
  <si>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</si>
  <si>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</si>
  <si>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</si>
  <si>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</si>
  <si>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</si>
  <si>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</si>
  <si>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</si>
  <si>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</si>
  <si>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</si>
  <si>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</si>
  <si>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</si>
  <si>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</si>
  <si>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</si>
  <si>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</si>
  <si>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</si>
  <si>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</si>
  <si>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</si>
  <si>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</si>
  <si>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</si>
  <si>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</si>
  <si>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</si>
  <si>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</si>
  <si>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</si>
  <si>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</si>
  <si>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</si>
  <si>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</si>
  <si>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</si>
  <si>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</si>
  <si>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</si>
  <si>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</si>
  <si>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</si>
  <si>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</si>
  <si>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</si>
  <si>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</si>
  <si>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</si>
  <si>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</si>
  <si>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</si>
  <si>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</si>
  <si>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</si>
  <si>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</si>
  <si>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</si>
  <si>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</si>
  <si>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</si>
  <si>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</si>
  <si>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</si>
  <si>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</si>
  <si>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</si>
  <si>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</si>
  <si>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</si>
  <si>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</si>
  <si>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</si>
  <si>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</si>
  <si>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</si>
  <si>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</si>
  <si>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</si>
  <si>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</si>
  <si>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</si>
  <si>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</si>
  <si>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</si>
  <si>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</si>
  <si>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</si>
  <si>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</si>
  <si>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</si>
  <si>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</si>
  <si>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</si>
  <si>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</si>
  <si>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</si>
  <si>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</si>
  <si>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</si>
  <si>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</si>
  <si>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</si>
  <si>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</si>
  <si>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</si>
  <si>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</si>
  <si>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</si>
  <si>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</si>
  <si>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</si>
  <si>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</si>
  <si>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</si>
  <si>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</si>
  <si>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</si>
  <si>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</si>
  <si>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</si>
  <si>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</si>
  <si>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</si>
  <si>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</si>
  <si>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</si>
  <si>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</si>
  <si>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</si>
  <si>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</si>
  <si>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</si>
  <si>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</si>
  <si>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</si>
  <si>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</si>
  <si>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</si>
  <si>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</si>
  <si>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</si>
  <si>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</si>
  <si>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</si>
  <si>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</si>
  <si>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</si>
  <si>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</si>
  <si>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</si>
  <si>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</si>
  <si>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</si>
  <si>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</si>
  <si>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</si>
  <si>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</si>
  <si>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</si>
  <si>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</si>
  <si>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</si>
  <si>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</si>
  <si>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</si>
  <si>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</si>
  <si>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</si>
  <si>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</si>
  <si>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</si>
  <si>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</si>
  <si>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</si>
  <si>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</si>
  <si>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</si>
  <si>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</si>
  <si>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</si>
  <si>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</si>
  <si>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</si>
  <si>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</si>
  <si>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</si>
  <si>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</si>
  <si>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</si>
  <si>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</si>
  <si>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</si>
  <si>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</si>
  <si>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</si>
  <si>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</si>
  <si>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</si>
  <si>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</si>
  <si>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</si>
  <si>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</si>
  <si>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</si>
  <si>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</si>
  <si>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</si>
  <si>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</si>
  <si>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</si>
  <si>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</si>
  <si>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</si>
  <si>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</si>
  <si>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</si>
  <si>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</si>
  <si>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</si>
  <si>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</si>
  <si>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</si>
  <si>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</si>
  <si>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</si>
  <si>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</si>
  <si>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</si>
  <si>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</si>
  <si>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</si>
  <si>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</si>
  <si>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</si>
  <si>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</si>
  <si>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</si>
  <si>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</si>
  <si>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</si>
  <si>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</si>
  <si>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</si>
  <si>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</si>
  <si>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</si>
  <si>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</si>
  <si>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</si>
  <si>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</si>
  <si>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</si>
  <si>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</si>
  <si>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</si>
  <si>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</si>
  <si>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</si>
  <si>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</si>
  <si>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</si>
  <si>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</si>
  <si>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</si>
  <si>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</si>
  <si>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</si>
  <si>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</si>
  <si>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</si>
  <si>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</si>
  <si>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</si>
  <si>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</si>
  <si>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</si>
  <si>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</si>
  <si>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</si>
  <si>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</si>
  <si>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</si>
  <si>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</si>
  <si>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</si>
  <si>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</si>
  <si>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</si>
  <si>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</si>
  <si>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</si>
  <si>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</si>
  <si>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</si>
  <si>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</si>
  <si>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</si>
  <si>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</si>
  <si>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</si>
  <si>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</si>
  <si>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</si>
  <si>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</si>
  <si>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</si>
  <si>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</si>
  <si>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</si>
  <si>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</si>
  <si>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</si>
  <si>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</si>
  <si>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</si>
  <si>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</si>
  <si>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</si>
  <si>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</si>
  <si>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</si>
  <si>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</si>
  <si>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</si>
  <si>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</si>
  <si>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</si>
  <si>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</si>
  <si>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</si>
  <si>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</si>
  <si>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</si>
  <si>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</si>
  <si>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</si>
  <si>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</si>
  <si>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</si>
  <si>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</si>
  <si>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</si>
  <si>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</si>
  <si>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</si>
  <si>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</si>
  <si>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</si>
  <si>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</si>
  <si>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</si>
  <si>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</si>
  <si>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</si>
  <si>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</si>
  <si>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</si>
  <si>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</si>
  <si>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</si>
  <si>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</si>
  <si>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</si>
  <si>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</si>
  <si>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</si>
  <si>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</si>
  <si>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</si>
  <si>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</si>
  <si>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</si>
  <si>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</si>
  <si>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</si>
  <si>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</si>
  <si>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</si>
  <si>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</si>
  <si>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</si>
  <si>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</si>
  <si>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</si>
  <si>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</si>
  <si>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</si>
  <si>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</si>
  <si>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</si>
  <si>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</si>
  <si>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</si>
  <si>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</si>
  <si>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</si>
  <si>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</si>
  <si>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</si>
  <si>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</si>
  <si>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</si>
  <si>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</si>
  <si>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</si>
  <si>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</si>
  <si>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</si>
  <si>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</si>
  <si>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</si>
  <si>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</si>
  <si>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</si>
  <si>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</si>
  <si>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</si>
  <si>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</si>
  <si>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</si>
  <si>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</si>
  <si>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</si>
  <si>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</si>
  <si>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</si>
  <si>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</si>
  <si>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</si>
  <si>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</si>
  <si>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</si>
  <si>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</si>
  <si>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</si>
  <si>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</si>
  <si>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</si>
  <si>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</si>
  <si>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</si>
  <si>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</si>
  <si>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</si>
  <si>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</si>
  <si>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</si>
  <si>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</si>
  <si>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</si>
  <si>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</si>
  <si>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</si>
  <si>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</si>
  <si>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</si>
  <si>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</si>
  <si>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</si>
  <si>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</si>
  <si>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</si>
  <si>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</si>
  <si>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</si>
  <si>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</si>
  <si>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</si>
  <si>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</si>
  <si>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</si>
  <si>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</si>
  <si>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</si>
  <si>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</si>
  <si>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</si>
  <si>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</si>
  <si>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</si>
  <si>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</si>
  <si>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</si>
  <si>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</si>
  <si>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</si>
  <si>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</si>
  <si>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</si>
  <si>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</si>
  <si>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</si>
  <si>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</si>
  <si>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</si>
  <si>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</si>
  <si>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</si>
  <si>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</si>
  <si>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</si>
  <si>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</si>
  <si>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</si>
  <si>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</si>
  <si>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</si>
  <si>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</si>
  <si>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</si>
  <si>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</si>
  <si>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</si>
  <si>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</si>
  <si>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</si>
  <si>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</si>
  <si>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</si>
  <si>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</si>
  <si>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</si>
  <si>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</si>
  <si>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</si>
  <si>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</si>
  <si>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</si>
  <si>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</si>
  <si>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</si>
  <si>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</si>
  <si>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</si>
  <si>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</si>
  <si>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</si>
  <si>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</si>
  <si>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</si>
  <si>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</si>
  <si>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</si>
  <si>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</si>
  <si>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</si>
  <si>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</si>
  <si>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</si>
  <si>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</si>
  <si>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</si>
  <si>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</si>
  <si>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</si>
  <si>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</si>
  <si>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</si>
  <si>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</si>
  <si>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</si>
  <si>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</si>
  <si>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</si>
  <si>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</si>
  <si>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</si>
  <si>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</si>
  <si>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</si>
  <si>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</si>
  <si>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</si>
  <si>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</si>
  <si>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</si>
  <si>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</si>
  <si>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</si>
  <si>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</si>
  <si>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</si>
  <si>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</si>
  <si>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</si>
  <si>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</si>
  <si>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</si>
  <si>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</si>
  <si>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</si>
  <si>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</si>
  <si>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</si>
  <si>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</si>
  <si>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</si>
  <si>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</si>
  <si>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</si>
  <si>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</si>
  <si>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</si>
  <si>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</si>
  <si>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</si>
  <si>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</si>
  <si>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</si>
  <si>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</si>
  <si>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</si>
  <si>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</si>
  <si>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</si>
  <si>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</si>
  <si>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</si>
  <si>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</si>
  <si>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</si>
  <si>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</si>
  <si>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</si>
  <si>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</si>
  <si>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</si>
  <si>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</si>
  <si>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</si>
  <si>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</si>
  <si>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</si>
  <si>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</si>
  <si>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</si>
  <si>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</si>
  <si>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</si>
  <si>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</si>
  <si>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</si>
  <si>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</si>
  <si>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</si>
  <si>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</si>
  <si>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</si>
  <si>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</si>
  <si>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</si>
  <si>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</si>
  <si>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</si>
  <si>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</si>
  <si>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</si>
  <si>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</si>
  <si>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</si>
  <si>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</si>
  <si>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</si>
  <si>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</si>
  <si>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</si>
  <si>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</si>
  <si>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</si>
  <si>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</si>
  <si>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</si>
  <si>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</si>
  <si>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</si>
  <si>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</si>
  <si>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</si>
  <si>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</si>
  <si>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</si>
  <si>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</si>
  <si>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</si>
  <si>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</si>
  <si>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</si>
  <si>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</si>
  <si>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</si>
  <si>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</si>
  <si>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</si>
  <si>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</si>
  <si>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</si>
  <si>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</si>
  <si>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</si>
  <si>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</si>
  <si>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</si>
  <si>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</si>
  <si>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</si>
  <si>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</si>
  <si>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</si>
  <si>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</si>
  <si>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</si>
  <si>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</si>
  <si>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</si>
  <si>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</si>
  <si>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</si>
  <si>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</si>
  <si>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</si>
  <si>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</si>
  <si>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</si>
  <si>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</si>
  <si>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</si>
  <si>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</si>
  <si>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</si>
  <si>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</si>
  <si>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</si>
  <si>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</si>
  <si>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</si>
  <si>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</si>
  <si>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</si>
  <si>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</si>
  <si>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</si>
  <si>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</si>
  <si>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</si>
  <si>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</si>
  <si>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</si>
  <si>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</si>
  <si>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</si>
  <si>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</si>
  <si>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</si>
  <si>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</si>
  <si>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</si>
  <si>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</si>
  <si>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</si>
  <si>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</si>
  <si>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</si>
  <si>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</si>
  <si>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</si>
  <si>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</si>
  <si>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</si>
  <si>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</si>
  <si>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</si>
  <si>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</si>
  <si>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</si>
  <si>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</si>
  <si>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</si>
  <si>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</si>
  <si>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</si>
  <si>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</si>
  <si>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</si>
  <si>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</si>
  <si>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</si>
  <si>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</si>
  <si>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</si>
  <si>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</si>
  <si>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</si>
  <si>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</si>
  <si>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</si>
  <si>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</si>
  <si>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</si>
  <si>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</si>
  <si>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</si>
  <si>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</si>
  <si>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</si>
  <si>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</si>
  <si>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</si>
  <si>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</si>
  <si>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</si>
  <si>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</si>
  <si>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</si>
  <si>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</si>
  <si>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</si>
  <si>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</si>
  <si>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</si>
  <si>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</si>
  <si>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</si>
  <si>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</si>
  <si>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</si>
  <si>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</si>
  <si>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</si>
  <si>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</si>
  <si>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</si>
  <si>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</si>
  <si>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</si>
  <si>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</si>
  <si>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</si>
  <si>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</si>
  <si>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</si>
  <si>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</si>
  <si>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</si>
  <si>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</si>
  <si>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</si>
  <si>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</si>
  <si>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</si>
  <si>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</si>
  <si>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</si>
  <si>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</si>
  <si>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</si>
  <si>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</si>
  <si>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</si>
  <si>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</si>
  <si>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</si>
  <si>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</si>
  <si>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</si>
  <si>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</si>
  <si>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</si>
  <si>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</si>
  <si>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</si>
  <si>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</si>
  <si>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</si>
  <si>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</si>
  <si>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</si>
  <si>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</si>
  <si>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</si>
  <si>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</si>
  <si>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</si>
  <si>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</si>
  <si>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</si>
  <si>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</si>
  <si>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</si>
  <si>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</si>
  <si>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</si>
  <si>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</si>
  <si>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</si>
  <si>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</si>
  <si>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</si>
  <si>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</si>
  <si>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</si>
  <si>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</si>
  <si>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</si>
  <si>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</si>
  <si>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</si>
  <si>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</si>
  <si>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</si>
  <si>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</si>
  <si>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</si>
  <si>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</si>
  <si>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</si>
  <si>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</si>
  <si>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</si>
  <si>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</si>
  <si>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</si>
  <si>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</si>
  <si>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</si>
  <si>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</si>
  <si>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</si>
  <si>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</si>
  <si>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</si>
  <si>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</si>
  <si>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</si>
  <si>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</si>
  <si>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</si>
  <si>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</si>
  <si>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</si>
  <si>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</si>
  <si>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</si>
  <si>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</si>
  <si>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</si>
  <si>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</si>
  <si>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</si>
  <si>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</si>
  <si>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</si>
  <si>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</si>
  <si>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</si>
  <si>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</si>
  <si>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</si>
  <si>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</si>
  <si>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</si>
  <si>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</si>
  <si>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</si>
  <si>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</si>
  <si>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</si>
  <si>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</si>
  <si>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</si>
  <si>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</si>
  <si>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</si>
  <si>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</si>
  <si>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</si>
  <si>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</si>
  <si>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</si>
  <si>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</si>
  <si>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</si>
  <si>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</si>
  <si>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</si>
  <si>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</si>
  <si>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</si>
  <si>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</si>
  <si>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</si>
  <si>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</si>
  <si>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</si>
  <si>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</si>
  <si>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</si>
  <si>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</si>
  <si>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</si>
  <si>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</si>
  <si>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</si>
  <si>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</si>
  <si>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</si>
  <si>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</si>
  <si>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</si>
  <si>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</si>
  <si>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</si>
  <si>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</si>
  <si>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</si>
  <si>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</si>
  <si>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</si>
  <si>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</si>
  <si>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</si>
  <si>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</si>
  <si>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</si>
  <si>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</si>
  <si>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</si>
  <si>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</si>
  <si>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</si>
  <si>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</si>
  <si>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</si>
  <si>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</si>
  <si>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</si>
  <si>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</si>
  <si>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</si>
  <si>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</si>
  <si>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</si>
  <si>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</si>
  <si>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</si>
  <si>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</si>
  <si>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</si>
  <si>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</si>
  <si>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</si>
  <si>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</si>
  <si>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</si>
  <si>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</si>
  <si>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</si>
  <si>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</si>
  <si>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</si>
  <si>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</si>
  <si>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</si>
  <si>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</si>
  <si>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</si>
  <si>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</si>
  <si>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</si>
  <si>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</si>
  <si>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</si>
  <si>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</si>
  <si>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</si>
  <si>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</si>
  <si>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</si>
  <si>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</si>
  <si>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</si>
  <si>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</si>
  <si>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</si>
  <si>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</si>
  <si>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</si>
  <si>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</si>
  <si>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</si>
  <si>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</si>
  <si>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</si>
  <si>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</si>
  <si>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</si>
  <si>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</si>
  <si>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</si>
  <si>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</si>
  <si>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</si>
  <si>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</si>
  <si>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</si>
  <si>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</si>
  <si>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</si>
  <si>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</si>
  <si>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</si>
  <si>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</si>
  <si>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</si>
  <si>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</si>
  <si>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</si>
  <si>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</si>
  <si>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</si>
  <si>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</si>
  <si>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</si>
  <si>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</si>
  <si>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</si>
  <si>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</si>
  <si>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</si>
  <si>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</si>
  <si>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</si>
  <si>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</si>
  <si>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</si>
  <si>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</si>
  <si>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</si>
  <si>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</si>
  <si>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</si>
  <si>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</si>
  <si>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</si>
  <si>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</si>
  <si>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</si>
  <si>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</si>
  <si>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</si>
  <si>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</si>
  <si>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</si>
  <si>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</si>
  <si>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</si>
  <si>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</si>
  <si>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</si>
  <si>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</si>
  <si>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</si>
  <si>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</si>
  <si>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</si>
  <si>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</si>
  <si>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</si>
  <si>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</si>
  <si>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</si>
  <si>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</si>
  <si>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</si>
  <si>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</si>
  <si>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</si>
  <si>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</si>
  <si>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</si>
  <si>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</si>
  <si>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</si>
  <si>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</si>
  <si>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</si>
  <si>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</si>
  <si>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</si>
  <si>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</si>
  <si>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</si>
  <si>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</si>
  <si>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</si>
  <si>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</si>
  <si>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</si>
  <si>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</si>
  <si>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</si>
  <si>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</si>
  <si>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</si>
  <si>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</si>
  <si>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</si>
  <si>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</si>
  <si>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</si>
  <si>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</si>
  <si>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</si>
  <si>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</si>
  <si>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</si>
  <si>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</si>
  <si>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</si>
  <si>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</si>
  <si>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</si>
  <si>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</si>
  <si>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</si>
  <si>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</si>
  <si>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</si>
  <si>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</si>
  <si>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</si>
  <si>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</si>
  <si>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</si>
  <si>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</si>
  <si>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</si>
  <si>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</si>
  <si>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</si>
  <si>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</si>
  <si>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</si>
  <si>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</si>
  <si>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</si>
  <si>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</si>
  <si>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</si>
  <si>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</si>
  <si>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</si>
  <si>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</si>
  <si>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</si>
  <si>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</si>
  <si>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</si>
  <si>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</si>
  <si>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</si>
  <si>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</si>
  <si>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</si>
  <si>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</si>
  <si>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</si>
  <si>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</si>
  <si>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</si>
  <si>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</si>
  <si>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</si>
  <si>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</si>
  <si>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</si>
  <si>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</si>
  <si>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</si>
  <si>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</si>
  <si>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</si>
  <si>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</si>
  <si>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</si>
  <si>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</si>
  <si>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</si>
  <si>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</si>
  <si>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</si>
  <si>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</si>
  <si>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</si>
  <si>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</si>
  <si>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</si>
  <si>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</si>
  <si>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</si>
  <si>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</si>
  <si>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</si>
  <si>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</si>
  <si>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</si>
  <si>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</si>
  <si>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</si>
  <si>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</si>
  <si>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</si>
  <si>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</si>
  <si>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</si>
  <si>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</si>
  <si>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</si>
  <si>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</si>
  <si>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</si>
  <si>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</si>
  <si>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</si>
  <si>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</si>
  <si>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</si>
  <si>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</si>
  <si>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</si>
  <si>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</si>
  <si>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</si>
  <si>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</si>
  <si>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</si>
  <si>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</si>
  <si>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</si>
  <si>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</si>
  <si>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</si>
  <si>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</si>
  <si>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</si>
  <si>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</si>
  <si>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</si>
  <si>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</si>
  <si>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</si>
  <si>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</si>
  <si>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</si>
  <si>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</si>
  <si>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</si>
  <si>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</si>
  <si>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</si>
  <si>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</si>
  <si>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</si>
  <si>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</si>
  <si>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</si>
  <si>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</si>
  <si>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</si>
  <si>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</si>
  <si>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</si>
  <si>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</si>
  <si>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</si>
  <si>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</si>
  <si>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</si>
  <si>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</si>
  <si>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</si>
  <si>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</si>
  <si>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</si>
  <si>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</si>
  <si>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</si>
  <si>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</si>
  <si>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</si>
  <si>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</si>
  <si>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</si>
  <si>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</si>
  <si>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</si>
  <si>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</si>
  <si>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</si>
  <si>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</si>
  <si>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</si>
  <si>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</si>
  <si>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</si>
  <si>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</si>
  <si>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</si>
  <si>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</si>
  <si>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</si>
  <si>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</si>
  <si>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</si>
  <si>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</si>
  <si>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</si>
  <si>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</si>
  <si>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</si>
  <si>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</si>
  <si>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</si>
  <si>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</si>
  <si>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</si>
  <si>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</si>
  <si>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</si>
  <si>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</si>
  <si>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</si>
  <si>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</si>
  <si>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</si>
  <si>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</si>
  <si>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</si>
  <si>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</si>
  <si>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</si>
  <si>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</si>
  <si>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</si>
  <si>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</si>
  <si>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</si>
  <si>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</si>
  <si>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</si>
  <si>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</si>
  <si>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</si>
  <si>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</si>
  <si>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</si>
  <si>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</si>
  <si>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</si>
  <si>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</si>
  <si>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</si>
  <si>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</si>
  <si>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</si>
  <si>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</si>
  <si>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</si>
  <si>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</si>
  <si>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</si>
  <si>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</si>
  <si>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</si>
  <si>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</si>
  <si>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</si>
  <si>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</si>
  <si>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</si>
  <si>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</si>
  <si>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</si>
  <si>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</si>
  <si>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</si>
  <si>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</si>
  <si>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</si>
  <si>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</si>
  <si>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</si>
  <si>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</si>
  <si>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</si>
  <si>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</si>
  <si>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</si>
  <si>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</si>
  <si>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</si>
  <si>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</si>
  <si>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</si>
  <si>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</si>
  <si>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</si>
  <si>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</si>
  <si>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</si>
  <si>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</si>
  <si>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</si>
  <si>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</si>
  <si>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</si>
  <si>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</si>
  <si>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</si>
  <si>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</si>
  <si>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</si>
  <si>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</si>
  <si>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</si>
  <si>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</si>
  <si>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</si>
  <si>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</si>
  <si>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</si>
  <si>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</si>
  <si>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</si>
  <si>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</si>
  <si>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</si>
  <si>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</si>
  <si>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</si>
  <si>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</si>
  <si>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</si>
  <si>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</si>
  <si>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</si>
  <si>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</si>
  <si>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</si>
  <si>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</si>
  <si>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</si>
  <si>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</si>
  <si>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</si>
  <si>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</si>
  <si>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</si>
  <si>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</si>
  <si>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</si>
  <si>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</si>
  <si>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</si>
  <si>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</si>
  <si>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</si>
  <si>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</si>
  <si>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</si>
  <si>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</si>
  <si>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</si>
  <si>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</si>
  <si>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</si>
  <si>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</si>
  <si>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</si>
  <si>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</si>
  <si>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</si>
  <si>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</si>
  <si>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</si>
  <si>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</si>
  <si>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</si>
  <si>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</si>
  <si>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</si>
  <si>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</si>
  <si>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</si>
  <si>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</si>
  <si>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</si>
  <si>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</si>
  <si>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</si>
  <si>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</si>
  <si>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</si>
  <si>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</si>
  <si>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</si>
  <si>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</si>
  <si>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</si>
  <si>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</si>
  <si>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</si>
  <si>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</si>
  <si>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</si>
  <si>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</si>
  <si>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</si>
  <si>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</si>
  <si>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</si>
  <si>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</si>
  <si>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</si>
  <si>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</si>
  <si>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</si>
  <si>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</si>
  <si>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</si>
  <si>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</si>
  <si>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</si>
  <si>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</si>
  <si>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</si>
  <si>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</si>
  <si>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</si>
  <si>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</si>
  <si>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</si>
  <si>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</si>
  <si>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</si>
  <si>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</si>
  <si>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</si>
  <si>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</si>
  <si>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</si>
  <si>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</si>
  <si>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</si>
  <si>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</si>
  <si>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</si>
  <si>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</si>
  <si>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</si>
  <si>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</si>
  <si>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</si>
  <si>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</si>
  <si>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</si>
  <si>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</si>
  <si>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</si>
  <si>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</si>
  <si>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</si>
  <si>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</si>
  <si>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</si>
  <si>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</si>
  <si>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</si>
  <si>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</si>
  <si>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</si>
  <si>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</si>
  <si>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</si>
  <si>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</si>
  <si>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</si>
  <si>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</si>
  <si>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</si>
  <si>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</si>
  <si>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</si>
  <si>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</si>
  <si>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</si>
  <si>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</si>
  <si>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</si>
  <si>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</si>
  <si>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</si>
  <si>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</si>
  <si>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</si>
  <si>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</si>
  <si>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</si>
  <si>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</si>
  <si>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</si>
  <si>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</si>
  <si>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</si>
  <si>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</si>
  <si>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</si>
  <si>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</si>
  <si>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</si>
  <si>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</si>
  <si>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</si>
  <si>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</si>
  <si>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</si>
  <si>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</si>
  <si>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</si>
  <si>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</si>
  <si>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</si>
  <si>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</si>
  <si>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</si>
  <si>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</si>
  <si>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</si>
  <si>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</si>
  <si>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</si>
  <si>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</si>
  <si>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</si>
  <si>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</si>
  <si>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</si>
  <si>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</si>
  <si>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</si>
  <si>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</si>
  <si>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</si>
  <si>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</si>
  <si>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</si>
  <si>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</si>
  <si>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</si>
  <si>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</si>
  <si>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</si>
  <si>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</si>
  <si>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</si>
  <si>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</si>
  <si>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</si>
  <si>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</si>
  <si>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</si>
  <si>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</si>
  <si>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</si>
  <si>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</si>
  <si>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</si>
  <si>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</si>
  <si>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</si>
  <si>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</si>
  <si>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</si>
  <si>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</si>
  <si>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</si>
  <si>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</si>
  <si>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</si>
  <si>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</si>
  <si>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</si>
  <si>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</si>
  <si>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</si>
  <si>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</si>
  <si>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</si>
  <si>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</si>
  <si>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</si>
  <si>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</si>
  <si>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</si>
  <si>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</si>
  <si>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</si>
  <si>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</si>
  <si>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</si>
  <si>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</si>
  <si>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</si>
  <si>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</si>
  <si>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</si>
  <si>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</si>
  <si>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</si>
  <si>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</si>
  <si>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</si>
  <si>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</si>
  <si>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</si>
  <si>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</si>
  <si>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</si>
  <si>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</si>
  <si>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</si>
  <si>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</si>
  <si>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</si>
  <si>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</si>
  <si>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</si>
  <si>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</si>
  <si>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</si>
  <si>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</si>
  <si>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</si>
  <si>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</si>
  <si>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</si>
  <si>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</si>
  <si>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</si>
  <si>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</si>
  <si>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</si>
  <si>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</si>
  <si>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</si>
  <si>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</si>
  <si>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</si>
  <si>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</si>
  <si>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</si>
  <si>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</si>
  <si>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</si>
  <si>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</si>
  <si>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</si>
  <si>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</si>
  <si>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</si>
  <si>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</si>
  <si>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</si>
  <si>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</si>
  <si>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</si>
  <si>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</si>
  <si>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</si>
  <si>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</si>
  <si>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</si>
  <si>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</si>
  <si>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</si>
  <si>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</si>
  <si>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</si>
  <si>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</si>
  <si>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</si>
  <si>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</si>
  <si>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</si>
  <si>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</si>
  <si>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</si>
  <si>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</si>
  <si>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</si>
  <si>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</si>
  <si>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</si>
  <si>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</si>
  <si>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</si>
  <si>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</si>
  <si>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</si>
  <si>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</si>
  <si>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</si>
  <si>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</si>
  <si>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</si>
  <si>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</si>
  <si>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</si>
  <si>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</si>
  <si>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</si>
  <si>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</si>
  <si>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</si>
  <si>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</si>
  <si>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</si>
  <si>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</si>
  <si>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</si>
  <si>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</si>
  <si>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</si>
  <si>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</si>
  <si>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</si>
  <si>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</si>
  <si>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</si>
  <si>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</si>
  <si>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</si>
  <si>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</si>
  <si>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</si>
  <si>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</si>
  <si>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</si>
  <si>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</si>
  <si>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</si>
  <si>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</si>
  <si>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</si>
  <si>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</si>
  <si>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</si>
  <si>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</si>
  <si>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</si>
  <si>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</si>
  <si>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</si>
  <si>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</si>
  <si>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</si>
  <si>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</si>
  <si>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</si>
  <si>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</si>
  <si>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</si>
  <si>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</si>
  <si>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</si>
  <si>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</si>
  <si>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</si>
  <si>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</si>
  <si>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</si>
  <si>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</si>
  <si>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</si>
  <si>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</si>
  <si>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</si>
  <si>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</si>
  <si>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</si>
  <si>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</si>
  <si>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</si>
  <si>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</si>
  <si>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</si>
  <si>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</si>
  <si>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</si>
  <si>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</si>
  <si>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</si>
  <si>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</si>
  <si>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</si>
  <si>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</si>
  <si>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</si>
  <si>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</si>
  <si>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</si>
  <si>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</si>
  <si>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</si>
  <si>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</si>
  <si>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</si>
  <si>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</si>
  <si>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</si>
  <si>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</si>
  <si>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</si>
  <si>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</si>
  <si>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</si>
  <si>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</si>
  <si>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</si>
  <si>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</si>
  <si>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</si>
  <si>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</si>
  <si>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</si>
  <si>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</si>
  <si>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</si>
  <si>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</si>
  <si>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</si>
  <si>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</si>
  <si>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</si>
  <si>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</si>
  <si>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</si>
  <si>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</si>
  <si>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</si>
  <si>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</si>
  <si>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</si>
  <si>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</si>
  <si>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</si>
  <si>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</si>
  <si>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</si>
  <si>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</si>
  <si>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</si>
  <si>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</si>
  <si>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</si>
  <si>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</si>
  <si>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</si>
  <si>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</si>
  <si>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</si>
  <si>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</si>
  <si>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</si>
  <si>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</si>
  <si>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</si>
  <si>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</si>
  <si>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</si>
  <si>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</si>
  <si>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</si>
  <si>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</si>
  <si>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</si>
  <si>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</si>
  <si>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</si>
  <si>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</si>
  <si>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</si>
  <si>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</si>
  <si>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</si>
  <si>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</si>
  <si>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</si>
  <si>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</si>
  <si>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</si>
  <si>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</si>
  <si>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</si>
  <si>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</si>
  <si>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</si>
  <si>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</si>
  <si>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</si>
  <si>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</si>
  <si>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</si>
  <si>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</si>
  <si>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</si>
  <si>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</si>
  <si>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</si>
  <si>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</si>
  <si>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</si>
  <si>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</si>
  <si>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</si>
  <si>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</si>
  <si>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</si>
  <si>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</si>
  <si>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</si>
  <si>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</si>
  <si>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</si>
  <si>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</si>
  <si>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</si>
  <si>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</si>
  <si>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</si>
  <si>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</si>
  <si>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</si>
  <si>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</si>
  <si>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</si>
  <si>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</si>
  <si>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</si>
  <si>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</si>
  <si>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</si>
  <si>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</si>
  <si>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</si>
  <si>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</si>
  <si>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</si>
  <si>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</si>
  <si>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</si>
  <si>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</si>
  <si>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</si>
  <si>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</si>
  <si>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</si>
  <si>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</si>
  <si>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</si>
  <si>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</si>
  <si>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</si>
  <si>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</si>
  <si>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</si>
  <si>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</si>
  <si>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</si>
  <si>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</si>
  <si>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</si>
  <si>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</si>
  <si>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</si>
  <si>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</si>
  <si>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</si>
  <si>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</si>
  <si>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</si>
  <si>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</si>
  <si>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</si>
  <si>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</si>
  <si>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</si>
  <si>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</si>
  <si>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</si>
  <si>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</si>
  <si>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</si>
  <si>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</si>
  <si>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</si>
  <si>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</si>
  <si>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</si>
  <si>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</si>
  <si>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</si>
  <si>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</si>
  <si>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</si>
  <si>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</si>
  <si>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</si>
  <si>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</si>
  <si>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</si>
  <si>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</si>
  <si>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</si>
  <si>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</si>
  <si>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</si>
  <si>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</si>
  <si>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</si>
  <si>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</si>
  <si>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</si>
  <si>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</si>
  <si>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</si>
  <si>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</si>
  <si>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</si>
  <si>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</si>
  <si>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</si>
  <si>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</si>
  <si>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</si>
  <si>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</si>
  <si>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</si>
  <si>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</si>
  <si>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</si>
  <si>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</si>
  <si>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</si>
  <si>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</si>
  <si>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</si>
  <si>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</si>
  <si>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</si>
  <si>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</si>
  <si>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</si>
  <si>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</si>
  <si>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</si>
  <si>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</si>
  <si>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</si>
  <si>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</si>
  <si>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</si>
  <si>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</si>
  <si>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</si>
  <si>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</si>
  <si>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</si>
  <si>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</si>
  <si>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</si>
  <si>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</si>
  <si>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</si>
  <si>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</si>
  <si>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</si>
  <si>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</si>
  <si>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</si>
  <si>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</si>
  <si>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</si>
  <si>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</si>
  <si>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</si>
  <si>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</si>
  <si>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</si>
  <si>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</si>
  <si>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</si>
  <si>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</si>
  <si>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</si>
  <si>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</si>
  <si>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</si>
  <si>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</si>
  <si>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</si>
  <si>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</si>
  <si>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</si>
  <si>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</si>
  <si>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</si>
  <si>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</si>
  <si>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</si>
  <si>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</si>
  <si>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</si>
  <si>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</si>
  <si>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</si>
  <si>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</si>
  <si>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</si>
  <si>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</si>
  <si>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</si>
  <si>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</si>
  <si>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</si>
  <si>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</si>
  <si>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</si>
  <si>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</si>
  <si>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</si>
  <si>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</si>
  <si>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</si>
  <si>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</si>
  <si>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</si>
  <si>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</si>
  <si>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</si>
  <si>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</si>
  <si>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</si>
  <si>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</si>
  <si>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</si>
  <si>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</si>
  <si>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</si>
  <si>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</si>
  <si>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</si>
  <si>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</si>
  <si>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</si>
  <si>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</si>
  <si>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</si>
  <si>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</si>
  <si>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</si>
  <si>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</si>
  <si>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</si>
  <si>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</si>
  <si>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</si>
  <si>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</si>
  <si>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</si>
  <si>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</si>
  <si>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</si>
  <si>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</si>
  <si>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</si>
  <si>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</si>
  <si>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</si>
  <si>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</si>
  <si>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</si>
  <si>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</si>
  <si>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</si>
  <si>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</si>
  <si>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</si>
  <si>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</si>
  <si>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</si>
  <si>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</si>
  <si>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</si>
  <si>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</si>
  <si>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</si>
  <si>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</si>
  <si>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</si>
  <si>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</si>
  <si>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</si>
  <si>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</si>
  <si>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</si>
  <si>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</si>
  <si>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</si>
  <si>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</si>
  <si>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</si>
  <si>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</si>
  <si>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</si>
  <si>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</si>
  <si>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</si>
  <si>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</si>
  <si>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</si>
  <si>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</si>
  <si>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</si>
  <si>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</si>
  <si>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</si>
  <si>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</si>
  <si>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</si>
  <si>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</si>
  <si>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</si>
  <si>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</si>
  <si>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</si>
  <si>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</si>
  <si>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</si>
  <si>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</si>
  <si>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</si>
  <si>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</si>
  <si>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</si>
  <si>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</si>
  <si>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</si>
  <si>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</si>
  <si>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</si>
  <si>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</si>
  <si>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</si>
  <si>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</si>
  <si>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</si>
  <si>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</si>
  <si>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</si>
  <si>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</si>
  <si>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</si>
  <si>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</si>
  <si>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</si>
  <si>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</si>
  <si>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</si>
  <si>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</si>
  <si>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</si>
  <si>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</si>
  <si>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</si>
  <si>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</si>
  <si>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</si>
  <si>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</si>
  <si>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</si>
  <si>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</si>
  <si>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</si>
  <si>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</si>
  <si>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</si>
  <si>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</si>
  <si>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</si>
  <si>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</si>
  <si>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</si>
  <si>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</si>
  <si>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</si>
  <si>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</si>
  <si>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</si>
  <si>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</si>
  <si>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</si>
  <si>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</si>
  <si>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</si>
  <si>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</si>
  <si>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</si>
  <si>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</si>
  <si>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</si>
  <si>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</si>
  <si>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</si>
  <si>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</si>
  <si>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</si>
  <si>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</si>
  <si>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</si>
  <si>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</si>
  <si>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</si>
  <si>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</si>
  <si>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</si>
  <si>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</si>
  <si>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</si>
  <si>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</si>
  <si>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</si>
  <si>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</si>
  <si>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</si>
  <si>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</si>
  <si>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</si>
  <si>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</si>
  <si>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</si>
  <si>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</si>
  <si>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</si>
  <si>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</si>
  <si>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</si>
  <si>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</si>
  <si>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</si>
  <si>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</si>
  <si>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</si>
  <si>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</si>
  <si>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</si>
  <si>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</si>
  <si>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</si>
  <si>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</si>
  <si>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</si>
  <si>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</si>
  <si>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</si>
  <si>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</si>
  <si>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</si>
  <si>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</si>
  <si>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</si>
  <si>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</si>
  <si>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</si>
  <si>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</si>
  <si>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</si>
  <si>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</si>
  <si>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</si>
  <si>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</si>
  <si>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</si>
  <si>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</si>
  <si>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</si>
  <si>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</si>
  <si>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</si>
  <si>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</si>
  <si>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</si>
  <si>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</si>
  <si>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</si>
  <si>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</si>
  <si>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</si>
  <si>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</si>
  <si>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</si>
  <si>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</si>
  <si>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</si>
  <si>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</si>
  <si>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</si>
  <si>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</si>
  <si>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</si>
  <si>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</si>
  <si>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</si>
  <si>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</si>
  <si>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</si>
  <si>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</si>
  <si>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</si>
  <si>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</si>
  <si>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</si>
  <si>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</si>
  <si>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</si>
  <si>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</si>
  <si>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</si>
  <si>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</si>
  <si>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</si>
  <si>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</si>
  <si>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</si>
  <si>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</si>
  <si>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</si>
  <si>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</si>
  <si>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</si>
  <si>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</si>
  <si>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</si>
  <si>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</si>
  <si>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</si>
  <si>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</si>
  <si>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</si>
  <si>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</si>
  <si>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</si>
  <si>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</si>
  <si>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</si>
  <si>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</si>
  <si>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</si>
  <si>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</si>
  <si>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</si>
  <si>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</si>
  <si>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</si>
  <si>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</si>
  <si>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</si>
  <si>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</si>
  <si>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</si>
  <si>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</si>
  <si>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</si>
  <si>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</si>
  <si>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</si>
  <si>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</si>
  <si>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</si>
  <si>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</si>
  <si>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</si>
  <si>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</si>
  <si>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</si>
  <si>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</si>
  <si>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</si>
  <si>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</si>
  <si>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</si>
  <si>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</si>
  <si>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</si>
  <si>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</si>
  <si>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</si>
  <si>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</si>
  <si>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</si>
  <si>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</si>
  <si>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</si>
  <si>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</si>
  <si>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</si>
  <si>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</si>
  <si>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</si>
  <si>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</si>
  <si>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</si>
  <si>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</si>
  <si>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</si>
  <si>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</si>
  <si>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</si>
  <si>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</si>
  <si>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</si>
  <si>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</si>
  <si>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</si>
  <si>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</si>
  <si>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</si>
  <si>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</si>
  <si>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</si>
  <si>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</si>
  <si>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</si>
  <si>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</si>
  <si>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</si>
  <si>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</si>
  <si>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</si>
  <si>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</si>
  <si>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</si>
  <si>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</si>
  <si>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</si>
  <si>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</si>
  <si>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</si>
  <si>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</si>
  <si>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</si>
  <si>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</si>
  <si>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</si>
  <si>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</si>
  <si>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</si>
  <si>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</si>
  <si>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</si>
  <si>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</si>
  <si>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</si>
  <si>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</si>
  <si>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</si>
  <si>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</si>
  <si>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</si>
  <si>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</si>
  <si>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</si>
  <si>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</si>
  <si>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</si>
  <si>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</si>
  <si>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</si>
  <si>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</si>
  <si>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</si>
  <si>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</si>
  <si>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</si>
  <si>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</si>
  <si>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</si>
  <si>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</si>
  <si>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</si>
  <si>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</si>
  <si>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</si>
  <si>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</si>
  <si>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</si>
  <si>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</si>
  <si>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</si>
  <si>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</si>
  <si>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</si>
  <si>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</si>
  <si>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</si>
  <si>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</si>
  <si>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</si>
  <si>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</si>
  <si>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</si>
  <si>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</si>
  <si>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</si>
  <si>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</si>
  <si>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</si>
  <si>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</si>
  <si>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</si>
  <si>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</si>
  <si>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</si>
  <si>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</si>
  <si>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</si>
  <si>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</si>
  <si>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</si>
  <si>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</si>
  <si>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</si>
  <si>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</si>
  <si>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</si>
  <si>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</si>
  <si>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</si>
  <si>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</si>
  <si>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</si>
  <si>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</si>
  <si>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</si>
  <si>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</si>
  <si>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</si>
  <si>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</si>
  <si>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</si>
  <si>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</si>
  <si>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</si>
  <si>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</si>
  <si>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</si>
  <si>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</si>
  <si>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</si>
  <si>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</si>
  <si>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</si>
  <si>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</si>
  <si>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</si>
  <si>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</si>
  <si>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</si>
  <si>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</si>
  <si>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</si>
  <si>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</si>
  <si>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</si>
  <si>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</si>
  <si>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</si>
  <si>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</si>
  <si>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</si>
  <si>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</si>
  <si>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</si>
  <si>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</si>
  <si>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</si>
  <si>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</si>
  <si>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</si>
  <si>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</si>
  <si>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</si>
  <si>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</si>
  <si>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</si>
  <si>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</si>
  <si>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</si>
  <si>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</si>
  <si>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</si>
  <si>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</si>
  <si>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</si>
  <si>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</si>
  <si>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</si>
  <si>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</si>
  <si>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</si>
  <si>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</si>
  <si>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</si>
  <si>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</si>
  <si>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</si>
  <si>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</si>
  <si>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</si>
  <si>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</si>
  <si>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</si>
  <si>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</si>
  <si>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</si>
  <si>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</si>
  <si>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</si>
  <si>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</si>
  <si>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</si>
  <si>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</si>
  <si>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</si>
  <si>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</si>
  <si>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</si>
  <si>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</si>
  <si>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</si>
  <si>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</si>
  <si>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</si>
  <si>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</si>
  <si>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</si>
  <si>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</si>
  <si>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</si>
  <si>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</si>
  <si>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</si>
  <si>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</si>
  <si>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</si>
  <si>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</si>
  <si>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</si>
  <si>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</si>
  <si>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</si>
  <si>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</si>
  <si>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</si>
  <si>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</si>
  <si>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</si>
  <si>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</si>
  <si>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</si>
  <si>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</si>
  <si>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</si>
  <si>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</si>
  <si>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</si>
  <si>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</si>
  <si>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</si>
  <si>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</si>
  <si>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</si>
  <si>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</si>
  <si>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</si>
  <si>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</si>
  <si>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</si>
  <si>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</si>
  <si>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</si>
  <si>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</si>
  <si>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</si>
  <si>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</si>
  <si>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</si>
  <si>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</si>
  <si>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</si>
  <si>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</si>
  <si>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</si>
  <si>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</si>
  <si>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</si>
  <si>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</si>
  <si>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</si>
  <si>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</si>
  <si>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</si>
  <si>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</si>
  <si>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</si>
  <si>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</si>
  <si>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</si>
  <si>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</si>
  <si>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</si>
  <si>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</si>
  <si>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</si>
  <si>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</si>
  <si>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</si>
  <si>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</si>
  <si>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</si>
  <si>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</si>
  <si>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</si>
  <si>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</si>
  <si>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</si>
  <si>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</si>
  <si>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</si>
  <si>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</si>
  <si>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</si>
  <si>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</si>
  <si>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</si>
  <si>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</si>
  <si>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</si>
  <si>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</si>
  <si>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</si>
  <si>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</si>
  <si>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</si>
  <si>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</si>
  <si>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</si>
  <si>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</si>
  <si>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</si>
  <si>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</si>
  <si>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</si>
  <si>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</si>
  <si>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</si>
  <si>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</si>
  <si>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</si>
  <si>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</si>
  <si>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</si>
  <si>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</si>
  <si>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</si>
  <si>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</si>
  <si>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</si>
  <si>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</si>
  <si>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</si>
  <si>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</si>
  <si>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</si>
  <si>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</si>
  <si>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</si>
  <si>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</si>
  <si>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</si>
  <si>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</si>
  <si>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</si>
  <si>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</si>
  <si>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</si>
  <si>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</si>
  <si>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</si>
  <si>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</si>
  <si>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</si>
  <si>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</si>
  <si>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</si>
  <si>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</si>
  <si>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</si>
  <si>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</si>
  <si>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</si>
  <si>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</si>
  <si>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</si>
  <si>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</si>
  <si>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</si>
  <si>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</si>
  <si>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</si>
  <si>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</si>
  <si>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</si>
  <si>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</si>
  <si>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</si>
  <si>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</si>
  <si>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</si>
  <si>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</si>
  <si>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</si>
  <si>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</si>
  <si>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</si>
  <si>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</si>
  <si>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</si>
  <si>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</si>
  <si>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</si>
  <si>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</si>
  <si>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</si>
  <si>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</si>
  <si>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</si>
  <si>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</si>
  <si>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</si>
  <si>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</si>
  <si>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</si>
  <si>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</si>
  <si>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</si>
  <si>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</si>
  <si>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</si>
  <si>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</si>
  <si>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</si>
  <si>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</si>
  <si>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</si>
  <si>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</si>
  <si>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</si>
  <si>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</si>
  <si>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</si>
  <si>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</si>
  <si>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</si>
  <si>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</si>
  <si>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</si>
  <si>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</si>
  <si>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</si>
  <si>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</si>
  <si>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</si>
  <si>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</si>
  <si>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</si>
  <si>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</si>
  <si>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</si>
  <si>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</si>
  <si>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</si>
  <si>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</si>
  <si>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</si>
  <si>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</si>
  <si>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</si>
  <si>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</si>
  <si>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</si>
  <si>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</si>
  <si>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</si>
  <si>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</si>
  <si>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</si>
  <si>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</si>
  <si>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</si>
  <si>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</si>
  <si>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</si>
  <si>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</si>
  <si>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</si>
  <si>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</si>
  <si>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</si>
  <si>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</si>
  <si>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</si>
  <si>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</si>
  <si>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</si>
  <si>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</si>
  <si>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</si>
  <si>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</si>
  <si>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</si>
  <si>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</si>
  <si>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</si>
  <si>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</si>
  <si>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</si>
  <si>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</si>
  <si>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</si>
  <si>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</si>
  <si>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</si>
  <si>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</si>
  <si>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</si>
  <si>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</si>
  <si>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</si>
  <si>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</si>
  <si>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</si>
  <si>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</si>
  <si>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</si>
  <si>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</si>
  <si>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</si>
  <si>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</si>
  <si>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</si>
  <si>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</si>
  <si>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</si>
  <si>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</si>
  <si>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</si>
  <si>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</si>
  <si>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</si>
  <si>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</si>
  <si>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</si>
  <si>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</si>
  <si>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</si>
  <si>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</si>
  <si>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</si>
  <si>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</si>
  <si>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</si>
  <si>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</si>
  <si>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</si>
  <si>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</si>
  <si>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</si>
  <si>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</si>
  <si>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</si>
  <si>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</si>
  <si>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</si>
  <si>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</si>
  <si>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</si>
  <si>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</si>
  <si>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</si>
  <si>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</si>
  <si>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</si>
  <si>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</si>
  <si>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</si>
  <si>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</si>
  <si>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</si>
  <si>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</si>
  <si>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</si>
  <si>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</si>
  <si>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</si>
  <si>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</si>
  <si>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</si>
  <si>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</si>
  <si>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</si>
  <si>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</si>
  <si>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</si>
  <si>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</si>
  <si>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</si>
  <si>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</si>
  <si>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</si>
  <si>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</si>
  <si>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</si>
  <si>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</si>
  <si>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</si>
  <si>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</si>
  <si>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</si>
  <si>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</si>
  <si>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</si>
  <si>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</si>
  <si>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</si>
  <si>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</si>
  <si>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</si>
  <si>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</si>
  <si>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</si>
  <si>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</si>
  <si>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</si>
  <si>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</si>
  <si>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</si>
  <si>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</si>
  <si>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</si>
  <si>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</si>
  <si>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</si>
  <si>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</si>
  <si>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</si>
  <si>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</si>
  <si>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</si>
  <si>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</si>
  <si>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</si>
  <si>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</si>
  <si>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</si>
  <si>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</si>
  <si>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</si>
  <si>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</si>
  <si>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</si>
  <si>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</si>
  <si>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</si>
  <si>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</si>
  <si>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</si>
  <si>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</si>
  <si>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</si>
  <si>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</si>
  <si>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</si>
  <si>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</si>
  <si>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</si>
  <si>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</si>
  <si>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</si>
  <si>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</si>
  <si>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</si>
  <si>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</si>
  <si>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</si>
  <si>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</si>
  <si>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</si>
  <si>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</si>
  <si>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</si>
  <si>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</si>
  <si>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</si>
  <si>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</si>
  <si>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</si>
  <si>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</si>
  <si>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</si>
  <si>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</si>
  <si>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</si>
  <si>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</si>
  <si>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</si>
  <si>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</si>
  <si>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</si>
  <si>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</si>
  <si>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</si>
  <si>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</si>
  <si>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</si>
  <si>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</si>
  <si>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</si>
  <si>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</si>
  <si>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</si>
  <si>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</si>
  <si>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</si>
  <si>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</si>
  <si>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</si>
  <si>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</si>
  <si>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</si>
  <si>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</si>
  <si>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</si>
  <si>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</si>
  <si>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</si>
  <si>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</si>
  <si>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</si>
  <si>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</si>
  <si>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</si>
  <si>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</si>
  <si>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</si>
  <si>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</si>
  <si>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</si>
  <si>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</si>
  <si>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</si>
  <si>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</si>
  <si>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</si>
  <si>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</si>
  <si>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</si>
  <si>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</si>
  <si>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</si>
  <si>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</si>
  <si>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</si>
  <si>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</si>
  <si>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</si>
  <si>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</si>
  <si>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</si>
  <si>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</si>
  <si>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</si>
  <si>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</si>
  <si>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</si>
  <si>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</si>
  <si>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</si>
  <si>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</si>
  <si>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</si>
  <si>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</si>
  <si>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</si>
  <si>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</si>
  <si>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</si>
  <si>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</si>
  <si>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</si>
  <si>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</si>
  <si>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</si>
  <si>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</si>
  <si>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</si>
  <si>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</si>
  <si>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</si>
  <si>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</si>
  <si>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</si>
  <si>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</si>
  <si>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</si>
  <si>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</si>
  <si>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</si>
  <si>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</si>
  <si>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</si>
  <si>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</si>
  <si>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</si>
  <si>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</si>
  <si>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</si>
  <si>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</si>
  <si>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</si>
  <si>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</si>
  <si>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</si>
  <si>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</si>
  <si>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</si>
  <si>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</si>
  <si>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</si>
  <si>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</si>
  <si>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</si>
  <si>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</si>
  <si>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</si>
  <si>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</si>
  <si>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</si>
  <si>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</si>
  <si>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</si>
  <si>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</si>
  <si>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</si>
  <si>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</si>
  <si>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</si>
  <si>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</si>
  <si>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</si>
  <si>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</si>
  <si>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</si>
  <si>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</si>
  <si>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</si>
  <si>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</si>
  <si>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</si>
  <si>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</si>
  <si>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</si>
  <si>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</si>
  <si>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</si>
  <si>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</si>
  <si>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</si>
  <si>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</si>
  <si>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</si>
  <si>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</si>
  <si>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</si>
  <si>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</si>
  <si>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</si>
  <si>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</si>
  <si>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</si>
  <si>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</si>
  <si>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</si>
  <si>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</si>
  <si>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</si>
  <si>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</si>
  <si>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</si>
  <si>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</si>
  <si>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</si>
  <si>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</si>
  <si>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</si>
  <si>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</si>
  <si>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</si>
  <si>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</si>
  <si>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</si>
  <si>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</si>
  <si>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</si>
  <si>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</si>
  <si>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</si>
  <si>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</si>
  <si>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</si>
  <si>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</si>
  <si>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</si>
  <si>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</si>
  <si>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</si>
  <si>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</si>
  <si>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</si>
  <si>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</si>
  <si>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</si>
  <si>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</si>
  <si>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</si>
  <si>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</si>
  <si>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</si>
  <si>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</si>
  <si>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</si>
  <si>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</si>
  <si>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</si>
  <si>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</si>
  <si>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</si>
  <si>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</si>
  <si>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</si>
  <si>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</si>
  <si>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</si>
  <si>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</si>
  <si>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</si>
  <si>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</si>
  <si>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</si>
  <si>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</si>
  <si>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</si>
  <si>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</si>
  <si>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</si>
  <si>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</si>
  <si>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</si>
  <si>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</si>
  <si>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</si>
  <si>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</si>
  <si>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</si>
  <si>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</si>
  <si>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</si>
  <si>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</si>
  <si>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</si>
  <si>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</si>
  <si>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</si>
  <si>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</si>
  <si>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</si>
  <si>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</si>
  <si>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</si>
  <si>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</si>
  <si>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</si>
  <si>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</si>
  <si>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</si>
  <si>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</si>
  <si>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</si>
  <si>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</si>
  <si>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</si>
  <si>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</si>
  <si>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</si>
  <si>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</si>
  <si>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</si>
  <si>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</si>
  <si>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</si>
  <si>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</si>
  <si>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</si>
  <si>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</si>
  <si>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</si>
  <si>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</si>
  <si>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</si>
  <si>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</si>
  <si>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</si>
  <si>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</si>
  <si>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</si>
  <si>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</si>
  <si>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</si>
  <si>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</si>
  <si>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</si>
  <si>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</si>
  <si>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</si>
  <si>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</si>
  <si>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</si>
  <si>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</si>
  <si>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</si>
  <si>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</si>
  <si>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</si>
  <si>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</si>
  <si>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</si>
  <si>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</si>
  <si>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</si>
  <si>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</si>
  <si>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</si>
  <si>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</si>
  <si>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</si>
  <si>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</si>
  <si>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</si>
  <si>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</si>
  <si>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</si>
  <si>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</si>
  <si>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</si>
  <si>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</si>
  <si>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</si>
  <si>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</si>
  <si>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</si>
  <si>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</si>
  <si>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</si>
  <si>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</si>
  <si>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</si>
  <si>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</si>
  <si>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</si>
  <si>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</si>
  <si>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</si>
  <si>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</si>
  <si>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</si>
  <si>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</si>
  <si>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</si>
  <si>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</si>
  <si>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</si>
  <si>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</si>
  <si>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</si>
  <si>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</si>
  <si>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</si>
  <si>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</si>
  <si>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</si>
  <si>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</si>
  <si>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</si>
  <si>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</si>
  <si>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</si>
  <si>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</si>
  <si>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</si>
  <si>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</si>
  <si>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</si>
  <si>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</si>
  <si>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</si>
  <si>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</si>
  <si>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</si>
  <si>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</si>
  <si>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</si>
  <si>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</si>
  <si>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</si>
  <si>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</si>
  <si>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</si>
  <si>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</si>
  <si>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</si>
  <si>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</si>
  <si>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</si>
  <si>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</si>
  <si>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</si>
  <si>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</si>
  <si>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</si>
  <si>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</si>
  <si>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</si>
  <si>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</si>
  <si>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</si>
  <si>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</si>
  <si>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</si>
  <si>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</si>
  <si>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</si>
  <si>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</si>
  <si>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</si>
  <si>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</si>
  <si>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</si>
  <si>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</si>
  <si>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</si>
  <si>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</si>
  <si>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</si>
  <si>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</si>
  <si>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</si>
  <si>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</si>
  <si>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</si>
  <si>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</si>
  <si>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</si>
  <si>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</si>
  <si>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</si>
  <si>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</si>
  <si>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</si>
  <si>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</si>
  <si>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</si>
  <si>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</si>
  <si>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</si>
  <si>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</si>
  <si>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</si>
  <si>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</si>
  <si>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</si>
  <si>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</si>
  <si>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</si>
  <si>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</si>
  <si>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</si>
  <si>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</si>
  <si>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</si>
  <si>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</si>
  <si>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</si>
  <si>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</si>
  <si>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</si>
  <si>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</si>
  <si>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</si>
  <si>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</si>
  <si>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</si>
  <si>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</si>
  <si>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</si>
  <si>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</si>
  <si>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</si>
  <si>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</si>
  <si>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</si>
  <si>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</si>
  <si>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</si>
  <si>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</si>
  <si>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</si>
  <si>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</si>
  <si>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</si>
  <si>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</si>
  <si>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</si>
  <si>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</si>
  <si>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</si>
  <si>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</si>
  <si>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</si>
  <si>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</si>
  <si>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</si>
  <si>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</si>
  <si>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</si>
  <si>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</si>
  <si>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</si>
  <si>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</si>
  <si>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</si>
  <si>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</si>
  <si>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</si>
  <si>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</si>
  <si>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</si>
  <si>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</si>
  <si>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</si>
  <si>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</si>
  <si>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</si>
  <si>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</si>
  <si>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</si>
  <si>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</si>
  <si>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</si>
  <si>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</si>
  <si>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</si>
  <si>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</si>
  <si>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</si>
  <si>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</si>
  <si>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</si>
  <si>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</si>
  <si>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</si>
  <si>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</si>
  <si>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</si>
  <si>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</si>
  <si>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</si>
  <si>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</si>
  <si>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</si>
  <si>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</si>
  <si>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</si>
  <si>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</si>
  <si>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</si>
  <si>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</si>
  <si>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</si>
  <si>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</si>
  <si>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</si>
  <si>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</si>
  <si>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</si>
  <si>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</si>
  <si>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</si>
  <si>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</si>
  <si>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</si>
  <si>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</si>
  <si>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</si>
  <si>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</si>
  <si>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</si>
  <si>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</si>
  <si>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</si>
  <si>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</si>
  <si>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</si>
  <si>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</si>
  <si>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</si>
  <si>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</si>
  <si>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</si>
  <si>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</si>
  <si>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</si>
  <si>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</si>
  <si>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</si>
  <si>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</si>
  <si>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</si>
  <si>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</si>
  <si>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</si>
  <si>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</si>
  <si>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</si>
  <si>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</si>
  <si>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</si>
  <si>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</si>
  <si>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</si>
  <si>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</si>
  <si>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</si>
  <si>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</si>
  <si>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</si>
  <si>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</si>
  <si>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</si>
  <si>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</si>
  <si>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</si>
  <si>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</si>
  <si>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</si>
  <si>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</si>
  <si>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</si>
  <si>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</si>
  <si>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</si>
  <si>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</si>
  <si>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</si>
  <si>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</si>
  <si>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</si>
  <si>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</si>
  <si>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</si>
  <si>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</si>
  <si>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</si>
  <si>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</si>
  <si>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</si>
  <si>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</si>
  <si>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</si>
  <si>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</si>
  <si>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</si>
  <si>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</si>
  <si>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</si>
  <si>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</si>
  <si>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</si>
  <si>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</si>
  <si>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</si>
  <si>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</si>
  <si>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</si>
  <si>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</si>
  <si>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</si>
  <si>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</si>
  <si>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</si>
  <si>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</si>
  <si>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</si>
  <si>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</si>
  <si>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</si>
  <si>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</si>
  <si>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</si>
  <si>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</si>
  <si>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</si>
  <si>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</si>
  <si>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</si>
  <si>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</si>
  <si>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</si>
  <si>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</si>
  <si>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</si>
  <si>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</si>
  <si>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</si>
  <si>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</si>
  <si>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</si>
  <si>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</si>
  <si>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</si>
  <si>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</si>
  <si>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</si>
  <si>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</si>
  <si>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</si>
  <si>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</si>
  <si>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</si>
  <si>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</si>
  <si>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</si>
  <si>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</si>
  <si>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</si>
  <si>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</si>
  <si>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</si>
  <si>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</si>
  <si>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</si>
  <si>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</si>
  <si>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</si>
  <si>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</si>
  <si>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</si>
  <si>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</si>
  <si>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</si>
  <si>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</si>
  <si>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</si>
  <si>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</si>
  <si>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</si>
  <si>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</si>
  <si>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</si>
  <si>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</si>
  <si>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</si>
  <si>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</si>
  <si>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</si>
  <si>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</si>
  <si>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</si>
  <si>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</si>
  <si>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</si>
  <si>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</si>
  <si>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</si>
  <si>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</si>
  <si>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</si>
  <si>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</si>
  <si>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</si>
  <si>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</si>
  <si>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</si>
  <si>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</si>
  <si>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</si>
  <si>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</si>
  <si>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</si>
  <si>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</si>
  <si>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</si>
  <si>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</si>
  <si>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</si>
  <si>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</si>
  <si>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</si>
  <si>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</si>
  <si>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</si>
  <si>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</si>
  <si>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</si>
  <si>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</si>
  <si>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</si>
  <si>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</si>
  <si>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</si>
  <si>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</si>
  <si>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</si>
  <si>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</si>
  <si>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</si>
  <si>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</si>
  <si>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</si>
  <si>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</si>
  <si>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</si>
  <si>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</si>
  <si>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</si>
  <si>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</si>
  <si>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</si>
  <si>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</si>
  <si>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</si>
  <si>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</si>
  <si>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</si>
  <si>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</si>
  <si>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</si>
  <si>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</si>
  <si>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</si>
  <si>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</si>
  <si>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</si>
  <si>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</si>
  <si>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</si>
  <si>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</si>
  <si>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</si>
  <si>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</si>
  <si>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</si>
  <si>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</si>
  <si>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</si>
  <si>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</si>
  <si>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</si>
  <si>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</si>
  <si>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</si>
  <si>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</si>
  <si>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</si>
  <si>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</si>
  <si>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</si>
  <si>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</si>
  <si>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</si>
  <si>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</si>
  <si>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</si>
  <si>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</si>
  <si>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</si>
  <si>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</si>
  <si>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</si>
  <si>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</si>
  <si>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</si>
  <si>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</si>
  <si>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</si>
  <si>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</si>
  <si>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</si>
  <si>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</si>
  <si>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</si>
  <si>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</si>
  <si>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</si>
  <si>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</si>
  <si>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</si>
  <si>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</si>
  <si>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</si>
  <si>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</si>
  <si>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</si>
  <si>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</si>
  <si>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</si>
  <si>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</si>
  <si>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</si>
  <si>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</si>
  <si>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</si>
  <si>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</si>
  <si>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</si>
  <si>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</si>
  <si>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</si>
  <si>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</si>
  <si>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</si>
  <si>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</si>
  <si>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</si>
  <si>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</si>
  <si>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</si>
  <si>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</si>
  <si>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</si>
  <si>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</si>
  <si>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</si>
  <si>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</si>
  <si>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</si>
  <si>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</si>
  <si>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</si>
  <si>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</si>
  <si>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</si>
  <si>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</si>
  <si>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</si>
  <si>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</si>
  <si>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</si>
  <si>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</si>
  <si>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</si>
  <si>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</si>
  <si>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</si>
  <si>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</si>
  <si>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</si>
  <si>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</si>
  <si>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</si>
  <si>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</si>
  <si>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</si>
  <si>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</si>
  <si>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</si>
  <si>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</si>
  <si>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</si>
  <si>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</si>
  <si>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</si>
  <si>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</si>
  <si>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</si>
  <si>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</si>
  <si>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</si>
  <si>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</si>
  <si>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</si>
  <si>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</si>
  <si>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</si>
  <si>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</si>
  <si>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</si>
  <si>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</si>
  <si>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</si>
  <si>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</si>
  <si>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</si>
  <si>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</si>
  <si>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</si>
  <si>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</si>
  <si>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</si>
  <si>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</si>
  <si>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</si>
  <si>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</si>
  <si>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</si>
  <si>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</si>
  <si>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</si>
  <si>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</si>
  <si>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</si>
  <si>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</si>
  <si>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</si>
  <si>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</si>
  <si>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</si>
  <si>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</si>
  <si>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</si>
  <si>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</si>
  <si>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</si>
  <si>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</si>
  <si>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</si>
  <si>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</si>
  <si>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</si>
  <si>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</si>
  <si>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</si>
  <si>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</si>
  <si>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</si>
  <si>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</si>
  <si>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</si>
  <si>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</si>
  <si>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</si>
  <si>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</si>
  <si>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</si>
  <si>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</si>
  <si>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</si>
  <si>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</si>
  <si>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</si>
  <si>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</si>
  <si>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</si>
  <si>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</si>
  <si>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</si>
  <si>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</si>
  <si>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</si>
  <si>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</si>
  <si>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</si>
  <si>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</si>
  <si>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</si>
  <si>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</si>
  <si>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</si>
  <si>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</si>
  <si>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</si>
  <si>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</si>
  <si>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</si>
  <si>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</si>
  <si>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</si>
  <si>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</si>
  <si>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</si>
  <si>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</si>
  <si>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</si>
  <si>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</si>
  <si>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</si>
  <si>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</si>
  <si>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</si>
  <si>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</si>
  <si>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</si>
  <si>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</si>
  <si>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</si>
  <si>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</si>
  <si>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</si>
  <si>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</si>
  <si>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</si>
  <si>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</si>
  <si>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</si>
  <si>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</si>
  <si>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</si>
  <si>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</si>
  <si>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</si>
  <si>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</si>
  <si>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</si>
  <si>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</si>
  <si>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</si>
  <si>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</si>
  <si>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</si>
  <si>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</si>
  <si>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</si>
  <si>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</si>
  <si>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</si>
  <si>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</si>
  <si>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</si>
  <si>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</si>
  <si>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</si>
  <si>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</si>
  <si>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</si>
  <si>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</si>
  <si>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</si>
  <si>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</si>
  <si>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</si>
  <si>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</si>
  <si>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</si>
  <si>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</si>
  <si>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</si>
  <si>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</si>
  <si>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</si>
  <si>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</si>
  <si>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</si>
  <si>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</si>
  <si>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</si>
  <si>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</si>
  <si>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</si>
  <si>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</si>
  <si>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</si>
  <si>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</si>
  <si>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</si>
  <si>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</si>
  <si>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</si>
  <si>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</si>
  <si>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</si>
  <si>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</si>
  <si>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</si>
  <si>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</si>
  <si>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</si>
  <si>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</si>
  <si>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</si>
  <si>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</si>
  <si>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</si>
  <si>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</si>
  <si>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</si>
  <si>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</si>
  <si>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</si>
  <si>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</si>
  <si>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</si>
  <si>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</si>
  <si>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</si>
  <si>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</si>
  <si>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</si>
  <si>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</si>
  <si>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</si>
  <si>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</si>
  <si>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</si>
  <si>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</si>
  <si>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</si>
  <si>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</si>
  <si>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</si>
  <si>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</si>
  <si>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</si>
  <si>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</si>
  <si>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</si>
  <si>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</si>
  <si>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</si>
  <si>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</si>
  <si>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</si>
  <si>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</si>
  <si>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</si>
  <si>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</si>
  <si>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</si>
  <si>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</si>
  <si>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</si>
  <si>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</si>
  <si>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</si>
  <si>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</si>
  <si>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</si>
  <si>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</si>
  <si>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</si>
  <si>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</si>
  <si>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</si>
  <si>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</si>
  <si>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</si>
  <si>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</si>
  <si>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</si>
  <si>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</si>
  <si>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</si>
  <si>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</si>
  <si>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</si>
  <si>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</si>
  <si>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</si>
  <si>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</si>
  <si>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</si>
  <si>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</si>
  <si>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</si>
  <si>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</si>
  <si>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</si>
  <si>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</si>
  <si>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</si>
  <si>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</si>
  <si>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</si>
  <si>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</si>
  <si>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</si>
  <si>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</si>
  <si>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</si>
  <si>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</si>
  <si>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</si>
  <si>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</si>
  <si>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</si>
  <si>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</si>
  <si>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</si>
  <si>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</si>
  <si>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</si>
  <si>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</si>
  <si>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</si>
  <si>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</si>
  <si>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</si>
  <si>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</si>
  <si>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</si>
  <si>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</si>
  <si>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</si>
  <si>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</si>
  <si>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</si>
  <si>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</si>
  <si>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</si>
  <si>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</si>
  <si>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</si>
  <si>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</si>
  <si>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</si>
  <si>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</si>
  <si>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</si>
  <si>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</si>
  <si>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</si>
  <si>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</si>
  <si>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</si>
  <si>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</si>
  <si>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</si>
  <si>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</si>
  <si>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</si>
  <si>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</si>
  <si>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</si>
  <si>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</si>
  <si>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</si>
  <si>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</si>
  <si>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</si>
  <si>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</si>
  <si>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</si>
  <si>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</si>
  <si>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</si>
  <si>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</si>
  <si>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</si>
  <si>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</si>
  <si>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</si>
  <si>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</si>
  <si>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</si>
  <si>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</si>
  <si>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</si>
  <si>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</si>
  <si>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</si>
  <si>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</si>
  <si>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</si>
  <si>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</si>
  <si>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</si>
  <si>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</si>
  <si>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</si>
  <si>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</si>
  <si>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</si>
  <si>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</si>
  <si>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</si>
  <si>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</si>
  <si>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</si>
  <si>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</si>
  <si>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</si>
  <si>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</si>
  <si>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</si>
  <si>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</si>
  <si>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</si>
  <si>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</si>
  <si>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</si>
  <si>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</si>
  <si>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</si>
  <si>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</si>
  <si>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</si>
  <si>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</si>
  <si>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</si>
  <si>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</si>
  <si>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</si>
  <si>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</si>
  <si>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</si>
  <si>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</si>
  <si>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</si>
  <si>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</si>
  <si>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</si>
  <si>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</si>
  <si>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</si>
  <si>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</si>
  <si>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</si>
  <si>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</si>
  <si>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</si>
  <si>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</si>
  <si>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</si>
  <si>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</si>
  <si>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</si>
  <si>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</si>
  <si>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</si>
  <si>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</si>
  <si>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</si>
  <si>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</si>
  <si>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</si>
  <si>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</si>
  <si>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</si>
  <si>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</si>
  <si>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</si>
  <si>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</si>
  <si>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</si>
  <si>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</si>
  <si>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</si>
  <si>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</si>
  <si>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</si>
  <si>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</si>
  <si>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</si>
  <si>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</si>
  <si>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</si>
  <si>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</si>
  <si>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</si>
  <si>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</si>
  <si>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</si>
  <si>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</si>
  <si>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</si>
  <si>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</si>
  <si>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</si>
  <si>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</si>
  <si>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</si>
  <si>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</si>
  <si>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</si>
  <si>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</si>
  <si>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</si>
  <si>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</si>
  <si>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</si>
  <si>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</si>
  <si>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</si>
  <si>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</si>
  <si>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</si>
  <si>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</si>
  <si>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</si>
  <si>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</si>
  <si>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</si>
  <si>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</si>
  <si>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</si>
  <si>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</si>
  <si>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</si>
  <si>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</si>
  <si>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</si>
  <si>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</si>
  <si>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</si>
  <si>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</si>
  <si>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</si>
  <si>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</si>
  <si>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</si>
  <si>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</si>
  <si>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</si>
  <si>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</si>
  <si>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</si>
  <si>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</si>
  <si>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</si>
  <si>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</si>
  <si>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</si>
  <si>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</si>
  <si>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</si>
  <si>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</si>
  <si>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</si>
  <si>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</si>
  <si>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</si>
  <si>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</si>
  <si>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</si>
  <si>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</si>
  <si>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</si>
  <si>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</si>
  <si>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</si>
  <si>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</si>
  <si>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</si>
  <si>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</si>
  <si>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</si>
  <si>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</si>
  <si>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</si>
  <si>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</si>
  <si>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</si>
  <si>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</si>
  <si>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</si>
  <si>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</si>
  <si>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</si>
  <si>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</si>
  <si>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</si>
  <si>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</si>
  <si>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</si>
  <si>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</si>
  <si>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</si>
  <si>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</si>
  <si>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</si>
  <si>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</si>
  <si>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</si>
  <si>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</si>
  <si>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</si>
  <si>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</si>
  <si>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</si>
  <si>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</si>
  <si>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</si>
  <si>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</si>
  <si>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</si>
  <si>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</si>
  <si>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</si>
  <si>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</si>
  <si>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</si>
  <si>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</si>
  <si>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</si>
  <si>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</si>
  <si>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</si>
  <si>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</si>
  <si>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</si>
  <si>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</si>
  <si>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</si>
  <si>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</si>
  <si>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</si>
  <si>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</si>
  <si>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</si>
  <si>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</si>
  <si>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</si>
  <si>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</si>
  <si>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</si>
  <si>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</si>
  <si>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</si>
  <si>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</si>
  <si>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</si>
  <si>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</si>
  <si>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</si>
  <si>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</si>
  <si>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</si>
  <si>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</si>
  <si>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</si>
  <si>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</si>
  <si>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</si>
  <si>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</si>
  <si>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</si>
  <si>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</si>
  <si>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</si>
  <si>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</si>
  <si>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</si>
  <si>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</si>
  <si>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</si>
  <si>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</si>
  <si>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</si>
  <si>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</si>
  <si>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</si>
  <si>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</si>
  <si>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</si>
  <si>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</si>
  <si>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</si>
  <si>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</si>
  <si>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</si>
  <si>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</si>
  <si>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</si>
  <si>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</si>
  <si>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</si>
  <si>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</si>
  <si>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</si>
  <si>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</si>
  <si>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</si>
  <si>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</si>
  <si>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</si>
  <si>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</si>
  <si>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</si>
  <si>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</si>
  <si>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</si>
  <si>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</si>
  <si>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</si>
  <si>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</si>
  <si>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</si>
  <si>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</si>
  <si>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</si>
  <si>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</si>
  <si>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</si>
  <si>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</si>
  <si>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</si>
  <si>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</si>
  <si>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</si>
  <si>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</si>
  <si>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</si>
  <si>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</si>
  <si>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</si>
  <si>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</si>
  <si>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</si>
  <si>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</si>
  <si>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</si>
  <si>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</si>
  <si>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</si>
  <si>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</si>
  <si>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</si>
  <si>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</si>
  <si>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</si>
  <si>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</si>
  <si>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</si>
  <si>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</si>
  <si>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</si>
  <si>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</si>
  <si>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</si>
  <si>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</si>
  <si>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</si>
  <si>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</si>
  <si>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</si>
  <si>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</si>
  <si>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</si>
  <si>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</si>
  <si>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</si>
  <si>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</si>
  <si>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</si>
  <si>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</si>
  <si>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</si>
  <si>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</si>
  <si>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</si>
  <si>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</si>
  <si>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</si>
  <si>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</si>
  <si>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</si>
  <si>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</si>
  <si>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</si>
  <si>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</si>
  <si>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</si>
  <si>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</si>
  <si>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</si>
  <si>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</si>
  <si>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</si>
  <si>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</si>
  <si>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</si>
  <si>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</si>
  <si>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</si>
  <si>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</si>
  <si>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</si>
  <si>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</si>
  <si>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</si>
  <si>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</si>
  <si>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</si>
  <si>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</si>
  <si>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</si>
  <si>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</si>
  <si>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</si>
  <si>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</si>
  <si>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</si>
  <si>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</si>
  <si>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</si>
  <si>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</si>
  <si>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</si>
  <si>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</si>
  <si>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</si>
  <si>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</si>
  <si>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</si>
  <si>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</si>
  <si>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</si>
  <si>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</si>
  <si>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</si>
  <si>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</si>
  <si>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</si>
  <si>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</si>
  <si>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</si>
  <si>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</si>
  <si>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</si>
  <si>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</si>
  <si>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</si>
  <si>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</si>
  <si>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</si>
  <si>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</si>
  <si>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</si>
  <si>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</si>
  <si>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</si>
  <si>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</si>
  <si>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</si>
  <si>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</si>
  <si>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</si>
  <si>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</si>
  <si>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</si>
  <si>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</si>
  <si>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</si>
  <si>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</si>
  <si>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</si>
  <si>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</si>
  <si>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</si>
  <si>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</si>
  <si>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</si>
  <si>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</si>
  <si>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</si>
  <si>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</si>
  <si>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</si>
  <si>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</si>
  <si>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</si>
  <si>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</si>
  <si>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</si>
  <si>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</si>
  <si>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</si>
  <si>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</si>
  <si>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</si>
  <si>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</si>
  <si>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</si>
  <si>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</si>
  <si>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</si>
  <si>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</si>
  <si>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</si>
  <si>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</si>
  <si>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</si>
  <si>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</si>
  <si>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</si>
  <si>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</si>
  <si>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</si>
  <si>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</si>
  <si>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</si>
  <si>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</si>
  <si>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</si>
  <si>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</si>
  <si>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</si>
  <si>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</si>
  <si>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</si>
  <si>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</si>
  <si>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</si>
  <si>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</si>
  <si>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</si>
  <si>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</si>
  <si>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</si>
  <si>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</si>
  <si>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</si>
  <si>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</si>
  <si>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</si>
  <si>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</si>
  <si>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</si>
  <si>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</si>
  <si>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</si>
  <si>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</si>
  <si>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</si>
  <si>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</si>
  <si>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</si>
  <si>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</si>
  <si>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</si>
  <si>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</si>
  <si>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</si>
  <si>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</si>
  <si>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</si>
  <si>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</si>
  <si>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</si>
  <si>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</si>
  <si>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</si>
  <si>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</si>
  <si>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</si>
  <si>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</si>
  <si>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</si>
  <si>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</si>
  <si>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</si>
  <si>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</si>
  <si>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</si>
  <si>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</si>
  <si>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</si>
  <si>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</si>
  <si>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</si>
  <si>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</si>
  <si>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</si>
  <si>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</si>
  <si>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</si>
  <si>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</si>
  <si>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</si>
  <si>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</si>
  <si>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</si>
  <si>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</si>
  <si>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</si>
  <si>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</si>
  <si>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</si>
  <si>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</si>
  <si>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</si>
  <si>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</si>
  <si>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</si>
  <si>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</si>
  <si>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</si>
  <si>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</si>
  <si>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</si>
  <si>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</si>
  <si>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</si>
  <si>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</si>
  <si>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</si>
  <si>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</si>
  <si>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</si>
  <si>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</si>
  <si>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</si>
  <si>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</si>
  <si>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</si>
  <si>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</si>
  <si>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</si>
  <si>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</si>
  <si>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</si>
  <si>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</si>
  <si>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</si>
  <si>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</si>
  <si>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</si>
  <si>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</si>
  <si>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</si>
  <si>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</si>
  <si>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</si>
  <si>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</si>
  <si>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</si>
  <si>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</si>
  <si>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</si>
  <si>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</si>
  <si>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</si>
  <si>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</si>
  <si>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</si>
  <si>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</si>
  <si>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</si>
  <si>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</si>
  <si>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</si>
  <si>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</si>
  <si>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</si>
  <si>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</si>
  <si>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</si>
  <si>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</si>
  <si>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</si>
  <si>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</si>
  <si>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</si>
  <si>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</si>
  <si>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</si>
  <si>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</si>
  <si>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</si>
  <si>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</si>
  <si>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</si>
  <si>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</si>
  <si>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</si>
  <si>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</si>
  <si>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</si>
  <si>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</si>
  <si>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</si>
  <si>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</si>
  <si>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</si>
  <si>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</si>
  <si>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</si>
  <si>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</si>
  <si>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</si>
  <si>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</si>
  <si>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</si>
  <si>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</si>
  <si>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</si>
  <si>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</si>
  <si>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</si>
  <si>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</si>
  <si>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</si>
  <si>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</si>
  <si>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</si>
  <si>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</si>
  <si>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</si>
  <si>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</si>
  <si>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</si>
  <si>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</si>
  <si>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</si>
  <si>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</si>
  <si>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</si>
  <si>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</si>
  <si>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</si>
  <si>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</si>
  <si>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</si>
  <si>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</si>
  <si>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</si>
  <si>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</si>
  <si>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</si>
  <si>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</si>
  <si>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</si>
  <si>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</si>
  <si>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</si>
  <si>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</si>
  <si>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</si>
  <si>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</si>
  <si>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</si>
  <si>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</si>
  <si>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</si>
  <si>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</si>
  <si>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</si>
  <si>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</si>
  <si>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</si>
  <si>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</si>
  <si>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</si>
  <si>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</si>
  <si>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</si>
  <si>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</si>
  <si>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</si>
  <si>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</si>
  <si>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</si>
  <si>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</si>
  <si>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</si>
  <si>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</si>
  <si>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</si>
  <si>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</si>
  <si>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</si>
  <si>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</si>
  <si>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</si>
  <si>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</si>
  <si>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</si>
  <si>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</si>
  <si>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</si>
  <si>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</si>
  <si>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</si>
  <si>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</si>
  <si>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</si>
  <si>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</si>
  <si>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</si>
  <si>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</si>
  <si>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</si>
  <si>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</si>
  <si>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</si>
  <si>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</si>
  <si>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</si>
  <si>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</si>
  <si>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</si>
  <si>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</si>
  <si>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</si>
  <si>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</si>
  <si>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</si>
  <si>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</si>
  <si>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</si>
  <si>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</si>
  <si>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</si>
  <si>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</si>
  <si>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</si>
  <si>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</si>
  <si>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</si>
  <si>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</si>
  <si>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</si>
  <si>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</si>
  <si>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</si>
  <si>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</si>
  <si>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</si>
  <si>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</si>
  <si>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</si>
  <si>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</si>
  <si>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</si>
  <si>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</si>
  <si>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</si>
  <si>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</si>
  <si>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</si>
  <si>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</si>
  <si>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</si>
  <si>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</si>
  <si>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</si>
  <si>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</si>
  <si>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</si>
  <si>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</si>
  <si>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</si>
  <si>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</si>
  <si>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</si>
  <si>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</si>
  <si>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</si>
  <si>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</si>
  <si>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</si>
  <si>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</si>
  <si>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</si>
  <si>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</si>
  <si>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</si>
  <si>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</si>
  <si>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</si>
  <si>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</si>
  <si>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</si>
  <si>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</si>
  <si>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</si>
  <si>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</si>
  <si>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</si>
  <si>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</si>
  <si>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</si>
  <si>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</si>
  <si>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</si>
  <si>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</si>
  <si>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</si>
  <si>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</si>
  <si>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</si>
  <si>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</si>
  <si>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</si>
  <si>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</si>
  <si>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</si>
  <si>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</si>
  <si>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</si>
  <si>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</si>
  <si>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</si>
  <si>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</si>
  <si>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</si>
  <si>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</si>
  <si>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</si>
  <si>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</si>
  <si>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</si>
  <si>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</si>
  <si>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</si>
  <si>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</si>
  <si>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</si>
  <si>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</si>
  <si>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</si>
  <si>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</si>
  <si>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</si>
  <si>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</si>
  <si>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</si>
  <si>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</si>
  <si>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</si>
  <si>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</si>
  <si>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</si>
  <si>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</si>
  <si>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</si>
  <si>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</si>
  <si>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</si>
  <si>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</si>
  <si>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</si>
  <si>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</si>
  <si>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</si>
  <si>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</si>
  <si>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</si>
  <si>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</si>
  <si>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</si>
  <si>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</si>
  <si>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</si>
  <si>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</si>
  <si>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</si>
  <si>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</si>
  <si>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</si>
  <si>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</si>
  <si>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</si>
  <si>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</si>
  <si>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</si>
  <si>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</si>
  <si>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</si>
  <si>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</si>
  <si>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</si>
  <si>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</si>
  <si>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</si>
  <si>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</si>
  <si>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</si>
  <si>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</si>
  <si>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</si>
  <si>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</si>
  <si>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</si>
  <si>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</si>
  <si>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</si>
  <si>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</si>
  <si>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</si>
  <si>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</si>
  <si>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</si>
  <si>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</si>
  <si>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</si>
  <si>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</si>
  <si>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</si>
  <si>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</si>
  <si>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</si>
  <si>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</si>
  <si>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</si>
  <si>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</si>
  <si>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</si>
  <si>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</si>
  <si>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</si>
  <si>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</si>
  <si>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</si>
  <si>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</si>
  <si>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</si>
  <si>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</si>
  <si>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</si>
  <si>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</si>
  <si>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</si>
  <si>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</si>
  <si>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</si>
  <si>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</si>
  <si>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</si>
  <si>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</si>
  <si>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</si>
  <si>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</si>
  <si>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</si>
  <si>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</si>
  <si>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</si>
  <si>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</si>
  <si>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</si>
  <si>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</si>
  <si>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</si>
  <si>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</si>
  <si>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</si>
  <si>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</si>
  <si>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</si>
  <si>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</si>
  <si>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</si>
  <si>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</si>
  <si>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</si>
  <si>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</si>
  <si>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</si>
  <si>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</si>
  <si>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</si>
  <si>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</si>
  <si>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</si>
  <si>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</si>
  <si>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</si>
  <si>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</si>
  <si>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</si>
  <si>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</si>
  <si>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</si>
  <si>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</si>
  <si>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</si>
  <si>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</si>
  <si>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</si>
  <si>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</si>
  <si>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</si>
  <si>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</si>
  <si>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</si>
  <si>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</si>
  <si>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</si>
  <si>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</si>
  <si>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</si>
  <si>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</si>
  <si>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</si>
  <si>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</si>
  <si>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</si>
  <si>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</si>
  <si>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</si>
  <si>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</si>
  <si>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</si>
  <si>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</si>
  <si>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</si>
  <si>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</si>
  <si>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</si>
  <si>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</si>
  <si>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</si>
  <si>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</si>
  <si>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</si>
  <si>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</si>
  <si>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</si>
  <si>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</si>
  <si>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</si>
  <si>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</si>
  <si>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</si>
  <si>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</si>
  <si>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</si>
  <si>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</si>
  <si>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</si>
  <si>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</si>
  <si>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</si>
  <si>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</si>
  <si>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</si>
  <si>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</si>
  <si>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</si>
  <si>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</si>
  <si>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</si>
  <si>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</si>
  <si>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</si>
  <si>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</si>
  <si>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</si>
  <si>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</si>
  <si>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</si>
  <si>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</si>
  <si>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</si>
  <si>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</si>
  <si>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</si>
  <si>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</si>
  <si>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</si>
  <si>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</si>
  <si>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</si>
  <si>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</si>
  <si>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</si>
  <si>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</si>
  <si>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</si>
  <si>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</si>
  <si>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</si>
  <si>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</si>
  <si>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</si>
  <si>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</si>
  <si>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</si>
  <si>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</si>
  <si>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</si>
  <si>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</si>
  <si>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</si>
  <si>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</si>
  <si>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</si>
  <si>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</si>
  <si>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</si>
  <si>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</si>
  <si>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</si>
  <si>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</si>
  <si>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</si>
  <si>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</si>
  <si>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</si>
  <si>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</si>
  <si>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</si>
  <si>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</si>
  <si>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</si>
  <si>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</si>
  <si>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</si>
  <si>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</si>
  <si>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</si>
  <si>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</si>
  <si>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</si>
  <si>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</si>
  <si>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</si>
  <si>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</si>
  <si>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</si>
  <si>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</si>
  <si>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</si>
  <si>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</si>
  <si>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</si>
  <si>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</si>
  <si>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</si>
  <si>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</si>
  <si>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</si>
  <si>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</si>
  <si>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</si>
  <si>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</si>
  <si>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</si>
  <si>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</si>
  <si>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</si>
  <si>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</si>
  <si>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</si>
  <si>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</si>
  <si>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</si>
  <si>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</si>
  <si>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</si>
  <si>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</si>
  <si>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</si>
  <si>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</si>
  <si>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</si>
  <si>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</si>
  <si>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</si>
  <si>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</si>
  <si>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</si>
  <si>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</si>
  <si>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</si>
  <si>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</si>
  <si>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</si>
  <si>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</si>
  <si>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</si>
  <si>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</si>
  <si>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</si>
  <si>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</si>
  <si>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</si>
  <si>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</si>
  <si>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</si>
  <si>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</si>
  <si>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</si>
  <si>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</si>
  <si>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</si>
  <si>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</si>
  <si>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</si>
  <si>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</si>
  <si>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</si>
  <si>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</si>
  <si>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</si>
  <si>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</si>
  <si>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</si>
  <si>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</si>
  <si>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</si>
  <si>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</si>
  <si>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</si>
  <si>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</si>
  <si>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</si>
  <si>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</si>
  <si>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</si>
  <si>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</si>
  <si>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</si>
  <si>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</si>
  <si>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</si>
  <si>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</si>
  <si>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</si>
  <si>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</si>
  <si>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</si>
  <si>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</si>
  <si>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</si>
  <si>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</si>
  <si>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</si>
  <si>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</si>
  <si>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</si>
  <si>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</si>
  <si>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</si>
  <si>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</si>
  <si>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</si>
  <si>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</si>
  <si>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</si>
  <si>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</si>
  <si>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</si>
  <si>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</si>
  <si>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</si>
  <si>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</si>
  <si>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</si>
  <si>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</si>
  <si>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</si>
  <si>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</si>
  <si>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</si>
  <si>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</si>
  <si>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</si>
  <si>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</si>
  <si>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</si>
  <si>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</si>
  <si>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</si>
  <si>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</si>
  <si>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</si>
  <si>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</si>
  <si>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</si>
  <si>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</si>
  <si>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</si>
  <si>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</si>
  <si>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</si>
  <si>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</si>
  <si>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</si>
  <si>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</si>
  <si>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</si>
  <si>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</si>
  <si>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</si>
  <si>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</si>
  <si>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</si>
  <si>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</si>
  <si>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</si>
  <si>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</si>
  <si>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</si>
  <si>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</si>
  <si>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</si>
  <si>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</si>
  <si>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</si>
  <si>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</si>
  <si>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</si>
  <si>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</si>
  <si>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</si>
  <si>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</si>
  <si>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</si>
  <si>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</si>
  <si>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</si>
  <si>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</si>
  <si>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</si>
  <si>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</si>
  <si>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</si>
  <si>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</si>
  <si>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</si>
  <si>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</si>
  <si>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</si>
  <si>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</si>
  <si>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</si>
  <si>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</si>
  <si>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</si>
  <si>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</si>
  <si>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</si>
  <si>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</si>
  <si>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</si>
  <si>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</si>
  <si>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</si>
  <si>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</si>
  <si>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</si>
  <si>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</si>
  <si>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</si>
  <si>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</si>
  <si>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</si>
  <si>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</si>
  <si>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</si>
  <si>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</si>
  <si>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</si>
  <si>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</si>
  <si>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</si>
  <si>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</si>
  <si>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</si>
  <si>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</si>
  <si>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</si>
  <si>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</si>
  <si>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</si>
  <si>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</si>
  <si>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</si>
  <si>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</si>
  <si>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</si>
  <si>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</si>
  <si>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</si>
  <si>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</si>
  <si>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</si>
  <si>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</si>
  <si>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</si>
  <si>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</si>
  <si>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</si>
  <si>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</si>
  <si>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</si>
  <si>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</si>
  <si>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</si>
  <si>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</si>
  <si>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</si>
  <si>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</si>
  <si>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</si>
  <si>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</si>
  <si>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</si>
  <si>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</si>
  <si>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</si>
  <si>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</si>
  <si>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</si>
  <si>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</si>
  <si>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</si>
  <si>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</si>
  <si>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</si>
  <si>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</si>
  <si>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</si>
  <si>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</si>
  <si>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</si>
  <si>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</si>
  <si>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</si>
  <si>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</si>
  <si>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</si>
  <si>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</si>
  <si>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</si>
  <si>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</si>
  <si>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</si>
  <si>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</si>
  <si>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</si>
  <si>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</si>
  <si>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</si>
  <si>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</si>
  <si>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</si>
  <si>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</si>
  <si>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</si>
  <si>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</si>
  <si>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</si>
  <si>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</si>
  <si>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</si>
  <si>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</si>
  <si>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</si>
  <si>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</si>
  <si>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</si>
  <si>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</si>
  <si>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</si>
  <si>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</si>
  <si>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</si>
  <si>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</si>
  <si>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</si>
  <si>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</si>
  <si>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</si>
  <si>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</si>
  <si>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</si>
  <si>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</si>
  <si>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</si>
  <si>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</si>
  <si>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</si>
  <si>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</si>
  <si>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</si>
  <si>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</si>
  <si>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</si>
  <si>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</si>
  <si>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</si>
  <si>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</si>
  <si>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</si>
  <si>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</si>
  <si>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</si>
  <si>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</si>
  <si>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</si>
  <si>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</si>
  <si>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</si>
  <si>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</si>
  <si>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</si>
  <si>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</si>
  <si>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</si>
  <si>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</si>
  <si>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</si>
  <si>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</si>
  <si>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</si>
  <si>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</si>
  <si>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</si>
  <si>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</si>
  <si>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</si>
  <si>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</si>
  <si>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</si>
  <si>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</si>
  <si>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</si>
  <si>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</si>
  <si>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</si>
  <si>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</si>
  <si>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</si>
  <si>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</si>
  <si>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</si>
  <si>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</si>
  <si>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</si>
  <si>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</si>
  <si>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</si>
  <si>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</si>
  <si>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</si>
  <si>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</si>
  <si>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</si>
  <si>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</si>
  <si>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</si>
  <si>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</si>
  <si>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</si>
  <si>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</si>
  <si>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</si>
  <si>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</si>
  <si>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</si>
  <si>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</si>
  <si>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</si>
  <si>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</si>
  <si>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</si>
  <si>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</si>
  <si>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</si>
  <si>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</si>
  <si>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</si>
  <si>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</si>
  <si>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</si>
  <si>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</si>
  <si>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</si>
  <si>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</si>
  <si>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</si>
  <si>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</si>
  <si>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</si>
  <si>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</si>
  <si>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</si>
  <si>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</si>
  <si>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</si>
  <si>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</si>
  <si>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</si>
  <si>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</si>
  <si>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</si>
  <si>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</si>
  <si>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</si>
  <si>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</si>
  <si>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</si>
  <si>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</si>
  <si>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</si>
  <si>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</si>
  <si>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</si>
  <si>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</si>
  <si>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</si>
  <si>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</si>
  <si>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</si>
  <si>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</si>
  <si>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</si>
  <si>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</si>
  <si>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</si>
  <si>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</si>
  <si>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</si>
  <si>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</si>
  <si>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</si>
  <si>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</si>
  <si>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</si>
  <si>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</si>
  <si>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</si>
  <si>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</si>
  <si>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</si>
  <si>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</si>
  <si>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</si>
  <si>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</si>
  <si>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</si>
  <si>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</si>
  <si>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</si>
  <si>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</si>
  <si>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</si>
  <si>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</si>
  <si>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</si>
  <si>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</si>
  <si>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</si>
  <si>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</si>
  <si>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</si>
  <si>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</si>
  <si>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</si>
  <si>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</si>
  <si>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</si>
  <si>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</si>
  <si>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</si>
  <si>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</si>
  <si>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</si>
  <si>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</si>
  <si>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</si>
  <si>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</si>
  <si>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</si>
  <si>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</si>
  <si>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</si>
  <si>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</si>
  <si>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</si>
  <si>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</si>
  <si>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</si>
  <si>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</si>
  <si>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</si>
  <si>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</si>
  <si>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</si>
  <si>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</si>
  <si>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</si>
  <si>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</si>
  <si>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</si>
  <si>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</si>
  <si>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</si>
  <si>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</si>
  <si>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</si>
  <si>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</si>
  <si>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</si>
  <si>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</si>
  <si>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</si>
  <si>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</si>
  <si>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</si>
  <si>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</si>
  <si>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</si>
  <si>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</si>
  <si>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</si>
  <si>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</si>
  <si>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</si>
  <si>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</si>
  <si>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</si>
  <si>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</si>
  <si>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</si>
  <si>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</si>
  <si>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</si>
  <si>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</si>
  <si>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</si>
  <si>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</si>
  <si>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</si>
  <si>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</si>
  <si>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</si>
  <si>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</si>
  <si>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</si>
  <si>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</si>
  <si>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</si>
  <si>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</si>
  <si>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</si>
  <si>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</si>
  <si>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</si>
  <si>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</si>
  <si>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</si>
  <si>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</si>
  <si>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</si>
  <si>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</si>
  <si>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</si>
  <si>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</si>
  <si>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</si>
  <si>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</si>
  <si>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</si>
  <si>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</si>
  <si>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</si>
  <si>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</si>
  <si>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</si>
  <si>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</si>
  <si>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</si>
  <si>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</si>
  <si>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</si>
  <si>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</si>
  <si>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</si>
  <si>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</si>
  <si>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</si>
  <si>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</si>
  <si>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</si>
  <si>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</si>
  <si>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</si>
  <si>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</si>
  <si>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</si>
  <si>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</si>
  <si>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</si>
  <si>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</si>
  <si>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</si>
  <si>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</si>
  <si>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</si>
  <si>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</si>
  <si>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</si>
  <si>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</si>
  <si>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</si>
  <si>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</si>
  <si>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</si>
  <si>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</si>
  <si>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</si>
  <si>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</si>
  <si>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</si>
  <si>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</si>
  <si>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</si>
  <si>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</si>
  <si>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</si>
  <si>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</si>
  <si>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</si>
  <si>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</si>
  <si>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</si>
  <si>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</si>
  <si>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</si>
  <si>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</si>
  <si>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</si>
  <si>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</si>
  <si>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</si>
  <si>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</si>
  <si>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</si>
  <si>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</si>
  <si>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</si>
  <si>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</si>
  <si>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</si>
  <si>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</si>
  <si>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</si>
  <si>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</si>
  <si>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</si>
  <si>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</si>
  <si>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</si>
  <si>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</si>
  <si>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</si>
  <si>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</si>
  <si>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</si>
  <si>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</si>
  <si>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</si>
  <si>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</si>
  <si>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</si>
  <si>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</si>
  <si>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</si>
  <si>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</si>
  <si>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</si>
  <si>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</si>
  <si>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</si>
  <si>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</si>
  <si>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</si>
  <si>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</si>
  <si>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</si>
  <si>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</si>
  <si>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</si>
  <si>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</si>
  <si>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</si>
  <si>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</si>
  <si>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</si>
  <si>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</si>
  <si>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</si>
  <si>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</si>
  <si>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</si>
  <si>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</si>
  <si>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</si>
  <si>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</si>
  <si>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</si>
  <si>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</si>
  <si>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</si>
  <si>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</si>
  <si>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</si>
  <si>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</si>
  <si>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</si>
  <si>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</si>
  <si>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</si>
  <si>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</si>
  <si>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</si>
  <si>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</si>
  <si>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</si>
  <si>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</si>
  <si>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</si>
  <si>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</si>
  <si>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</si>
  <si>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</si>
  <si>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</si>
  <si>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</si>
  <si>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</si>
  <si>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</si>
  <si>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</si>
  <si>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</si>
  <si>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</si>
  <si>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</si>
  <si>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</si>
  <si>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</si>
  <si>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</si>
  <si>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</si>
  <si>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</si>
  <si>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</si>
  <si>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</si>
  <si>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</si>
  <si>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</si>
  <si>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</si>
  <si>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</si>
  <si>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</si>
  <si>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</si>
  <si>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</si>
  <si>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</si>
  <si>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</si>
  <si>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</si>
  <si>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</si>
  <si>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</si>
  <si>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</si>
  <si>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</si>
  <si>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</si>
  <si>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</si>
  <si>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</si>
  <si>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</si>
  <si>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</si>
  <si>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</si>
  <si>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</si>
  <si>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</si>
  <si>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</si>
  <si>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</si>
  <si>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</si>
  <si>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</si>
  <si>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</si>
  <si>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</si>
  <si>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</si>
  <si>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</si>
  <si>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</si>
  <si>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</si>
  <si>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</si>
  <si>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</si>
  <si>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</si>
  <si>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</si>
  <si>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</si>
  <si>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</si>
  <si>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</si>
  <si>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</si>
  <si>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</si>
  <si>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</si>
  <si>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</si>
  <si>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</si>
  <si>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</si>
  <si>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</si>
  <si>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</si>
  <si>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</si>
  <si>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</si>
  <si>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</si>
  <si>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</si>
  <si>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</si>
  <si>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</si>
  <si>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</si>
  <si>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</si>
  <si>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</si>
  <si>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</si>
  <si>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</si>
  <si>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</si>
  <si>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</si>
  <si>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</si>
  <si>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</si>
  <si>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</si>
  <si>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</si>
  <si>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</si>
  <si>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</si>
  <si>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</si>
  <si>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</si>
  <si>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</si>
  <si>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</si>
  <si>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</si>
  <si>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</si>
  <si>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</si>
  <si>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</si>
  <si>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</si>
  <si>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</si>
  <si>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</si>
  <si>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</si>
  <si>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</si>
  <si>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</si>
  <si>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</si>
  <si>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</si>
  <si>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</si>
  <si>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</si>
  <si>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</si>
  <si>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</si>
  <si>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</si>
  <si>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</si>
  <si>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</si>
  <si>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</si>
  <si>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</si>
  <si>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</si>
  <si>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</si>
  <si>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</si>
  <si>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</si>
  <si>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</si>
  <si>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</si>
  <si>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</si>
  <si>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</si>
  <si>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</si>
  <si>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</si>
  <si>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</si>
  <si>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</si>
  <si>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</si>
  <si>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</si>
  <si>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</si>
  <si>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</si>
  <si>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</si>
  <si>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</si>
  <si>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</si>
  <si>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</si>
  <si>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</si>
  <si>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</si>
  <si>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</si>
  <si>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</si>
  <si>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</si>
  <si>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</si>
  <si>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</si>
  <si>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</si>
  <si>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</si>
  <si>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</si>
  <si>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</si>
  <si>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</si>
  <si>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</si>
  <si>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</si>
  <si>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</si>
  <si>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</si>
  <si>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</si>
  <si>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</si>
  <si>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</si>
  <si>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</si>
  <si>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</si>
  <si>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</si>
  <si>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</si>
  <si>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</si>
  <si>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</si>
  <si>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</si>
  <si>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</si>
  <si>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</si>
  <si>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</si>
  <si>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</si>
  <si>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</si>
  <si>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</si>
  <si>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</si>
  <si>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</si>
  <si>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</si>
  <si>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</si>
  <si>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</si>
  <si>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</si>
  <si>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</si>
  <si>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</si>
  <si>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</si>
  <si>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</si>
  <si>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</si>
  <si>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</si>
  <si>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</si>
  <si>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</si>
  <si>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</si>
  <si>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</si>
  <si>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</si>
  <si>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</si>
  <si>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</si>
  <si>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</si>
  <si>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</si>
  <si>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</si>
  <si>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</si>
  <si>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</si>
  <si>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</si>
  <si>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</si>
  <si>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</si>
  <si>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</si>
  <si>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</si>
  <si>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</si>
  <si>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</si>
  <si>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</si>
  <si>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</si>
  <si>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</si>
  <si>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</si>
  <si>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</si>
  <si>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</si>
  <si>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</si>
  <si>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</si>
  <si>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</si>
  <si>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</si>
  <si>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</si>
  <si>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</si>
  <si>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</si>
  <si>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</si>
  <si>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</si>
  <si>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</si>
  <si>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</si>
  <si>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</si>
  <si>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</si>
  <si>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</si>
  <si>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</si>
  <si>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</si>
  <si>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</si>
  <si>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</si>
  <si>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</si>
  <si>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</si>
  <si>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</si>
  <si>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</si>
  <si>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</si>
  <si>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</si>
  <si>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</si>
  <si>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</si>
  <si>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</si>
  <si>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</si>
  <si>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</si>
  <si>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</si>
  <si>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</si>
  <si>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</si>
  <si>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</si>
  <si>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</si>
  <si>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</si>
  <si>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</si>
  <si>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</si>
  <si>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</si>
  <si>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</si>
  <si>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</si>
  <si>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</si>
  <si>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</si>
  <si>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</si>
  <si>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</si>
  <si>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</si>
  <si>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</si>
  <si>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</si>
  <si>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</si>
  <si>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</si>
  <si>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</si>
  <si>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</si>
  <si>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</si>
  <si>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</si>
  <si>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</si>
  <si>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</si>
  <si>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</si>
  <si>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</si>
  <si>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</si>
  <si>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</si>
  <si>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</si>
  <si>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</si>
  <si>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</si>
  <si>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</si>
  <si>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</si>
  <si>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</si>
  <si>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</si>
  <si>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</si>
  <si>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</si>
  <si>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</si>
  <si>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</si>
  <si>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</si>
  <si>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</si>
  <si>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</si>
  <si>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</si>
  <si>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</si>
  <si>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</si>
  <si>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</si>
  <si>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</si>
  <si>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</si>
  <si>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</si>
  <si>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</si>
  <si>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</si>
  <si>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</si>
  <si>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</si>
  <si>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</si>
  <si>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</si>
  <si>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</si>
  <si>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</si>
  <si>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</si>
  <si>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</si>
  <si>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</si>
  <si>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</si>
  <si>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</si>
  <si>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</si>
  <si>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</si>
  <si>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</si>
  <si>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</si>
  <si>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</si>
  <si>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</si>
  <si>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</si>
  <si>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</si>
  <si>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</si>
  <si>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</si>
  <si>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</si>
  <si>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</si>
  <si>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</si>
  <si>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</si>
  <si>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</si>
  <si>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</si>
  <si>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</si>
  <si>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</si>
  <si>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</si>
  <si>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</si>
  <si>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</si>
  <si>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</si>
  <si>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</si>
  <si>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</si>
  <si>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</si>
  <si>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</si>
  <si>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</si>
  <si>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</si>
  <si>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</si>
  <si>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</si>
  <si>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</si>
  <si>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</si>
  <si>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</si>
  <si>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</si>
  <si>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</si>
  <si>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</si>
  <si>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</si>
  <si>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</si>
  <si>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</si>
  <si>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</si>
  <si>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</si>
  <si>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</si>
  <si>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</si>
  <si>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</si>
  <si>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</si>
  <si>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</si>
  <si>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</si>
  <si>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</si>
  <si>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</si>
  <si>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</si>
  <si>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</si>
  <si>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</si>
  <si>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</si>
  <si>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</si>
  <si>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</si>
  <si>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</si>
  <si>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</si>
  <si>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</si>
  <si>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</si>
  <si>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</si>
  <si>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</si>
  <si>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</si>
  <si>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</si>
  <si>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</si>
  <si>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</si>
  <si>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</si>
  <si>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</si>
  <si>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</si>
  <si>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</si>
  <si>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</si>
  <si>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</si>
  <si>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</si>
  <si>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</si>
  <si>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</si>
  <si>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</si>
  <si>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</si>
  <si>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</si>
  <si>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</si>
  <si>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</si>
  <si>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</si>
  <si>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</si>
  <si>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</si>
  <si>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</si>
  <si>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</si>
  <si>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</si>
  <si>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</si>
  <si>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</si>
  <si>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</si>
  <si>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</si>
  <si>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</si>
  <si>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</si>
  <si>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</si>
  <si>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</si>
  <si>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</si>
  <si>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</si>
  <si>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</si>
  <si>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</si>
  <si>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</si>
  <si>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</si>
  <si>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</si>
  <si>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</si>
  <si>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</si>
  <si>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</si>
  <si>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</si>
  <si>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</si>
  <si>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</si>
  <si>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</si>
  <si>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</si>
  <si>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</si>
  <si>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</si>
  <si>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</si>
  <si>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</si>
  <si>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</si>
  <si>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</si>
  <si>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</si>
  <si>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</si>
  <si>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</si>
  <si>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</si>
  <si>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</si>
  <si>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</si>
  <si>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</si>
  <si>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</si>
  <si>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</si>
  <si>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</si>
  <si>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</si>
  <si>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</si>
  <si>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</si>
  <si>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</si>
  <si>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</si>
  <si>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</si>
  <si>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</si>
  <si>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</si>
  <si>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</si>
  <si>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</si>
  <si>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</si>
  <si>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</si>
  <si>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</si>
  <si>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</si>
  <si>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</si>
  <si>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</si>
  <si>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</si>
  <si>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</si>
  <si>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</si>
  <si>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</si>
  <si>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</si>
  <si>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</si>
  <si>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</si>
  <si>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</si>
  <si>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</si>
  <si>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</si>
  <si>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</si>
  <si>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</si>
  <si>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</si>
  <si>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</si>
  <si>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</si>
  <si>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</si>
  <si>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</si>
  <si>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</si>
  <si>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</si>
  <si>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</si>
  <si>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</si>
  <si>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</si>
  <si>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</si>
  <si>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</si>
  <si>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</si>
  <si>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</si>
  <si>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</si>
  <si>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</si>
  <si>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</si>
  <si>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</si>
  <si>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</si>
  <si>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</si>
  <si>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</si>
  <si>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</si>
  <si>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</si>
  <si>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</si>
  <si>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</si>
  <si>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</si>
  <si>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</si>
  <si>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</si>
  <si>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</si>
  <si>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</si>
  <si>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</si>
  <si>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</si>
  <si>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</si>
  <si>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</si>
  <si>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</si>
  <si>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</si>
  <si>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</si>
  <si>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</si>
  <si>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</si>
  <si>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</si>
  <si>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</si>
  <si>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</si>
  <si>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</si>
  <si>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</si>
  <si>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</si>
  <si>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</si>
  <si>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</si>
  <si>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</si>
  <si>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</si>
  <si>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</si>
  <si>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</si>
  <si>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</si>
  <si>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</si>
  <si>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</si>
  <si>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</si>
  <si>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</si>
  <si>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</si>
  <si>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</si>
  <si>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</si>
  <si>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</si>
  <si>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</si>
  <si>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</si>
  <si>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</si>
  <si>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</si>
  <si>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</si>
  <si>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</si>
  <si>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</si>
  <si>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</si>
  <si>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</si>
  <si>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</si>
  <si>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</si>
  <si>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</si>
  <si>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</si>
  <si>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</si>
  <si>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</si>
  <si>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</si>
  <si>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</si>
  <si>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</si>
  <si>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</si>
  <si>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</si>
  <si>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</si>
  <si>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</si>
  <si>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</si>
  <si>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</si>
  <si>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</si>
  <si>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</si>
  <si>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</si>
  <si>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</si>
  <si>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</si>
  <si>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</si>
  <si>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</si>
  <si>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</si>
  <si>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</si>
  <si>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</si>
  <si>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</si>
  <si>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</si>
  <si>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</si>
  <si>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</si>
  <si>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</si>
  <si>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</si>
  <si>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</si>
  <si>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</si>
  <si>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</si>
  <si>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</si>
  <si>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</si>
  <si>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</si>
  <si>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</si>
  <si>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</si>
  <si>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</si>
  <si>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</si>
  <si>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</si>
  <si>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</si>
  <si>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</si>
  <si>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</si>
  <si>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</si>
  <si>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</si>
  <si>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</si>
  <si>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</si>
  <si>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</si>
  <si>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</si>
  <si>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</si>
  <si>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</si>
  <si>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</si>
  <si>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</si>
  <si>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</si>
  <si>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</si>
  <si>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</si>
  <si>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</si>
  <si>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</si>
  <si>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</si>
  <si>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</si>
  <si>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</si>
  <si>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</si>
  <si>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</si>
  <si>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</si>
  <si>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</si>
  <si>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</si>
  <si>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</si>
  <si>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</si>
  <si>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</si>
  <si>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</si>
  <si>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</si>
  <si>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</si>
  <si>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</si>
  <si>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</si>
  <si>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</si>
  <si>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</si>
  <si>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</si>
  <si>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</si>
  <si>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</si>
  <si>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</si>
  <si>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</si>
  <si>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</si>
  <si>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</si>
  <si>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</si>
  <si>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</si>
  <si>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</si>
  <si>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</si>
  <si>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</si>
  <si>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</si>
  <si>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</si>
  <si>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</si>
  <si>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</si>
  <si>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</si>
  <si>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</si>
  <si>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</si>
  <si>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</si>
  <si>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</si>
  <si>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</si>
  <si>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</si>
  <si>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</si>
  <si>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</si>
  <si>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</si>
  <si>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</si>
  <si>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</si>
  <si>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</si>
  <si>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</si>
  <si>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</si>
  <si>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</si>
  <si>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</si>
  <si>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</si>
  <si>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</si>
  <si>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</si>
  <si>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</si>
  <si>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</si>
  <si>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</si>
  <si>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</si>
  <si>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</si>
  <si>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</si>
  <si>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</si>
  <si>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</si>
  <si>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</si>
  <si>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</si>
  <si>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</si>
  <si>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</si>
  <si>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</si>
  <si>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</si>
  <si>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</si>
  <si>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</si>
  <si>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</si>
  <si>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</si>
  <si>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</si>
  <si>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</si>
  <si>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</si>
  <si>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</si>
  <si>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</si>
  <si>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</si>
  <si>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</si>
  <si>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</si>
  <si>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</si>
  <si>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</si>
  <si>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</si>
  <si>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</si>
  <si>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</si>
  <si>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</si>
  <si>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</si>
  <si>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</si>
  <si>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</si>
  <si>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</si>
  <si>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</si>
  <si>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</si>
  <si>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</si>
  <si>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</si>
  <si>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</si>
  <si>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</si>
  <si>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</si>
  <si>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</si>
  <si>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</si>
  <si>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</si>
  <si>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</si>
  <si>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</si>
  <si>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</si>
  <si>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</si>
  <si>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</si>
  <si>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</si>
  <si>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</si>
  <si>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</si>
  <si>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</si>
  <si>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</si>
  <si>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</si>
  <si>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</si>
  <si>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</si>
  <si>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</si>
  <si>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</si>
  <si>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</si>
  <si>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</si>
  <si>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</si>
  <si>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</si>
  <si>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</si>
  <si>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</si>
  <si>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</si>
  <si>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</si>
  <si>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</si>
  <si>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</si>
  <si>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</si>
  <si>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</si>
  <si>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</si>
  <si>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</si>
  <si>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</si>
  <si>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</si>
  <si>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</si>
  <si>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</si>
  <si>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</si>
  <si>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</si>
  <si>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</si>
  <si>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</si>
  <si>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</si>
  <si>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</si>
  <si>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</si>
  <si>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</si>
  <si>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</si>
  <si>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</si>
  <si>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</si>
  <si>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</si>
  <si>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</si>
  <si>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</si>
  <si>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</si>
  <si>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</si>
  <si>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</si>
  <si>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</si>
  <si>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</si>
  <si>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</si>
  <si>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</si>
  <si>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</si>
  <si>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</si>
  <si>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</si>
  <si>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</si>
  <si>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</si>
  <si>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</si>
  <si>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</si>
  <si>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</si>
  <si>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</si>
  <si>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</si>
  <si>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</si>
  <si>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</si>
  <si>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</si>
  <si>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</si>
  <si>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</si>
  <si>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</si>
  <si>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</si>
  <si>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</si>
  <si>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</si>
  <si>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</si>
  <si>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</si>
  <si>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</si>
  <si>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</si>
  <si>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</si>
  <si>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</si>
  <si>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</si>
  <si>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</si>
  <si>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</si>
  <si>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</si>
  <si>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</si>
  <si>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</si>
  <si>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</si>
  <si>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</si>
  <si>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</si>
  <si>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</si>
  <si>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</si>
  <si>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</si>
  <si>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</si>
  <si>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</si>
  <si>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</si>
  <si>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</si>
  <si>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</si>
  <si>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</si>
  <si>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</si>
  <si>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</si>
  <si>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</si>
  <si>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</si>
  <si>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</si>
  <si>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</si>
  <si>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</si>
  <si>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</si>
  <si>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</si>
  <si>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</si>
  <si>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</si>
  <si>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</si>
  <si>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</si>
  <si>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</si>
  <si>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</si>
  <si>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</si>
  <si>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</si>
  <si>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</si>
  <si>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</si>
  <si>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</si>
  <si>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</si>
  <si>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</si>
  <si>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</si>
  <si>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</si>
  <si>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</si>
  <si>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</si>
  <si>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</si>
  <si>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</si>
  <si>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</si>
  <si>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</si>
  <si>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</si>
  <si>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</si>
  <si>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</si>
  <si>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</si>
  <si>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</si>
  <si>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</si>
  <si>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</si>
  <si>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</si>
  <si>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</si>
  <si>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</si>
  <si>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</si>
  <si>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</si>
  <si>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</si>
  <si>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</si>
  <si>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</si>
  <si>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</si>
  <si>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</si>
  <si>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</si>
  <si>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</si>
  <si>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</si>
  <si>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</si>
  <si>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</si>
  <si>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</si>
  <si>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</si>
  <si>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</si>
  <si>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</si>
  <si>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</si>
  <si>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</si>
  <si>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</si>
  <si>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</si>
  <si>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</si>
  <si>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</si>
  <si>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</si>
  <si>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</si>
  <si>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</si>
  <si>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</si>
  <si>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</si>
  <si>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</si>
  <si>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</si>
  <si>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</si>
  <si>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</si>
  <si>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</si>
  <si>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</si>
  <si>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</si>
  <si>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</si>
  <si>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</si>
  <si>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</si>
  <si>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</si>
  <si>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</si>
  <si>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</si>
  <si>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</si>
  <si>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</si>
  <si>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</si>
  <si>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</si>
  <si>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</si>
  <si>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</si>
  <si>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</si>
  <si>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</si>
  <si>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</si>
  <si>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</si>
  <si>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</si>
  <si>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</si>
  <si>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</si>
  <si>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</si>
  <si>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</si>
  <si>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</si>
  <si>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</si>
  <si>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</si>
  <si>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</si>
  <si>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</si>
  <si>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</si>
  <si>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</si>
  <si>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</si>
  <si>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</si>
  <si>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</si>
  <si>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</si>
  <si>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</si>
  <si>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</si>
  <si>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</si>
  <si>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</si>
  <si>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</si>
  <si>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</si>
  <si>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</si>
  <si>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</si>
  <si>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</si>
  <si>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</si>
  <si>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</si>
  <si>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</si>
  <si>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</si>
  <si>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</si>
  <si>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</si>
  <si>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</si>
  <si>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</si>
  <si>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</si>
  <si>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</si>
  <si>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</si>
  <si>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</si>
  <si>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</si>
  <si>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</si>
  <si>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</si>
  <si>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</si>
  <si>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</si>
  <si>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</si>
  <si>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</si>
  <si>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</si>
  <si>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</si>
  <si>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</si>
  <si>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</si>
  <si>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</si>
  <si>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</si>
  <si>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</si>
  <si>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</si>
  <si>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</si>
  <si>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</si>
  <si>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</si>
  <si>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</si>
  <si>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</si>
  <si>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</si>
  <si>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</si>
  <si>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</si>
  <si>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</si>
  <si>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</si>
  <si>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</si>
  <si>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</si>
  <si>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</si>
  <si>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</si>
  <si>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</si>
  <si>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</si>
  <si>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</si>
  <si>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</si>
  <si>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</si>
  <si>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</si>
  <si>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</si>
  <si>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</si>
  <si>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</si>
  <si>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</si>
  <si>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</si>
  <si>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</si>
  <si>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</si>
  <si>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</si>
  <si>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</si>
  <si>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</si>
  <si>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</si>
  <si>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</si>
  <si>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</si>
  <si>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</si>
  <si>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</si>
  <si>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</si>
  <si>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</si>
  <si>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</si>
  <si>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</si>
  <si>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</si>
  <si>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</si>
  <si>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</si>
  <si>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</si>
  <si>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</si>
  <si>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</si>
  <si>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</si>
  <si>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</si>
  <si>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</si>
  <si>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</si>
  <si>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</si>
  <si>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</si>
  <si>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</si>
  <si>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</si>
  <si>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</si>
  <si>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</si>
  <si>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</si>
  <si>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</si>
  <si>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</si>
  <si>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</si>
  <si>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</si>
  <si>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</si>
  <si>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</si>
  <si>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</si>
  <si>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</si>
  <si>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</si>
  <si>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</si>
  <si>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</si>
  <si>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</si>
  <si>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</si>
  <si>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</si>
  <si>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</si>
  <si>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</si>
  <si>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</si>
  <si>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</si>
  <si>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</si>
  <si>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</si>
  <si>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</si>
  <si>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</si>
  <si>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</si>
  <si>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</si>
  <si>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</si>
  <si>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</si>
  <si>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</si>
  <si>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</si>
  <si>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</si>
  <si>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</si>
  <si>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</si>
  <si>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</si>
  <si>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</si>
  <si>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</si>
  <si>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</si>
  <si>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</si>
  <si>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</si>
  <si>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</si>
  <si>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</si>
  <si>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</si>
  <si>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</si>
  <si>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</si>
  <si>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</si>
  <si>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</si>
  <si>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</si>
  <si>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</si>
  <si>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</si>
  <si>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</si>
  <si>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</si>
  <si>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</si>
  <si>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</si>
  <si>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</si>
  <si>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</si>
  <si>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</si>
  <si>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</si>
  <si>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</si>
  <si>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</si>
  <si>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</si>
  <si>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</si>
  <si>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</si>
  <si>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</si>
  <si>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</si>
  <si>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</si>
  <si>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</si>
  <si>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</si>
  <si>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</si>
  <si>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</si>
  <si>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</si>
  <si>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</si>
  <si>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</si>
  <si>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</si>
  <si>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</si>
  <si>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</si>
  <si>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</si>
  <si>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</si>
  <si>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</si>
  <si>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</si>
  <si>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</si>
  <si>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</si>
  <si>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</si>
  <si>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</si>
  <si>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</si>
  <si>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</si>
  <si>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</si>
  <si>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</si>
  <si>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</si>
  <si>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</si>
  <si>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</si>
  <si>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</si>
  <si>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</si>
  <si>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</si>
  <si>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</si>
  <si>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</si>
  <si>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</si>
  <si>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</si>
  <si>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</si>
  <si>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</si>
  <si>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</si>
  <si>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</si>
  <si>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</si>
  <si>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</si>
  <si>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</si>
  <si>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</si>
  <si>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</si>
  <si>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</si>
  <si>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</si>
  <si>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</si>
  <si>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</si>
  <si>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</si>
  <si>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</si>
  <si>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</si>
  <si>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</si>
  <si>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</si>
  <si>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</si>
  <si>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</si>
  <si>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</si>
  <si>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</si>
  <si>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</si>
  <si>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</si>
  <si>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</si>
  <si>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</si>
  <si>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</si>
  <si>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</si>
  <si>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</si>
  <si>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</si>
  <si>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</si>
  <si>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</si>
  <si>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</si>
  <si>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</si>
  <si>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</si>
  <si>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</si>
  <si>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</si>
  <si>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</si>
  <si>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</si>
  <si>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</si>
  <si>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</si>
  <si>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</si>
  <si>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</si>
  <si>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</si>
  <si>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</si>
  <si>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</si>
  <si>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</si>
  <si>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</si>
  <si>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</si>
  <si>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</si>
  <si>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</si>
  <si>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</si>
  <si>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</si>
  <si>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</si>
  <si>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</si>
  <si>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</si>
  <si>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</si>
  <si>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</si>
  <si>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</si>
  <si>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</si>
  <si>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</si>
  <si>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</si>
  <si>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</si>
  <si>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</si>
  <si>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</si>
  <si>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</si>
  <si>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</si>
  <si>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</si>
  <si>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</si>
  <si>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</si>
  <si>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</si>
  <si>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</si>
  <si>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</si>
  <si>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</si>
  <si>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</si>
  <si>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</si>
  <si>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</si>
  <si>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</si>
  <si>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</si>
  <si>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</si>
  <si>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</si>
  <si>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</si>
  <si>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</si>
  <si>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</si>
  <si>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</si>
  <si>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</si>
  <si>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</si>
  <si>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</si>
  <si>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</si>
  <si>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</si>
  <si>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</si>
  <si>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</si>
  <si>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</si>
  <si>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</si>
  <si>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</si>
  <si>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</si>
  <si>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</si>
  <si>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</si>
  <si>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</si>
  <si>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</si>
  <si>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</si>
  <si>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</si>
  <si>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</si>
  <si>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</si>
  <si>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</si>
  <si>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</si>
  <si>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</si>
  <si>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</si>
  <si>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</si>
  <si>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</si>
  <si>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</si>
  <si>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</si>
  <si>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</si>
  <si>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</si>
  <si>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</si>
  <si>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</si>
  <si>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</si>
  <si>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</si>
  <si>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</si>
  <si>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</si>
  <si>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</si>
  <si>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</si>
  <si>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</si>
  <si>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</si>
  <si>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</si>
  <si>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</si>
  <si>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</si>
  <si>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</si>
  <si>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</si>
  <si>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</si>
  <si>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</si>
  <si>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</si>
  <si>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</si>
  <si>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</si>
  <si>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</si>
  <si>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</si>
  <si>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</si>
  <si>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</si>
  <si>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</si>
  <si>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</si>
  <si>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</si>
  <si>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</si>
  <si>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</si>
  <si>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</si>
  <si>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</si>
  <si>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</si>
  <si>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</si>
  <si>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</si>
  <si>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</si>
  <si>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</si>
  <si>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</si>
  <si>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</si>
  <si>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</si>
  <si>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</si>
  <si>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</si>
  <si>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</si>
  <si>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</si>
  <si>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</si>
  <si>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</si>
  <si>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</si>
  <si>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</si>
  <si>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</si>
  <si>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</si>
  <si>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</si>
  <si>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</si>
  <si>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</si>
  <si>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</si>
  <si>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</si>
  <si>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</si>
  <si>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</si>
  <si>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</si>
  <si>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</si>
  <si>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</si>
  <si>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</si>
  <si>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</si>
  <si>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</si>
  <si>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</si>
  <si>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</si>
  <si>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</si>
  <si>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</si>
  <si>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</si>
  <si>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</si>
  <si>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</si>
  <si>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</si>
  <si>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</si>
  <si>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</si>
  <si>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</si>
  <si>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</si>
  <si>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</si>
  <si>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</si>
  <si>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</si>
  <si>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</si>
  <si>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</si>
  <si>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</si>
  <si>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</si>
  <si>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</si>
  <si>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</si>
  <si>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</si>
  <si>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</si>
  <si>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</si>
  <si>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</si>
  <si>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</si>
  <si>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</si>
  <si>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</si>
  <si>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</si>
  <si>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</si>
  <si>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</si>
  <si>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</si>
  <si>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</si>
  <si>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</si>
  <si>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</si>
  <si>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</si>
  <si>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</si>
  <si>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</si>
  <si>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</si>
  <si>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</si>
  <si>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</si>
  <si>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</si>
  <si>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</si>
  <si>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</si>
  <si>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</si>
  <si>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</si>
  <si>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</si>
  <si>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</si>
  <si>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</si>
  <si>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</si>
  <si>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</si>
  <si>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</si>
  <si>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</si>
  <si>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</si>
  <si>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</si>
  <si>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</si>
  <si>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</si>
  <si>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</si>
  <si>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</si>
  <si>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</si>
  <si>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</si>
  <si>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</si>
  <si>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</si>
  <si>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</si>
  <si>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</si>
  <si>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</si>
  <si>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</si>
  <si>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</si>
  <si>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</si>
  <si>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</si>
  <si>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</si>
  <si>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</si>
  <si>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</si>
  <si>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</si>
  <si>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</si>
  <si>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</si>
  <si>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</si>
  <si>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</si>
  <si>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</si>
  <si>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</si>
  <si>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</si>
  <si>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</si>
  <si>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</si>
  <si>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</si>
  <si>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</si>
  <si>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</si>
  <si>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</si>
  <si>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</si>
  <si>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</si>
  <si>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</si>
  <si>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</si>
  <si>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</si>
  <si>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</si>
  <si>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</si>
  <si>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</si>
  <si>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</si>
  <si>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</si>
  <si>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</si>
  <si>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</si>
  <si>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</si>
  <si>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</si>
  <si>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</si>
  <si>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</si>
  <si>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</si>
  <si>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</si>
  <si>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</si>
  <si>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</si>
  <si>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</si>
  <si>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</si>
  <si>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</si>
  <si>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</si>
  <si>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</si>
  <si>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</si>
  <si>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</si>
  <si>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</si>
  <si>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</si>
  <si>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</si>
  <si>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</si>
  <si>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</si>
  <si>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</si>
  <si>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</si>
  <si>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</si>
  <si>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</si>
  <si>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</si>
  <si>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</si>
  <si>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</si>
  <si>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</si>
  <si>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</si>
  <si>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</si>
  <si>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</si>
  <si>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</si>
  <si>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</si>
  <si>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</si>
  <si>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</si>
  <si>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</si>
  <si>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</si>
  <si>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</si>
  <si>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</si>
  <si>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</si>
  <si>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</si>
  <si>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</si>
  <si>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</si>
  <si>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</si>
  <si>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</si>
  <si>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</si>
  <si>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</si>
  <si>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</si>
  <si>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</si>
  <si>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</si>
  <si>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</si>
  <si>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</si>
  <si>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</si>
  <si>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</si>
  <si>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</si>
  <si>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</si>
  <si>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</si>
  <si>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</si>
  <si>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</si>
  <si>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</si>
  <si>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</si>
  <si>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</si>
  <si>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</si>
  <si>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</si>
  <si>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</si>
  <si>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</si>
  <si>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</si>
  <si>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</si>
  <si>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</si>
  <si>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</si>
  <si>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</si>
  <si>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</si>
  <si>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</si>
  <si>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</si>
  <si>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</si>
  <si>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</si>
  <si>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</si>
  <si>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</si>
  <si>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</si>
  <si>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</si>
  <si>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</si>
  <si>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</si>
  <si>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</si>
  <si>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</si>
  <si>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</si>
  <si>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</si>
  <si>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</si>
  <si>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</si>
  <si>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</si>
  <si>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</si>
  <si>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</si>
  <si>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</si>
  <si>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</si>
  <si>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</si>
  <si>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</si>
  <si>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</si>
  <si>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</si>
  <si>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</si>
  <si>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</si>
  <si>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</si>
  <si>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</si>
  <si>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</si>
  <si>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</si>
  <si>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</si>
  <si>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</si>
  <si>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</si>
  <si>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</si>
  <si>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</si>
  <si>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</si>
  <si>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</si>
  <si>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</si>
  <si>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</si>
  <si>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</si>
  <si>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</si>
  <si>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</si>
  <si>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</si>
  <si>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</si>
  <si>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</si>
  <si>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</si>
  <si>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</si>
  <si>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</si>
  <si>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</si>
  <si>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</si>
  <si>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</si>
  <si>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</si>
  <si>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</si>
  <si>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</si>
  <si>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</si>
  <si>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</si>
  <si>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</si>
  <si>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</si>
  <si>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</si>
  <si>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</si>
  <si>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</si>
  <si>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</si>
  <si>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</si>
  <si>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</si>
  <si>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</si>
  <si>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</si>
  <si>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</si>
  <si>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</si>
  <si>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</si>
  <si>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</si>
  <si>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</si>
  <si>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</si>
  <si>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</si>
  <si>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</si>
  <si>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</si>
  <si>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</si>
  <si>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</si>
  <si>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</si>
  <si>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</si>
  <si>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</si>
  <si>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</si>
  <si>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</si>
  <si>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</si>
  <si>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</si>
  <si>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Nivel del efecto</t>
  </si>
  <si>
    <t>Habilidad de Ataque</t>
  </si>
  <si>
    <t>Habilidad de Ataque Completa</t>
  </si>
  <si>
    <t>Ataque Predeterminado</t>
  </si>
  <si>
    <t>Habilidad de Contraataque</t>
  </si>
  <si>
    <t>Maniobras de Combate y Apuntar</t>
  </si>
  <si>
    <t>Maniobras de Combate y Apuntar Reales</t>
  </si>
  <si>
    <t>Ataque Indirecto</t>
  </si>
  <si>
    <t>Camuflar Ataque</t>
  </si>
  <si>
    <t>Habilidad de Parada Completa</t>
  </si>
  <si>
    <t>Habilidad de Parada Limitada</t>
  </si>
  <si>
    <t>Habilidad de Esquiva Completa</t>
  </si>
  <si>
    <t>Habilidad de Esquiva Limitada</t>
  </si>
  <si>
    <t>Defensa Predeterminada</t>
  </si>
  <si>
    <t>Aumento de Daño</t>
  </si>
  <si>
    <t>Aumento de Daño Real</t>
  </si>
  <si>
    <t>Multiplicador al Daño</t>
  </si>
  <si>
    <t>Multiplicador al Daño Real</t>
  </si>
  <si>
    <t>Sustitución de Daño</t>
  </si>
  <si>
    <t>Sustitución de Daño Real</t>
  </si>
  <si>
    <t>Ataque Adicional</t>
  </si>
  <si>
    <t>Ataque Adicional Limitado</t>
  </si>
  <si>
    <t>Defensas Adicionales</t>
  </si>
  <si>
    <t>Acciones Adicionales</t>
  </si>
  <si>
    <t>Incrementar Turno</t>
  </si>
  <si>
    <t>Ataque a Distancia</t>
  </si>
  <si>
    <t>Ataque a Distancia Real</t>
  </si>
  <si>
    <t>Ataque con Área</t>
  </si>
  <si>
    <t>Ataque con Área Real</t>
  </si>
  <si>
    <t>Parada en Área</t>
  </si>
  <si>
    <t>Transporte Automático</t>
  </si>
  <si>
    <t>Aumentar Rotura</t>
  </si>
  <si>
    <t>Aumentar Entereza</t>
  </si>
  <si>
    <t>Destruir Armadura</t>
  </si>
  <si>
    <t>Incremento de Movimiento</t>
  </si>
  <si>
    <t>Incremento de Habilidad</t>
  </si>
  <si>
    <t>Capacidad Incrementada AGI</t>
  </si>
  <si>
    <t>Capacidad Incrementada FUE</t>
  </si>
  <si>
    <t>Capacidad Incrementada DES</t>
  </si>
  <si>
    <t>Incremento de Resistencia Física</t>
  </si>
  <si>
    <t>Incremento de Resistencia Mágica</t>
  </si>
  <si>
    <t>Incremento de Resistencia Psíquica</t>
  </si>
  <si>
    <t>Habilidades Perceptivas</t>
  </si>
  <si>
    <t>Armas Físicas de Ki</t>
  </si>
  <si>
    <t>Absorción de Ki</t>
  </si>
  <si>
    <t>Escudo de Energía</t>
  </si>
  <si>
    <t>Estados Sobrenaturales</t>
  </si>
  <si>
    <t>Potenciar Crítico</t>
  </si>
  <si>
    <t>Potenciar Crítico Real</t>
  </si>
  <si>
    <t>Lista Efectos Técnicas</t>
  </si>
  <si>
    <t>Tabla de efectos y referencias</t>
  </si>
  <si>
    <t>+75</t>
  </si>
  <si>
    <t>+90</t>
  </si>
  <si>
    <t>+100</t>
  </si>
  <si>
    <t>+125</t>
  </si>
  <si>
    <t>+150</t>
  </si>
  <si>
    <t>+175</t>
  </si>
  <si>
    <t>+200</t>
  </si>
  <si>
    <t>Técnica Nivel 1</t>
  </si>
  <si>
    <t>Técnica Nivel 2</t>
  </si>
  <si>
    <t>Tecnica Nivel 3</t>
  </si>
  <si>
    <t>Sostenimiento Menor</t>
  </si>
  <si>
    <t>Sostenimiento Mayor</t>
  </si>
  <si>
    <t>Referencia Efecto</t>
  </si>
  <si>
    <t>Car</t>
  </si>
  <si>
    <t>Car opcionales</t>
  </si>
  <si>
    <t>Agilidad +2, Fuerza +2, Poder +2, Voluntad +3</t>
  </si>
  <si>
    <t>Ventaja: Sacrificio de Características</t>
  </si>
  <si>
    <t>AGI 2 (1), DES 4, FUE 6</t>
  </si>
  <si>
    <t>RF 40</t>
  </si>
  <si>
    <t>Condición: Por Superficie</t>
  </si>
  <si>
    <t>Distancia: 500 metros</t>
  </si>
  <si>
    <t>Opciones efectos</t>
  </si>
  <si>
    <t>Técnica 1</t>
  </si>
  <si>
    <t>Reducción de CM o Ki:</t>
  </si>
  <si>
    <t>Fuego, Agua</t>
  </si>
  <si>
    <t>Circunstancia Límite</t>
  </si>
  <si>
    <t>1/4 PV</t>
  </si>
  <si>
    <t>Requerimiento elemental</t>
  </si>
  <si>
    <t>Intensidad mayor</t>
  </si>
  <si>
    <t>(mant.)</t>
  </si>
  <si>
    <t>Atadura elemental a dos elementos</t>
  </si>
  <si>
    <t>Combinable:</t>
  </si>
  <si>
    <t>Ki (Mant.)</t>
  </si>
  <si>
    <t>Coste:</t>
  </si>
  <si>
    <t>Unificando su esencia con la más primaria maldad, el luchador altera su cuerpo convirtiéndose en una masificación de sangre negra, pesada como el alquitrán, repleta de ojos demoníacos. Mucho más que mortal, ahora es una fuente de orrupción primaria, capaz de ignorar por completo los ataques más potentes, de igual forma que si no existieran. Además, puede colarse en el interior de ciertos cuerpos, haciéndolos reventar desde el interior a voluntad al finalizar la técnica.
Corrupción Primaria otorga al personaje la capacidad de resistir los 
ataques como si fuera una criatura de Acumulación, con un aguante 
incrementado de 1.000 puntos de vida, de los que recupera 250 
por asalto. Es inmaterial, pudiendo pasar a través de objetos sólidos; 
únicamente podrán afectarle los ataques que dañen Energía. Además, 
emplea las reglas de Fusión. Esta Técnica puede mantenerse invirtiendo 
catorce puntos de Ki en todos los asaltos.</t>
  </si>
  <si>
    <t>Primario</t>
  </si>
  <si>
    <t>Secundarios</t>
  </si>
  <si>
    <t>DES (FUE +2, AGI+1, CON+3, POD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</si>
</sst>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rgb="FFFFFF00"/>
        <bgColor indexed="64"/>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63">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center" vertical="center" wrapText="1"/>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wrapText="1"/>
    </xf>
    <xf numFmtId="0" fontId="9" fillId="16" borderId="0" xfId="12" applyFont="1" applyFill="1" applyBorder="1" applyAlignment="1" applyProtection="1">
      <alignment horizontal="center" vertical="center"/>
      <protection locked="0"/>
    </xf>
    <xf numFmtId="0" fontId="9" fillId="16" borderId="0" xfId="12" applyNumberFormat="1" applyFont="1" applyFill="1" applyBorder="1" applyAlignment="1" applyProtection="1">
      <alignment horizontal="center" vertical="center"/>
    </xf>
    <xf numFmtId="49" fontId="9" fillId="16" borderId="0" xfId="12" applyNumberFormat="1" applyFont="1" applyFill="1" applyBorder="1" applyAlignment="1" applyProtection="1">
      <alignment horizontal="center" vertical="center"/>
    </xf>
    <xf numFmtId="168"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left" vertical="center"/>
    </xf>
    <xf numFmtId="0" fontId="9" fillId="0" borderId="0" xfId="0" applyFont="1" applyFill="1" applyBorder="1" applyAlignment="1">
      <alignment horizontal="left"/>
    </xf>
    <xf numFmtId="49" fontId="9" fillId="0" borderId="0" xfId="0" applyNumberFormat="1" applyFont="1" applyFill="1" applyBorder="1" applyAlignment="1">
      <alignment horizontal="left"/>
    </xf>
    <xf numFmtId="0" fontId="9" fillId="0" borderId="0" xfId="0" applyFont="1" applyAlignment="1">
      <alignment horizontal="left"/>
    </xf>
    <xf numFmtId="0" fontId="67" fillId="8" borderId="0" xfId="0" applyFont="1" applyFill="1" applyBorder="1" applyAlignment="1" applyProtection="1">
      <alignment horizontal="left" vertical="center"/>
    </xf>
    <xf numFmtId="0" fontId="9" fillId="0" borderId="0" xfId="0" quotePrefix="1" applyFont="1" applyFill="1" applyBorder="1" applyAlignment="1">
      <alignment horizontal="left"/>
    </xf>
    <xf numFmtId="0" fontId="9" fillId="16" borderId="0" xfId="12" applyFont="1" applyFill="1" applyBorder="1" applyAlignment="1" applyProtection="1">
      <alignment horizontal="center" vertical="center" textRotation="90"/>
    </xf>
    <xf numFmtId="49" fontId="9" fillId="16" borderId="0" xfId="0" applyNumberFormat="1" applyFont="1" applyFill="1" applyBorder="1" applyAlignment="1" applyProtection="1">
      <alignment horizontal="center" vertical="center"/>
    </xf>
    <xf numFmtId="0" fontId="9" fillId="16" borderId="0" xfId="0" applyFont="1" applyFill="1" applyBorder="1" applyAlignment="1" applyProtection="1">
      <alignment horizontal="center" vertical="center"/>
    </xf>
    <xf numFmtId="0" fontId="9" fillId="16" borderId="0" xfId="0" applyFont="1" applyFill="1" applyBorder="1" applyAlignment="1" applyProtection="1">
      <alignment horizontal="center" vertical="center"/>
      <protection locked="0"/>
    </xf>
    <xf numFmtId="49" fontId="9" fillId="16" borderId="0" xfId="0" applyNumberFormat="1" applyFont="1" applyFill="1" applyBorder="1" applyAlignment="1" applyProtection="1">
      <alignment horizontal="center" vertical="center"/>
      <protection locked="0"/>
    </xf>
    <xf numFmtId="168" fontId="9" fillId="16" borderId="0" xfId="0" applyNumberFormat="1" applyFont="1" applyFill="1" applyBorder="1" applyAlignment="1" applyProtection="1">
      <alignment horizontal="center" vertical="center"/>
    </xf>
    <xf numFmtId="168" fontId="9" fillId="16" borderId="0" xfId="0" applyNumberFormat="1" applyFont="1" applyFill="1" applyBorder="1" applyAlignment="1" applyProtection="1">
      <alignment horizontal="center" vertical="center"/>
      <protection locked="0"/>
    </xf>
    <xf numFmtId="1" fontId="9" fillId="16" borderId="0" xfId="0" applyNumberFormat="1" applyFont="1" applyFill="1" applyBorder="1" applyAlignment="1" applyProtection="1">
      <alignment horizontal="center" vertical="center"/>
      <protection locked="0"/>
    </xf>
    <xf numFmtId="0" fontId="67" fillId="8" borderId="0" xfId="0" applyFont="1" applyFill="1" applyBorder="1" applyAlignment="1" applyProtection="1">
      <alignment horizontal="center" vertical="center"/>
    </xf>
    <xf numFmtId="0" fontId="9" fillId="16" borderId="0" xfId="12"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67" fillId="8" borderId="0" xfId="0" applyFont="1" applyFill="1" applyBorder="1" applyAlignment="1" applyProtection="1">
      <alignment horizontal="left" vertical="center"/>
    </xf>
    <xf numFmtId="0" fontId="9" fillId="16" borderId="0" xfId="12" applyFont="1" applyFill="1" applyBorder="1" applyAlignment="1" applyProtection="1">
      <alignment horizontal="center" vertical="center"/>
    </xf>
    <xf numFmtId="0" fontId="9" fillId="16" borderId="109" xfId="12" applyFont="1" applyFill="1" applyBorder="1" applyAlignment="1" applyProtection="1">
      <alignment horizontal="center" vertical="center"/>
    </xf>
    <xf numFmtId="0" fontId="9" fillId="16" borderId="355" xfId="12" applyFont="1" applyFill="1" applyBorder="1" applyAlignment="1" applyProtection="1">
      <alignment horizontal="center" vertical="center"/>
    </xf>
    <xf numFmtId="0" fontId="63" fillId="15" borderId="0" xfId="12" applyFont="1" applyFill="1" applyBorder="1" applyAlignment="1" applyProtection="1">
      <alignment horizontal="center"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64" borderId="0" xfId="12" applyFont="1" applyFill="1" applyBorder="1" applyAlignment="1" applyProtection="1">
      <alignment horizontal="center" vertical="center"/>
    </xf>
    <xf numFmtId="0" fontId="9" fillId="16" borderId="120" xfId="12" applyFont="1" applyFill="1" applyBorder="1" applyAlignment="1" applyProtection="1">
      <alignment horizontal="center" vertical="center"/>
    </xf>
    <xf numFmtId="0" fontId="9" fillId="38" borderId="0" xfId="12" applyFont="1" applyFill="1" applyBorder="1" applyAlignment="1" applyProtection="1">
      <alignment horizontal="center" vertical="center"/>
    </xf>
    <xf numFmtId="0" fontId="9" fillId="38" borderId="263" xfId="12" applyFont="1" applyFill="1" applyBorder="1" applyAlignment="1" applyProtection="1">
      <alignment horizontal="center" vertical="center"/>
    </xf>
    <xf numFmtId="0" fontId="9" fillId="24" borderId="110" xfId="12" applyFont="1" applyFill="1" applyBorder="1" applyAlignment="1" applyProtection="1">
      <alignment horizontal="right" vertical="center"/>
    </xf>
    <xf numFmtId="0" fontId="9" fillId="24" borderId="0" xfId="12" applyFont="1" applyFill="1" applyBorder="1" applyAlignment="1" applyProtection="1">
      <alignment horizontal="center" vertical="center"/>
    </xf>
    <xf numFmtId="0" fontId="9" fillId="24" borderId="0" xfId="12" applyFont="1" applyFill="1" applyBorder="1" applyAlignment="1" applyProtection="1">
      <alignment horizontal="center" vertical="center"/>
    </xf>
    <xf numFmtId="0" fontId="9" fillId="24" borderId="341" xfId="12" applyFont="1" applyFill="1" applyBorder="1" applyAlignment="1" applyProtection="1">
      <alignment horizontal="center" vertical="center"/>
    </xf>
    <xf numFmtId="0" fontId="9" fillId="24" borderId="109" xfId="12" applyFont="1" applyFill="1" applyBorder="1" applyAlignment="1" applyProtection="1">
      <alignment horizontal="right" vertical="center"/>
    </xf>
    <xf numFmtId="0" fontId="9" fillId="24" borderId="120" xfId="12" applyFont="1" applyFill="1" applyBorder="1" applyAlignment="1" applyProtection="1">
      <alignment horizontal="center" vertical="center"/>
    </xf>
    <xf numFmtId="0" fontId="9" fillId="24" borderId="341" xfId="12" applyFont="1" applyFill="1" applyBorder="1" applyAlignment="1" applyProtection="1">
      <alignment horizontal="center" vertical="center"/>
    </xf>
    <xf numFmtId="0" fontId="9" fillId="38" borderId="263" xfId="12" applyFont="1" applyFill="1" applyBorder="1" applyAlignment="1" applyProtection="1">
      <alignment horizontal="left" vertical="center"/>
    </xf>
    <xf numFmtId="0" fontId="9" fillId="38" borderId="0" xfId="12" applyFont="1" applyFill="1" applyBorder="1" applyAlignment="1" applyProtection="1">
      <alignment horizontal="left" vertical="center"/>
    </xf>
    <xf numFmtId="0" fontId="9" fillId="38" borderId="0" xfId="12" applyFont="1" applyFill="1" applyBorder="1" applyAlignment="1" applyProtection="1">
      <alignment horizontal="center" vertical="center"/>
    </xf>
    <xf numFmtId="0" fontId="9" fillId="38" borderId="89" xfId="12" applyFont="1" applyFill="1" applyBorder="1" applyAlignment="1" applyProtection="1">
      <alignment horizontal="right" vertical="center"/>
    </xf>
    <xf numFmtId="0" fontId="9" fillId="38" borderId="0" xfId="12" applyFont="1" applyFill="1" applyBorder="1" applyAlignment="1" applyProtection="1">
      <alignment horizontal="right" vertical="center"/>
    </xf>
    <xf numFmtId="0" fontId="9" fillId="38" borderId="89" xfId="12" applyFont="1" applyFill="1" applyBorder="1" applyAlignment="1" applyProtection="1">
      <alignment horizontal="center" vertical="center"/>
    </xf>
    <xf numFmtId="0" fontId="12" fillId="38" borderId="89" xfId="12" applyFont="1" applyFill="1" applyBorder="1" applyAlignment="1" applyProtection="1">
      <alignment horizontal="center" vertical="center"/>
    </xf>
    <xf numFmtId="0" fontId="9" fillId="38" borderId="336" xfId="12" applyFont="1" applyFill="1" applyBorder="1" applyAlignment="1" applyProtection="1">
      <alignment horizontal="center" vertical="center"/>
    </xf>
    <xf numFmtId="0" fontId="9" fillId="38" borderId="341" xfId="12" applyFont="1" applyFill="1" applyBorder="1" applyAlignment="1" applyProtection="1">
      <alignment horizontal="right" vertical="center"/>
    </xf>
    <xf numFmtId="0" fontId="9" fillId="38" borderId="341" xfId="12" applyFont="1" applyFill="1" applyBorder="1" applyAlignment="1" applyProtection="1">
      <alignment horizontal="center" vertical="center"/>
    </xf>
    <xf numFmtId="0" fontId="9" fillId="24" borderId="0" xfId="12" applyFont="1" applyFill="1" applyBorder="1" applyAlignment="1" applyProtection="1">
      <alignment vertical="center"/>
    </xf>
    <xf numFmtId="0" fontId="9" fillId="38" borderId="263" xfId="12" applyFont="1" applyFill="1" applyBorder="1" applyAlignment="1" applyProtection="1">
      <alignment vertical="center"/>
    </xf>
    <xf numFmtId="0" fontId="9" fillId="38" borderId="0" xfId="12" applyFont="1" applyFill="1" applyBorder="1" applyAlignment="1" applyProtection="1">
      <alignment vertical="center"/>
    </xf>
    <xf numFmtId="0" fontId="9" fillId="24" borderId="110" xfId="12" applyFont="1" applyFill="1" applyBorder="1" applyAlignment="1" applyProtection="1">
      <alignment horizontal="center" vertical="center"/>
    </xf>
    <xf numFmtId="0" fontId="9" fillId="24" borderId="355" xfId="12" applyFont="1" applyFill="1" applyBorder="1" applyAlignment="1" applyProtection="1">
      <alignment horizontal="right" vertical="center"/>
    </xf>
    <xf numFmtId="0" fontId="113" fillId="15" borderId="263" xfId="12" applyFont="1" applyFill="1" applyBorder="1" applyAlignment="1" applyProtection="1">
      <alignment horizontal="center" vertical="center"/>
    </xf>
    <xf numFmtId="0" fontId="9" fillId="38" borderId="263" xfId="12" applyFont="1" applyFill="1" applyBorder="1" applyAlignment="1" applyProtection="1">
      <alignment horizontal="center" vertical="center"/>
    </xf>
    <xf numFmtId="0" fontId="63" fillId="15" borderId="99" xfId="12" applyFont="1" applyFill="1" applyBorder="1" applyAlignment="1" applyProtection="1">
      <alignment horizontal="center" vertical="center"/>
    </xf>
    <xf numFmtId="0" fontId="63" fillId="15" borderId="100" xfId="12" applyFont="1" applyFill="1" applyBorder="1" applyAlignment="1" applyProtection="1">
      <alignment horizontal="center" vertical="center"/>
    </xf>
    <xf numFmtId="0" fontId="63" fillId="15" borderId="101" xfId="12" applyFont="1" applyFill="1" applyBorder="1" applyAlignment="1" applyProtection="1">
      <alignment horizontal="center" vertical="center"/>
    </xf>
    <xf numFmtId="0" fontId="63" fillId="15" borderId="104" xfId="12" applyFont="1" applyFill="1" applyBorder="1" applyAlignment="1" applyProtection="1">
      <alignment horizontal="center" vertical="center"/>
    </xf>
    <xf numFmtId="0" fontId="63" fillId="15" borderId="75" xfId="12" applyFont="1" applyFill="1" applyBorder="1" applyAlignment="1" applyProtection="1">
      <alignment horizontal="center" vertical="center"/>
    </xf>
    <xf numFmtId="0" fontId="9" fillId="38" borderId="104" xfId="12" applyFont="1" applyFill="1" applyBorder="1" applyAlignment="1" applyProtection="1">
      <alignment horizontal="center" vertical="center"/>
    </xf>
    <xf numFmtId="0" fontId="9" fillId="24" borderId="114" xfId="12" applyFont="1" applyFill="1" applyBorder="1" applyAlignment="1" applyProtection="1">
      <alignment horizontal="right" vertical="center"/>
    </xf>
    <xf numFmtId="0" fontId="9" fillId="24" borderId="150" xfId="12" applyFont="1" applyFill="1" applyBorder="1" applyAlignment="1" applyProtection="1">
      <alignment horizontal="right" vertical="center"/>
    </xf>
    <xf numFmtId="0" fontId="9" fillId="16" borderId="150" xfId="12" applyFont="1" applyFill="1" applyBorder="1" applyAlignment="1" applyProtection="1">
      <alignment horizontal="center" vertical="center"/>
    </xf>
    <xf numFmtId="0" fontId="9" fillId="16" borderId="162" xfId="12" applyFont="1" applyFill="1" applyBorder="1" applyAlignment="1" applyProtection="1">
      <alignment horizontal="center" vertical="center"/>
    </xf>
    <xf numFmtId="0" fontId="9" fillId="38" borderId="266" xfId="12" applyFont="1" applyFill="1" applyBorder="1" applyAlignment="1" applyProtection="1">
      <alignment horizontal="center" vertical="center"/>
    </xf>
    <xf numFmtId="0" fontId="9" fillId="38" borderId="75" xfId="12" applyFont="1" applyFill="1" applyBorder="1" applyAlignment="1" applyProtection="1">
      <alignment horizontal="center" vertical="center"/>
    </xf>
    <xf numFmtId="0" fontId="9" fillId="38" borderId="102" xfId="12" applyFont="1" applyFill="1" applyBorder="1" applyAlignment="1" applyProtection="1">
      <alignment horizontal="center" vertical="center"/>
    </xf>
    <xf numFmtId="0" fontId="9" fillId="38" borderId="87" xfId="12" applyFont="1" applyFill="1" applyBorder="1" applyAlignment="1" applyProtection="1">
      <alignment horizontal="center" vertical="center"/>
    </xf>
    <xf numFmtId="0" fontId="9" fillId="38" borderId="103" xfId="12" applyFont="1" applyFill="1" applyBorder="1" applyAlignment="1" applyProtection="1">
      <alignment horizontal="center" vertical="center"/>
    </xf>
    <xf numFmtId="0" fontId="113" fillId="15" borderId="104" xfId="12" applyFont="1" applyFill="1" applyBorder="1" applyAlignment="1" applyProtection="1">
      <alignment horizontal="center" vertical="center"/>
    </xf>
    <xf numFmtId="0" fontId="113" fillId="15" borderId="0" xfId="12" applyFont="1" applyFill="1" applyBorder="1" applyAlignment="1" applyProtection="1">
      <alignment horizontal="center" vertical="center"/>
    </xf>
    <xf numFmtId="0" fontId="113" fillId="15" borderId="261" xfId="12" applyFont="1" applyFill="1" applyBorder="1" applyAlignment="1" applyProtection="1">
      <alignment horizontal="center" vertical="center"/>
    </xf>
    <xf numFmtId="0" fontId="113" fillId="15" borderId="79" xfId="12" applyFont="1" applyFill="1" applyBorder="1" applyAlignment="1" applyProtection="1">
      <alignment horizontal="center" vertical="center" wrapText="1"/>
    </xf>
    <xf numFmtId="0" fontId="113" fillId="15" borderId="90" xfId="12" applyFont="1" applyFill="1" applyBorder="1" applyAlignment="1" applyProtection="1">
      <alignment horizontal="center" vertical="center" wrapText="1"/>
    </xf>
    <xf numFmtId="0" fontId="9" fillId="38" borderId="110" xfId="12" applyFont="1" applyFill="1" applyBorder="1" applyAlignment="1" applyProtection="1">
      <alignment horizontal="center" vertical="center"/>
    </xf>
    <xf numFmtId="0" fontId="9" fillId="38" borderId="341" xfId="12" applyFont="1" applyFill="1" applyBorder="1" applyAlignment="1" applyProtection="1">
      <alignment vertical="center"/>
    </xf>
    <xf numFmtId="0" fontId="43" fillId="38" borderId="119" xfId="12" applyFont="1" applyFill="1" applyBorder="1" applyAlignment="1" applyProtection="1">
      <alignment horizontal="center" vertical="center"/>
    </xf>
    <xf numFmtId="0" fontId="43" fillId="38" borderId="341" xfId="12" applyFont="1" applyFill="1" applyBorder="1" applyAlignment="1" applyProtection="1">
      <alignment horizontal="center" vertical="center"/>
    </xf>
    <xf numFmtId="0" fontId="43" fillId="38" borderId="81" xfId="12" applyFont="1" applyFill="1" applyBorder="1" applyAlignment="1" applyProtection="1">
      <alignment horizontal="center" vertical="center"/>
    </xf>
    <xf numFmtId="0" fontId="105" fillId="24" borderId="89" xfId="12" applyFont="1" applyFill="1" applyBorder="1" applyAlignment="1" applyProtection="1">
      <alignment horizontal="center" vertical="center"/>
    </xf>
    <xf numFmtId="0" fontId="105" fillId="24" borderId="0" xfId="12" applyFont="1" applyFill="1" applyBorder="1" applyAlignment="1" applyProtection="1">
      <alignment horizontal="center" vertical="center"/>
    </xf>
    <xf numFmtId="0" fontId="105" fillId="24" borderId="75" xfId="12" applyFont="1" applyFill="1" applyBorder="1" applyAlignment="1" applyProtection="1">
      <alignment horizontal="center" vertical="center"/>
    </xf>
    <xf numFmtId="0" fontId="105" fillId="24" borderId="336" xfId="12" applyFont="1" applyFill="1" applyBorder="1" applyAlignment="1" applyProtection="1">
      <alignment horizontal="center" vertical="center"/>
    </xf>
    <xf numFmtId="0" fontId="105" fillId="24" borderId="341" xfId="12" applyFont="1" applyFill="1" applyBorder="1" applyAlignment="1" applyProtection="1">
      <alignment horizontal="center" vertical="center"/>
    </xf>
    <xf numFmtId="0" fontId="105" fillId="24" borderId="160" xfId="12" applyFont="1" applyFill="1" applyBorder="1" applyAlignment="1" applyProtection="1">
      <alignment horizontal="center" vertical="center"/>
    </xf>
    <xf numFmtId="0" fontId="9" fillId="24" borderId="261" xfId="12" applyFont="1" applyFill="1" applyBorder="1" applyAlignment="1" applyProtection="1">
      <alignment horizontal="right" vertical="center"/>
    </xf>
    <xf numFmtId="0" fontId="9" fillId="24" borderId="263" xfId="12" applyFont="1" applyFill="1" applyBorder="1" applyAlignment="1" applyProtection="1">
      <alignment horizontal="right" vertical="center"/>
    </xf>
    <xf numFmtId="0" fontId="9" fillId="24" borderId="263" xfId="12" applyFont="1" applyFill="1" applyBorder="1" applyAlignment="1" applyProtection="1">
      <alignment horizontal="right" vertical="center"/>
    </xf>
    <xf numFmtId="0" fontId="9" fillId="24" borderId="263" xfId="12" applyFont="1" applyFill="1" applyBorder="1" applyAlignment="1" applyProtection="1">
      <alignment horizontal="center" vertical="center"/>
    </xf>
    <xf numFmtId="0" fontId="9" fillId="24" borderId="263" xfId="12" applyFont="1" applyFill="1" applyBorder="1" applyAlignment="1" applyProtection="1">
      <alignment vertical="center"/>
    </xf>
    <xf numFmtId="0" fontId="113" fillId="15" borderId="119" xfId="12" applyFont="1" applyFill="1" applyBorder="1" applyAlignment="1" applyProtection="1">
      <alignment horizontal="center" vertical="center"/>
    </xf>
    <xf numFmtId="0" fontId="113" fillId="15" borderId="341" xfId="12" applyFont="1" applyFill="1" applyBorder="1" applyAlignment="1" applyProtection="1">
      <alignment horizontal="center" vertical="center"/>
    </xf>
    <xf numFmtId="0" fontId="113" fillId="15" borderId="160" xfId="12" applyFont="1" applyFill="1" applyBorder="1" applyAlignment="1" applyProtection="1">
      <alignment horizontal="center" vertical="center"/>
    </xf>
    <xf numFmtId="0" fontId="113" fillId="15" borderId="263" xfId="12" applyFont="1" applyFill="1" applyBorder="1" applyAlignment="1" applyProtection="1">
      <alignment vertical="center"/>
    </xf>
    <xf numFmtId="0" fontId="113" fillId="15" borderId="264" xfId="12" applyFont="1" applyFill="1" applyBorder="1" applyAlignment="1" applyProtection="1">
      <alignment vertical="center"/>
    </xf>
    <xf numFmtId="0" fontId="113" fillId="15" borderId="355" xfId="12" applyFont="1" applyFill="1" applyBorder="1" applyAlignment="1" applyProtection="1">
      <alignment horizontal="center" vertical="center"/>
    </xf>
    <xf numFmtId="0" fontId="113" fillId="15" borderId="162" xfId="12" applyFont="1" applyFill="1" applyBorder="1" applyAlignment="1" applyProtection="1">
      <alignment horizontal="center" vertical="center"/>
    </xf>
    <xf numFmtId="0" fontId="9" fillId="38" borderId="263" xfId="12" applyFont="1" applyFill="1" applyBorder="1" applyAlignment="1" applyProtection="1">
      <alignment horizontal="center" vertical="center" wrapText="1"/>
    </xf>
    <xf numFmtId="0" fontId="9" fillId="38" borderId="0" xfId="12" applyFont="1" applyFill="1" applyBorder="1" applyAlignment="1" applyProtection="1">
      <alignment horizontal="center" vertical="center" wrapText="1"/>
    </xf>
    <xf numFmtId="0" fontId="113" fillId="24" borderId="79" xfId="12" applyFont="1" applyFill="1" applyBorder="1" applyAlignment="1" applyProtection="1">
      <alignment vertical="center"/>
    </xf>
    <xf numFmtId="0" fontId="43" fillId="38" borderId="261" xfId="12" applyFont="1" applyFill="1" applyBorder="1" applyAlignment="1" applyProtection="1">
      <alignment horizontal="center" vertical="center"/>
    </xf>
    <xf numFmtId="0" fontId="43" fillId="38" borderId="263" xfId="12" applyFont="1" applyFill="1" applyBorder="1" applyAlignment="1" applyProtection="1">
      <alignment horizontal="center" vertical="center"/>
    </xf>
    <xf numFmtId="0" fontId="43" fillId="38" borderId="79" xfId="12"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92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51201" name="ComboCreaciondeTecnicas"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C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6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7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927" dataDxfId="926">
  <autoFilter ref="A14:A25" xr:uid="{00000000-0009-0000-0100-000012000000}"/>
  <tableColumns count="1">
    <tableColumn id="1" xr3:uid="{00000000-0010-0000-0000-000001000000}" name="Habilidad_de_Ataque" dataDxfId="9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924" dataDxfId="923">
  <autoFilter ref="A26:A33" xr:uid="{00000000-0009-0000-0100-000013000000}"/>
  <tableColumns count="1">
    <tableColumn id="1" xr3:uid="{00000000-0010-0000-0100-000001000000}" name="Habilidad_de_Ataque_Completa" dataDxfId="9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921" dataDxfId="920">
  <autoFilter ref="A34:A42" xr:uid="{00000000-0009-0000-0100-000014000000}"/>
  <tableColumns count="1">
    <tableColumn id="1" xr3:uid="{00000000-0010-0000-0200-000001000000}" name="Ataque_Predeterminado" dataDxfId="9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918" dataDxfId="917">
  <autoFilter ref="A43:A54" xr:uid="{00000000-0009-0000-0100-000015000000}"/>
  <tableColumns count="1">
    <tableColumn id="1" xr3:uid="{00000000-0010-0000-0300-000001000000}" name="Habilidad_de_Contraataque" dataDxfId="9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915" dataDxfId="914">
  <autoFilter ref="A55:A61" xr:uid="{00000000-0009-0000-0100-000016000000}"/>
  <tableColumns count="1">
    <tableColumn id="1" xr3:uid="{00000000-0010-0000-0400-000001000000}" name="Maniobras_de_Combate_y_Apuntar" dataDxfId="9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912" dataDxfId="911">
  <autoFilter ref="A62:A65" xr:uid="{00000000-0009-0000-0100-000017000000}"/>
  <tableColumns count="1">
    <tableColumn id="1" xr3:uid="{00000000-0010-0000-0500-000001000000}" name="Maniobras_de_Combate_y_Apuntar_Reales" dataDxfId="9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909" dataDxfId="908">
  <autoFilter ref="A66:A69" xr:uid="{00000000-0009-0000-0100-000018000000}"/>
  <tableColumns count="1">
    <tableColumn id="1" xr3:uid="{00000000-0010-0000-0600-000001000000}" name="Ataque_Indirecto" dataDxfId="9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906" dataDxfId="905">
  <autoFilter ref="A70:A78" xr:uid="{00000000-0009-0000-0100-000019000000}"/>
  <tableColumns count="1">
    <tableColumn id="1" xr3:uid="{00000000-0010-0000-0700-000001000000}" name="Camuflar_Ataque" dataDxfId="9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903" dataDxfId="902">
  <autoFilter ref="A80:A91" xr:uid="{00000000-0009-0000-0100-00001A000000}"/>
  <tableColumns count="1">
    <tableColumn id="1" xr3:uid="{00000000-0010-0000-0800-000001000000}" name="Habilidad_de_Parada" dataDxfId="9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900" dataDxfId="899">
  <autoFilter ref="A92:A99" xr:uid="{00000000-0009-0000-0100-00001B000000}"/>
  <tableColumns count="1">
    <tableColumn id="1" xr3:uid="{00000000-0010-0000-0900-000001000000}" name="Habilidad_de_Parada_Completa" dataDxfId="89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97" dataDxfId="896">
  <autoFilter ref="A100:A111" xr:uid="{00000000-0009-0000-0100-00001C000000}"/>
  <tableColumns count="1">
    <tableColumn id="1" xr3:uid="{00000000-0010-0000-0A00-000001000000}" name="Habilidad_de_Parada_Limitada" dataDxfId="89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94" dataDxfId="893">
  <autoFilter ref="A112:A123" xr:uid="{00000000-0009-0000-0100-00001D000000}"/>
  <tableColumns count="1">
    <tableColumn id="1" xr3:uid="{00000000-0010-0000-0B00-000001000000}" name="Habilidad_de_Esquiva" dataDxfId="8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91" dataDxfId="890">
  <autoFilter ref="A124:A131" xr:uid="{00000000-0009-0000-0100-00001E000000}"/>
  <tableColumns count="1">
    <tableColumn id="1" xr3:uid="{00000000-0010-0000-0C00-000001000000}" name="Habilidad_de_Esquiva_Completa" dataDxfId="88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88" dataDxfId="887">
  <autoFilter ref="A132:A143" xr:uid="{00000000-0009-0000-0100-00001F000000}"/>
  <tableColumns count="1">
    <tableColumn id="1" xr3:uid="{00000000-0010-0000-0D00-000001000000}" name="Habilidad_de_Esquiva_Limitada" dataDxfId="88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885" dataDxfId="884">
  <autoFilter ref="A144:A152" xr:uid="{00000000-0009-0000-0100-000020000000}"/>
  <tableColumns count="1">
    <tableColumn id="1" xr3:uid="{00000000-0010-0000-0E00-000001000000}" name="Defensa_Predeterminada" dataDxfId="88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882" dataDxfId="881">
  <autoFilter ref="A153:A171" xr:uid="{00000000-0009-0000-0100-000021000000}"/>
  <tableColumns count="1">
    <tableColumn id="1" xr3:uid="{00000000-0010-0000-0F00-000001000000}" name="Aumento_de_Daño" dataDxfId="8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879" dataDxfId="878">
  <autoFilter ref="A172:A179" xr:uid="{00000000-0009-0000-0100-000022000000}"/>
  <tableColumns count="1">
    <tableColumn id="1" xr3:uid="{00000000-0010-0000-1000-000001000000}" name="Aumento_de_Daño_Real" dataDxfId="8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876" dataDxfId="875">
  <autoFilter ref="A180:A183" xr:uid="{00000000-0009-0000-0100-000023000000}"/>
  <tableColumns count="1">
    <tableColumn id="1" xr3:uid="{00000000-0010-0000-1100-000001000000}" name="Multiplicador_al_Daño" dataDxfId="8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873" dataDxfId="872">
  <autoFilter ref="A184:A187" xr:uid="{00000000-0009-0000-0100-000024000000}"/>
  <tableColumns count="1">
    <tableColumn id="1" xr3:uid="{00000000-0010-0000-1200-000001000000}" name="Multiplicador_al_Daño_Real" dataDxfId="87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870" dataDxfId="869">
  <autoFilter ref="A188:A195" xr:uid="{00000000-0009-0000-0100-000026000000}"/>
  <tableColumns count="1">
    <tableColumn id="1" xr3:uid="{00000000-0010-0000-1300-000001000000}" name="Sustitución_de_Daño" dataDxfId="86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867" dataDxfId="866">
  <autoFilter ref="A196:A202" xr:uid="{00000000-0009-0000-0100-000027000000}"/>
  <tableColumns count="1">
    <tableColumn id="1" xr3:uid="{00000000-0010-0000-1400-000001000000}" name="Sustitución_de_Daño_Real" dataDxfId="86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864" dataDxfId="863">
  <autoFilter ref="A204:A216" xr:uid="{00000000-0009-0000-0100-000028000000}"/>
  <tableColumns count="1">
    <tableColumn id="1" xr3:uid="{00000000-0010-0000-1500-000001000000}" name="Ataque_Adicional" dataDxfId="86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861" dataDxfId="860">
  <autoFilter ref="A217:A227" xr:uid="{00000000-0009-0000-0100-000029000000}"/>
  <tableColumns count="1">
    <tableColumn id="1" xr3:uid="{00000000-0010-0000-1600-000001000000}" name="Ataque_Adicional_Limitado" dataDxfId="85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858" dataDxfId="857">
  <autoFilter ref="A228:A238" xr:uid="{00000000-0009-0000-0100-00002A000000}"/>
  <tableColumns count="1">
    <tableColumn id="1" xr3:uid="{00000000-0010-0000-1700-000001000000}" name="Defensas_Adicionales" dataDxfId="85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855" dataDxfId="854">
  <autoFilter ref="A239:A249" xr:uid="{00000000-0009-0000-0100-00002B000000}"/>
  <tableColumns count="1">
    <tableColumn id="1" xr3:uid="{00000000-0010-0000-1800-000001000000}" name="Acciones_Adicionales" dataDxfId="8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852" dataDxfId="851">
  <autoFilter ref="A251:A259" xr:uid="{00000000-0009-0000-0100-00002C000000}"/>
  <tableColumns count="1">
    <tableColumn id="1" xr3:uid="{00000000-0010-0000-1900-000001000000}" name="Incrementar_Turno" dataDxfId="85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849" dataDxfId="848">
  <autoFilter ref="A260:A261" xr:uid="{00000000-0009-0000-0100-00002D000000}"/>
  <tableColumns count="1">
    <tableColumn id="1" xr3:uid="{00000000-0010-0000-1A00-000001000000}" name="Recuperar_Acción" dataDxfId="84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846" dataDxfId="845">
  <autoFilter ref="A262:A264" xr:uid="{00000000-0009-0000-0100-00002E000000}"/>
  <tableColumns count="1">
    <tableColumn id="1" xr3:uid="{00000000-0010-0000-1B00-000001000000}" name="Previsión" dataDxfId="84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843" dataDxfId="842">
  <autoFilter ref="A266:A281" xr:uid="{00000000-0009-0000-0100-00002F000000}"/>
  <tableColumns count="1">
    <tableColumn id="1" xr3:uid="{00000000-0010-0000-1C00-000001000000}" name="Ataque_a_Distancia" dataDxfId="84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840" dataDxfId="839">
  <autoFilter ref="A282:A290" xr:uid="{00000000-0009-0000-0100-000030000000}"/>
  <tableColumns count="1">
    <tableColumn id="1" xr3:uid="{00000000-0010-0000-1D00-000001000000}" name="Ataque_a_Distancia_Real" dataDxfId="83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837" dataDxfId="836">
  <autoFilter ref="A291:A302" xr:uid="{00000000-0009-0000-0100-000031000000}"/>
  <tableColumns count="1">
    <tableColumn id="1" xr3:uid="{00000000-0010-0000-1E00-000001000000}" name="Ataque_con_Área" dataDxfId="83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834" dataDxfId="833">
  <autoFilter ref="A303:A311" xr:uid="{00000000-0009-0000-0100-000032000000}"/>
  <tableColumns count="1">
    <tableColumn id="1" xr3:uid="{00000000-0010-0000-1F00-000001000000}" name="Ataque_con_Área_Real" dataDxfId="83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831" dataDxfId="830">
  <autoFilter ref="A312:A320" xr:uid="{00000000-0009-0000-0100-000033000000}"/>
  <tableColumns count="1">
    <tableColumn id="1" xr3:uid="{00000000-0010-0000-2000-000001000000}" name="Parada_en_Área" dataDxfId="82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828" dataDxfId="827">
  <autoFilter ref="A321:A331" xr:uid="{00000000-0009-0000-0100-000034000000}"/>
  <tableColumns count="1">
    <tableColumn id="1" xr3:uid="{00000000-0010-0000-2100-000001000000}" name="Transporte_Automático" dataDxfId="82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825" dataDxfId="824">
  <autoFilter ref="A333:A341" xr:uid="{00000000-0009-0000-0100-000035000000}"/>
  <tableColumns count="1">
    <tableColumn id="1" xr3:uid="{00000000-0010-0000-2200-000001000000}" name="Aumentar_Rotura" dataDxfId="82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822" dataDxfId="821">
  <autoFilter ref="A342:A349" xr:uid="{00000000-0009-0000-0100-000036000000}"/>
  <tableColumns count="1">
    <tableColumn id="1" xr3:uid="{00000000-0010-0000-2300-000001000000}" name="Aumentar_Entereza" dataDxfId="82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819" dataDxfId="818">
  <autoFilter ref="A350:A359" xr:uid="{00000000-0009-0000-0100-000037000000}"/>
  <tableColumns count="1">
    <tableColumn id="1" xr3:uid="{00000000-0010-0000-2400-000001000000}" name="Destruir_Armadura" dataDxfId="81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816" dataDxfId="815">
  <autoFilter ref="A360:A374" xr:uid="{00000000-0009-0000-0100-000038000000}"/>
  <tableColumns count="1">
    <tableColumn id="1" xr3:uid="{00000000-0010-0000-2500-000001000000}" name="Armadura" dataDxfId="81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813" dataDxfId="812">
  <autoFilter ref="A376:A381" xr:uid="{00000000-0009-0000-0100-000039000000}"/>
  <tableColumns count="1">
    <tableColumn id="1" xr3:uid="{00000000-0010-0000-2600-000001000000}" name="Incremento_de_Movimiento" dataDxfId="81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10" dataDxfId="809">
  <autoFilter ref="A382:A388" xr:uid="{00000000-0009-0000-0100-00003A000000}"/>
  <tableColumns count="1">
    <tableColumn id="1" xr3:uid="{00000000-0010-0000-2700-000001000000}" name="Incremento_de_Habilidad" dataDxfId="8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07" dataDxfId="806">
  <autoFilter ref="A389:A397" xr:uid="{00000000-0009-0000-0100-00003B000000}"/>
  <tableColumns count="1">
    <tableColumn id="1" xr3:uid="{00000000-0010-0000-2800-000001000000}" name="Capacidad_Incrementada_AGI" dataDxfId="8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04" dataDxfId="803">
  <autoFilter ref="A398:A406" xr:uid="{00000000-0009-0000-0100-00003C000000}"/>
  <tableColumns count="1">
    <tableColumn id="1" xr3:uid="{00000000-0010-0000-2900-000001000000}" name="Capacidad_Incrementada_FUE" dataDxfId="80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01" dataDxfId="800">
  <autoFilter ref="A407:A415" xr:uid="{00000000-0009-0000-0100-00003D000000}"/>
  <tableColumns count="1">
    <tableColumn id="1" xr3:uid="{00000000-0010-0000-2A00-000001000000}" name="Capacidad_Incrementada_DES" dataDxfId="79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98" dataDxfId="797">
  <autoFilter ref="A416:A427" xr:uid="{00000000-0009-0000-0100-00003E000000}"/>
  <tableColumns count="1">
    <tableColumn id="1" xr3:uid="{00000000-0010-0000-2B00-000001000000}" name="Incremento_de_Resistencia_Física" dataDxfId="79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95" dataDxfId="794">
  <autoFilter ref="A428:A436" xr:uid="{00000000-0009-0000-0100-00003F000000}"/>
  <tableColumns count="1">
    <tableColumn id="1" xr3:uid="{00000000-0010-0000-2C00-000001000000}" name="Incremento_de_Resistencia_Mágica" dataDxfId="79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92" dataDxfId="791">
  <autoFilter ref="A437:A445" xr:uid="{00000000-0009-0000-0100-000040000000}"/>
  <tableColumns count="1">
    <tableColumn id="1" xr3:uid="{00000000-0010-0000-2D00-000001000000}" name="Incremento_de_Resistencia_Psíquica" dataDxfId="79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89" dataDxfId="788">
  <autoFilter ref="A446:A453" xr:uid="{00000000-0009-0000-0100-000041000000}"/>
  <tableColumns count="1">
    <tableColumn id="1" xr3:uid="{00000000-0010-0000-2E00-000001000000}" name="Habilidades_Perceptivas" dataDxfId="78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86" dataDxfId="785">
  <autoFilter ref="A455:A456" xr:uid="{00000000-0009-0000-0100-000042000000}"/>
  <tableColumns count="1">
    <tableColumn id="1" xr3:uid="{00000000-0010-0000-2F00-000001000000}" name="Ataque_capaz_de_Dañar_Energía" dataDxfId="78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783" dataDxfId="782">
  <autoFilter ref="A457:A458" xr:uid="{00000000-0009-0000-0100-000043000000}"/>
  <tableColumns count="1">
    <tableColumn id="1" xr3:uid="{00000000-0010-0000-3000-000001000000}" name="Ataque_Elemental" dataDxfId="78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780" dataDxfId="779">
  <autoFilter ref="A459:A471" xr:uid="{00000000-0009-0000-0100-000044000000}"/>
  <tableColumns count="1">
    <tableColumn id="1" xr3:uid="{00000000-0010-0000-3100-000001000000}" name="Armas_Físicas_de_Ki" dataDxfId="77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777" dataDxfId="776">
  <autoFilter ref="A472:A473" xr:uid="{00000000-0009-0000-0100-000045000000}"/>
  <tableColumns count="1">
    <tableColumn id="1" xr3:uid="{00000000-0010-0000-3200-000001000000}" name="Ataque_Sobrenatural" dataDxfId="775"/>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774" dataDxfId="773">
  <autoFilter ref="A474:A480" xr:uid="{00000000-0009-0000-0100-000046000000}"/>
  <tableColumns count="1">
    <tableColumn id="1" xr3:uid="{00000000-0010-0000-3300-000001000000}" name="Absorción_de_Ki" dataDxfId="77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771" dataDxfId="770">
  <autoFilter ref="A481:A492" xr:uid="{00000000-0009-0000-0100-000047000000}"/>
  <tableColumns count="1">
    <tableColumn id="1" xr3:uid="{00000000-0010-0000-3400-000001000000}" name="Apresamiento" dataDxfId="76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768" dataDxfId="767">
  <autoFilter ref="A493:A494" xr:uid="{00000000-0009-0000-0100-000048000000}"/>
  <tableColumns count="1">
    <tableColumn id="1" xr3:uid="{00000000-0010-0000-3500-000001000000}" name="Choque_Físico" dataDxfId="76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765" dataDxfId="764">
  <autoFilter ref="A495:A508" xr:uid="{00000000-0009-0000-0100-000049000000}"/>
  <tableColumns count="1">
    <tableColumn id="1" xr3:uid="{00000000-0010-0000-3600-000001000000}" name="Acumulación" dataDxfId="76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762" dataDxfId="761">
  <autoFilter ref="A509:A532" xr:uid="{00000000-0009-0000-0100-00004A000000}"/>
  <tableColumns count="1">
    <tableColumn id="1" xr3:uid="{00000000-0010-0000-3700-000001000000}" name="Espejismo" dataDxfId="76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759" dataDxfId="758">
  <autoFilter ref="A533:A547" xr:uid="{00000000-0009-0000-0100-00004B000000}"/>
  <tableColumns count="1">
    <tableColumn id="1" xr3:uid="{00000000-0010-0000-3800-000001000000}" name="Escudo_de_Energía" dataDxfId="75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756" dataDxfId="755">
  <autoFilter ref="A548:A604" xr:uid="{00000000-0009-0000-0100-00004C000000}"/>
  <tableColumns count="1">
    <tableColumn id="1" xr3:uid="{00000000-0010-0000-3900-000001000000}" name="Estados_Sobrenaturales" dataDxfId="754"/>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753" dataDxfId="752">
  <autoFilter ref="A605:A616" xr:uid="{00000000-0009-0000-0100-00004D000000}"/>
  <tableColumns count="1">
    <tableColumn id="1" xr3:uid="{00000000-0010-0000-3A00-000001000000}" name="Impacto" dataDxfId="75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750" dataDxfId="749">
  <autoFilter ref="A617:A628" xr:uid="{00000000-0009-0000-0100-00004E000000}"/>
  <tableColumns count="1">
    <tableColumn id="1" xr3:uid="{00000000-0010-0000-3B00-000001000000}" name="Interrupción" dataDxfId="74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747" dataDxfId="746">
  <autoFilter ref="A629:A635" xr:uid="{00000000-0009-0000-0100-00004F000000}"/>
  <tableColumns count="1">
    <tableColumn id="1" xr3:uid="{00000000-0010-0000-3C00-000001000000}" name="Intangibilidad" dataDxfId="74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744" dataDxfId="743">
  <autoFilter ref="A636:A641" xr:uid="{00000000-0009-0000-0100-000050000000}"/>
  <tableColumns count="1">
    <tableColumn id="1" xr3:uid="{00000000-0010-0000-3D00-000001000000}" name="Marca" dataDxfId="74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741" dataDxfId="740">
  <autoFilter ref="A642:A655" xr:uid="{00000000-0009-0000-0100-000051000000}"/>
  <tableColumns count="1">
    <tableColumn id="1" xr3:uid="{00000000-0010-0000-3E00-000001000000}" name="Potenciar_Crítico" dataDxfId="73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738" dataDxfId="737">
  <autoFilter ref="A656:A665" xr:uid="{00000000-0009-0000-0100-000052000000}"/>
  <tableColumns count="1">
    <tableColumn id="1" xr3:uid="{00000000-0010-0000-3F00-000001000000}" name="Potenciar_Crítico_Real" dataDxfId="73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735" dataDxfId="734">
  <autoFilter ref="A666:A671" xr:uid="{00000000-0009-0000-0100-000053000000}"/>
  <tableColumns count="1">
    <tableColumn id="1" xr3:uid="{00000000-0010-0000-4000-000001000000}" name="Reflectar_el_Ataque" dataDxfId="7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20.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1.bin"/><Relationship Id="rId5" Type="http://schemas.openxmlformats.org/officeDocument/2006/relationships/image" Target="../media/image11.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3.bin"/><Relationship Id="rId5" Type="http://schemas.openxmlformats.org/officeDocument/2006/relationships/image" Target="../media/image6.emf"/><Relationship Id="rId4" Type="http://schemas.openxmlformats.org/officeDocument/2006/relationships/control" Target="../activeX/activeX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4.bin"/><Relationship Id="rId5" Type="http://schemas.openxmlformats.org/officeDocument/2006/relationships/image" Target="../media/image6.emf"/><Relationship Id="rId4"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c r="A3" s="45"/>
      <c r="B3" s="2101"/>
      <c r="C3" s="3220"/>
      <c r="D3" s="3220"/>
      <c r="E3" s="3220"/>
      <c r="F3" s="3220"/>
      <c r="G3" s="3220"/>
      <c r="H3" s="3220"/>
      <c r="I3" s="48"/>
      <c r="J3" s="48"/>
      <c r="K3" s="48"/>
      <c r="L3" s="48"/>
      <c r="M3" s="48"/>
      <c r="N3" s="48"/>
      <c r="O3" s="48"/>
      <c r="P3" s="48"/>
      <c r="Q3" s="48"/>
      <c r="R3" s="49"/>
      <c r="S3" s="1760"/>
      <c r="T3" s="47"/>
    </row>
    <row r="4" spans="1:27" ht="12" customHeight="1" thickBot="1">
      <c r="A4" s="45"/>
      <c r="B4" s="2101"/>
      <c r="C4" s="3220"/>
      <c r="D4" s="3220"/>
      <c r="E4" s="3220"/>
      <c r="F4" s="3220"/>
      <c r="G4" s="3220"/>
      <c r="H4" s="3220"/>
      <c r="I4" s="52"/>
      <c r="J4" s="52"/>
      <c r="K4" s="3221" t="str">
        <f>IF(General!$G$22=0,"",General!$G$22)</f>
        <v/>
      </c>
      <c r="L4" s="3221"/>
      <c r="M4" s="3221"/>
      <c r="N4" s="3221"/>
      <c r="O4" s="3221"/>
      <c r="P4" s="3221"/>
      <c r="Q4" s="3221"/>
      <c r="R4" s="13"/>
      <c r="S4" s="1761"/>
      <c r="T4" s="53"/>
    </row>
    <row r="5" spans="1:27" ht="12" customHeight="1" thickBot="1">
      <c r="A5" s="45"/>
      <c r="B5" s="2101"/>
      <c r="C5" s="3220"/>
      <c r="D5" s="3220"/>
      <c r="E5" s="3220"/>
      <c r="F5" s="3220"/>
      <c r="G5" s="3220"/>
      <c r="H5" s="3220"/>
      <c r="I5" s="52"/>
      <c r="J5" s="52"/>
      <c r="K5" s="3221"/>
      <c r="L5" s="3221"/>
      <c r="M5" s="3221"/>
      <c r="N5" s="3221"/>
      <c r="O5" s="3221"/>
      <c r="P5" s="3221"/>
      <c r="Q5" s="3221"/>
      <c r="R5" s="55"/>
      <c r="S5" s="1760"/>
      <c r="T5" s="53"/>
    </row>
    <row r="6" spans="1:27" ht="12" customHeight="1" thickBot="1">
      <c r="A6" s="45"/>
      <c r="B6" s="2101"/>
      <c r="C6" s="3220"/>
      <c r="D6" s="3220"/>
      <c r="E6" s="3220"/>
      <c r="F6" s="3220"/>
      <c r="G6" s="3220"/>
      <c r="H6" s="3220"/>
      <c r="I6" s="52"/>
      <c r="J6" s="52"/>
      <c r="K6" s="3221"/>
      <c r="L6" s="3221"/>
      <c r="M6" s="3221"/>
      <c r="N6" s="3221"/>
      <c r="O6" s="3221"/>
      <c r="P6" s="3221"/>
      <c r="Q6" s="3221"/>
      <c r="R6" s="55"/>
      <c r="S6" s="1760"/>
      <c r="T6" s="53"/>
    </row>
    <row r="7" spans="1:27" ht="12" customHeight="1" thickBot="1">
      <c r="A7" s="45"/>
      <c r="B7" s="2101"/>
      <c r="C7" s="3220"/>
      <c r="D7" s="3220"/>
      <c r="E7" s="3220"/>
      <c r="F7" s="3220"/>
      <c r="G7" s="3220"/>
      <c r="H7" s="3220"/>
      <c r="I7" s="52"/>
      <c r="J7" s="52"/>
      <c r="K7" s="3221"/>
      <c r="L7" s="3221"/>
      <c r="M7" s="3221"/>
      <c r="N7" s="3221"/>
      <c r="O7" s="3221"/>
      <c r="P7" s="3221"/>
      <c r="Q7" s="3221"/>
      <c r="R7" s="55"/>
      <c r="S7" s="1760"/>
      <c r="T7" s="53"/>
    </row>
    <row r="8" spans="1:27" ht="12" customHeight="1" thickBot="1">
      <c r="A8" s="45"/>
      <c r="B8" s="2101"/>
      <c r="C8" s="3220"/>
      <c r="D8" s="3220"/>
      <c r="E8" s="3220"/>
      <c r="F8" s="3220"/>
      <c r="G8" s="3220"/>
      <c r="H8" s="3220"/>
      <c r="I8" s="59"/>
      <c r="J8" s="59"/>
      <c r="K8" s="59"/>
      <c r="L8" s="59"/>
      <c r="M8" s="59"/>
      <c r="N8" s="59"/>
      <c r="O8" s="59"/>
      <c r="P8" s="59"/>
      <c r="Q8" s="59"/>
      <c r="R8" s="60"/>
      <c r="S8" s="1760"/>
      <c r="T8" s="53"/>
    </row>
    <row r="9" spans="1:27" ht="12" customHeight="1" thickBot="1">
      <c r="A9" s="45"/>
      <c r="B9" s="2101"/>
      <c r="C9" s="67"/>
      <c r="D9" s="67"/>
      <c r="E9" s="67"/>
      <c r="F9" s="67"/>
      <c r="G9" s="67"/>
      <c r="H9" s="67"/>
      <c r="I9" s="67"/>
      <c r="J9" s="67"/>
      <c r="K9" s="67"/>
      <c r="L9" s="67"/>
      <c r="M9" s="67"/>
      <c r="N9" s="67"/>
      <c r="O9" s="67"/>
      <c r="P9" s="67"/>
      <c r="Q9" s="67"/>
      <c r="R9" s="67"/>
      <c r="S9" s="1760"/>
      <c r="T9" s="53"/>
    </row>
    <row r="10" spans="1:27" ht="12" customHeight="1">
      <c r="A10" s="45"/>
      <c r="B10" s="2101"/>
      <c r="C10" s="1689"/>
      <c r="D10" s="1557"/>
      <c r="E10" s="1557"/>
      <c r="F10" s="1557"/>
      <c r="G10" s="1557"/>
      <c r="H10" s="1557"/>
      <c r="I10" s="1557"/>
      <c r="J10" s="1557"/>
      <c r="K10" s="1557"/>
      <c r="L10" s="1557"/>
      <c r="M10" s="1557"/>
      <c r="N10" s="1557"/>
      <c r="O10" s="1557"/>
      <c r="P10" s="1557"/>
      <c r="Q10" s="1557"/>
      <c r="R10" s="1690"/>
      <c r="S10" s="1760"/>
      <c r="T10" s="53"/>
      <c r="V10" s="3248" t="s">
        <v>8662</v>
      </c>
      <c r="W10" s="3249"/>
      <c r="X10" s="3250"/>
    </row>
    <row r="11" spans="1:27" ht="12" customHeight="1" thickBot="1">
      <c r="A11" s="45"/>
      <c r="B11" s="2102"/>
      <c r="C11" s="1691" t="s">
        <v>1627</v>
      </c>
      <c r="D11" s="353" t="str">
        <f>(PDs!S5+PDs!S7+PDs!S9+PDs!S11+PDs!S13)&amp;IF(Principal!AA27=0,""," + "&amp;Principal!AA27)</f>
        <v>1 + 2</v>
      </c>
      <c r="E11" s="354"/>
      <c r="F11" s="215"/>
      <c r="G11" s="215"/>
      <c r="H11" s="215"/>
      <c r="I11" s="215"/>
      <c r="J11" s="2094" t="s">
        <v>1672</v>
      </c>
      <c r="K11" s="3225" t="str">
        <f>Principal!K7</f>
        <v>Natural 10</v>
      </c>
      <c r="L11" s="3225"/>
      <c r="M11" s="3225"/>
      <c r="N11" s="3225"/>
      <c r="O11" s="3225"/>
      <c r="P11" s="3225"/>
      <c r="Q11" s="3225"/>
      <c r="R11" s="2095"/>
      <c r="S11" s="1760"/>
      <c r="T11" s="53"/>
      <c r="V11" s="3251"/>
      <c r="W11" s="3252"/>
      <c r="X11" s="3253"/>
    </row>
    <row r="12" spans="1:27" ht="12" customHeight="1">
      <c r="A12" s="45"/>
      <c r="B12" s="2102"/>
      <c r="C12" s="3210" t="s">
        <v>2181</v>
      </c>
      <c r="D12" s="3211"/>
      <c r="E12" s="3211"/>
      <c r="F12" s="3222">
        <f>Principal!N11</f>
        <v>35</v>
      </c>
      <c r="G12" s="3222"/>
      <c r="H12" s="215"/>
      <c r="I12" s="215"/>
      <c r="J12" s="215"/>
      <c r="K12" s="3223" t="s">
        <v>1626</v>
      </c>
      <c r="L12" s="3223"/>
      <c r="M12" s="3224" t="str">
        <f>Principal!L5</f>
        <v>Guerrero</v>
      </c>
      <c r="N12" s="3224"/>
      <c r="O12" s="3224"/>
      <c r="P12" s="215"/>
      <c r="Q12" s="215"/>
      <c r="R12" s="1692"/>
      <c r="S12" s="1760"/>
      <c r="T12" s="53"/>
      <c r="V12" s="3214"/>
      <c r="W12" s="3243"/>
      <c r="X12" s="3215"/>
      <c r="Z12" s="3214"/>
      <c r="AA12" s="3215"/>
    </row>
    <row r="13" spans="1:27" ht="12" customHeight="1">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216"/>
      <c r="W13" s="3244"/>
      <c r="X13" s="3217"/>
      <c r="Z13" s="3216"/>
      <c r="AA13" s="3217"/>
    </row>
    <row r="14" spans="1:27" ht="12" customHeight="1">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216"/>
      <c r="W14" s="3244"/>
      <c r="X14" s="3217"/>
      <c r="Z14" s="3216"/>
      <c r="AA14" s="3217"/>
    </row>
    <row r="15" spans="1:27" ht="4.5" customHeight="1">
      <c r="A15" s="45"/>
      <c r="B15" s="2102"/>
      <c r="C15" s="1694"/>
      <c r="D15" s="56"/>
      <c r="E15" s="56"/>
      <c r="F15" s="56"/>
      <c r="G15" s="56"/>
      <c r="H15" s="56"/>
      <c r="I15" s="56"/>
      <c r="J15" s="56"/>
      <c r="K15" s="56"/>
      <c r="L15" s="56"/>
      <c r="M15" s="56"/>
      <c r="N15" s="56"/>
      <c r="O15" s="56"/>
      <c r="P15" s="56"/>
      <c r="Q15" s="56"/>
      <c r="R15" s="1559"/>
      <c r="S15" s="1760"/>
      <c r="T15" s="53"/>
      <c r="V15" s="3216"/>
      <c r="W15" s="3244"/>
      <c r="X15" s="3217"/>
      <c r="Z15" s="3216"/>
      <c r="AA15" s="3217"/>
    </row>
    <row r="16" spans="1:27" ht="17.100000000000001" customHeight="1">
      <c r="A16" s="45"/>
      <c r="B16" s="2102"/>
      <c r="C16" s="2092" t="s">
        <v>2195</v>
      </c>
      <c r="D16" s="321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12"/>
      <c r="F16" s="3212"/>
      <c r="G16" s="3212"/>
      <c r="H16" s="3212"/>
      <c r="I16" s="3212"/>
      <c r="J16" s="3212"/>
      <c r="K16" s="3212"/>
      <c r="L16" s="3212"/>
      <c r="M16" s="3212"/>
      <c r="N16" s="3212"/>
      <c r="O16" s="3212"/>
      <c r="P16" s="3212"/>
      <c r="Q16" s="3212"/>
      <c r="R16" s="3213"/>
      <c r="S16" s="1760"/>
      <c r="T16" s="53"/>
      <c r="V16" s="3216"/>
      <c r="W16" s="3244"/>
      <c r="X16" s="3217"/>
      <c r="Z16" s="3216"/>
      <c r="AA16" s="3217"/>
    </row>
    <row r="17" spans="1:27" ht="17.100000000000001" customHeight="1" thickBot="1">
      <c r="A17" s="45"/>
      <c r="B17" s="2102"/>
      <c r="C17" s="3210" t="s">
        <v>2196</v>
      </c>
      <c r="D17" s="3211"/>
      <c r="E17" s="3211"/>
      <c r="F17" s="3211"/>
      <c r="G17" s="3212"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2"/>
      <c r="I17" s="3212"/>
      <c r="J17" s="3212"/>
      <c r="K17" s="3212"/>
      <c r="L17" s="3212"/>
      <c r="M17" s="3212"/>
      <c r="N17" s="3212"/>
      <c r="O17" s="3212"/>
      <c r="P17" s="3212"/>
      <c r="Q17" s="3212"/>
      <c r="R17" s="3213"/>
      <c r="S17" s="1760"/>
      <c r="T17" s="53"/>
      <c r="V17" s="3216"/>
      <c r="W17" s="3244"/>
      <c r="X17" s="3217"/>
      <c r="Z17" s="3218"/>
      <c r="AA17" s="3219"/>
    </row>
    <row r="18" spans="1:27" ht="17.100000000000001" customHeight="1">
      <c r="A18" s="45"/>
      <c r="B18" s="2101"/>
      <c r="C18" s="3210" t="s">
        <v>2197</v>
      </c>
      <c r="D18" s="3211"/>
      <c r="E18" s="3211"/>
      <c r="F18" s="3211"/>
      <c r="G18" s="3212"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2"/>
      <c r="I18" s="3212"/>
      <c r="J18" s="3212"/>
      <c r="K18" s="3212"/>
      <c r="L18" s="3212"/>
      <c r="M18" s="3212"/>
      <c r="N18" s="3212"/>
      <c r="O18" s="3212"/>
      <c r="P18" s="3212"/>
      <c r="Q18" s="3212"/>
      <c r="R18" s="3213"/>
      <c r="S18" s="1760"/>
      <c r="T18" s="53"/>
      <c r="V18" s="3216"/>
      <c r="W18" s="3244"/>
      <c r="X18" s="3217"/>
    </row>
    <row r="19" spans="1:27" ht="17.100000000000001" customHeight="1">
      <c r="A19" s="45"/>
      <c r="B19" s="2101"/>
      <c r="C19" s="1695" t="s">
        <v>2198</v>
      </c>
      <c r="D19" s="3212"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12"/>
      <c r="F19" s="3212"/>
      <c r="G19" s="3212"/>
      <c r="H19" s="3212"/>
      <c r="I19" s="3212"/>
      <c r="J19" s="3212"/>
      <c r="K19" s="3212"/>
      <c r="L19" s="3212"/>
      <c r="M19" s="3212"/>
      <c r="N19" s="3212"/>
      <c r="O19" s="3212"/>
      <c r="P19" s="3212"/>
      <c r="Q19" s="3212"/>
      <c r="R19" s="3213"/>
      <c r="S19" s="1760"/>
      <c r="T19" s="53"/>
      <c r="V19" s="3216"/>
      <c r="W19" s="3244"/>
      <c r="X19" s="3217"/>
    </row>
    <row r="20" spans="1:27" ht="12" customHeight="1">
      <c r="A20" s="45"/>
      <c r="B20" s="2101"/>
      <c r="C20" s="1693" t="s">
        <v>2199</v>
      </c>
      <c r="D20" s="3222" t="str">
        <f>IF(Combate!E12=0,"",Combate!E12)&amp;IF(OR(Combate!E12=0,Combate!E13=0),""," + ")&amp;IF(Combate!E13=0,"",Combate!E13)&amp;IF(OR(AND(Combate!E12=0,Combate!E13=0),Combate!E14=0),""," + ")&amp;IF(Combate!E14=0,"",Combate!E14)</f>
        <v/>
      </c>
      <c r="E20" s="3222"/>
      <c r="F20" s="3222"/>
      <c r="G20" s="3222"/>
      <c r="H20" s="3222"/>
      <c r="I20" s="3222"/>
      <c r="J20" s="3222"/>
      <c r="K20" s="56"/>
      <c r="L20" s="56"/>
      <c r="M20" s="56"/>
      <c r="N20" s="56"/>
      <c r="O20" s="56"/>
      <c r="P20" s="56"/>
      <c r="Q20" s="56"/>
      <c r="R20" s="1559"/>
      <c r="S20" s="1760"/>
      <c r="T20" s="53"/>
      <c r="V20" s="3216"/>
      <c r="W20" s="3244"/>
      <c r="X20" s="3217"/>
    </row>
    <row r="21" spans="1:27" ht="12" customHeight="1">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216"/>
      <c r="W21" s="3244"/>
      <c r="X21" s="3217"/>
    </row>
    <row r="22" spans="1:27" ht="11.25" customHeight="1" thickBot="1">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218"/>
      <c r="W22" s="3245"/>
      <c r="X22" s="3219"/>
    </row>
    <row r="23" spans="1:27" ht="12" customHeight="1">
      <c r="A23" s="45"/>
      <c r="B23" s="1672"/>
      <c r="C23" s="3230" t="s">
        <v>2207</v>
      </c>
      <c r="D23" s="3231"/>
      <c r="E23" s="3231"/>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c r="A24" s="45"/>
      <c r="B24" s="3242"/>
      <c r="C24" s="3210" t="s">
        <v>2208</v>
      </c>
      <c r="D24" s="3211"/>
      <c r="E24" s="3211"/>
      <c r="F24" s="3211"/>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c r="A25" s="45"/>
      <c r="B25" s="3242"/>
      <c r="C25" s="3210" t="s">
        <v>2209</v>
      </c>
      <c r="D25" s="3211"/>
      <c r="E25" s="3211"/>
      <c r="F25" s="322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8"/>
      <c r="H25" s="3228"/>
      <c r="I25" s="3228"/>
      <c r="J25" s="3228"/>
      <c r="K25" s="3228"/>
      <c r="L25" s="3228"/>
      <c r="M25" s="3228"/>
      <c r="N25" s="3228"/>
      <c r="O25" s="3228"/>
      <c r="P25" s="3228"/>
      <c r="Q25" s="3228"/>
      <c r="R25" s="3229"/>
      <c r="S25" s="1760"/>
      <c r="T25" s="53"/>
    </row>
    <row r="26" spans="1:27" ht="12" customHeight="1">
      <c r="A26" s="45"/>
      <c r="B26" s="3242"/>
      <c r="C26" s="1694"/>
      <c r="D26" s="56"/>
      <c r="E26" s="56"/>
      <c r="F26" s="3228"/>
      <c r="G26" s="3228"/>
      <c r="H26" s="3228"/>
      <c r="I26" s="3228"/>
      <c r="J26" s="3228"/>
      <c r="K26" s="3228"/>
      <c r="L26" s="3228"/>
      <c r="M26" s="3228"/>
      <c r="N26" s="3228"/>
      <c r="O26" s="3228"/>
      <c r="P26" s="3228"/>
      <c r="Q26" s="3228"/>
      <c r="R26" s="3229"/>
      <c r="S26" s="1760"/>
      <c r="T26" s="47"/>
    </row>
    <row r="27" spans="1:27" ht="11.25" customHeight="1">
      <c r="A27" s="45"/>
      <c r="B27" s="3242"/>
      <c r="C27" s="1694"/>
      <c r="D27" s="56"/>
      <c r="E27" s="56"/>
      <c r="F27" s="3228"/>
      <c r="G27" s="3228"/>
      <c r="H27" s="3228"/>
      <c r="I27" s="3228"/>
      <c r="J27" s="3228"/>
      <c r="K27" s="3228"/>
      <c r="L27" s="3228"/>
      <c r="M27" s="3228"/>
      <c r="N27" s="3228"/>
      <c r="O27" s="3228"/>
      <c r="P27" s="3228"/>
      <c r="Q27" s="3228"/>
      <c r="R27" s="3229"/>
      <c r="S27" s="1760"/>
      <c r="T27" s="47"/>
    </row>
    <row r="28" spans="1:27" ht="12" customHeight="1">
      <c r="A28" s="45"/>
      <c r="B28" s="3242"/>
      <c r="C28" s="3226" t="s">
        <v>2210</v>
      </c>
      <c r="D28" s="3227"/>
      <c r="E28" s="322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8"/>
      <c r="G28" s="3228"/>
      <c r="H28" s="3228"/>
      <c r="I28" s="3228"/>
      <c r="J28" s="3228"/>
      <c r="K28" s="3228"/>
      <c r="L28" s="3228"/>
      <c r="M28" s="3228"/>
      <c r="N28" s="3228"/>
      <c r="O28" s="3228"/>
      <c r="P28" s="3228"/>
      <c r="Q28" s="3228"/>
      <c r="R28" s="3229"/>
      <c r="S28" s="1760"/>
      <c r="T28" s="47"/>
    </row>
    <row r="29" spans="1:27" ht="12" customHeight="1">
      <c r="A29" s="45"/>
      <c r="B29" s="3242"/>
      <c r="C29" s="1697"/>
      <c r="D29" s="215"/>
      <c r="E29" s="3228"/>
      <c r="F29" s="3228"/>
      <c r="G29" s="3228"/>
      <c r="H29" s="3228"/>
      <c r="I29" s="3228"/>
      <c r="J29" s="3228"/>
      <c r="K29" s="3228"/>
      <c r="L29" s="3228"/>
      <c r="M29" s="3228"/>
      <c r="N29" s="3228"/>
      <c r="O29" s="3228"/>
      <c r="P29" s="3228"/>
      <c r="Q29" s="3228"/>
      <c r="R29" s="3229"/>
      <c r="S29" s="1760"/>
      <c r="T29" s="47"/>
    </row>
    <row r="30" spans="1:27" ht="12" customHeight="1">
      <c r="A30" s="45"/>
      <c r="B30" s="3242"/>
      <c r="C30" s="1694"/>
      <c r="D30" s="56"/>
      <c r="E30" s="359"/>
      <c r="F30" s="359"/>
      <c r="G30" s="359"/>
      <c r="H30" s="359"/>
      <c r="I30" s="359"/>
      <c r="J30" s="359"/>
      <c r="K30" s="359"/>
      <c r="L30" s="359"/>
      <c r="M30" s="359"/>
      <c r="N30" s="359"/>
      <c r="O30" s="359"/>
      <c r="P30" s="359"/>
      <c r="Q30" s="359"/>
      <c r="R30" s="1698"/>
      <c r="S30" s="1760"/>
      <c r="T30" s="47"/>
    </row>
    <row r="31" spans="1:27" ht="12" customHeight="1">
      <c r="A31" s="45"/>
      <c r="B31" s="3242"/>
      <c r="C31" s="2109" t="s">
        <v>2211</v>
      </c>
      <c r="D31" s="3234">
        <f>Místicos!L13</f>
        <v>0</v>
      </c>
      <c r="E31" s="3234"/>
      <c r="F31" s="2110"/>
      <c r="G31" s="2110"/>
      <c r="H31" s="2110"/>
      <c r="I31" s="2110"/>
      <c r="J31" s="2110"/>
      <c r="K31" s="2110"/>
      <c r="L31" s="3235" t="s">
        <v>2212</v>
      </c>
      <c r="M31" s="3235"/>
      <c r="N31" s="2107">
        <f>Místicos!M25</f>
        <v>0</v>
      </c>
      <c r="O31" s="3235" t="s">
        <v>2213</v>
      </c>
      <c r="P31" s="3235"/>
      <c r="Q31" s="2107">
        <f>Místicos!M27</f>
        <v>0</v>
      </c>
      <c r="R31" s="2111"/>
      <c r="S31" s="1760"/>
      <c r="T31" s="47"/>
    </row>
    <row r="32" spans="1:27" ht="12" customHeight="1">
      <c r="A32" s="45"/>
      <c r="B32" s="2103"/>
      <c r="C32" s="1693" t="s">
        <v>2214</v>
      </c>
      <c r="D32" s="3222">
        <f>Místicos!K18</f>
        <v>0</v>
      </c>
      <c r="E32" s="3222"/>
      <c r="F32" s="56"/>
      <c r="G32" s="56"/>
      <c r="H32" s="56"/>
      <c r="I32" s="56"/>
      <c r="J32" s="56"/>
      <c r="K32" s="56"/>
      <c r="L32" s="3236" t="s">
        <v>2215</v>
      </c>
      <c r="M32" s="3236"/>
      <c r="N32" s="2093">
        <f>Místicos!M26</f>
        <v>0</v>
      </c>
      <c r="O32" s="3237" t="s">
        <v>2216</v>
      </c>
      <c r="P32" s="3237"/>
      <c r="Q32" s="2093">
        <f>Místicos!M28</f>
        <v>0</v>
      </c>
      <c r="R32" s="1559"/>
      <c r="S32" s="1760"/>
      <c r="T32" s="47"/>
    </row>
    <row r="33" spans="1:22" ht="12" customHeight="1">
      <c r="A33" s="45"/>
      <c r="B33" s="2103"/>
      <c r="C33" s="3210" t="s">
        <v>2217</v>
      </c>
      <c r="D33" s="3211"/>
      <c r="E33" s="3211"/>
      <c r="F33" s="3211"/>
      <c r="G33" s="3232">
        <f>IF(Místicos!P13=Místicos!Q13,Místicos!P13,Místicos!P13&amp;" Ofensiva"&amp;", "&amp;Místicos!Q13&amp;" Defensiva")</f>
        <v>0</v>
      </c>
      <c r="H33" s="3232"/>
      <c r="I33" s="3232"/>
      <c r="J33" s="3232"/>
      <c r="K33" s="3232"/>
      <c r="L33" s="3232"/>
      <c r="M33" s="3232"/>
      <c r="N33" s="3232"/>
      <c r="O33" s="3232"/>
      <c r="P33" s="3232"/>
      <c r="Q33" s="3232"/>
      <c r="R33" s="3233"/>
      <c r="S33" s="1760"/>
      <c r="T33" s="47"/>
    </row>
    <row r="34" spans="1:22" ht="12" customHeight="1">
      <c r="A34" s="45"/>
      <c r="B34" s="2103"/>
      <c r="C34" s="3210" t="s">
        <v>2218</v>
      </c>
      <c r="D34" s="3211"/>
      <c r="E34" s="3211"/>
      <c r="F34" s="324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41"/>
      <c r="H34" s="3241"/>
      <c r="I34" s="3241"/>
      <c r="J34" s="3241"/>
      <c r="K34" s="3241"/>
      <c r="L34" s="3241"/>
      <c r="M34" s="3241"/>
      <c r="N34" s="3241"/>
      <c r="O34" s="3241"/>
      <c r="P34" s="3241"/>
      <c r="Q34" s="3241"/>
      <c r="R34" s="3229"/>
      <c r="S34" s="1760"/>
      <c r="T34" s="47"/>
    </row>
    <row r="35" spans="1:22" ht="12" customHeight="1">
      <c r="A35" s="45"/>
      <c r="B35" s="2103"/>
      <c r="C35" s="1694"/>
      <c r="D35" s="56"/>
      <c r="E35" s="56"/>
      <c r="F35" s="3241"/>
      <c r="G35" s="3241"/>
      <c r="H35" s="3241"/>
      <c r="I35" s="3241"/>
      <c r="J35" s="3241"/>
      <c r="K35" s="3241"/>
      <c r="L35" s="3241"/>
      <c r="M35" s="3241"/>
      <c r="N35" s="3241"/>
      <c r="O35" s="3241"/>
      <c r="P35" s="3241"/>
      <c r="Q35" s="3241"/>
      <c r="R35" s="3229"/>
      <c r="S35" s="1760"/>
      <c r="T35" s="47"/>
    </row>
    <row r="36" spans="1:22" ht="12" customHeight="1">
      <c r="A36" s="45"/>
      <c r="B36" s="1672"/>
      <c r="C36" s="1694"/>
      <c r="D36" s="56"/>
      <c r="E36" s="56"/>
      <c r="F36" s="3241"/>
      <c r="G36" s="3241"/>
      <c r="H36" s="3241"/>
      <c r="I36" s="3241"/>
      <c r="J36" s="3241"/>
      <c r="K36" s="3241"/>
      <c r="L36" s="3241"/>
      <c r="M36" s="3241"/>
      <c r="N36" s="3241"/>
      <c r="O36" s="3241"/>
      <c r="P36" s="3241"/>
      <c r="Q36" s="3241"/>
      <c r="R36" s="3229"/>
      <c r="S36" s="1760"/>
      <c r="T36" s="47"/>
    </row>
    <row r="37" spans="1:22" ht="12" customHeight="1">
      <c r="A37" s="45"/>
      <c r="B37" s="1672"/>
      <c r="C37" s="1694"/>
      <c r="D37" s="56"/>
      <c r="E37" s="56"/>
      <c r="F37" s="3246"/>
      <c r="G37" s="3246"/>
      <c r="H37" s="3246"/>
      <c r="I37" s="3246"/>
      <c r="J37" s="3246"/>
      <c r="K37" s="3246"/>
      <c r="L37" s="3246"/>
      <c r="M37" s="3246"/>
      <c r="N37" s="3246"/>
      <c r="O37" s="3246"/>
      <c r="P37" s="3246"/>
      <c r="Q37" s="3246"/>
      <c r="R37" s="3247"/>
      <c r="S37" s="1760"/>
      <c r="T37" s="47"/>
    </row>
    <row r="38" spans="1:22" ht="12" customHeight="1">
      <c r="A38" s="45"/>
      <c r="B38" s="2103"/>
      <c r="C38" s="3230" t="s">
        <v>2219</v>
      </c>
      <c r="D38" s="3231"/>
      <c r="E38" s="2107">
        <f>Psíquicos!I16</f>
        <v>1</v>
      </c>
      <c r="F38" s="2110"/>
      <c r="G38" s="2110"/>
      <c r="H38" s="2110"/>
      <c r="I38" s="2110"/>
      <c r="J38" s="2110"/>
      <c r="K38" s="2110"/>
      <c r="L38" s="2110"/>
      <c r="M38" s="2110"/>
      <c r="N38" s="2110"/>
      <c r="O38" s="2110"/>
      <c r="P38" s="2110"/>
      <c r="Q38" s="2110"/>
      <c r="R38" s="2111"/>
      <c r="S38" s="1760"/>
      <c r="T38" s="47"/>
    </row>
    <row r="39" spans="1:22" ht="12" customHeight="1">
      <c r="A39" s="45"/>
      <c r="B39" s="2103"/>
      <c r="C39" s="3210" t="s">
        <v>2220</v>
      </c>
      <c r="D39" s="3211"/>
      <c r="E39" s="2093">
        <f>Psíquicos!M13</f>
        <v>0</v>
      </c>
      <c r="F39" s="56"/>
      <c r="G39" s="56"/>
      <c r="H39" s="56"/>
      <c r="I39" s="56"/>
      <c r="J39" s="56"/>
      <c r="K39" s="56"/>
      <c r="L39" s="3236" t="s">
        <v>2221</v>
      </c>
      <c r="M39" s="3236"/>
      <c r="N39" s="3236"/>
      <c r="O39" s="3236"/>
      <c r="P39" s="56"/>
      <c r="Q39" s="56"/>
      <c r="R39" s="1559"/>
      <c r="S39" s="1760"/>
      <c r="T39" s="47"/>
    </row>
    <row r="40" spans="1:22" ht="12" customHeight="1">
      <c r="A40" s="45"/>
      <c r="B40" s="2103"/>
      <c r="C40" s="3210" t="s">
        <v>2222</v>
      </c>
      <c r="D40" s="3211"/>
      <c r="E40" s="3211"/>
      <c r="F40" s="3211"/>
      <c r="G40" s="2093">
        <f>Psíquicos!H11</f>
        <v>0</v>
      </c>
      <c r="H40" s="3238"/>
      <c r="I40" s="3238"/>
      <c r="J40" s="3238"/>
      <c r="K40" s="3238"/>
      <c r="L40" s="3228" t="str">
        <f>IF(Psíquicos!C39="","",Psíquicos!C39)&amp;IF(Psíquicos!C41="","",", "&amp;Psíquicos!C41)&amp;IF(Psíquicos!C43="","",", "&amp;Psíquicos!C43)&amp;IF(Psíquicos!C45="","",", "&amp;Psíquicos!C45)&amp;IF(Psíquicos!C47="","",", "&amp;Psíquicos!C47)&amp;IF(Psíquicos!C49="","",", "&amp;Psíquicos!C49)</f>
        <v/>
      </c>
      <c r="M40" s="3228"/>
      <c r="N40" s="3228"/>
      <c r="O40" s="3228"/>
      <c r="P40" s="3228"/>
      <c r="Q40" s="3228"/>
      <c r="R40" s="3229"/>
      <c r="S40" s="1760"/>
      <c r="T40" s="47"/>
    </row>
    <row r="41" spans="1:22" ht="12" customHeight="1">
      <c r="A41" s="45"/>
      <c r="B41" s="2103"/>
      <c r="C41" s="3210" t="s">
        <v>2223</v>
      </c>
      <c r="D41" s="3211"/>
      <c r="E41" s="3211"/>
      <c r="F41" s="3211"/>
      <c r="G41" s="3222">
        <f>IF(Psíquicos!P12=Psíquicos!Q12,Psíquicos!P12,Psíquicos!P12&amp;" Ofensiva"&amp;", "&amp;Psíquicos!Q12&amp;" Defensiva")</f>
        <v>0</v>
      </c>
      <c r="H41" s="3222"/>
      <c r="I41" s="3222"/>
      <c r="J41" s="3222"/>
      <c r="K41" s="3222"/>
      <c r="L41" s="3228"/>
      <c r="M41" s="3228"/>
      <c r="N41" s="3228"/>
      <c r="O41" s="3228"/>
      <c r="P41" s="3228"/>
      <c r="Q41" s="3228"/>
      <c r="R41" s="3229"/>
      <c r="S41" s="1760"/>
      <c r="T41" s="47"/>
    </row>
    <row r="42" spans="1:22" ht="12" customHeight="1">
      <c r="A42" s="45"/>
      <c r="B42" s="2101"/>
      <c r="C42" s="3210" t="s">
        <v>2224</v>
      </c>
      <c r="D42" s="3211"/>
      <c r="E42" s="3211"/>
      <c r="F42" s="3211"/>
      <c r="G42" s="3212" t="str">
        <f>IF(Psíquicos!C25=0,"",Psíquicos!C25)&amp;IF(Psíquicos!C27=0,"",", "&amp;Psíquicos!C27)&amp;IF(Psíquicos!C29=0,"",", "&amp;Psíquicos!C29)&amp;IF(Psíquicos!C31=0,"",", "&amp;Psíquicos!C31)&amp;IF(Psíquicos!C33=0,"",", "&amp;Psíquicos!C33)&amp;IF(Psíquicos!C35=0,"",", "&amp;Psíquicos!C35)</f>
        <v/>
      </c>
      <c r="H42" s="3212"/>
      <c r="I42" s="3212"/>
      <c r="J42" s="3212"/>
      <c r="K42" s="3212"/>
      <c r="L42" s="3212"/>
      <c r="M42" s="3212"/>
      <c r="N42" s="3212"/>
      <c r="O42" s="3212"/>
      <c r="P42" s="3212"/>
      <c r="Q42" s="3212"/>
      <c r="R42" s="3213"/>
      <c r="S42" s="1760"/>
      <c r="T42" s="47"/>
    </row>
    <row r="43" spans="1:22" ht="12" customHeight="1">
      <c r="A43" s="45"/>
      <c r="B43" s="2101"/>
      <c r="C43" s="3210" t="s">
        <v>2225</v>
      </c>
      <c r="D43" s="3211"/>
      <c r="E43" s="3211"/>
      <c r="F43" s="3211"/>
      <c r="G43" s="322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8"/>
      <c r="I43" s="3228"/>
      <c r="J43" s="3228"/>
      <c r="K43" s="3228"/>
      <c r="L43" s="3228"/>
      <c r="M43" s="3228"/>
      <c r="N43" s="3228"/>
      <c r="O43" s="3228"/>
      <c r="P43" s="3228"/>
      <c r="Q43" s="3228"/>
      <c r="R43" s="3229"/>
      <c r="S43" s="1760"/>
      <c r="T43" s="47"/>
    </row>
    <row r="44" spans="1:22" ht="12" customHeight="1">
      <c r="A44" s="45"/>
      <c r="B44" s="2101"/>
      <c r="C44" s="1694"/>
      <c r="D44" s="56"/>
      <c r="E44" s="56"/>
      <c r="F44" s="56"/>
      <c r="G44" s="3228"/>
      <c r="H44" s="3228"/>
      <c r="I44" s="3228"/>
      <c r="J44" s="3228"/>
      <c r="K44" s="3228"/>
      <c r="L44" s="3228"/>
      <c r="M44" s="3228"/>
      <c r="N44" s="3228"/>
      <c r="O44" s="3228"/>
      <c r="P44" s="3228"/>
      <c r="Q44" s="3228"/>
      <c r="R44" s="3229"/>
      <c r="S44" s="1760"/>
      <c r="T44" s="47"/>
    </row>
    <row r="45" spans="1:22" ht="12" customHeight="1">
      <c r="A45" s="45"/>
      <c r="B45" s="2101"/>
      <c r="C45" s="1694"/>
      <c r="D45" s="56"/>
      <c r="E45" s="56"/>
      <c r="F45" s="56"/>
      <c r="G45" s="3228"/>
      <c r="H45" s="3228"/>
      <c r="I45" s="3228"/>
      <c r="J45" s="3228"/>
      <c r="K45" s="3228"/>
      <c r="L45" s="3228"/>
      <c r="M45" s="3228"/>
      <c r="N45" s="3228"/>
      <c r="O45" s="3228"/>
      <c r="P45" s="3228"/>
      <c r="Q45" s="3228"/>
      <c r="R45" s="3229"/>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101"/>
      <c r="C46" s="1694"/>
      <c r="D46" s="56"/>
      <c r="E46" s="56"/>
      <c r="F46" s="56"/>
      <c r="G46" s="56"/>
      <c r="H46" s="56"/>
      <c r="I46" s="56"/>
      <c r="J46" s="56"/>
      <c r="K46" s="56"/>
      <c r="L46" s="56"/>
      <c r="M46" s="56"/>
      <c r="N46" s="56"/>
      <c r="O46" s="56"/>
      <c r="P46" s="56"/>
      <c r="Q46" s="56"/>
      <c r="R46" s="1559"/>
      <c r="S46" s="1760"/>
      <c r="T46" s="47"/>
    </row>
    <row r="47" spans="1:22" ht="12" customHeight="1">
      <c r="A47" s="45"/>
      <c r="B47" s="2101"/>
      <c r="C47" s="3230" t="s">
        <v>2226</v>
      </c>
      <c r="D47" s="3231"/>
      <c r="E47" s="3231"/>
      <c r="F47" s="3231"/>
      <c r="G47" s="3239" t="str">
        <f>IF(V45="","",LEFT(V45,LEN(V45)-2))</f>
        <v/>
      </c>
      <c r="H47" s="3239"/>
      <c r="I47" s="3239"/>
      <c r="J47" s="3239"/>
      <c r="K47" s="3239"/>
      <c r="L47" s="3239"/>
      <c r="M47" s="3239"/>
      <c r="N47" s="3239"/>
      <c r="O47" s="3239"/>
      <c r="P47" s="3239"/>
      <c r="Q47" s="3239"/>
      <c r="R47" s="3240"/>
      <c r="S47" s="1760"/>
      <c r="T47" s="47"/>
    </row>
    <row r="48" spans="1:22" ht="23.85" customHeight="1">
      <c r="A48" s="45"/>
      <c r="B48" s="2101"/>
      <c r="C48" s="1694"/>
      <c r="D48" s="56"/>
      <c r="E48" s="56"/>
      <c r="F48" s="56"/>
      <c r="G48" s="3228"/>
      <c r="H48" s="3228"/>
      <c r="I48" s="3228"/>
      <c r="J48" s="3228"/>
      <c r="K48" s="3228"/>
      <c r="L48" s="3228"/>
      <c r="M48" s="3228"/>
      <c r="N48" s="3228"/>
      <c r="O48" s="3228"/>
      <c r="P48" s="3228"/>
      <c r="Q48" s="3228"/>
      <c r="R48" s="3229"/>
      <c r="S48" s="1760"/>
      <c r="T48" s="47"/>
    </row>
    <row r="49" spans="1:20" ht="12" customHeight="1">
      <c r="A49" s="45"/>
      <c r="B49" s="2101"/>
      <c r="C49" s="3210" t="s">
        <v>2227</v>
      </c>
      <c r="D49" s="3211"/>
      <c r="E49" s="3211"/>
      <c r="F49" s="3211"/>
      <c r="G49" s="3228" t="str">
        <f>Tablas!$F$1983</f>
        <v xml:space="preserve">Uso de arma distinta: , Uso de arma mixta: , Uso de arma similar: </v>
      </c>
      <c r="H49" s="3228"/>
      <c r="I49" s="3228"/>
      <c r="J49" s="3228"/>
      <c r="K49" s="3228"/>
      <c r="L49" s="3228"/>
      <c r="M49" s="3228"/>
      <c r="N49" s="3228"/>
      <c r="O49" s="3228"/>
      <c r="P49" s="3228"/>
      <c r="Q49" s="3228"/>
      <c r="R49" s="3229"/>
      <c r="S49" s="1760"/>
      <c r="T49" s="47"/>
    </row>
    <row r="50" spans="1:20" ht="12" customHeight="1">
      <c r="A50" s="45"/>
      <c r="B50" s="2101"/>
      <c r="C50" s="1694"/>
      <c r="D50" s="56"/>
      <c r="E50" s="56"/>
      <c r="F50" s="56"/>
      <c r="G50" s="3228"/>
      <c r="H50" s="3228"/>
      <c r="I50" s="3228"/>
      <c r="J50" s="3228"/>
      <c r="K50" s="3228"/>
      <c r="L50" s="3228"/>
      <c r="M50" s="3228"/>
      <c r="N50" s="3228"/>
      <c r="O50" s="3228"/>
      <c r="P50" s="3228"/>
      <c r="Q50" s="3228"/>
      <c r="R50" s="3229"/>
      <c r="S50" s="1760"/>
      <c r="T50" s="47"/>
    </row>
    <row r="51" spans="1:20" ht="12" customHeight="1">
      <c r="A51" s="45"/>
      <c r="B51" s="2101"/>
      <c r="C51" s="3210" t="s">
        <v>2228</v>
      </c>
      <c r="D51" s="3211"/>
      <c r="E51" s="3211"/>
      <c r="F51" s="3211"/>
      <c r="G51" s="322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8"/>
      <c r="I51" s="3228"/>
      <c r="J51" s="3228"/>
      <c r="K51" s="3228"/>
      <c r="L51" s="3228"/>
      <c r="M51" s="3228"/>
      <c r="N51" s="3228"/>
      <c r="O51" s="3228"/>
      <c r="P51" s="3228"/>
      <c r="Q51" s="3228"/>
      <c r="R51" s="3229"/>
      <c r="S51" s="1760"/>
      <c r="T51" s="47"/>
    </row>
    <row r="52" spans="1:20" ht="12" customHeight="1">
      <c r="A52" s="45"/>
      <c r="B52" s="2101"/>
      <c r="C52" s="1694"/>
      <c r="D52" s="56"/>
      <c r="E52" s="56"/>
      <c r="F52" s="56"/>
      <c r="G52" s="3228"/>
      <c r="H52" s="3228"/>
      <c r="I52" s="3228"/>
      <c r="J52" s="3228"/>
      <c r="K52" s="3228"/>
      <c r="L52" s="3228"/>
      <c r="M52" s="3228"/>
      <c r="N52" s="3228"/>
      <c r="O52" s="3228"/>
      <c r="P52" s="3228"/>
      <c r="Q52" s="3228"/>
      <c r="R52" s="3229"/>
      <c r="S52" s="1760"/>
      <c r="T52" s="47"/>
    </row>
    <row r="53" spans="1:20" ht="12" customHeight="1">
      <c r="A53" s="45"/>
      <c r="B53" s="2101"/>
      <c r="C53" s="3210" t="s">
        <v>2229</v>
      </c>
      <c r="D53" s="3211"/>
      <c r="E53" s="3241" t="str">
        <f>Tablas!H2020</f>
        <v/>
      </c>
      <c r="F53" s="3241"/>
      <c r="G53" s="3241"/>
      <c r="H53" s="3241"/>
      <c r="I53" s="3241"/>
      <c r="J53" s="3241"/>
      <c r="K53" s="3241"/>
      <c r="L53" s="3241"/>
      <c r="M53" s="3241"/>
      <c r="N53" s="3241"/>
      <c r="O53" s="3241"/>
      <c r="P53" s="3241"/>
      <c r="Q53" s="3241"/>
      <c r="R53" s="3229"/>
      <c r="S53" s="1760"/>
      <c r="T53" s="47"/>
    </row>
    <row r="54" spans="1:20" ht="12" customHeight="1">
      <c r="A54" s="45"/>
      <c r="B54" s="2101"/>
      <c r="C54" s="1694"/>
      <c r="D54" s="56"/>
      <c r="E54" s="3241"/>
      <c r="F54" s="3241"/>
      <c r="G54" s="3241"/>
      <c r="H54" s="3241"/>
      <c r="I54" s="3241"/>
      <c r="J54" s="3241"/>
      <c r="K54" s="3241"/>
      <c r="L54" s="3241"/>
      <c r="M54" s="3241"/>
      <c r="N54" s="3241"/>
      <c r="O54" s="3241"/>
      <c r="P54" s="3241"/>
      <c r="Q54" s="3241"/>
      <c r="R54" s="3229"/>
      <c r="S54" s="1760"/>
      <c r="T54" s="47"/>
    </row>
    <row r="55" spans="1:20" ht="12" customHeight="1">
      <c r="A55" s="45"/>
      <c r="B55" s="2101"/>
      <c r="C55" s="1694"/>
      <c r="D55" s="56"/>
      <c r="E55" s="3241"/>
      <c r="F55" s="3241"/>
      <c r="G55" s="3241"/>
      <c r="H55" s="3241"/>
      <c r="I55" s="3241"/>
      <c r="J55" s="3241"/>
      <c r="K55" s="3241"/>
      <c r="L55" s="3241"/>
      <c r="M55" s="3241"/>
      <c r="N55" s="3241"/>
      <c r="O55" s="3241"/>
      <c r="P55" s="3241"/>
      <c r="Q55" s="3241"/>
      <c r="R55" s="3229"/>
      <c r="S55" s="1760"/>
      <c r="T55" s="47"/>
    </row>
    <row r="56" spans="1:20" ht="12" customHeight="1">
      <c r="A56" s="45"/>
      <c r="B56" s="2101"/>
      <c r="C56" s="1694"/>
      <c r="D56" s="56"/>
      <c r="E56" s="3241"/>
      <c r="F56" s="3241"/>
      <c r="G56" s="3241"/>
      <c r="H56" s="3241"/>
      <c r="I56" s="3241"/>
      <c r="J56" s="3241"/>
      <c r="K56" s="3241"/>
      <c r="L56" s="3241"/>
      <c r="M56" s="3241"/>
      <c r="N56" s="3241"/>
      <c r="O56" s="3241"/>
      <c r="P56" s="3241"/>
      <c r="Q56" s="3241"/>
      <c r="R56" s="3229"/>
      <c r="S56" s="1760"/>
      <c r="T56" s="47"/>
    </row>
    <row r="57" spans="1:20" ht="12" customHeight="1">
      <c r="A57" s="45"/>
      <c r="B57" s="2101"/>
      <c r="C57" s="3259" t="s">
        <v>1670</v>
      </c>
      <c r="D57" s="3260"/>
      <c r="E57" s="3261" t="str">
        <f>Tamaño&amp;", "&amp;Principal!M6</f>
        <v>1, Medio</v>
      </c>
      <c r="F57" s="3261"/>
      <c r="G57" s="3261"/>
      <c r="H57" s="3261"/>
      <c r="I57" s="3261"/>
      <c r="J57" s="56"/>
      <c r="K57" s="3236" t="s">
        <v>2230</v>
      </c>
      <c r="L57" s="3236"/>
      <c r="M57" s="3236"/>
      <c r="N57" s="2093">
        <f>Regeneración</f>
        <v>0</v>
      </c>
      <c r="O57" s="56"/>
      <c r="P57" s="56"/>
      <c r="Q57" s="56"/>
      <c r="R57" s="1559"/>
      <c r="S57" s="1760"/>
      <c r="T57" s="47"/>
    </row>
    <row r="58" spans="1:20" ht="12" customHeight="1">
      <c r="A58" s="45"/>
      <c r="B58" s="2101"/>
      <c r="C58" s="3262" t="s">
        <v>2231</v>
      </c>
      <c r="D58" s="3263"/>
      <c r="E58" s="3263"/>
      <c r="F58" s="360">
        <f>TipodeMovimiento</f>
        <v>1</v>
      </c>
      <c r="G58" s="56"/>
      <c r="H58" s="56"/>
      <c r="I58" s="56"/>
      <c r="J58" s="56"/>
      <c r="K58" s="3236" t="s">
        <v>2232</v>
      </c>
      <c r="L58" s="3236"/>
      <c r="M58" s="3222" t="str">
        <f>IF(Cansancio=0,"Incansable",Cansancio)</f>
        <v>Incansable</v>
      </c>
      <c r="N58" s="3222"/>
      <c r="O58" s="56"/>
      <c r="P58" s="56"/>
      <c r="Q58" s="56"/>
      <c r="R58" s="1559"/>
      <c r="S58" s="1760"/>
      <c r="T58" s="47"/>
    </row>
    <row r="59" spans="1:20" ht="12" customHeight="1">
      <c r="A59" s="45"/>
      <c r="B59" s="2101"/>
      <c r="C59" s="1694"/>
      <c r="D59" s="56"/>
      <c r="E59" s="56"/>
      <c r="F59" s="56"/>
      <c r="G59" s="56"/>
      <c r="H59" s="56"/>
      <c r="I59" s="56"/>
      <c r="J59" s="56"/>
      <c r="K59" s="3258" t="s">
        <v>1734</v>
      </c>
      <c r="L59" s="3258"/>
      <c r="M59" s="3258"/>
      <c r="N59" s="357">
        <f>Principal!J32</f>
        <v>1</v>
      </c>
      <c r="O59" s="2093"/>
      <c r="P59" s="56"/>
      <c r="Q59" s="56"/>
      <c r="R59" s="1559"/>
      <c r="S59" s="1760"/>
      <c r="T59" s="47"/>
    </row>
    <row r="60" spans="1:20" ht="12" customHeight="1">
      <c r="A60" s="45"/>
      <c r="B60" s="2101"/>
      <c r="C60" s="3230" t="s">
        <v>2233</v>
      </c>
      <c r="D60" s="3231"/>
      <c r="E60" s="3231"/>
      <c r="F60" s="3231"/>
      <c r="G60" s="3231"/>
      <c r="H60" s="2110"/>
      <c r="I60" s="2110"/>
      <c r="J60" s="2110"/>
      <c r="K60" s="2110"/>
      <c r="L60" s="2110"/>
      <c r="M60" s="2110"/>
      <c r="N60" s="2110"/>
      <c r="O60" s="2110"/>
      <c r="P60" s="2110"/>
      <c r="Q60" s="2110"/>
      <c r="R60" s="2111"/>
      <c r="S60" s="1760"/>
      <c r="T60" s="47"/>
    </row>
    <row r="61" spans="1:20" ht="12" customHeight="1">
      <c r="A61" s="45"/>
      <c r="B61" s="2101"/>
      <c r="C61" s="325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41"/>
      <c r="E61" s="3241"/>
      <c r="F61" s="3241"/>
      <c r="G61" s="3241"/>
      <c r="H61" s="3241"/>
      <c r="I61" s="3241"/>
      <c r="J61" s="3241"/>
      <c r="K61" s="3241"/>
      <c r="L61" s="3241"/>
      <c r="M61" s="3241"/>
      <c r="N61" s="3241"/>
      <c r="O61" s="3241"/>
      <c r="P61" s="3241"/>
      <c r="Q61" s="3241"/>
      <c r="R61" s="3229"/>
      <c r="S61" s="1760"/>
      <c r="T61" s="47"/>
    </row>
    <row r="62" spans="1:20" ht="12" customHeight="1">
      <c r="A62" s="45"/>
      <c r="B62" s="2101"/>
      <c r="C62" s="3254"/>
      <c r="D62" s="3241"/>
      <c r="E62" s="3241"/>
      <c r="F62" s="3241"/>
      <c r="G62" s="3241"/>
      <c r="H62" s="3241"/>
      <c r="I62" s="3241"/>
      <c r="J62" s="3241"/>
      <c r="K62" s="3241"/>
      <c r="L62" s="3241"/>
      <c r="M62" s="3241"/>
      <c r="N62" s="3241"/>
      <c r="O62" s="3241"/>
      <c r="P62" s="3241"/>
      <c r="Q62" s="3241"/>
      <c r="R62" s="3229"/>
      <c r="S62" s="1760"/>
      <c r="T62" s="47"/>
    </row>
    <row r="63" spans="1:20" ht="12" customHeight="1">
      <c r="A63" s="45"/>
      <c r="B63" s="2101"/>
      <c r="C63" s="3254"/>
      <c r="D63" s="3241"/>
      <c r="E63" s="3241"/>
      <c r="F63" s="3241"/>
      <c r="G63" s="3241"/>
      <c r="H63" s="3241"/>
      <c r="I63" s="3241"/>
      <c r="J63" s="3241"/>
      <c r="K63" s="3241"/>
      <c r="L63" s="3241"/>
      <c r="M63" s="3241"/>
      <c r="N63" s="3241"/>
      <c r="O63" s="3241"/>
      <c r="P63" s="3241"/>
      <c r="Q63" s="3241"/>
      <c r="R63" s="3229"/>
      <c r="S63" s="1760"/>
      <c r="T63" s="47"/>
    </row>
    <row r="64" spans="1:20" ht="12" customHeight="1">
      <c r="A64" s="45"/>
      <c r="B64" s="2101"/>
      <c r="C64" s="3254"/>
      <c r="D64" s="3241"/>
      <c r="E64" s="3241"/>
      <c r="F64" s="3241"/>
      <c r="G64" s="3241"/>
      <c r="H64" s="3241"/>
      <c r="I64" s="3241"/>
      <c r="J64" s="3241"/>
      <c r="K64" s="3241"/>
      <c r="L64" s="3241"/>
      <c r="M64" s="3241"/>
      <c r="N64" s="3241"/>
      <c r="O64" s="3241"/>
      <c r="P64" s="3241"/>
      <c r="Q64" s="3241"/>
      <c r="R64" s="3229"/>
      <c r="S64" s="1760"/>
      <c r="T64" s="47"/>
    </row>
    <row r="65" spans="1:20" ht="12" customHeight="1">
      <c r="A65" s="45"/>
      <c r="B65" s="2101"/>
      <c r="C65" s="3254"/>
      <c r="D65" s="3241"/>
      <c r="E65" s="3241"/>
      <c r="F65" s="3241"/>
      <c r="G65" s="3241"/>
      <c r="H65" s="3241"/>
      <c r="I65" s="3241"/>
      <c r="J65" s="3241"/>
      <c r="K65" s="3241"/>
      <c r="L65" s="3241"/>
      <c r="M65" s="3241"/>
      <c r="N65" s="3241"/>
      <c r="O65" s="3241"/>
      <c r="P65" s="3241"/>
      <c r="Q65" s="3241"/>
      <c r="R65" s="3229"/>
      <c r="S65" s="1760"/>
      <c r="T65" s="47"/>
    </row>
    <row r="66" spans="1:20" ht="12.75" customHeight="1">
      <c r="A66" s="45"/>
      <c r="B66" s="2101"/>
      <c r="C66" s="3254"/>
      <c r="D66" s="3241"/>
      <c r="E66" s="3241"/>
      <c r="F66" s="3241"/>
      <c r="G66" s="3241"/>
      <c r="H66" s="3241"/>
      <c r="I66" s="3241"/>
      <c r="J66" s="3241"/>
      <c r="K66" s="3241"/>
      <c r="L66" s="3241"/>
      <c r="M66" s="3241"/>
      <c r="N66" s="3241"/>
      <c r="O66" s="3241"/>
      <c r="P66" s="3241"/>
      <c r="Q66" s="3241"/>
      <c r="R66" s="3229"/>
      <c r="S66" s="1760"/>
      <c r="T66" s="47"/>
    </row>
    <row r="67" spans="1:20" ht="12.75" customHeight="1">
      <c r="A67" s="45"/>
      <c r="B67" s="2101"/>
      <c r="C67" s="3254"/>
      <c r="D67" s="3241"/>
      <c r="E67" s="3241"/>
      <c r="F67" s="3241"/>
      <c r="G67" s="3241"/>
      <c r="H67" s="3241"/>
      <c r="I67" s="3241"/>
      <c r="J67" s="3241"/>
      <c r="K67" s="3241"/>
      <c r="L67" s="3241"/>
      <c r="M67" s="3241"/>
      <c r="N67" s="3241"/>
      <c r="O67" s="3241"/>
      <c r="P67" s="3241"/>
      <c r="Q67" s="3241"/>
      <c r="R67" s="3229"/>
      <c r="S67" s="1760"/>
      <c r="T67" s="47"/>
    </row>
    <row r="68" spans="1:20" ht="12.75" customHeight="1" thickBot="1">
      <c r="A68" s="45"/>
      <c r="B68" s="2101"/>
      <c r="C68" s="3255"/>
      <c r="D68" s="3256"/>
      <c r="E68" s="3256"/>
      <c r="F68" s="3256"/>
      <c r="G68" s="3256"/>
      <c r="H68" s="3256"/>
      <c r="I68" s="3256"/>
      <c r="J68" s="3256"/>
      <c r="K68" s="3256"/>
      <c r="L68" s="3256"/>
      <c r="M68" s="3256"/>
      <c r="N68" s="3256"/>
      <c r="O68" s="3256"/>
      <c r="P68" s="3256"/>
      <c r="Q68" s="3256"/>
      <c r="R68" s="3257"/>
      <c r="S68" s="1760"/>
      <c r="T68" s="47"/>
    </row>
    <row r="69" spans="1:20" ht="12.75" customHeight="1" thickBot="1">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c r="A70" s="45"/>
      <c r="B70" s="46"/>
      <c r="C70" s="46"/>
      <c r="D70" s="46"/>
      <c r="E70" s="46"/>
      <c r="F70" s="46"/>
      <c r="G70" s="46"/>
      <c r="H70" s="46"/>
      <c r="I70" s="46"/>
      <c r="J70" s="46"/>
      <c r="K70" s="46"/>
      <c r="L70" s="46"/>
      <c r="M70" s="46"/>
      <c r="N70" s="46"/>
      <c r="O70" s="46"/>
      <c r="P70" s="46"/>
      <c r="Q70" s="46"/>
      <c r="R70" s="46"/>
      <c r="S70" s="3118" t="s">
        <v>10225</v>
      </c>
      <c r="T70" s="1678"/>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c r="A1" s="326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c r="A2" s="3264"/>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c r="A3" s="3264"/>
      <c r="B3" s="1771"/>
      <c r="C3" s="7"/>
      <c r="D3" s="7"/>
      <c r="E3" s="7"/>
      <c r="F3" s="7"/>
      <c r="G3" s="7"/>
      <c r="H3" s="7"/>
      <c r="I3" s="7"/>
      <c r="J3" s="7"/>
      <c r="K3" s="7"/>
      <c r="L3" s="7"/>
      <c r="M3" s="7"/>
      <c r="N3" s="7"/>
      <c r="O3" s="7"/>
      <c r="P3" s="7"/>
      <c r="Q3" s="7"/>
      <c r="R3" s="1772"/>
      <c r="S3" s="4"/>
      <c r="T3" s="5"/>
      <c r="U3" s="8"/>
      <c r="V3" s="3304"/>
      <c r="W3" s="3304"/>
      <c r="X3" s="3304"/>
      <c r="Y3" s="3304"/>
      <c r="Z3" s="3304"/>
      <c r="AA3" s="3304"/>
      <c r="AB3" s="9"/>
      <c r="AC3" s="9"/>
      <c r="AD3" s="9"/>
      <c r="AE3" s="9"/>
      <c r="AF3" s="9"/>
      <c r="AG3" s="9"/>
      <c r="AH3" s="9"/>
      <c r="AI3" s="9"/>
      <c r="AJ3" s="10"/>
      <c r="AK3" s="11"/>
      <c r="AL3" s="5"/>
      <c r="AM3" s="2265"/>
      <c r="AN3" s="2265"/>
      <c r="AO3" s="2265"/>
      <c r="AP3" s="2265"/>
      <c r="AQ3" s="2265"/>
      <c r="AR3" s="2265"/>
    </row>
    <row r="4" spans="1:51" ht="12" customHeight="1" thickBot="1">
      <c r="A4" s="3264"/>
      <c r="B4" s="1771"/>
      <c r="C4" s="7"/>
      <c r="D4" s="7"/>
      <c r="E4" s="7"/>
      <c r="F4" s="7"/>
      <c r="G4" s="7"/>
      <c r="H4" s="7"/>
      <c r="I4" s="7"/>
      <c r="J4" s="7"/>
      <c r="K4" s="7"/>
      <c r="L4" s="7"/>
      <c r="M4" s="7"/>
      <c r="N4" s="7"/>
      <c r="O4" s="7"/>
      <c r="P4" s="7"/>
      <c r="Q4" s="7"/>
      <c r="R4" s="1772"/>
      <c r="S4" s="4"/>
      <c r="T4" s="5"/>
      <c r="U4" s="8"/>
      <c r="V4" s="3304"/>
      <c r="W4" s="3304"/>
      <c r="X4" s="3304"/>
      <c r="Y4" s="3304"/>
      <c r="Z4" s="3304"/>
      <c r="AA4" s="3304"/>
      <c r="AB4" s="12"/>
      <c r="AC4" s="3223" t="s">
        <v>1625</v>
      </c>
      <c r="AD4" s="3223"/>
      <c r="AE4" s="3224" t="str">
        <f>IF(OR(General!$G$22="",General!$G$22=0),"",General!$G$22)</f>
        <v/>
      </c>
      <c r="AF4" s="3224"/>
      <c r="AG4" s="3224"/>
      <c r="AH4" s="3224"/>
      <c r="AI4" s="3224"/>
      <c r="AJ4" s="13"/>
      <c r="AK4" s="11"/>
      <c r="AL4" s="5"/>
      <c r="AM4" s="2265"/>
      <c r="AN4" s="2265"/>
      <c r="AO4" s="2265"/>
      <c r="AP4" s="2265"/>
      <c r="AQ4" s="2265"/>
      <c r="AR4" s="2265"/>
    </row>
    <row r="5" spans="1:51" ht="12" customHeight="1" thickBot="1">
      <c r="A5" s="3264"/>
      <c r="B5" s="1771"/>
      <c r="C5" s="7"/>
      <c r="D5" s="7"/>
      <c r="E5" s="7"/>
      <c r="F5" s="1879"/>
      <c r="G5" s="1880"/>
      <c r="H5" s="1880"/>
      <c r="I5" s="1880"/>
      <c r="J5" s="1880"/>
      <c r="K5" s="1880"/>
      <c r="L5" s="1880"/>
      <c r="M5" s="1880"/>
      <c r="N5" s="1881"/>
      <c r="O5" s="7"/>
      <c r="P5" s="7"/>
      <c r="Q5" s="7"/>
      <c r="R5" s="1772"/>
      <c r="S5" s="4"/>
      <c r="T5" s="5"/>
      <c r="U5" s="8"/>
      <c r="V5" s="3304"/>
      <c r="W5" s="3304"/>
      <c r="X5" s="3304"/>
      <c r="Y5" s="3304"/>
      <c r="Z5" s="3304"/>
      <c r="AA5" s="3304"/>
      <c r="AB5" s="12"/>
      <c r="AC5" s="3300" t="s">
        <v>1626</v>
      </c>
      <c r="AD5" s="3300"/>
      <c r="AE5" s="3301" t="str">
        <f>Principal!$L$5</f>
        <v>Guerrero</v>
      </c>
      <c r="AF5" s="3301"/>
      <c r="AG5" s="3301"/>
      <c r="AH5" s="14" t="s">
        <v>1627</v>
      </c>
      <c r="AI5" s="15" t="str">
        <f>Principal!$P$5</f>
        <v>1 + 2</v>
      </c>
      <c r="AJ5" s="16"/>
      <c r="AK5" s="11"/>
      <c r="AL5" s="5"/>
      <c r="AM5" s="2265"/>
      <c r="AU5" s="2265"/>
      <c r="AV5" s="2265"/>
      <c r="AW5" s="2265"/>
      <c r="AX5" s="408"/>
      <c r="AY5" s="1786"/>
    </row>
    <row r="6" spans="1:51" ht="12" customHeight="1" thickBot="1">
      <c r="A6" s="3264"/>
      <c r="B6" s="1771"/>
      <c r="C6" s="7"/>
      <c r="D6" s="7"/>
      <c r="E6" s="7"/>
      <c r="F6" s="1882"/>
      <c r="G6" s="1878"/>
      <c r="H6" s="1878"/>
      <c r="I6" s="1878"/>
      <c r="J6" s="1878"/>
      <c r="K6" s="1878"/>
      <c r="L6" s="1878"/>
      <c r="M6" s="1878"/>
      <c r="N6" s="1883"/>
      <c r="O6" s="7"/>
      <c r="P6" s="7"/>
      <c r="Q6" s="7"/>
      <c r="R6" s="1772"/>
      <c r="S6" s="4"/>
      <c r="T6" s="5"/>
      <c r="U6" s="8"/>
      <c r="V6" s="3304"/>
      <c r="W6" s="3304"/>
      <c r="X6" s="3304"/>
      <c r="Y6" s="3304"/>
      <c r="Z6" s="3304"/>
      <c r="AA6" s="3304"/>
      <c r="AB6" s="12"/>
      <c r="AC6" s="3302" t="s">
        <v>1628</v>
      </c>
      <c r="AD6" s="3302"/>
      <c r="AE6" s="3302"/>
      <c r="AF6" s="3302"/>
      <c r="AG6" s="3302"/>
      <c r="AH6" s="3302"/>
      <c r="AI6" s="3302"/>
      <c r="AJ6" s="16"/>
      <c r="AK6" s="11"/>
      <c r="AL6" s="5"/>
      <c r="AM6" s="2265"/>
      <c r="AN6" s="2265"/>
      <c r="AO6" s="2265"/>
      <c r="AP6" s="2265"/>
      <c r="AQ6" s="2265"/>
      <c r="AR6" s="2265"/>
      <c r="AS6" s="2265"/>
      <c r="AT6" s="2265"/>
      <c r="AU6" s="2265"/>
      <c r="AV6" s="2265"/>
      <c r="AW6" s="2265"/>
      <c r="AX6" s="408"/>
      <c r="AY6" s="1786"/>
    </row>
    <row r="7" spans="1:51" ht="12" customHeight="1" thickBot="1">
      <c r="A7" s="3264"/>
      <c r="B7" s="1771"/>
      <c r="C7" s="7"/>
      <c r="D7" s="7"/>
      <c r="E7" s="7"/>
      <c r="F7" s="1882"/>
      <c r="G7" s="1878"/>
      <c r="H7" s="1878"/>
      <c r="I7" s="1878"/>
      <c r="J7" s="1878"/>
      <c r="K7" s="1878"/>
      <c r="L7" s="1878"/>
      <c r="M7" s="1878"/>
      <c r="N7" s="1883"/>
      <c r="O7" s="7"/>
      <c r="P7" s="7"/>
      <c r="Q7" s="7"/>
      <c r="R7" s="1772"/>
      <c r="S7" s="4"/>
      <c r="T7" s="5"/>
      <c r="U7" s="8"/>
      <c r="V7" s="3304"/>
      <c r="W7" s="3304"/>
      <c r="X7" s="3304"/>
      <c r="Y7" s="3304"/>
      <c r="Z7" s="3304"/>
      <c r="AA7" s="3304"/>
      <c r="AB7" s="12"/>
      <c r="AC7" s="3302"/>
      <c r="AD7" s="3302"/>
      <c r="AE7" s="3302"/>
      <c r="AF7" s="3302"/>
      <c r="AG7" s="3302"/>
      <c r="AH7" s="3302"/>
      <c r="AI7" s="3302"/>
      <c r="AJ7" s="16"/>
      <c r="AK7" s="11"/>
      <c r="AL7" s="5"/>
      <c r="AM7" s="2265"/>
      <c r="AN7" s="2265"/>
      <c r="AO7" s="2265"/>
      <c r="AP7" s="2265"/>
      <c r="AQ7" s="2265"/>
      <c r="AR7" s="2265"/>
      <c r="AS7" s="2265"/>
      <c r="AT7" s="2265"/>
      <c r="AU7" s="2265"/>
      <c r="AV7" s="2265"/>
      <c r="AW7" s="2265"/>
      <c r="AX7" s="408"/>
      <c r="AY7" s="1786"/>
    </row>
    <row r="8" spans="1:51" ht="12" customHeight="1" thickBot="1">
      <c r="A8" s="3264"/>
      <c r="B8" s="1771"/>
      <c r="C8" s="7"/>
      <c r="D8" s="7"/>
      <c r="E8" s="7"/>
      <c r="F8" s="1882"/>
      <c r="G8" s="1878"/>
      <c r="H8" s="1878"/>
      <c r="I8" s="1878"/>
      <c r="J8" s="1878"/>
      <c r="K8" s="1878"/>
      <c r="L8" s="1878"/>
      <c r="M8" s="1878"/>
      <c r="N8" s="1883"/>
      <c r="O8" s="7"/>
      <c r="P8" s="7"/>
      <c r="Q8" s="7"/>
      <c r="R8" s="1772"/>
      <c r="S8" s="4"/>
      <c r="T8" s="5"/>
      <c r="U8" s="8"/>
      <c r="V8" s="3304"/>
      <c r="W8" s="3304"/>
      <c r="X8" s="3304"/>
      <c r="Y8" s="3304"/>
      <c r="Z8" s="3304"/>
      <c r="AA8" s="3304"/>
      <c r="AB8" s="17"/>
      <c r="AC8" s="17"/>
      <c r="AD8" s="17"/>
      <c r="AE8" s="17"/>
      <c r="AF8" s="17"/>
      <c r="AG8" s="17"/>
      <c r="AH8" s="17"/>
      <c r="AI8" s="17"/>
      <c r="AJ8" s="18"/>
      <c r="AK8" s="11"/>
      <c r="AL8" s="5"/>
      <c r="AM8" s="2265"/>
      <c r="AU8" s="2265"/>
      <c r="AV8" s="2265"/>
      <c r="AW8" s="2265"/>
      <c r="AX8" s="408"/>
      <c r="AY8" s="1786"/>
    </row>
    <row r="9" spans="1:51" ht="12" customHeight="1" thickBot="1">
      <c r="A9" s="3264"/>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c r="A10" s="3264"/>
      <c r="B10" s="1773"/>
      <c r="F10" s="1882"/>
      <c r="G10" s="1878"/>
      <c r="H10" s="1878"/>
      <c r="I10" s="1878"/>
      <c r="J10" s="1878"/>
      <c r="K10" s="1878"/>
      <c r="L10" s="1878"/>
      <c r="M10" s="1878"/>
      <c r="N10" s="1883"/>
      <c r="O10" s="7"/>
      <c r="P10" s="7"/>
      <c r="Q10" s="7"/>
      <c r="R10" s="1772"/>
      <c r="S10" s="4"/>
      <c r="T10" s="5"/>
      <c r="U10" s="8"/>
      <c r="V10" s="3248" t="s">
        <v>8666</v>
      </c>
      <c r="W10" s="3249"/>
      <c r="X10" s="3249"/>
      <c r="Y10" s="3249"/>
      <c r="Z10" s="3249"/>
      <c r="AA10" s="3249"/>
      <c r="AB10" s="3250"/>
      <c r="AC10" s="2117"/>
      <c r="AD10" s="3281" t="s">
        <v>1632</v>
      </c>
      <c r="AE10" s="3281"/>
      <c r="AF10" s="3281"/>
      <c r="AG10" s="3281"/>
      <c r="AH10" s="3303" t="s">
        <v>1630</v>
      </c>
      <c r="AI10" s="3303"/>
      <c r="AJ10" s="21" t="s">
        <v>1631</v>
      </c>
      <c r="AK10" s="11"/>
      <c r="AL10" s="5"/>
      <c r="AM10" s="2265"/>
      <c r="AU10" s="2265"/>
      <c r="AV10" s="2265"/>
      <c r="AW10" s="2265"/>
      <c r="AX10" s="408"/>
      <c r="AY10" s="1786"/>
    </row>
    <row r="11" spans="1:51" ht="12" customHeight="1">
      <c r="A11" s="3264"/>
      <c r="B11" s="1773"/>
      <c r="F11" s="1882"/>
      <c r="G11" s="1878"/>
      <c r="H11" s="1878"/>
      <c r="I11" s="1878"/>
      <c r="J11" s="1878"/>
      <c r="K11" s="1878"/>
      <c r="L11" s="1878"/>
      <c r="M11" s="1878"/>
      <c r="N11" s="1883"/>
      <c r="O11" s="7"/>
      <c r="P11" s="7"/>
      <c r="Q11" s="7"/>
      <c r="R11" s="1772"/>
      <c r="S11" s="4"/>
      <c r="T11" s="5"/>
      <c r="U11" s="8"/>
      <c r="V11" s="3308" t="s">
        <v>8802</v>
      </c>
      <c r="W11" s="3309"/>
      <c r="X11" s="3309"/>
      <c r="Y11" s="3307" t="s">
        <v>1658</v>
      </c>
      <c r="Z11" s="3307"/>
      <c r="AA11" s="3305" t="s">
        <v>8758</v>
      </c>
      <c r="AB11" s="3306"/>
      <c r="AD11" s="3285"/>
      <c r="AE11" s="3285"/>
      <c r="AF11" s="3285"/>
      <c r="AG11" s="3285"/>
      <c r="AH11" s="3286"/>
      <c r="AI11" s="3286"/>
      <c r="AJ11" s="22"/>
      <c r="AK11" s="11"/>
      <c r="AL11" s="5"/>
      <c r="AM11" s="2265"/>
      <c r="AU11" s="2265"/>
      <c r="AV11" s="2265"/>
      <c r="AW11" s="2265"/>
      <c r="AX11" s="408"/>
      <c r="AY11" s="1786"/>
    </row>
    <row r="12" spans="1:51" ht="12" customHeight="1">
      <c r="A12" s="3264"/>
      <c r="B12" s="1771"/>
      <c r="C12" s="7"/>
      <c r="D12" s="7"/>
      <c r="E12" s="7"/>
      <c r="F12" s="1882"/>
      <c r="G12" s="1878"/>
      <c r="H12" s="1878"/>
      <c r="I12" s="1878"/>
      <c r="J12" s="1878"/>
      <c r="K12" s="1878"/>
      <c r="L12" s="1878"/>
      <c r="M12" s="1878"/>
      <c r="N12" s="1883"/>
      <c r="O12" s="7"/>
      <c r="Q12" s="7"/>
      <c r="R12" s="1772"/>
      <c r="S12" s="4"/>
      <c r="T12" s="5"/>
      <c r="U12" s="8"/>
      <c r="V12" s="3288"/>
      <c r="W12" s="3289"/>
      <c r="X12" s="3290"/>
      <c r="Y12" s="3294">
        <f>VLOOKUP(Nivel_Total,Tabla_ExpTotal,AjusteNivel+2,FALSE)+V12</f>
        <v>0</v>
      </c>
      <c r="Z12" s="3298"/>
      <c r="AA12" s="3294">
        <f>VLOOKUP(Nivel_Total+1,Tabla_ExpTotal,AjusteNivel+2,FALSE)</f>
        <v>150</v>
      </c>
      <c r="AB12" s="3295"/>
      <c r="AC12" s="2117"/>
      <c r="AD12" s="3285"/>
      <c r="AE12" s="3285"/>
      <c r="AF12" s="3285"/>
      <c r="AG12" s="3285"/>
      <c r="AH12" s="3286"/>
      <c r="AI12" s="3286"/>
      <c r="AJ12" s="22"/>
      <c r="AK12" s="11"/>
      <c r="AL12" s="5"/>
      <c r="AM12" s="2265"/>
      <c r="AN12" s="2265"/>
      <c r="AO12" s="2265"/>
      <c r="AR12" s="2265"/>
      <c r="AS12" s="2265"/>
      <c r="AT12" s="2265"/>
      <c r="AU12" s="2265"/>
      <c r="AV12" s="2265"/>
      <c r="AW12" s="2265"/>
      <c r="AX12" s="408"/>
      <c r="AY12" s="1786"/>
    </row>
    <row r="13" spans="1:51" ht="12" customHeight="1" thickBot="1">
      <c r="A13" s="3264"/>
      <c r="B13" s="1771"/>
      <c r="C13" s="7"/>
      <c r="D13" s="7"/>
      <c r="E13" s="7"/>
      <c r="F13" s="1882"/>
      <c r="G13" s="1878"/>
      <c r="H13" s="1878"/>
      <c r="I13" s="1878"/>
      <c r="J13" s="1878"/>
      <c r="K13" s="1878"/>
      <c r="L13" s="1878"/>
      <c r="M13" s="1878"/>
      <c r="N13" s="1883"/>
      <c r="O13" s="7"/>
      <c r="P13" s="7"/>
      <c r="Q13" s="7"/>
      <c r="R13" s="1772"/>
      <c r="S13" s="4"/>
      <c r="T13" s="5"/>
      <c r="U13" s="8"/>
      <c r="V13" s="3291"/>
      <c r="W13" s="3292"/>
      <c r="X13" s="3293"/>
      <c r="Y13" s="3296"/>
      <c r="Z13" s="3299"/>
      <c r="AA13" s="3296"/>
      <c r="AB13" s="3297"/>
      <c r="AC13" s="2199"/>
      <c r="AD13" s="3285"/>
      <c r="AE13" s="3285"/>
      <c r="AF13" s="3285"/>
      <c r="AG13" s="3285"/>
      <c r="AH13" s="3286"/>
      <c r="AI13" s="3286"/>
      <c r="AJ13" s="22"/>
      <c r="AK13" s="11"/>
      <c r="AL13" s="5"/>
      <c r="AM13" s="2265"/>
      <c r="AN13" s="2265"/>
      <c r="AO13" s="2265"/>
      <c r="AP13" s="2265"/>
      <c r="AQ13" s="2265"/>
      <c r="AR13" s="2265"/>
      <c r="AS13" s="2265"/>
      <c r="AT13" s="2265"/>
      <c r="AU13" s="2265"/>
      <c r="AV13" s="2265"/>
      <c r="AW13" s="2265"/>
      <c r="AX13" s="408"/>
      <c r="AY13" s="1786"/>
    </row>
    <row r="14" spans="1:51" ht="12" customHeight="1" thickBot="1">
      <c r="A14" s="3264"/>
      <c r="B14" s="1771"/>
      <c r="C14" s="7"/>
      <c r="D14" s="7"/>
      <c r="E14" s="7"/>
      <c r="F14" s="1882"/>
      <c r="G14" s="1878"/>
      <c r="H14" s="1878"/>
      <c r="I14" s="1878"/>
      <c r="J14" s="1878"/>
      <c r="K14" s="1878"/>
      <c r="L14" s="1878"/>
      <c r="M14" s="1878"/>
      <c r="N14" s="1883"/>
      <c r="O14" s="7"/>
      <c r="P14" s="7"/>
      <c r="Q14" s="7"/>
      <c r="R14" s="1772"/>
      <c r="S14" s="4"/>
      <c r="T14" s="5"/>
      <c r="U14" s="8"/>
      <c r="V14" s="3311" t="str">
        <f>IF(AND(General!V12="",OR(Tablas!G472&gt;0,Tablas!G473&gt;0,Tablas!G474&gt;0)),"Suma experiencia de Curtido (50 por PC empleado)","")</f>
        <v/>
      </c>
      <c r="W14" s="3311"/>
      <c r="X14" s="3311"/>
      <c r="Y14" s="3311"/>
      <c r="Z14" s="3311"/>
      <c r="AA14" s="3311"/>
      <c r="AB14" s="3311"/>
      <c r="AD14" s="3285"/>
      <c r="AE14" s="3285"/>
      <c r="AF14" s="3285"/>
      <c r="AG14" s="3285"/>
      <c r="AH14" s="3286"/>
      <c r="AI14" s="3286"/>
      <c r="AJ14" s="22"/>
      <c r="AK14" s="11"/>
      <c r="AL14" s="5"/>
      <c r="AM14" s="2265"/>
      <c r="AU14" s="2265"/>
      <c r="AV14" s="2265"/>
      <c r="AW14" s="2265"/>
      <c r="AX14" s="408"/>
      <c r="AY14" s="1786"/>
    </row>
    <row r="15" spans="1:51" ht="12" customHeight="1" thickBot="1">
      <c r="A15" s="3264"/>
      <c r="B15" s="1771"/>
      <c r="C15" s="7"/>
      <c r="D15" s="7"/>
      <c r="E15" s="7"/>
      <c r="F15" s="1882"/>
      <c r="G15" s="1878"/>
      <c r="H15" s="1878"/>
      <c r="I15" s="1878"/>
      <c r="J15" s="1878"/>
      <c r="K15" s="1878"/>
      <c r="L15" s="1878"/>
      <c r="M15" s="1878"/>
      <c r="N15" s="1883"/>
      <c r="O15" s="7"/>
      <c r="P15" s="7"/>
      <c r="R15" s="1772"/>
      <c r="S15" s="4"/>
      <c r="T15" s="5"/>
      <c r="U15" s="8"/>
      <c r="V15" s="3281" t="s">
        <v>1629</v>
      </c>
      <c r="W15" s="3281"/>
      <c r="X15" s="3281"/>
      <c r="Y15" s="3281"/>
      <c r="Z15" s="3287" t="s">
        <v>1630</v>
      </c>
      <c r="AA15" s="3287"/>
      <c r="AB15" s="21" t="s">
        <v>1631</v>
      </c>
      <c r="AD15" s="3285"/>
      <c r="AE15" s="3285"/>
      <c r="AF15" s="3285"/>
      <c r="AG15" s="3285"/>
      <c r="AH15" s="3286"/>
      <c r="AI15" s="3286"/>
      <c r="AJ15" s="22"/>
      <c r="AK15" s="11"/>
      <c r="AL15" s="5"/>
      <c r="AM15" s="2265"/>
      <c r="AU15" s="2265"/>
      <c r="AV15" s="2265"/>
      <c r="AW15" s="2265"/>
      <c r="AX15" s="408"/>
      <c r="AY15" s="1786"/>
    </row>
    <row r="16" spans="1:51" ht="12" customHeight="1" thickBot="1">
      <c r="A16" s="3264"/>
      <c r="B16" s="1771"/>
      <c r="C16" s="7"/>
      <c r="D16" s="7"/>
      <c r="E16" s="7"/>
      <c r="F16" s="1884"/>
      <c r="G16" s="1649"/>
      <c r="H16" s="1649"/>
      <c r="I16" s="1649"/>
      <c r="J16" s="1767"/>
      <c r="K16" s="1649"/>
      <c r="L16" s="1649"/>
      <c r="M16" s="1649"/>
      <c r="N16" s="3117"/>
      <c r="O16" s="7"/>
      <c r="P16" s="7"/>
      <c r="Q16" s="7"/>
      <c r="R16" s="1772"/>
      <c r="S16" s="4"/>
      <c r="T16" s="5"/>
      <c r="U16" s="8"/>
      <c r="V16" s="3310"/>
      <c r="W16" s="3310"/>
      <c r="X16" s="3310"/>
      <c r="Y16" s="3310"/>
      <c r="Z16" s="3286"/>
      <c r="AA16" s="3286"/>
      <c r="AB16" s="22"/>
      <c r="AD16" s="3285"/>
      <c r="AE16" s="3285"/>
      <c r="AF16" s="3285"/>
      <c r="AG16" s="3285"/>
      <c r="AH16" s="3286"/>
      <c r="AI16" s="3286"/>
      <c r="AJ16" s="22"/>
      <c r="AK16" s="11"/>
      <c r="AL16" s="5"/>
      <c r="AM16" s="2265"/>
      <c r="AU16" s="2265"/>
      <c r="AV16" s="2265"/>
      <c r="AW16" s="2265"/>
      <c r="AX16" s="408"/>
      <c r="AY16" s="1786"/>
    </row>
    <row r="17" spans="1:51" ht="12" customHeight="1">
      <c r="A17" s="3264"/>
      <c r="B17" s="1771"/>
      <c r="C17" s="7"/>
      <c r="D17" s="7"/>
      <c r="E17" s="7"/>
      <c r="F17" s="7"/>
      <c r="G17" s="7"/>
      <c r="H17" s="7"/>
      <c r="O17" s="7"/>
      <c r="P17" s="7"/>
      <c r="Q17" s="7"/>
      <c r="R17" s="1772"/>
      <c r="S17" s="4"/>
      <c r="T17" s="5"/>
      <c r="U17" s="8"/>
      <c r="V17" s="3310"/>
      <c r="W17" s="3310"/>
      <c r="X17" s="3310"/>
      <c r="Y17" s="3310"/>
      <c r="Z17" s="3286"/>
      <c r="AA17" s="3286"/>
      <c r="AB17" s="22"/>
      <c r="AD17" s="3285"/>
      <c r="AE17" s="3285"/>
      <c r="AF17" s="3285"/>
      <c r="AG17" s="3285"/>
      <c r="AH17" s="3286"/>
      <c r="AI17" s="3286"/>
      <c r="AJ17" s="22"/>
      <c r="AK17" s="11"/>
      <c r="AL17" s="5"/>
      <c r="AM17" s="2265"/>
      <c r="AU17" s="2265"/>
      <c r="AV17" s="2265"/>
      <c r="AW17" s="2265"/>
      <c r="AX17" s="408"/>
      <c r="AY17" s="1786"/>
    </row>
    <row r="18" spans="1:51" ht="12" customHeight="1" thickBot="1">
      <c r="A18" s="3264"/>
      <c r="B18" s="1771"/>
      <c r="C18" s="7"/>
      <c r="Q18" s="7"/>
      <c r="R18" s="1772"/>
      <c r="S18" s="4"/>
      <c r="T18" s="5"/>
      <c r="U18" s="8"/>
      <c r="V18" s="3310"/>
      <c r="W18" s="3310"/>
      <c r="X18" s="3310"/>
      <c r="Y18" s="3310"/>
      <c r="Z18" s="3286"/>
      <c r="AA18" s="3286"/>
      <c r="AB18" s="22"/>
      <c r="AC18" s="23"/>
      <c r="AD18" s="3285"/>
      <c r="AE18" s="3285"/>
      <c r="AF18" s="3285"/>
      <c r="AG18" s="3285"/>
      <c r="AH18" s="3286"/>
      <c r="AI18" s="3286"/>
      <c r="AJ18" s="22"/>
      <c r="AK18" s="11"/>
      <c r="AL18" s="5"/>
      <c r="AM18" s="2265"/>
      <c r="AU18" s="2265"/>
      <c r="AV18" s="2265"/>
      <c r="AW18" s="2265"/>
      <c r="AX18" s="408"/>
      <c r="AY18" s="1786"/>
    </row>
    <row r="19" spans="1:51" ht="12" customHeight="1">
      <c r="A19" s="3264"/>
      <c r="B19" s="1771"/>
      <c r="C19" s="7"/>
      <c r="D19" s="3265" t="s">
        <v>1633</v>
      </c>
      <c r="E19" s="3266"/>
      <c r="F19" s="3266"/>
      <c r="G19" s="3266"/>
      <c r="H19" s="3266"/>
      <c r="I19" s="3266"/>
      <c r="J19" s="3266"/>
      <c r="K19" s="3266"/>
      <c r="L19" s="3266"/>
      <c r="M19" s="3266"/>
      <c r="N19" s="3266"/>
      <c r="O19" s="3266"/>
      <c r="P19" s="3267"/>
      <c r="R19" s="1772"/>
      <c r="S19" s="4"/>
      <c r="T19" s="5"/>
      <c r="U19" s="8"/>
      <c r="V19" s="3310"/>
      <c r="W19" s="3310"/>
      <c r="X19" s="3310"/>
      <c r="Y19" s="3310"/>
      <c r="Z19" s="3286"/>
      <c r="AA19" s="3286"/>
      <c r="AB19" s="22"/>
      <c r="AC19" s="23"/>
      <c r="AD19" s="3310"/>
      <c r="AE19" s="3310"/>
      <c r="AF19" s="3310"/>
      <c r="AG19" s="3310"/>
      <c r="AH19" s="3286"/>
      <c r="AI19" s="3286"/>
      <c r="AJ19" s="22"/>
      <c r="AK19" s="11"/>
      <c r="AL19" s="5"/>
      <c r="AM19" s="2265"/>
      <c r="AU19" s="2265"/>
      <c r="AV19" s="2265"/>
      <c r="AW19" s="2265"/>
      <c r="AX19" s="408"/>
      <c r="AY19" s="1786"/>
    </row>
    <row r="20" spans="1:51" ht="12" customHeight="1" thickBot="1">
      <c r="A20" s="3264"/>
      <c r="B20" s="1771"/>
      <c r="C20" s="7"/>
      <c r="D20" s="3268"/>
      <c r="E20" s="3269"/>
      <c r="F20" s="3269"/>
      <c r="G20" s="3269"/>
      <c r="H20" s="3269"/>
      <c r="I20" s="3269"/>
      <c r="J20" s="3269"/>
      <c r="K20" s="3269"/>
      <c r="L20" s="3269"/>
      <c r="M20" s="3269"/>
      <c r="N20" s="3269"/>
      <c r="O20" s="3269"/>
      <c r="P20" s="3270"/>
      <c r="R20" s="1772"/>
      <c r="S20" s="4"/>
      <c r="T20" s="5"/>
      <c r="U20" s="8"/>
      <c r="V20" s="3310"/>
      <c r="W20" s="3310"/>
      <c r="X20" s="3310"/>
      <c r="Y20" s="3310"/>
      <c r="Z20" s="3286"/>
      <c r="AA20" s="3286"/>
      <c r="AB20" s="22"/>
      <c r="AC20" s="23"/>
      <c r="AD20" s="3310"/>
      <c r="AE20" s="3310"/>
      <c r="AF20" s="3310"/>
      <c r="AG20" s="3310"/>
      <c r="AH20" s="3286"/>
      <c r="AI20" s="3286"/>
      <c r="AJ20" s="22"/>
      <c r="AK20" s="11"/>
      <c r="AL20" s="5"/>
      <c r="AM20" s="2265"/>
      <c r="AN20" s="2265"/>
    </row>
    <row r="21" spans="1:51" ht="12" customHeight="1">
      <c r="A21" s="3264"/>
      <c r="B21" s="1771"/>
      <c r="C21" s="7"/>
      <c r="D21" s="1768"/>
      <c r="E21" s="1769"/>
      <c r="F21" s="1769"/>
      <c r="G21" s="1769"/>
      <c r="H21" s="1769"/>
      <c r="I21" s="1769"/>
      <c r="J21" s="1769"/>
      <c r="K21" s="1769"/>
      <c r="L21" s="1769"/>
      <c r="M21" s="1769"/>
      <c r="N21" s="1769"/>
      <c r="O21" s="1769"/>
      <c r="P21" s="1770"/>
      <c r="R21" s="1772"/>
      <c r="S21" s="4"/>
      <c r="T21" s="5"/>
      <c r="U21" s="8"/>
      <c r="V21" s="3285"/>
      <c r="W21" s="3285"/>
      <c r="X21" s="3285"/>
      <c r="Y21" s="3285"/>
      <c r="Z21" s="3286"/>
      <c r="AA21" s="3286"/>
      <c r="AB21" s="22"/>
      <c r="AC21" s="23"/>
      <c r="AD21" s="3285"/>
      <c r="AE21" s="3285"/>
      <c r="AF21" s="3285"/>
      <c r="AG21" s="3285"/>
      <c r="AH21" s="3286"/>
      <c r="AI21" s="3286"/>
      <c r="AJ21" s="22"/>
      <c r="AK21" s="11"/>
      <c r="AL21" s="5"/>
      <c r="AM21" s="2265"/>
      <c r="AN21" s="2265"/>
    </row>
    <row r="22" spans="1:51" ht="12" customHeight="1">
      <c r="A22" s="3264"/>
      <c r="B22" s="1771"/>
      <c r="C22" s="7"/>
      <c r="D22" s="1645"/>
      <c r="E22" s="3272" t="s">
        <v>1634</v>
      </c>
      <c r="F22" s="3272"/>
      <c r="G22" s="3277"/>
      <c r="H22" s="3277"/>
      <c r="I22" s="3277"/>
      <c r="J22" s="3277"/>
      <c r="K22" s="3277"/>
      <c r="L22" s="3277"/>
      <c r="M22" s="3277"/>
      <c r="N22" s="3277"/>
      <c r="O22" s="3277"/>
      <c r="P22" s="1647"/>
      <c r="R22" s="1772"/>
      <c r="S22" s="4"/>
      <c r="T22" s="5"/>
      <c r="U22" s="8"/>
      <c r="V22" s="3285"/>
      <c r="W22" s="3285"/>
      <c r="X22" s="3285"/>
      <c r="Y22" s="3285"/>
      <c r="Z22" s="3286"/>
      <c r="AA22" s="3286"/>
      <c r="AB22" s="22"/>
      <c r="AC22" s="23"/>
      <c r="AD22" s="3285"/>
      <c r="AE22" s="3285"/>
      <c r="AF22" s="3285"/>
      <c r="AG22" s="3285"/>
      <c r="AH22" s="3286"/>
      <c r="AI22" s="3286"/>
      <c r="AJ22" s="22"/>
      <c r="AK22" s="11"/>
      <c r="AL22" s="5"/>
      <c r="AM22" s="2265"/>
      <c r="AN22" s="2266"/>
    </row>
    <row r="23" spans="1:51" ht="12" customHeight="1" thickBot="1">
      <c r="A23" s="3264"/>
      <c r="B23" s="1771"/>
      <c r="C23" s="7"/>
      <c r="D23" s="1645"/>
      <c r="E23" s="1640" t="s">
        <v>1635</v>
      </c>
      <c r="F23" s="3279"/>
      <c r="G23" s="3279"/>
      <c r="H23" s="1644" t="s">
        <v>8667</v>
      </c>
      <c r="I23" s="3276"/>
      <c r="J23" s="3276"/>
      <c r="K23" s="3276"/>
      <c r="L23" s="3280" t="str">
        <f>IF(OR($F$23="Humano",$F$23="Nephilim Sylvain",$F$23="Nephilim Jayán",$F$23="Nephilim D'Anjayni",$F$23="Nephilim Ebudan",$F$23="Nephilim Daimah",$F$23="Nephilim Duk'zarist",$F$23="Nephilim Devah",$F$23="Nephilim Vetala",$F$23="Nephilim Turak"),"Etnia:","")</f>
        <v/>
      </c>
      <c r="M23" s="3280"/>
      <c r="N23" s="3276"/>
      <c r="O23" s="3276"/>
      <c r="P23" s="1646"/>
      <c r="R23" s="1772"/>
      <c r="S23" s="4"/>
      <c r="T23" s="5"/>
      <c r="U23" s="8"/>
      <c r="V23" s="3312"/>
      <c r="W23" s="3312"/>
      <c r="X23" s="3312"/>
      <c r="Y23" s="3312"/>
      <c r="Z23" s="3313"/>
      <c r="AA23" s="3313"/>
      <c r="AB23" s="24"/>
      <c r="AC23" s="23"/>
      <c r="AD23" s="3285"/>
      <c r="AE23" s="3285"/>
      <c r="AF23" s="3285"/>
      <c r="AG23" s="3285"/>
      <c r="AH23" s="3286"/>
      <c r="AI23" s="3286"/>
      <c r="AJ23" s="22"/>
      <c r="AK23" s="11"/>
      <c r="AL23" s="5"/>
      <c r="AM23" s="2265"/>
      <c r="AN23" s="2265"/>
      <c r="AO23" s="2265"/>
    </row>
    <row r="24" spans="1:51" ht="12" customHeight="1" thickBot="1">
      <c r="A24" s="3264"/>
      <c r="B24" s="1771"/>
      <c r="C24" s="7"/>
      <c r="D24" s="1645"/>
      <c r="E24" s="1640" t="s">
        <v>1636</v>
      </c>
      <c r="F24" s="1641"/>
      <c r="G24" s="1642"/>
      <c r="H24" s="1644" t="s">
        <v>1639</v>
      </c>
      <c r="I24" s="3273"/>
      <c r="J24" s="3273"/>
      <c r="K24" s="3271" t="s">
        <v>1641</v>
      </c>
      <c r="L24" s="3271"/>
      <c r="M24" s="3273"/>
      <c r="N24" s="3273"/>
      <c r="O24" s="3273"/>
      <c r="P24" s="1647"/>
      <c r="R24" s="1772"/>
      <c r="S24" s="4"/>
      <c r="T24" s="5"/>
      <c r="U24" s="8"/>
      <c r="AC24" s="23"/>
      <c r="AD24" s="3285"/>
      <c r="AE24" s="3285"/>
      <c r="AF24" s="3285"/>
      <c r="AG24" s="3285"/>
      <c r="AH24" s="3286"/>
      <c r="AI24" s="3286"/>
      <c r="AJ24" s="22"/>
      <c r="AK24" s="11"/>
      <c r="AL24" s="5"/>
      <c r="AM24" s="2265"/>
      <c r="AN24" s="2265"/>
      <c r="AO24" s="2265"/>
    </row>
    <row r="25" spans="1:51" ht="12" customHeight="1" thickBot="1">
      <c r="A25" s="3264"/>
      <c r="B25" s="1771"/>
      <c r="C25" s="7"/>
      <c r="D25" s="1645"/>
      <c r="E25" s="1640" t="s">
        <v>1637</v>
      </c>
      <c r="F25" s="1748"/>
      <c r="G25" s="1644"/>
      <c r="H25" s="1643" t="s">
        <v>1643</v>
      </c>
      <c r="I25" s="3273"/>
      <c r="J25" s="3273"/>
      <c r="K25" s="1642"/>
      <c r="L25" s="1643" t="s">
        <v>7837</v>
      </c>
      <c r="M25" s="3276"/>
      <c r="N25" s="3276"/>
      <c r="O25" s="3276"/>
      <c r="P25" s="1777"/>
      <c r="R25" s="1772"/>
      <c r="S25" s="4"/>
      <c r="T25" s="5"/>
      <c r="U25" s="8"/>
      <c r="V25" s="3281" t="s">
        <v>1640</v>
      </c>
      <c r="W25" s="3281"/>
      <c r="X25" s="3281"/>
      <c r="Y25" s="3281"/>
      <c r="Z25" s="3281"/>
      <c r="AA25" s="3281"/>
      <c r="AB25" s="25" t="s">
        <v>1631</v>
      </c>
      <c r="AC25" s="23"/>
      <c r="AD25" s="3285"/>
      <c r="AE25" s="3285"/>
      <c r="AF25" s="3285"/>
      <c r="AG25" s="3285"/>
      <c r="AH25" s="3286"/>
      <c r="AI25" s="3286"/>
      <c r="AJ25" s="22"/>
      <c r="AK25" s="11"/>
      <c r="AL25" s="5"/>
      <c r="AM25" s="2265"/>
      <c r="AN25" s="2265"/>
      <c r="AO25" s="2265"/>
    </row>
    <row r="26" spans="1:51" ht="12" customHeight="1">
      <c r="A26" s="3264"/>
      <c r="B26" s="1771"/>
      <c r="C26" s="7"/>
      <c r="D26" s="1645"/>
      <c r="E26" s="1643" t="s">
        <v>1638</v>
      </c>
      <c r="F26" s="2947"/>
      <c r="G26" s="2951" t="s">
        <v>10149</v>
      </c>
      <c r="H26" s="1644" t="s">
        <v>1642</v>
      </c>
      <c r="I26" s="2947"/>
      <c r="J26" s="2951" t="s">
        <v>10150</v>
      </c>
      <c r="K26" s="3278" t="str">
        <f>IF(M25="","","Clase social:")</f>
        <v/>
      </c>
      <c r="L26" s="3278"/>
      <c r="M26" s="3274"/>
      <c r="N26" s="3274"/>
      <c r="O26" s="3274"/>
      <c r="P26" s="1775"/>
      <c r="R26" s="1772"/>
      <c r="S26" s="4"/>
      <c r="T26" s="5"/>
      <c r="U26" s="8"/>
      <c r="V26" s="3314"/>
      <c r="W26" s="3314"/>
      <c r="X26" s="3314"/>
      <c r="Y26" s="3314"/>
      <c r="Z26" s="3314"/>
      <c r="AA26" s="3314"/>
      <c r="AB26" s="26"/>
      <c r="AC26" s="23"/>
      <c r="AD26" s="3285"/>
      <c r="AE26" s="3285"/>
      <c r="AF26" s="3285"/>
      <c r="AG26" s="3285"/>
      <c r="AH26" s="3286"/>
      <c r="AI26" s="3286"/>
      <c r="AJ26" s="22"/>
      <c r="AK26" s="11"/>
      <c r="AL26" s="5"/>
      <c r="AM26" s="408"/>
      <c r="AN26" s="408"/>
      <c r="AO26" s="408"/>
    </row>
    <row r="27" spans="1:51" ht="12" customHeight="1" thickBot="1">
      <c r="A27" s="3264"/>
      <c r="B27" s="1771"/>
      <c r="C27" s="7"/>
      <c r="D27" s="1648"/>
      <c r="E27" s="1649"/>
      <c r="F27" s="1649"/>
      <c r="G27" s="1765"/>
      <c r="H27" s="1766"/>
      <c r="I27" s="1766"/>
      <c r="J27" s="1767"/>
      <c r="K27" s="1767"/>
      <c r="L27" s="1767"/>
      <c r="M27" s="3275"/>
      <c r="N27" s="3275"/>
      <c r="O27" s="3275"/>
      <c r="P27" s="1776"/>
      <c r="R27" s="1772"/>
      <c r="S27" s="4"/>
      <c r="T27" s="5"/>
      <c r="U27" s="8"/>
      <c r="V27" s="3285"/>
      <c r="W27" s="3285"/>
      <c r="X27" s="3285"/>
      <c r="Y27" s="3285"/>
      <c r="Z27" s="3285"/>
      <c r="AA27" s="3285"/>
      <c r="AB27" s="27"/>
      <c r="AC27" s="23"/>
      <c r="AD27" s="3285"/>
      <c r="AE27" s="3285"/>
      <c r="AF27" s="3285"/>
      <c r="AG27" s="3285"/>
      <c r="AH27" s="3286"/>
      <c r="AI27" s="3286"/>
      <c r="AJ27" s="22"/>
      <c r="AK27" s="11"/>
      <c r="AL27" s="5"/>
      <c r="AM27" s="408"/>
      <c r="AN27" s="408"/>
      <c r="AO27" s="408"/>
    </row>
    <row r="28" spans="1:51" ht="12" customHeight="1">
      <c r="A28" s="3264"/>
      <c r="B28" s="1771"/>
      <c r="C28" s="7"/>
      <c r="Q28" s="7"/>
      <c r="R28" s="1772"/>
      <c r="S28" s="4"/>
      <c r="T28" s="5"/>
      <c r="U28" s="8"/>
      <c r="V28" s="3285"/>
      <c r="W28" s="3285"/>
      <c r="X28" s="3285"/>
      <c r="Y28" s="3285"/>
      <c r="Z28" s="3285"/>
      <c r="AA28" s="3285"/>
      <c r="AB28" s="27"/>
      <c r="AC28" s="23"/>
      <c r="AD28" s="3285"/>
      <c r="AE28" s="3285"/>
      <c r="AF28" s="3285"/>
      <c r="AG28" s="3285"/>
      <c r="AH28" s="3286"/>
      <c r="AI28" s="3286"/>
      <c r="AJ28" s="22"/>
      <c r="AK28" s="11"/>
      <c r="AL28" s="5"/>
      <c r="AM28" s="408"/>
      <c r="AN28" s="408"/>
      <c r="AO28" s="408"/>
    </row>
    <row r="29" spans="1:51" ht="12" customHeight="1" thickBot="1">
      <c r="A29" s="3264"/>
      <c r="B29" s="1771"/>
      <c r="C29" s="7"/>
      <c r="D29" s="7"/>
      <c r="E29" s="7"/>
      <c r="F29" s="7"/>
      <c r="G29" s="7"/>
      <c r="H29" s="7"/>
      <c r="I29" s="7"/>
      <c r="J29" s="7"/>
      <c r="K29" s="7"/>
      <c r="L29" s="7"/>
      <c r="M29" s="7"/>
      <c r="N29" s="7"/>
      <c r="O29" s="7"/>
      <c r="P29" s="7"/>
      <c r="Q29" s="7"/>
      <c r="R29" s="1772"/>
      <c r="S29" s="4"/>
      <c r="T29" s="5"/>
      <c r="U29" s="8"/>
      <c r="V29" s="3285"/>
      <c r="W29" s="3285"/>
      <c r="X29" s="3285"/>
      <c r="Y29" s="3285"/>
      <c r="Z29" s="3285"/>
      <c r="AA29" s="3285"/>
      <c r="AB29" s="27"/>
      <c r="AC29" s="23"/>
      <c r="AD29" s="3285"/>
      <c r="AE29" s="3285"/>
      <c r="AF29" s="3285"/>
      <c r="AG29" s="3285"/>
      <c r="AH29" s="3286"/>
      <c r="AI29" s="3286"/>
      <c r="AJ29" s="22"/>
      <c r="AK29" s="11"/>
      <c r="AL29" s="5"/>
      <c r="AM29" s="408"/>
      <c r="AN29" s="408"/>
      <c r="AO29" s="408"/>
      <c r="AW29" s="2265"/>
      <c r="AX29" s="2265"/>
      <c r="AY29" s="1784"/>
    </row>
    <row r="30" spans="1:51" ht="12" customHeight="1" thickBot="1">
      <c r="A30" s="3264"/>
      <c r="B30" s="1771"/>
      <c r="C30" s="3281" t="s">
        <v>1644</v>
      </c>
      <c r="D30" s="3281"/>
      <c r="E30" s="3281"/>
      <c r="F30" s="3281"/>
      <c r="G30" s="3281"/>
      <c r="H30" s="3281"/>
      <c r="I30" s="3281"/>
      <c r="J30" s="7"/>
      <c r="K30" s="3281" t="s">
        <v>1645</v>
      </c>
      <c r="L30" s="3281"/>
      <c r="M30" s="3281"/>
      <c r="N30" s="3281"/>
      <c r="O30" s="3281"/>
      <c r="P30" s="3281"/>
      <c r="Q30" s="3281"/>
      <c r="R30" s="1772"/>
      <c r="S30" s="4"/>
      <c r="T30" s="5"/>
      <c r="U30" s="8"/>
      <c r="V30" s="3285"/>
      <c r="W30" s="3285"/>
      <c r="X30" s="3285"/>
      <c r="Y30" s="3285"/>
      <c r="Z30" s="3285"/>
      <c r="AA30" s="3285"/>
      <c r="AB30" s="27"/>
      <c r="AC30" s="23"/>
      <c r="AD30" s="3285"/>
      <c r="AE30" s="3285"/>
      <c r="AF30" s="3285"/>
      <c r="AG30" s="3285"/>
      <c r="AH30" s="3286"/>
      <c r="AI30" s="3286"/>
      <c r="AJ30" s="22"/>
      <c r="AK30" s="11"/>
      <c r="AL30" s="5"/>
      <c r="AM30" s="2265"/>
      <c r="AN30" s="2265"/>
      <c r="AO30" s="2265"/>
      <c r="AP30" s="2265"/>
      <c r="AQ30" s="2265"/>
      <c r="AR30" s="2265"/>
      <c r="AS30" s="2265"/>
      <c r="AT30" s="2265"/>
      <c r="AU30" s="2265"/>
      <c r="AV30" s="2265"/>
      <c r="AW30" s="2265"/>
      <c r="AX30" s="2265"/>
      <c r="AY30" s="1784"/>
    </row>
    <row r="31" spans="1:51" ht="12" customHeight="1" thickBot="1">
      <c r="A31" s="3264"/>
      <c r="B31" s="1771"/>
      <c r="C31" s="3284"/>
      <c r="D31" s="3284"/>
      <c r="E31" s="3284"/>
      <c r="F31" s="3284"/>
      <c r="G31" s="3284"/>
      <c r="H31" s="3284"/>
      <c r="I31" s="3284"/>
      <c r="J31" s="7"/>
      <c r="K31" s="3284"/>
      <c r="L31" s="3284"/>
      <c r="M31" s="3284"/>
      <c r="N31" s="3284"/>
      <c r="O31" s="3284"/>
      <c r="P31" s="3284"/>
      <c r="Q31" s="3284"/>
      <c r="R31" s="1772"/>
      <c r="S31" s="4"/>
      <c r="T31" s="5"/>
      <c r="U31" s="8"/>
      <c r="V31" s="3285"/>
      <c r="W31" s="3285"/>
      <c r="X31" s="3285"/>
      <c r="Y31" s="3285"/>
      <c r="Z31" s="3285"/>
      <c r="AA31" s="3285"/>
      <c r="AB31" s="27"/>
      <c r="AC31" s="23"/>
      <c r="AD31" s="3285"/>
      <c r="AE31" s="3285"/>
      <c r="AF31" s="3285"/>
      <c r="AG31" s="3285"/>
      <c r="AH31" s="3286"/>
      <c r="AI31" s="3286"/>
      <c r="AJ31" s="22"/>
      <c r="AK31" s="11"/>
      <c r="AL31" s="5"/>
      <c r="AM31" s="2265"/>
      <c r="AN31" s="2265"/>
      <c r="AO31" s="2265"/>
      <c r="AP31" s="2265"/>
      <c r="AQ31" s="2265"/>
      <c r="AR31" s="2265"/>
      <c r="AS31" s="2265"/>
      <c r="AT31" s="2265"/>
      <c r="AU31" s="2265"/>
      <c r="AV31" s="2265"/>
      <c r="AW31" s="2265"/>
      <c r="AX31" s="2265"/>
      <c r="AY31" s="1784"/>
    </row>
    <row r="32" spans="1:51" ht="12" customHeight="1" thickBot="1">
      <c r="A32" s="3264"/>
      <c r="B32" s="1771"/>
      <c r="C32" s="3284"/>
      <c r="D32" s="3284"/>
      <c r="E32" s="3284"/>
      <c r="F32" s="3284"/>
      <c r="G32" s="3284"/>
      <c r="H32" s="3284"/>
      <c r="I32" s="3284"/>
      <c r="J32" s="7"/>
      <c r="K32" s="3284"/>
      <c r="L32" s="3284"/>
      <c r="M32" s="3284"/>
      <c r="N32" s="3284"/>
      <c r="O32" s="3284"/>
      <c r="P32" s="3284"/>
      <c r="Q32" s="3284"/>
      <c r="R32" s="1772"/>
      <c r="S32" s="4"/>
      <c r="T32" s="5"/>
      <c r="U32" s="8"/>
      <c r="V32" s="3312"/>
      <c r="W32" s="3312"/>
      <c r="X32" s="3312"/>
      <c r="Y32" s="3312"/>
      <c r="Z32" s="3312"/>
      <c r="AA32" s="3312"/>
      <c r="AB32" s="28"/>
      <c r="AC32" s="23"/>
      <c r="AD32" s="3315" t="s">
        <v>1646</v>
      </c>
      <c r="AE32" s="3315"/>
      <c r="AF32" s="3316" t="str">
        <f>IF(Principal!E14=0,0&amp;" kg",VLOOKUP(FUE,Tabla_Fuerza,3)&amp;" kg")</f>
        <v>0 kg</v>
      </c>
      <c r="AG32" s="3316"/>
      <c r="AH32" s="3317" t="s">
        <v>1647</v>
      </c>
      <c r="AI32" s="3317"/>
      <c r="AJ32" s="29">
        <f>SUM(AB11:AB23,AB26:AB32,AJ11:AJ31)</f>
        <v>0</v>
      </c>
      <c r="AK32" s="11"/>
      <c r="AL32" s="5"/>
      <c r="AM32" s="2265"/>
      <c r="AN32" s="2265"/>
      <c r="AO32" s="2265"/>
      <c r="AW32" s="2265"/>
      <c r="AX32" s="2265"/>
      <c r="AY32" s="1784"/>
    </row>
    <row r="33" spans="1:52" ht="12" customHeight="1" thickBot="1">
      <c r="A33" s="3264"/>
      <c r="B33" s="1771"/>
      <c r="C33" s="3284"/>
      <c r="D33" s="3284"/>
      <c r="E33" s="3284"/>
      <c r="F33" s="3284"/>
      <c r="G33" s="3284"/>
      <c r="H33" s="3284"/>
      <c r="I33" s="3284"/>
      <c r="J33" s="30"/>
      <c r="K33" s="3284"/>
      <c r="L33" s="3284"/>
      <c r="M33" s="3284"/>
      <c r="N33" s="3284"/>
      <c r="O33" s="3284"/>
      <c r="P33" s="3284"/>
      <c r="Q33" s="3284"/>
      <c r="R33" s="1772"/>
      <c r="S33" s="4"/>
      <c r="T33" s="5"/>
      <c r="U33" s="8"/>
      <c r="AK33" s="11"/>
      <c r="AL33" s="5"/>
      <c r="AM33" s="2265"/>
      <c r="AN33" s="2265"/>
      <c r="AO33" s="2265"/>
      <c r="AW33" s="2265"/>
      <c r="AX33" s="2265"/>
      <c r="AY33" s="1784"/>
    </row>
    <row r="34" spans="1:52" ht="12" customHeight="1" thickBot="1">
      <c r="A34" s="3264"/>
      <c r="B34" s="1771"/>
      <c r="C34" s="7"/>
      <c r="D34" s="7"/>
      <c r="E34" s="7"/>
      <c r="F34" s="7"/>
      <c r="G34" s="7"/>
      <c r="H34" s="7"/>
      <c r="I34" s="7"/>
      <c r="J34" s="31"/>
      <c r="K34" s="3284"/>
      <c r="L34" s="3284"/>
      <c r="M34" s="3284"/>
      <c r="N34" s="3284"/>
      <c r="O34" s="3284"/>
      <c r="P34" s="3284"/>
      <c r="Q34" s="3284"/>
      <c r="R34" s="1772"/>
      <c r="S34" s="4"/>
      <c r="T34" s="5"/>
      <c r="U34" s="8"/>
      <c r="V34" s="3281" t="s">
        <v>1648</v>
      </c>
      <c r="W34" s="3281"/>
      <c r="X34" s="3281"/>
      <c r="Y34" s="3281"/>
      <c r="Z34" s="3281"/>
      <c r="AA34" s="3281"/>
      <c r="AB34" s="3281"/>
      <c r="AC34" s="3281"/>
      <c r="AD34" s="3281"/>
      <c r="AE34" s="3281"/>
      <c r="AF34" s="3281"/>
      <c r="AG34" s="3281"/>
      <c r="AH34" s="3281"/>
      <c r="AI34" s="3281"/>
      <c r="AJ34" s="3281"/>
      <c r="AK34" s="11"/>
      <c r="AL34" s="5"/>
      <c r="AM34" s="2265"/>
      <c r="AN34" s="2265"/>
      <c r="AO34" s="2265"/>
      <c r="AW34" s="2265"/>
      <c r="AX34" s="2265"/>
      <c r="AY34" s="1784"/>
    </row>
    <row r="35" spans="1:52" ht="12" customHeight="1" thickBot="1">
      <c r="A35" s="3264"/>
      <c r="B35" s="1771"/>
      <c r="C35" s="3281" t="s">
        <v>1649</v>
      </c>
      <c r="D35" s="3281"/>
      <c r="E35" s="3281"/>
      <c r="F35" s="3281"/>
      <c r="G35" s="3281"/>
      <c r="H35" s="3281"/>
      <c r="I35" s="3281"/>
      <c r="J35" s="31"/>
      <c r="K35" s="3284"/>
      <c r="L35" s="3284"/>
      <c r="M35" s="3284"/>
      <c r="N35" s="3284"/>
      <c r="O35" s="3284"/>
      <c r="P35" s="3284"/>
      <c r="Q35" s="3284"/>
      <c r="R35" s="1772"/>
      <c r="S35" s="4"/>
      <c r="T35" s="5"/>
      <c r="U35" s="8"/>
      <c r="V35" s="3321"/>
      <c r="W35" s="3321"/>
      <c r="X35" s="3321"/>
      <c r="Y35" s="3322"/>
      <c r="Z35" s="3322"/>
      <c r="AA35" s="3322"/>
      <c r="AB35" s="3322"/>
      <c r="AC35" s="3322"/>
      <c r="AD35" s="3322"/>
      <c r="AE35" s="3322"/>
      <c r="AF35" s="3322"/>
      <c r="AG35" s="3322"/>
      <c r="AH35" s="3322"/>
      <c r="AI35" s="3322"/>
      <c r="AJ35" s="3322"/>
      <c r="AK35" s="11"/>
      <c r="AL35" s="5"/>
      <c r="AM35" s="2265"/>
      <c r="AN35" s="2265"/>
      <c r="AO35" s="2265"/>
      <c r="AP35" s="2265"/>
      <c r="AX35" s="2265"/>
      <c r="AY35" s="1784"/>
      <c r="AZ35" s="6"/>
    </row>
    <row r="36" spans="1:52" ht="12" customHeight="1" thickBot="1">
      <c r="A36" s="3264"/>
      <c r="B36" s="1771"/>
      <c r="C36" s="3284"/>
      <c r="D36" s="3284"/>
      <c r="E36" s="3284"/>
      <c r="F36" s="3284"/>
      <c r="G36" s="3284"/>
      <c r="H36" s="3284"/>
      <c r="I36" s="3284"/>
      <c r="J36" s="31"/>
      <c r="K36" s="3284"/>
      <c r="L36" s="3284"/>
      <c r="M36" s="3284"/>
      <c r="N36" s="3284"/>
      <c r="O36" s="3284"/>
      <c r="P36" s="3284"/>
      <c r="Q36" s="3284"/>
      <c r="R36" s="1772"/>
      <c r="S36" s="4"/>
      <c r="T36" s="5"/>
      <c r="U36" s="8"/>
      <c r="V36" s="3321"/>
      <c r="W36" s="3321"/>
      <c r="X36" s="3321"/>
      <c r="Y36" s="3322"/>
      <c r="Z36" s="3322"/>
      <c r="AA36" s="3322"/>
      <c r="AB36" s="3322"/>
      <c r="AC36" s="3322"/>
      <c r="AD36" s="3322"/>
      <c r="AE36" s="3322"/>
      <c r="AF36" s="3322"/>
      <c r="AG36" s="3322"/>
      <c r="AH36" s="3322"/>
      <c r="AI36" s="3322"/>
      <c r="AJ36" s="3322"/>
      <c r="AK36" s="11"/>
      <c r="AL36" s="5"/>
      <c r="AM36" s="2265"/>
      <c r="AN36" s="2265"/>
      <c r="AO36" s="2265"/>
      <c r="AP36" s="2265"/>
      <c r="AQ36" s="2265"/>
      <c r="AR36" s="2265"/>
      <c r="AS36" s="2265"/>
      <c r="AT36" s="2265"/>
      <c r="AU36" s="2265"/>
      <c r="AV36" s="2265"/>
      <c r="AW36" s="2265"/>
      <c r="AX36" s="2265"/>
      <c r="AY36" s="1784"/>
      <c r="AZ36" s="6"/>
    </row>
    <row r="37" spans="1:52" ht="12" customHeight="1" thickBot="1">
      <c r="A37" s="3264"/>
      <c r="B37" s="1771"/>
      <c r="C37" s="3284"/>
      <c r="D37" s="3284"/>
      <c r="E37" s="3284"/>
      <c r="F37" s="3284"/>
      <c r="G37" s="3284"/>
      <c r="H37" s="3284"/>
      <c r="I37" s="3284"/>
      <c r="J37" s="31"/>
      <c r="K37" s="3284"/>
      <c r="L37" s="3284"/>
      <c r="M37" s="3284"/>
      <c r="N37" s="3284"/>
      <c r="O37" s="3284"/>
      <c r="P37" s="3284"/>
      <c r="Q37" s="3284"/>
      <c r="R37" s="1772"/>
      <c r="S37" s="4"/>
      <c r="T37" s="5"/>
      <c r="U37" s="8"/>
      <c r="V37" s="3321"/>
      <c r="W37" s="3321"/>
      <c r="X37" s="3321"/>
      <c r="Y37" s="3322"/>
      <c r="Z37" s="3322"/>
      <c r="AA37" s="3322"/>
      <c r="AB37" s="3322"/>
      <c r="AC37" s="3322"/>
      <c r="AD37" s="3322"/>
      <c r="AE37" s="3322"/>
      <c r="AF37" s="3322"/>
      <c r="AG37" s="3322"/>
      <c r="AH37" s="3322"/>
      <c r="AI37" s="3322"/>
      <c r="AJ37" s="3322"/>
      <c r="AK37" s="11"/>
      <c r="AL37" s="5"/>
      <c r="AM37" s="2265"/>
      <c r="AN37" s="2265"/>
      <c r="AO37" s="2265"/>
      <c r="AP37" s="2265"/>
      <c r="AQ37" s="2265"/>
      <c r="AR37" s="2265"/>
      <c r="AS37" s="2265"/>
      <c r="AT37" s="2265"/>
      <c r="AU37" s="2265"/>
      <c r="AV37" s="2265"/>
      <c r="AW37" s="2265"/>
      <c r="AX37" s="2265"/>
      <c r="AY37" s="1784"/>
      <c r="AZ37" s="6"/>
    </row>
    <row r="38" spans="1:52" ht="12" customHeight="1" thickBot="1">
      <c r="A38" s="3264"/>
      <c r="B38" s="1771"/>
      <c r="C38" s="3284"/>
      <c r="D38" s="3284"/>
      <c r="E38" s="3284"/>
      <c r="F38" s="3284"/>
      <c r="G38" s="3284"/>
      <c r="H38" s="3284"/>
      <c r="I38" s="3284"/>
      <c r="J38" s="31"/>
      <c r="K38" s="3284"/>
      <c r="L38" s="3284"/>
      <c r="M38" s="3284"/>
      <c r="N38" s="3284"/>
      <c r="O38" s="3284"/>
      <c r="P38" s="3284"/>
      <c r="Q38" s="3284"/>
      <c r="R38" s="1772"/>
      <c r="S38" s="4"/>
      <c r="T38" s="5"/>
      <c r="U38" s="8"/>
      <c r="V38" s="3321"/>
      <c r="W38" s="3321"/>
      <c r="X38" s="3321"/>
      <c r="Y38" s="3322"/>
      <c r="Z38" s="3322"/>
      <c r="AA38" s="3322"/>
      <c r="AB38" s="3322"/>
      <c r="AC38" s="3322"/>
      <c r="AD38" s="3322"/>
      <c r="AE38" s="3322"/>
      <c r="AF38" s="3322"/>
      <c r="AG38" s="3322"/>
      <c r="AH38" s="3322"/>
      <c r="AI38" s="3322"/>
      <c r="AJ38" s="3322"/>
      <c r="AK38" s="11"/>
      <c r="AL38" s="5"/>
      <c r="AM38" s="2265"/>
      <c r="AN38" s="2265"/>
      <c r="AP38" s="2265"/>
      <c r="AX38" s="2265"/>
      <c r="AY38" s="1784"/>
      <c r="AZ38" s="6"/>
    </row>
    <row r="39" spans="1:52" ht="12" customHeight="1" thickBot="1">
      <c r="A39" s="3264"/>
      <c r="B39" s="1771"/>
      <c r="C39" s="3284"/>
      <c r="D39" s="3284"/>
      <c r="E39" s="3284"/>
      <c r="F39" s="3284"/>
      <c r="G39" s="3284"/>
      <c r="H39" s="3284"/>
      <c r="I39" s="3284"/>
      <c r="J39" s="31"/>
      <c r="K39" s="3284"/>
      <c r="L39" s="3284"/>
      <c r="M39" s="3284"/>
      <c r="N39" s="3284"/>
      <c r="O39" s="3284"/>
      <c r="P39" s="3284"/>
      <c r="Q39" s="3284"/>
      <c r="R39" s="1772"/>
      <c r="S39" s="4"/>
      <c r="T39" s="5"/>
      <c r="U39" s="8"/>
      <c r="V39" s="3321"/>
      <c r="W39" s="3321"/>
      <c r="X39" s="3321"/>
      <c r="Y39" s="3322"/>
      <c r="Z39" s="3322"/>
      <c r="AA39" s="3322"/>
      <c r="AB39" s="3322"/>
      <c r="AC39" s="3322"/>
      <c r="AD39" s="3322"/>
      <c r="AE39" s="3322"/>
      <c r="AF39" s="3322"/>
      <c r="AG39" s="3322"/>
      <c r="AH39" s="3322"/>
      <c r="AI39" s="3322"/>
      <c r="AJ39" s="3322"/>
      <c r="AK39" s="11"/>
      <c r="AL39" s="5"/>
      <c r="AM39" s="2265"/>
      <c r="AN39" s="2265"/>
      <c r="AP39" s="2265"/>
      <c r="AX39" s="2265"/>
      <c r="AY39" s="1784"/>
      <c r="AZ39" s="6"/>
    </row>
    <row r="40" spans="1:52" ht="12" customHeight="1" thickBot="1">
      <c r="A40" s="3264"/>
      <c r="B40" s="1771"/>
      <c r="C40" s="3284"/>
      <c r="D40" s="3284"/>
      <c r="E40" s="3284"/>
      <c r="F40" s="3284"/>
      <c r="G40" s="3284"/>
      <c r="H40" s="3284"/>
      <c r="I40" s="3284"/>
      <c r="J40" s="31"/>
      <c r="K40" s="3284"/>
      <c r="L40" s="3284"/>
      <c r="M40" s="3284"/>
      <c r="N40" s="3284"/>
      <c r="O40" s="3284"/>
      <c r="P40" s="3284"/>
      <c r="Q40" s="3284"/>
      <c r="R40" s="1772"/>
      <c r="S40" s="4"/>
      <c r="T40" s="5"/>
      <c r="U40" s="8"/>
      <c r="V40" s="3321"/>
      <c r="W40" s="3321"/>
      <c r="X40" s="3321"/>
      <c r="Y40" s="3322"/>
      <c r="Z40" s="3322"/>
      <c r="AA40" s="3322"/>
      <c r="AB40" s="3322"/>
      <c r="AC40" s="3322"/>
      <c r="AD40" s="3322"/>
      <c r="AE40" s="3322"/>
      <c r="AF40" s="3322"/>
      <c r="AG40" s="3322"/>
      <c r="AH40" s="3322"/>
      <c r="AI40" s="3322"/>
      <c r="AJ40" s="3322"/>
      <c r="AK40" s="11"/>
      <c r="AL40" s="5"/>
      <c r="AM40" s="2265"/>
      <c r="AN40" s="2265"/>
      <c r="AP40" s="2265"/>
      <c r="AX40" s="2265"/>
      <c r="AY40" s="1784"/>
      <c r="AZ40" s="6"/>
    </row>
    <row r="41" spans="1:52" ht="12" customHeight="1" thickBot="1">
      <c r="A41" s="3264"/>
      <c r="B41" s="1771"/>
      <c r="C41" s="3284"/>
      <c r="D41" s="3284"/>
      <c r="E41" s="3284"/>
      <c r="F41" s="3284"/>
      <c r="G41" s="3284"/>
      <c r="H41" s="3284"/>
      <c r="I41" s="3284"/>
      <c r="J41" s="31"/>
      <c r="K41" s="3284"/>
      <c r="L41" s="3284"/>
      <c r="M41" s="3284"/>
      <c r="N41" s="3284"/>
      <c r="O41" s="3284"/>
      <c r="P41" s="3284"/>
      <c r="Q41" s="3284"/>
      <c r="R41" s="1772"/>
      <c r="S41" s="4"/>
      <c r="T41" s="5"/>
      <c r="U41" s="8"/>
      <c r="V41" s="3321"/>
      <c r="W41" s="3321"/>
      <c r="X41" s="3321"/>
      <c r="Y41" s="3318"/>
      <c r="Z41" s="3318"/>
      <c r="AA41" s="3318"/>
      <c r="AB41" s="3318"/>
      <c r="AC41" s="3318"/>
      <c r="AD41" s="3318"/>
      <c r="AE41" s="3318"/>
      <c r="AF41" s="3318"/>
      <c r="AG41" s="3318"/>
      <c r="AH41" s="3318"/>
      <c r="AI41" s="3318"/>
      <c r="AJ41" s="3318"/>
      <c r="AK41" s="11"/>
      <c r="AL41" s="5"/>
      <c r="AM41" s="2265"/>
      <c r="AN41" s="2265"/>
      <c r="AP41" s="2265"/>
      <c r="AX41" s="2265"/>
      <c r="AY41" s="1784"/>
      <c r="AZ41" s="6"/>
    </row>
    <row r="42" spans="1:52" ht="12" customHeight="1" thickBot="1">
      <c r="A42" s="3264"/>
      <c r="B42" s="1771"/>
      <c r="C42" s="3284"/>
      <c r="D42" s="3284"/>
      <c r="E42" s="3284"/>
      <c r="F42" s="3284"/>
      <c r="G42" s="3284"/>
      <c r="H42" s="3284"/>
      <c r="I42" s="3284"/>
      <c r="J42" s="7"/>
      <c r="K42" s="3284"/>
      <c r="L42" s="3284"/>
      <c r="M42" s="3284"/>
      <c r="N42" s="3284"/>
      <c r="O42" s="3284"/>
      <c r="P42" s="3284"/>
      <c r="Q42" s="3284"/>
      <c r="R42" s="1772"/>
      <c r="S42" s="4"/>
      <c r="T42" s="5"/>
      <c r="U42" s="8"/>
      <c r="V42" s="3321"/>
      <c r="W42" s="3321"/>
      <c r="X42" s="3321"/>
      <c r="Y42" s="3318"/>
      <c r="Z42" s="3318"/>
      <c r="AA42" s="3318"/>
      <c r="AB42" s="3318"/>
      <c r="AC42" s="3318"/>
      <c r="AD42" s="3318"/>
      <c r="AE42" s="3318"/>
      <c r="AF42" s="3318"/>
      <c r="AG42" s="3318"/>
      <c r="AH42" s="3318"/>
      <c r="AI42" s="3318"/>
      <c r="AJ42" s="3318"/>
      <c r="AK42" s="11"/>
      <c r="AL42" s="5"/>
      <c r="AM42" s="2265"/>
      <c r="AN42" s="2265"/>
      <c r="AP42" s="2265"/>
      <c r="AX42" s="2265"/>
      <c r="AY42" s="1784"/>
      <c r="AZ42" s="6"/>
    </row>
    <row r="43" spans="1:52" ht="12" customHeight="1" thickBot="1">
      <c r="A43" s="3264"/>
      <c r="B43" s="1771"/>
      <c r="C43" s="3284"/>
      <c r="D43" s="3284"/>
      <c r="E43" s="3284"/>
      <c r="F43" s="3284"/>
      <c r="G43" s="3284"/>
      <c r="H43" s="3284"/>
      <c r="I43" s="3284"/>
      <c r="J43" s="7"/>
      <c r="K43" s="3284"/>
      <c r="L43" s="3284"/>
      <c r="M43" s="3284"/>
      <c r="N43" s="3284"/>
      <c r="O43" s="3284"/>
      <c r="P43" s="3284"/>
      <c r="Q43" s="3284"/>
      <c r="R43" s="1772"/>
      <c r="S43" s="4"/>
      <c r="T43" s="5"/>
      <c r="U43" s="8"/>
      <c r="V43" s="3319"/>
      <c r="W43" s="3319"/>
      <c r="X43" s="3319"/>
      <c r="Y43" s="3320"/>
      <c r="Z43" s="3320"/>
      <c r="AA43" s="3320"/>
      <c r="AB43" s="3320"/>
      <c r="AC43" s="3320"/>
      <c r="AD43" s="3320"/>
      <c r="AE43" s="3320"/>
      <c r="AF43" s="3320"/>
      <c r="AG43" s="3320"/>
      <c r="AH43" s="3320"/>
      <c r="AI43" s="3320"/>
      <c r="AJ43" s="3320"/>
      <c r="AK43" s="11"/>
      <c r="AL43" s="5"/>
      <c r="AM43" s="2265"/>
      <c r="AN43" s="2265"/>
      <c r="AP43" s="2265"/>
      <c r="AX43" s="2265"/>
      <c r="AY43" s="1784"/>
      <c r="AZ43" s="6"/>
    </row>
    <row r="44" spans="1:52" ht="12" customHeight="1" thickBot="1">
      <c r="A44" s="3264"/>
      <c r="B44" s="1771"/>
      <c r="C44" s="7"/>
      <c r="D44" s="7"/>
      <c r="E44" s="7"/>
      <c r="F44" s="7"/>
      <c r="G44" s="7"/>
      <c r="H44" s="7"/>
      <c r="I44" s="7"/>
      <c r="J44" s="7"/>
      <c r="K44" s="3284"/>
      <c r="L44" s="3284"/>
      <c r="M44" s="3284"/>
      <c r="N44" s="3284"/>
      <c r="O44" s="3284"/>
      <c r="P44" s="3284"/>
      <c r="Q44" s="3284"/>
      <c r="R44" s="1772"/>
      <c r="S44" s="4"/>
      <c r="T44" s="5"/>
      <c r="U44" s="8"/>
      <c r="V44" s="3319"/>
      <c r="W44" s="3319"/>
      <c r="X44" s="3319"/>
      <c r="Y44" s="3320"/>
      <c r="Z44" s="3320"/>
      <c r="AA44" s="3320"/>
      <c r="AB44" s="3320"/>
      <c r="AC44" s="3320"/>
      <c r="AD44" s="3320"/>
      <c r="AE44" s="3320"/>
      <c r="AF44" s="3320"/>
      <c r="AG44" s="3320"/>
      <c r="AH44" s="3320"/>
      <c r="AI44" s="3320"/>
      <c r="AJ44" s="3320"/>
      <c r="AK44" s="11"/>
      <c r="AL44" s="5"/>
      <c r="AM44" s="2265"/>
      <c r="AN44" s="2265"/>
    </row>
    <row r="45" spans="1:52" ht="12" customHeight="1" thickBot="1">
      <c r="A45" s="3264"/>
      <c r="B45" s="1771"/>
      <c r="C45" s="3281" t="s">
        <v>1650</v>
      </c>
      <c r="D45" s="3281"/>
      <c r="E45" s="3281"/>
      <c r="F45" s="3281"/>
      <c r="G45" s="3281"/>
      <c r="H45" s="3281"/>
      <c r="I45" s="3281"/>
      <c r="J45" s="7"/>
      <c r="K45" s="3284"/>
      <c r="L45" s="3284"/>
      <c r="M45" s="3284"/>
      <c r="N45" s="3284"/>
      <c r="O45" s="3284"/>
      <c r="P45" s="3284"/>
      <c r="Q45" s="3284"/>
      <c r="R45" s="1772"/>
      <c r="S45" s="4"/>
      <c r="T45" s="5"/>
      <c r="U45" s="8"/>
      <c r="AK45" s="11"/>
      <c r="AL45" s="5"/>
      <c r="AM45" s="2265"/>
      <c r="AN45" s="2265"/>
      <c r="AO45" s="2265"/>
      <c r="AW45" s="2265"/>
      <c r="AX45" s="408"/>
      <c r="AY45" s="1786"/>
    </row>
    <row r="46" spans="1:52" ht="12" customHeight="1" thickBot="1">
      <c r="A46" s="3264"/>
      <c r="B46" s="1771"/>
      <c r="C46" s="3284"/>
      <c r="D46" s="3284"/>
      <c r="E46" s="3284"/>
      <c r="F46" s="3284"/>
      <c r="G46" s="3284"/>
      <c r="H46" s="3284"/>
      <c r="I46" s="3284"/>
      <c r="J46" s="7"/>
      <c r="K46" s="3284"/>
      <c r="L46" s="3284"/>
      <c r="M46" s="3284"/>
      <c r="N46" s="3284"/>
      <c r="O46" s="3284"/>
      <c r="P46" s="3284"/>
      <c r="Q46" s="3284"/>
      <c r="R46" s="1772"/>
      <c r="S46" s="4"/>
      <c r="T46" s="5"/>
      <c r="U46" s="8"/>
      <c r="V46" s="3331" t="s">
        <v>1651</v>
      </c>
      <c r="W46" s="3331"/>
      <c r="X46" s="3331"/>
      <c r="Y46" s="3331"/>
      <c r="Z46" s="3331"/>
      <c r="AA46" s="3331"/>
      <c r="AB46" s="3331"/>
      <c r="AD46" s="3331" t="s">
        <v>1652</v>
      </c>
      <c r="AE46" s="3331"/>
      <c r="AF46" s="3331"/>
      <c r="AG46" s="3331"/>
      <c r="AH46" s="3331"/>
      <c r="AI46" s="3331"/>
      <c r="AJ46" s="3331"/>
      <c r="AK46" s="11"/>
      <c r="AL46" s="5"/>
      <c r="AM46" s="2265"/>
      <c r="AN46" s="2265"/>
      <c r="AO46" s="2265"/>
      <c r="AW46" s="2265"/>
      <c r="AX46" s="2265"/>
      <c r="AY46" s="1784"/>
    </row>
    <row r="47" spans="1:52" ht="12" customHeight="1" thickBot="1">
      <c r="A47" s="3264"/>
      <c r="B47" s="1771"/>
      <c r="C47" s="3284"/>
      <c r="D47" s="3284"/>
      <c r="E47" s="3284"/>
      <c r="F47" s="3284"/>
      <c r="G47" s="3284"/>
      <c r="H47" s="3284"/>
      <c r="I47" s="3284"/>
      <c r="J47" s="7"/>
      <c r="K47" s="3284"/>
      <c r="L47" s="3284"/>
      <c r="M47" s="3284"/>
      <c r="N47" s="3284"/>
      <c r="O47" s="3284"/>
      <c r="P47" s="3284"/>
      <c r="Q47" s="3284"/>
      <c r="R47" s="1772"/>
      <c r="S47" s="4"/>
      <c r="T47" s="5"/>
      <c r="U47" s="8"/>
      <c r="V47" s="3332"/>
      <c r="W47" s="3332"/>
      <c r="X47" s="3332"/>
      <c r="Y47" s="3332"/>
      <c r="Z47" s="3332"/>
      <c r="AA47" s="3332"/>
      <c r="AB47" s="3332"/>
      <c r="AD47" s="3332"/>
      <c r="AE47" s="3332"/>
      <c r="AF47" s="3332"/>
      <c r="AG47" s="3332"/>
      <c r="AH47" s="3332"/>
      <c r="AI47" s="3332"/>
      <c r="AJ47" s="3332"/>
      <c r="AK47" s="11"/>
      <c r="AL47" s="5"/>
      <c r="AM47" s="2265"/>
      <c r="AN47" s="2265"/>
      <c r="AO47" s="2265"/>
      <c r="AP47" s="2265"/>
      <c r="AQ47" s="2265"/>
      <c r="AR47" s="2265"/>
      <c r="AS47" s="2265"/>
      <c r="AT47" s="2265"/>
      <c r="AU47" s="2265"/>
      <c r="AV47" s="2265"/>
      <c r="AW47" s="2265"/>
      <c r="AX47" s="2265"/>
      <c r="AY47" s="1784"/>
    </row>
    <row r="48" spans="1:52" ht="12" customHeight="1" thickBot="1">
      <c r="A48" s="3264"/>
      <c r="B48" s="1771"/>
      <c r="C48" s="3284"/>
      <c r="D48" s="3284"/>
      <c r="E48" s="3284"/>
      <c r="F48" s="3284"/>
      <c r="G48" s="3284"/>
      <c r="H48" s="3284"/>
      <c r="I48" s="3284"/>
      <c r="J48" s="7"/>
      <c r="K48" s="3284"/>
      <c r="L48" s="3284"/>
      <c r="M48" s="3284"/>
      <c r="N48" s="3284"/>
      <c r="O48" s="3284"/>
      <c r="P48" s="3284"/>
      <c r="Q48" s="3284"/>
      <c r="R48" s="1772"/>
      <c r="S48" s="4"/>
      <c r="T48" s="5"/>
      <c r="U48" s="8"/>
      <c r="V48" s="3330"/>
      <c r="W48" s="3330"/>
      <c r="X48" s="3330"/>
      <c r="Y48" s="3330"/>
      <c r="Z48" s="3330"/>
      <c r="AA48" s="3330"/>
      <c r="AB48" s="3330"/>
      <c r="AD48" s="3330"/>
      <c r="AE48" s="3330"/>
      <c r="AF48" s="3330"/>
      <c r="AG48" s="3330"/>
      <c r="AH48" s="3330"/>
      <c r="AI48" s="3330"/>
      <c r="AJ48" s="3330"/>
      <c r="AK48" s="11"/>
      <c r="AL48" s="5"/>
      <c r="AM48" s="2265"/>
      <c r="AN48" s="2265"/>
      <c r="AO48" s="2265"/>
      <c r="AP48" s="2265"/>
      <c r="AQ48" s="2265"/>
      <c r="AR48" s="2265"/>
      <c r="AS48" s="2265"/>
      <c r="AT48" s="2265"/>
      <c r="AU48" s="2265"/>
      <c r="AV48" s="2265"/>
      <c r="AW48" s="2265"/>
      <c r="AX48" s="2265"/>
      <c r="AY48" s="1784"/>
    </row>
    <row r="49" spans="1:51" ht="12" customHeight="1" thickBot="1">
      <c r="A49" s="3264"/>
      <c r="B49" s="1771"/>
      <c r="C49" s="3284"/>
      <c r="D49" s="3284"/>
      <c r="E49" s="3284"/>
      <c r="F49" s="3284"/>
      <c r="G49" s="3284"/>
      <c r="H49" s="3284"/>
      <c r="I49" s="3284"/>
      <c r="J49" s="7"/>
      <c r="K49" s="3284"/>
      <c r="L49" s="3284"/>
      <c r="M49" s="3284"/>
      <c r="N49" s="3284"/>
      <c r="O49" s="3284"/>
      <c r="P49" s="3284"/>
      <c r="Q49" s="3284"/>
      <c r="R49" s="1772"/>
      <c r="S49" s="4"/>
      <c r="T49" s="5"/>
      <c r="U49" s="8"/>
      <c r="V49" s="3330"/>
      <c r="W49" s="3330"/>
      <c r="X49" s="3330"/>
      <c r="Y49" s="3330"/>
      <c r="Z49" s="3330"/>
      <c r="AA49" s="3330"/>
      <c r="AB49" s="3330"/>
      <c r="AD49" s="3330"/>
      <c r="AE49" s="3330"/>
      <c r="AF49" s="3330"/>
      <c r="AG49" s="3330"/>
      <c r="AH49" s="3330"/>
      <c r="AI49" s="3330"/>
      <c r="AJ49" s="3330"/>
      <c r="AK49" s="11"/>
      <c r="AL49" s="5"/>
      <c r="AM49" s="2265"/>
      <c r="AN49" s="2265"/>
      <c r="AO49" s="2265"/>
      <c r="AW49" s="2265"/>
      <c r="AX49" s="2265"/>
      <c r="AY49" s="1784"/>
    </row>
    <row r="50" spans="1:51" ht="12" customHeight="1" thickBot="1">
      <c r="A50" s="3264"/>
      <c r="B50" s="1771"/>
      <c r="C50" s="3284"/>
      <c r="D50" s="3284"/>
      <c r="E50" s="3284"/>
      <c r="F50" s="3284"/>
      <c r="G50" s="3284"/>
      <c r="H50" s="3284"/>
      <c r="I50" s="3284"/>
      <c r="J50" s="7"/>
      <c r="K50" s="3284"/>
      <c r="L50" s="3284"/>
      <c r="M50" s="3284"/>
      <c r="N50" s="3284"/>
      <c r="O50" s="3284"/>
      <c r="P50" s="3284"/>
      <c r="Q50" s="3284"/>
      <c r="R50" s="1772"/>
      <c r="S50" s="4"/>
      <c r="T50" s="5"/>
      <c r="U50" s="8"/>
      <c r="V50" s="3330"/>
      <c r="W50" s="3330"/>
      <c r="X50" s="3330"/>
      <c r="Y50" s="3330"/>
      <c r="Z50" s="3330"/>
      <c r="AA50" s="3330"/>
      <c r="AB50" s="3330"/>
      <c r="AD50" s="3330"/>
      <c r="AE50" s="3330"/>
      <c r="AF50" s="3330"/>
      <c r="AG50" s="3330"/>
      <c r="AH50" s="3330"/>
      <c r="AI50" s="3330"/>
      <c r="AJ50" s="3330"/>
      <c r="AK50" s="11"/>
      <c r="AL50" s="5"/>
      <c r="AM50" s="2265"/>
      <c r="AN50" s="2265"/>
      <c r="AO50" s="2265"/>
      <c r="AW50" s="2265"/>
      <c r="AX50" s="2265"/>
      <c r="AY50" s="1784"/>
    </row>
    <row r="51" spans="1:51" ht="12" customHeight="1" thickBot="1">
      <c r="A51" s="3264"/>
      <c r="B51" s="1771"/>
      <c r="C51" s="3284"/>
      <c r="D51" s="3284"/>
      <c r="E51" s="3284"/>
      <c r="F51" s="3284"/>
      <c r="G51" s="3284"/>
      <c r="H51" s="3284"/>
      <c r="I51" s="3284"/>
      <c r="J51" s="7"/>
      <c r="K51" s="3284"/>
      <c r="L51" s="3284"/>
      <c r="M51" s="3284"/>
      <c r="N51" s="3284"/>
      <c r="O51" s="3284"/>
      <c r="P51" s="3284"/>
      <c r="Q51" s="3284"/>
      <c r="R51" s="1772"/>
      <c r="S51" s="4"/>
      <c r="T51" s="5"/>
      <c r="U51" s="8"/>
      <c r="V51" s="3330"/>
      <c r="W51" s="3330"/>
      <c r="X51" s="3330"/>
      <c r="Y51" s="3330"/>
      <c r="Z51" s="3330"/>
      <c r="AA51" s="3330"/>
      <c r="AB51" s="3330"/>
      <c r="AD51" s="3330"/>
      <c r="AE51" s="3330"/>
      <c r="AF51" s="3330"/>
      <c r="AG51" s="3330"/>
      <c r="AH51" s="3330"/>
      <c r="AI51" s="3330"/>
      <c r="AJ51" s="3330"/>
      <c r="AK51" s="11"/>
      <c r="AL51" s="5"/>
      <c r="AM51" s="2265"/>
      <c r="AN51" s="2265"/>
      <c r="AO51" s="2265"/>
      <c r="AW51" s="2265"/>
      <c r="AX51" s="2265"/>
      <c r="AY51" s="1784"/>
    </row>
    <row r="52" spans="1:51" ht="12" customHeight="1" thickBot="1">
      <c r="A52" s="3264"/>
      <c r="B52" s="1771"/>
      <c r="C52" s="3284"/>
      <c r="D52" s="3284"/>
      <c r="E52" s="3284"/>
      <c r="F52" s="3284"/>
      <c r="G52" s="3284"/>
      <c r="H52" s="3284"/>
      <c r="I52" s="3284"/>
      <c r="J52" s="7"/>
      <c r="K52" s="3284"/>
      <c r="L52" s="3284"/>
      <c r="M52" s="3284"/>
      <c r="N52" s="3284"/>
      <c r="O52" s="3284"/>
      <c r="P52" s="3284"/>
      <c r="Q52" s="3284"/>
      <c r="R52" s="1772"/>
      <c r="S52" s="4"/>
      <c r="T52" s="5"/>
      <c r="U52" s="8"/>
      <c r="V52" s="3330"/>
      <c r="W52" s="3330"/>
      <c r="X52" s="3330"/>
      <c r="Y52" s="3330"/>
      <c r="Z52" s="3330"/>
      <c r="AA52" s="3330"/>
      <c r="AB52" s="3330"/>
      <c r="AD52" s="3330"/>
      <c r="AE52" s="3330"/>
      <c r="AF52" s="3330"/>
      <c r="AG52" s="3330"/>
      <c r="AH52" s="3330"/>
      <c r="AI52" s="3330"/>
      <c r="AJ52" s="3330"/>
      <c r="AK52" s="11"/>
      <c r="AL52" s="5"/>
      <c r="AM52" s="2265"/>
      <c r="AN52" s="2265"/>
      <c r="AO52" s="2265"/>
      <c r="AW52" s="2265"/>
      <c r="AX52" s="2265"/>
      <c r="AY52" s="1784"/>
    </row>
    <row r="53" spans="1:51" ht="12" customHeight="1" thickBot="1">
      <c r="A53" s="3264"/>
      <c r="B53" s="1771"/>
      <c r="C53" s="3284"/>
      <c r="D53" s="3284"/>
      <c r="E53" s="3284"/>
      <c r="F53" s="3284"/>
      <c r="G53" s="3284"/>
      <c r="H53" s="3284"/>
      <c r="I53" s="3284"/>
      <c r="J53" s="7"/>
      <c r="K53" s="3284"/>
      <c r="L53" s="3284"/>
      <c r="M53" s="3284"/>
      <c r="N53" s="3284"/>
      <c r="O53" s="3284"/>
      <c r="P53" s="3284"/>
      <c r="Q53" s="3284"/>
      <c r="R53" s="1772"/>
      <c r="S53" s="4"/>
      <c r="T53" s="5"/>
      <c r="U53" s="8"/>
      <c r="V53" s="3330"/>
      <c r="W53" s="3330"/>
      <c r="X53" s="3330"/>
      <c r="Y53" s="3330"/>
      <c r="Z53" s="3330"/>
      <c r="AA53" s="3330"/>
      <c r="AB53" s="3330"/>
      <c r="AD53" s="3330"/>
      <c r="AE53" s="3330"/>
      <c r="AF53" s="3330"/>
      <c r="AG53" s="3330"/>
      <c r="AH53" s="3330"/>
      <c r="AI53" s="3330"/>
      <c r="AJ53" s="3330"/>
      <c r="AK53" s="11"/>
      <c r="AL53" s="5"/>
      <c r="AM53" s="2265"/>
      <c r="AN53" s="2265"/>
      <c r="AO53" s="2265"/>
      <c r="AW53" s="2265"/>
      <c r="AX53" s="2265"/>
      <c r="AY53" s="1784"/>
    </row>
    <row r="54" spans="1:51" ht="12" customHeight="1" thickBot="1">
      <c r="A54" s="3264"/>
      <c r="B54" s="1771"/>
      <c r="C54" s="7"/>
      <c r="D54" s="7"/>
      <c r="E54" s="7"/>
      <c r="F54" s="7"/>
      <c r="G54" s="7"/>
      <c r="H54" s="7"/>
      <c r="I54" s="7"/>
      <c r="J54" s="7"/>
      <c r="K54" s="3284"/>
      <c r="L54" s="3284"/>
      <c r="M54" s="3284"/>
      <c r="N54" s="3284"/>
      <c r="O54" s="3284"/>
      <c r="P54" s="3284"/>
      <c r="Q54" s="3284"/>
      <c r="R54" s="1772"/>
      <c r="S54" s="4"/>
      <c r="T54" s="5"/>
      <c r="U54" s="8"/>
      <c r="V54" s="3330"/>
      <c r="W54" s="3330"/>
      <c r="X54" s="3330"/>
      <c r="Y54" s="3330"/>
      <c r="Z54" s="3330"/>
      <c r="AA54" s="3330"/>
      <c r="AB54" s="3330"/>
      <c r="AD54" s="3330"/>
      <c r="AE54" s="3330"/>
      <c r="AF54" s="3330"/>
      <c r="AG54" s="3330"/>
      <c r="AH54" s="3330"/>
      <c r="AI54" s="3330"/>
      <c r="AJ54" s="3330"/>
      <c r="AK54" s="11"/>
      <c r="AL54" s="5"/>
      <c r="AM54" s="2265"/>
      <c r="AN54" s="2265"/>
      <c r="AO54" s="2265"/>
      <c r="AW54" s="2265"/>
      <c r="AX54" s="2265"/>
      <c r="AY54" s="1784"/>
    </row>
    <row r="55" spans="1:51" ht="12" customHeight="1" thickBot="1">
      <c r="A55" s="3264"/>
      <c r="B55" s="1771"/>
      <c r="C55" s="3281" t="s">
        <v>1653</v>
      </c>
      <c r="D55" s="3281"/>
      <c r="E55" s="3281"/>
      <c r="F55" s="3281"/>
      <c r="G55" s="3281"/>
      <c r="H55" s="3281"/>
      <c r="I55" s="3281"/>
      <c r="J55" s="7"/>
      <c r="K55" s="3284"/>
      <c r="L55" s="3284"/>
      <c r="M55" s="3284"/>
      <c r="N55" s="3284"/>
      <c r="O55" s="3284"/>
      <c r="P55" s="3284"/>
      <c r="Q55" s="3284"/>
      <c r="R55" s="1772"/>
      <c r="S55" s="4"/>
      <c r="T55" s="5"/>
      <c r="U55" s="8"/>
      <c r="V55" s="3327"/>
      <c r="W55" s="3327"/>
      <c r="X55" s="3327"/>
      <c r="Y55" s="3327"/>
      <c r="Z55" s="3327"/>
      <c r="AA55" s="3327"/>
      <c r="AB55" s="3327"/>
      <c r="AD55" s="3327"/>
      <c r="AE55" s="3327"/>
      <c r="AF55" s="3327"/>
      <c r="AG55" s="3327"/>
      <c r="AH55" s="3327"/>
      <c r="AI55" s="3327"/>
      <c r="AJ55" s="3327"/>
      <c r="AK55" s="11"/>
      <c r="AL55" s="5"/>
      <c r="AM55" s="2265"/>
      <c r="AN55" s="2265"/>
      <c r="AO55" s="2265"/>
      <c r="AW55" s="2265"/>
      <c r="AX55" s="2265"/>
      <c r="AY55" s="1784"/>
    </row>
    <row r="56" spans="1:51" ht="12" customHeight="1" thickBot="1">
      <c r="A56" s="3264"/>
      <c r="B56" s="1771"/>
      <c r="C56" s="3284"/>
      <c r="D56" s="3284"/>
      <c r="E56" s="3284"/>
      <c r="F56" s="3284"/>
      <c r="G56" s="3284"/>
      <c r="H56" s="3284"/>
      <c r="I56" s="3284"/>
      <c r="J56" s="7"/>
      <c r="K56" s="3284"/>
      <c r="L56" s="3284"/>
      <c r="M56" s="3284"/>
      <c r="N56" s="3284"/>
      <c r="O56" s="3284"/>
      <c r="P56" s="3284"/>
      <c r="Q56" s="3284"/>
      <c r="R56" s="1772"/>
      <c r="S56" s="4"/>
      <c r="T56" s="5"/>
      <c r="U56" s="8"/>
      <c r="AK56" s="11"/>
      <c r="AL56" s="5"/>
      <c r="AM56" s="2265"/>
      <c r="AN56" s="2265"/>
      <c r="AO56" s="2265"/>
      <c r="AW56" s="2265"/>
      <c r="AX56" s="2265"/>
      <c r="AY56" s="1784"/>
    </row>
    <row r="57" spans="1:51" ht="12" customHeight="1" thickBot="1">
      <c r="A57" s="3264"/>
      <c r="B57" s="1771"/>
      <c r="C57" s="3284"/>
      <c r="D57" s="3284"/>
      <c r="E57" s="3284"/>
      <c r="F57" s="3284"/>
      <c r="G57" s="3284"/>
      <c r="H57" s="3284"/>
      <c r="I57" s="3284"/>
      <c r="J57" s="7"/>
      <c r="K57" s="3284"/>
      <c r="L57" s="3284"/>
      <c r="M57" s="3284"/>
      <c r="N57" s="3284"/>
      <c r="O57" s="3284"/>
      <c r="P57" s="3284"/>
      <c r="Q57" s="3284"/>
      <c r="R57" s="1772"/>
      <c r="S57" s="4"/>
      <c r="T57" s="5"/>
      <c r="U57" s="8"/>
      <c r="V57" s="3281" t="s">
        <v>1654</v>
      </c>
      <c r="W57" s="3281"/>
      <c r="X57" s="3281"/>
      <c r="Y57" s="3281"/>
      <c r="Z57" s="3281"/>
      <c r="AA57" s="3281"/>
      <c r="AB57" s="3281"/>
      <c r="AD57" s="3328" t="s">
        <v>1655</v>
      </c>
      <c r="AE57" s="3328"/>
      <c r="AF57" s="3328"/>
      <c r="AG57" s="3328"/>
      <c r="AH57" s="3328"/>
      <c r="AI57" s="3329" t="str">
        <f>VLOOKUP(AD59,Tabla_Fama,2)</f>
        <v>Desconocido</v>
      </c>
      <c r="AJ57" s="3329"/>
      <c r="AK57" s="11"/>
      <c r="AL57" s="5"/>
      <c r="AM57" s="2265"/>
      <c r="AQ57" s="2265"/>
      <c r="AR57" s="2265"/>
      <c r="AS57" s="2265"/>
      <c r="AT57" s="2265"/>
      <c r="AU57" s="2265"/>
      <c r="AV57" s="2265"/>
      <c r="AW57" s="2265"/>
      <c r="AX57" s="2265"/>
      <c r="AY57" s="1784"/>
    </row>
    <row r="58" spans="1:51" ht="12" customHeight="1" thickBot="1">
      <c r="A58" s="3264"/>
      <c r="B58" s="1771"/>
      <c r="C58" s="3284"/>
      <c r="D58" s="3284"/>
      <c r="E58" s="3284"/>
      <c r="F58" s="3284"/>
      <c r="G58" s="3284"/>
      <c r="H58" s="3284"/>
      <c r="I58" s="3284"/>
      <c r="J58" s="7"/>
      <c r="K58" s="3284"/>
      <c r="L58" s="3284"/>
      <c r="M58" s="3284"/>
      <c r="N58" s="3284"/>
      <c r="O58" s="3284"/>
      <c r="P58" s="3284"/>
      <c r="Q58" s="3284"/>
      <c r="R58" s="1772"/>
      <c r="S58" s="4"/>
      <c r="T58" s="5"/>
      <c r="U58" s="8"/>
      <c r="V58" s="3303" t="s">
        <v>1656</v>
      </c>
      <c r="W58" s="3303"/>
      <c r="X58" s="3303"/>
      <c r="Y58" s="3303"/>
      <c r="Z58" s="3323" t="s">
        <v>1657</v>
      </c>
      <c r="AA58" s="3323"/>
      <c r="AB58" s="3323"/>
      <c r="AD58" s="32" t="s">
        <v>1658</v>
      </c>
      <c r="AE58" s="3324" t="s">
        <v>1659</v>
      </c>
      <c r="AF58" s="3324"/>
      <c r="AG58" s="33"/>
      <c r="AH58" s="3324" t="s">
        <v>1660</v>
      </c>
      <c r="AI58" s="3324"/>
      <c r="AJ58" s="34"/>
      <c r="AK58" s="11"/>
      <c r="AL58" s="5"/>
    </row>
    <row r="59" spans="1:51" ht="12" customHeight="1" thickBot="1">
      <c r="A59" s="3264"/>
      <c r="B59" s="1771"/>
      <c r="C59" s="3284"/>
      <c r="D59" s="3284"/>
      <c r="E59" s="3284"/>
      <c r="F59" s="3284"/>
      <c r="G59" s="3284"/>
      <c r="H59" s="3284"/>
      <c r="I59" s="3284"/>
      <c r="J59" s="7"/>
      <c r="K59" s="3284"/>
      <c r="L59" s="3284"/>
      <c r="M59" s="3284"/>
      <c r="N59" s="3284"/>
      <c r="O59" s="3284"/>
      <c r="P59" s="3284"/>
      <c r="Q59" s="3284"/>
      <c r="R59" s="1772"/>
      <c r="S59" s="4"/>
      <c r="T59" s="5"/>
      <c r="U59" s="8"/>
      <c r="V59" s="3325" t="s">
        <v>1661</v>
      </c>
      <c r="W59" s="3326"/>
      <c r="X59" s="3326"/>
      <c r="Y59" s="3326"/>
      <c r="Z59" s="3339"/>
      <c r="AA59" s="3339"/>
      <c r="AB59" s="3339"/>
      <c r="AD59" s="3340">
        <f>MAX(AG58+AG60+AJ59+AJ58+AG59,IF(Tablas!$G$478&gt;0,40,IF(Tablas!$G$479&gt;0,65)))</f>
        <v>0</v>
      </c>
      <c r="AE59" s="3341" t="s">
        <v>1662</v>
      </c>
      <c r="AF59" s="3341"/>
      <c r="AG59" s="35"/>
      <c r="AH59" s="3342" t="s">
        <v>1663</v>
      </c>
      <c r="AI59" s="3342"/>
      <c r="AJ59" s="36"/>
      <c r="AK59" s="11"/>
      <c r="AL59" s="5"/>
    </row>
    <row r="60" spans="1:51" ht="12" customHeight="1" thickBot="1">
      <c r="A60" s="3264"/>
      <c r="B60" s="1771"/>
      <c r="C60" s="3284"/>
      <c r="D60" s="3284"/>
      <c r="E60" s="3284"/>
      <c r="F60" s="3284"/>
      <c r="G60" s="3284"/>
      <c r="H60" s="3284"/>
      <c r="I60" s="3284"/>
      <c r="J60" s="7"/>
      <c r="K60" s="3284"/>
      <c r="L60" s="3284"/>
      <c r="M60" s="3284"/>
      <c r="N60" s="3284"/>
      <c r="O60" s="3284"/>
      <c r="P60" s="3284"/>
      <c r="Q60" s="3284"/>
      <c r="R60" s="1772"/>
      <c r="S60" s="4"/>
      <c r="T60" s="5"/>
      <c r="U60" s="8"/>
      <c r="V60" s="3325"/>
      <c r="W60" s="3326"/>
      <c r="X60" s="3326"/>
      <c r="Y60" s="3326"/>
      <c r="Z60" s="3339"/>
      <c r="AA60" s="3339"/>
      <c r="AB60" s="3339"/>
      <c r="AD60" s="3340"/>
      <c r="AE60" s="3343" t="s">
        <v>1664</v>
      </c>
      <c r="AF60" s="3343"/>
      <c r="AG60" s="37"/>
      <c r="AH60" s="3344" t="s">
        <v>1665</v>
      </c>
      <c r="AI60" s="3344"/>
      <c r="AJ60" s="38">
        <f>VLOOKUP(AD59,Tabla_Fama,3)</f>
        <v>0</v>
      </c>
      <c r="AK60" s="11"/>
      <c r="AL60" s="5"/>
    </row>
    <row r="61" spans="1:51" ht="12" customHeight="1" thickBot="1">
      <c r="A61" s="3264"/>
      <c r="B61" s="1771"/>
      <c r="C61" s="3284"/>
      <c r="D61" s="3284"/>
      <c r="E61" s="3284"/>
      <c r="F61" s="3284"/>
      <c r="G61" s="3284"/>
      <c r="H61" s="3284"/>
      <c r="I61" s="3284"/>
      <c r="J61" s="7"/>
      <c r="K61" s="3284"/>
      <c r="L61" s="3284"/>
      <c r="M61" s="3284"/>
      <c r="N61" s="3284"/>
      <c r="O61" s="3284"/>
      <c r="P61" s="3284"/>
      <c r="Q61" s="3284"/>
      <c r="R61" s="1772"/>
      <c r="S61" s="4"/>
      <c r="T61" s="5"/>
      <c r="U61" s="8"/>
      <c r="V61" s="3325" t="s">
        <v>1666</v>
      </c>
      <c r="W61" s="3326"/>
      <c r="X61" s="3326"/>
      <c r="Y61" s="3326"/>
      <c r="Z61" s="3339"/>
      <c r="AA61" s="3339"/>
      <c r="AB61" s="3339"/>
      <c r="AK61" s="11"/>
      <c r="AL61" s="5"/>
    </row>
    <row r="62" spans="1:51" ht="12" customHeight="1" thickBot="1">
      <c r="A62" s="3264"/>
      <c r="B62" s="1771"/>
      <c r="C62" s="3284"/>
      <c r="D62" s="3284"/>
      <c r="E62" s="3284"/>
      <c r="F62" s="3284"/>
      <c r="G62" s="3284"/>
      <c r="H62" s="3284"/>
      <c r="I62" s="3284"/>
      <c r="J62" s="7"/>
      <c r="K62" s="3284"/>
      <c r="L62" s="3284"/>
      <c r="M62" s="3284"/>
      <c r="N62" s="3284"/>
      <c r="O62" s="3284"/>
      <c r="P62" s="3284"/>
      <c r="Q62" s="3284"/>
      <c r="R62" s="1772"/>
      <c r="S62" s="4"/>
      <c r="T62" s="5"/>
      <c r="U62" s="8"/>
      <c r="V62" s="3325"/>
      <c r="W62" s="3326"/>
      <c r="X62" s="3326"/>
      <c r="Y62" s="3326"/>
      <c r="Z62" s="3339"/>
      <c r="AA62" s="3339"/>
      <c r="AB62" s="3339"/>
      <c r="AD62" s="3281" t="s">
        <v>1667</v>
      </c>
      <c r="AE62" s="3281"/>
      <c r="AF62" s="3281"/>
      <c r="AG62" s="3281"/>
      <c r="AH62" s="3281"/>
      <c r="AI62" s="3281"/>
      <c r="AJ62" s="3281"/>
      <c r="AK62" s="11"/>
      <c r="AL62" s="5"/>
    </row>
    <row r="63" spans="1:51" ht="12" customHeight="1" thickBot="1">
      <c r="A63" s="3264"/>
      <c r="B63" s="1771"/>
      <c r="C63" s="3284"/>
      <c r="D63" s="3284"/>
      <c r="E63" s="3284"/>
      <c r="F63" s="3284"/>
      <c r="G63" s="3284"/>
      <c r="H63" s="3284"/>
      <c r="I63" s="3284"/>
      <c r="J63" s="7"/>
      <c r="K63" s="3284"/>
      <c r="L63" s="3284"/>
      <c r="M63" s="3284"/>
      <c r="N63" s="3284"/>
      <c r="O63" s="3284"/>
      <c r="P63" s="3284"/>
      <c r="Q63" s="3284"/>
      <c r="R63" s="1772"/>
      <c r="S63" s="4"/>
      <c r="T63" s="5"/>
      <c r="U63" s="8"/>
      <c r="V63" s="3333" t="s">
        <v>1668</v>
      </c>
      <c r="W63" s="3334"/>
      <c r="X63" s="3334"/>
      <c r="Y63" s="3334"/>
      <c r="Z63" s="3339"/>
      <c r="AA63" s="3339"/>
      <c r="AB63" s="3339"/>
      <c r="AD63" s="3335" t="s">
        <v>1669</v>
      </c>
      <c r="AE63" s="3335"/>
      <c r="AF63" s="3335"/>
      <c r="AG63" s="39">
        <f>IF(INT+POD+VOL=0,0,VLOOKUP(INT+POD+VOL,Tabla_Cordura,3))</f>
        <v>0</v>
      </c>
      <c r="AH63" s="3336">
        <f>IF(INT+POD+VOL=0,0,VLOOKUP(INT+POD+VOL,Tabla_Cordura,2))</f>
        <v>0</v>
      </c>
      <c r="AI63" s="3337"/>
      <c r="AJ63" s="3337"/>
      <c r="AK63" s="11"/>
      <c r="AL63" s="5"/>
    </row>
    <row r="64" spans="1:51" ht="12" customHeight="1" thickBot="1">
      <c r="A64" s="3264"/>
      <c r="B64" s="1771"/>
      <c r="C64" s="7"/>
      <c r="D64" s="7"/>
      <c r="E64" s="7"/>
      <c r="F64" s="7"/>
      <c r="G64" s="7"/>
      <c r="H64" s="7"/>
      <c r="I64" s="7"/>
      <c r="J64" s="7"/>
      <c r="K64" s="7"/>
      <c r="L64" s="7"/>
      <c r="M64" s="7"/>
      <c r="N64" s="7"/>
      <c r="O64" s="7"/>
      <c r="P64" s="7"/>
      <c r="Q64" s="7"/>
      <c r="R64" s="1772"/>
      <c r="S64" s="4"/>
      <c r="T64" s="5"/>
      <c r="U64" s="8"/>
      <c r="V64" s="3333"/>
      <c r="W64" s="3334"/>
      <c r="X64" s="3334"/>
      <c r="Y64" s="3334"/>
      <c r="Z64" s="3339"/>
      <c r="AA64" s="3339"/>
      <c r="AB64" s="3339"/>
      <c r="AD64" s="3338"/>
      <c r="AE64" s="3338"/>
      <c r="AF64" s="3338"/>
      <c r="AG64" s="3338"/>
      <c r="AH64" s="3336"/>
      <c r="AI64" s="3337"/>
      <c r="AJ64" s="3337"/>
      <c r="AK64" s="11"/>
      <c r="AL64" s="5"/>
    </row>
    <row r="65" spans="1:38" ht="12" customHeight="1" thickBot="1">
      <c r="A65" s="3264"/>
      <c r="B65" s="3282"/>
      <c r="C65" s="3283"/>
      <c r="D65" s="3283"/>
      <c r="E65" s="3283"/>
      <c r="F65" s="3283"/>
      <c r="G65" s="3283"/>
      <c r="H65" s="3283"/>
      <c r="I65" s="3283"/>
      <c r="J65" s="3283"/>
      <c r="K65" s="3283"/>
      <c r="L65" s="3283"/>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6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731" priority="14" stopIfTrue="1" operator="equal">
      <formula>0</formula>
    </cfRule>
  </conditionalFormatting>
  <conditionalFormatting sqref="N23">
    <cfRule type="expression" dxfId="730" priority="7">
      <formula>$L$23=""</formula>
    </cfRule>
  </conditionalFormatting>
  <conditionalFormatting sqref="M26">
    <cfRule type="expression" dxfId="729" priority="1811" stopIfTrue="1">
      <formula>$K$26=""</formula>
    </cfRule>
  </conditionalFormatting>
  <conditionalFormatting sqref="I23:K23">
    <cfRule type="expression" dxfId="728" priority="6" stopIfTrue="1">
      <formula>ISNUMBER(SEARCH(Raza,Nephilim))</formula>
    </cfRule>
  </conditionalFormatting>
  <conditionalFormatting sqref="V12">
    <cfRule type="expression" dxfId="727" priority="2276">
      <formula>$V$12&gt;=$AA$12</formula>
    </cfRule>
  </conditionalFormatting>
  <conditionalFormatting sqref="V14:AB14">
    <cfRule type="expression" dxfId="72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F32" sqref="F32:I3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c r="A3" s="45"/>
      <c r="B3" s="1469"/>
      <c r="C3" s="3220"/>
      <c r="D3" s="3220"/>
      <c r="E3" s="3220"/>
      <c r="F3" s="3220"/>
      <c r="G3" s="3220"/>
      <c r="H3" s="3220"/>
      <c r="I3" s="48"/>
      <c r="J3" s="48"/>
      <c r="K3" s="1750"/>
      <c r="L3" s="48"/>
      <c r="M3" s="48"/>
      <c r="N3" s="48"/>
      <c r="O3" s="48"/>
      <c r="P3" s="48"/>
      <c r="Q3" s="49"/>
      <c r="R3" s="1760"/>
      <c r="S3" s="2585" t="s">
        <v>9955</v>
      </c>
      <c r="T3" s="2584">
        <f>Tablas!J1200</f>
        <v>10</v>
      </c>
      <c r="U3" s="2610"/>
      <c r="V3" s="3304"/>
      <c r="W3" s="3304"/>
      <c r="X3" s="3304"/>
      <c r="Y3" s="3304"/>
      <c r="Z3" s="3304"/>
      <c r="AA3" s="3304"/>
      <c r="AB3" s="9"/>
      <c r="AC3" s="9"/>
      <c r="AD3" s="9"/>
      <c r="AE3" s="9"/>
      <c r="AF3" s="9"/>
      <c r="AG3" s="9"/>
      <c r="AH3" s="9"/>
      <c r="AI3" s="9"/>
      <c r="AJ3" s="10"/>
      <c r="AK3" s="2962"/>
      <c r="AL3" s="1778"/>
      <c r="AM3" s="2917"/>
      <c r="AN3" s="2963"/>
      <c r="AO3" s="2963"/>
      <c r="AP3" s="2963"/>
      <c r="AQ3" s="2963"/>
    </row>
    <row r="4" spans="1:46" ht="12" customHeight="1" thickBot="1">
      <c r="A4" s="45"/>
      <c r="B4" s="2310"/>
      <c r="C4" s="3220"/>
      <c r="D4" s="3220"/>
      <c r="E4" s="3220"/>
      <c r="F4" s="3220"/>
      <c r="G4" s="3220"/>
      <c r="H4" s="3220"/>
      <c r="I4" s="52"/>
      <c r="J4" s="3223" t="s">
        <v>1625</v>
      </c>
      <c r="K4" s="3223"/>
      <c r="L4" s="3224" t="str">
        <f>IF(OR(General!$G$22="",General!$G$22=0),"",General!$G$22)</f>
        <v/>
      </c>
      <c r="M4" s="3224"/>
      <c r="N4" s="3224"/>
      <c r="O4" s="3224"/>
      <c r="P4" s="3224"/>
      <c r="Q4" s="13"/>
      <c r="R4" s="2315"/>
      <c r="S4" s="2578"/>
      <c r="T4" s="2579"/>
      <c r="U4" s="2610"/>
      <c r="V4" s="3304"/>
      <c r="W4" s="3304"/>
      <c r="X4" s="3304"/>
      <c r="Y4" s="3304"/>
      <c r="Z4" s="3304"/>
      <c r="AA4" s="3304"/>
      <c r="AB4" s="12"/>
      <c r="AC4" s="3223" t="s">
        <v>1625</v>
      </c>
      <c r="AD4" s="3223"/>
      <c r="AE4" s="3224" t="str">
        <f>IF(OR(General!$G$22="",General!$G$22=0),"",General!$G$22)</f>
        <v/>
      </c>
      <c r="AF4" s="3224"/>
      <c r="AG4" s="3224"/>
      <c r="AH4" s="3224"/>
      <c r="AI4" s="3224"/>
      <c r="AJ4" s="13"/>
      <c r="AK4" s="2962"/>
      <c r="AL4" s="1778"/>
      <c r="AM4" s="2915"/>
      <c r="AN4" s="2963"/>
      <c r="AO4" s="2963"/>
      <c r="AP4" s="2963"/>
      <c r="AQ4" s="2963"/>
    </row>
    <row r="5" spans="1:46" ht="12" customHeight="1" thickBot="1">
      <c r="A5" s="45"/>
      <c r="B5" s="2310"/>
      <c r="C5" s="3220"/>
      <c r="D5" s="3220"/>
      <c r="E5" s="3220"/>
      <c r="F5" s="3220"/>
      <c r="G5" s="3220"/>
      <c r="H5" s="3220"/>
      <c r="I5" s="52"/>
      <c r="J5" s="3300" t="s">
        <v>1626</v>
      </c>
      <c r="K5" s="3300"/>
      <c r="L5" s="3301" t="str">
        <f>IF(PDs!P13=0,IF(PDs!P11=0,IF(PDs!P9=0,IF(PDs!P7=0,IF(PDs!P5=0,"",PDs!P5),PDs!P7),PDs!P9),PDs!P11),PDs!P13)</f>
        <v>Guerrero</v>
      </c>
      <c r="M5" s="3301"/>
      <c r="N5" s="3301"/>
      <c r="O5" s="54" t="s">
        <v>1627</v>
      </c>
      <c r="P5" s="15" t="str">
        <f>PDs!R15&amp;IF(Principal!AA27=0,""," + "&amp;Principal!AA27)</f>
        <v>1 + 2</v>
      </c>
      <c r="Q5" s="55"/>
      <c r="R5" s="1760"/>
      <c r="S5" s="2578"/>
      <c r="T5" s="2579"/>
      <c r="U5" s="2610"/>
      <c r="V5" s="3304"/>
      <c r="W5" s="3304"/>
      <c r="X5" s="3304"/>
      <c r="Y5" s="3304"/>
      <c r="Z5" s="3304"/>
      <c r="AA5" s="3304"/>
      <c r="AB5" s="12"/>
      <c r="AC5" s="3300" t="s">
        <v>1626</v>
      </c>
      <c r="AD5" s="3300"/>
      <c r="AE5" s="3301" t="str">
        <f>$L$5</f>
        <v>Guerrero</v>
      </c>
      <c r="AF5" s="3301"/>
      <c r="AG5" s="3301"/>
      <c r="AH5" s="14" t="s">
        <v>1627</v>
      </c>
      <c r="AI5" s="15" t="str">
        <f>$P$5</f>
        <v>1 + 2</v>
      </c>
      <c r="AJ5" s="16"/>
      <c r="AK5" s="2962"/>
      <c r="AL5" s="1778"/>
      <c r="AM5" s="2915"/>
      <c r="AN5" s="2963"/>
      <c r="AO5" s="2963"/>
      <c r="AP5" s="2963"/>
      <c r="AQ5" s="2963"/>
    </row>
    <row r="6" spans="1:46" ht="12" customHeight="1" thickBot="1">
      <c r="A6" s="45"/>
      <c r="B6" s="2310"/>
      <c r="C6" s="3220"/>
      <c r="D6" s="3220"/>
      <c r="E6" s="3220"/>
      <c r="F6" s="3220"/>
      <c r="G6" s="3220"/>
      <c r="H6" s="3220"/>
      <c r="I6" s="52"/>
      <c r="J6" s="3300" t="s">
        <v>1670</v>
      </c>
      <c r="K6" s="3300"/>
      <c r="L6" s="2447">
        <f>MIN(IF(Raza="Criatura",99,IF(Raza="Jayán",24,22)),AS21)</f>
        <v>1</v>
      </c>
      <c r="M6" s="3301" t="str">
        <f>IF(Raza="Criatura",VLOOKUP($L$6,Tablas!W47:X54,2),IF(AND(Raza="Jayán",Tamaño&gt;22),"Grande","Medio"))</f>
        <v>Medio</v>
      </c>
      <c r="N6" s="3301"/>
      <c r="O6" s="56"/>
      <c r="P6" s="56"/>
      <c r="Q6" s="55"/>
      <c r="R6" s="1760"/>
      <c r="S6" s="2578"/>
      <c r="T6" s="2579"/>
      <c r="U6" s="2610"/>
      <c r="V6" s="3304"/>
      <c r="W6" s="3304"/>
      <c r="X6" s="3304"/>
      <c r="Y6" s="3304"/>
      <c r="Z6" s="3304"/>
      <c r="AA6" s="3304"/>
      <c r="AB6" s="12"/>
      <c r="AC6" s="3302" t="s">
        <v>1671</v>
      </c>
      <c r="AD6" s="3302"/>
      <c r="AE6" s="3302"/>
      <c r="AF6" s="3302"/>
      <c r="AG6" s="3302"/>
      <c r="AH6" s="3302"/>
      <c r="AI6" s="3302"/>
      <c r="AJ6" s="16"/>
      <c r="AK6" s="2962"/>
      <c r="AL6" s="1778"/>
      <c r="AM6" s="2917"/>
      <c r="AN6" s="2963"/>
      <c r="AO6" s="2963"/>
      <c r="AP6" s="2964"/>
      <c r="AQ6" s="2964"/>
    </row>
    <row r="7" spans="1:46" ht="12" customHeight="1" thickBot="1">
      <c r="A7" s="45"/>
      <c r="B7" s="2310"/>
      <c r="C7" s="3220"/>
      <c r="D7" s="3220"/>
      <c r="E7" s="3220"/>
      <c r="F7" s="3220"/>
      <c r="G7" s="3220"/>
      <c r="H7" s="3220"/>
      <c r="I7" s="52"/>
      <c r="J7" s="2449" t="s">
        <v>1672</v>
      </c>
      <c r="K7" s="3301" t="str">
        <f>TipoDeCriatura&amp;IF(AND(TipoDeCriatura="Natural",NOT(Raza=0)),", "&amp;Raza&amp;" ","")&amp;IF(Nephilim="",""," ("&amp;Nephilim&amp;")")&amp;" "&amp;Principal!AB13</f>
        <v>Natural 10</v>
      </c>
      <c r="L7" s="3301"/>
      <c r="M7" s="3301"/>
      <c r="N7" s="3301"/>
      <c r="O7" s="3301"/>
      <c r="P7" s="3301"/>
      <c r="Q7" s="55"/>
      <c r="R7" s="1760"/>
      <c r="S7" s="2578"/>
      <c r="T7" s="2579"/>
      <c r="U7" s="2610"/>
      <c r="V7" s="3304"/>
      <c r="W7" s="3304"/>
      <c r="X7" s="3304"/>
      <c r="Y7" s="3304"/>
      <c r="Z7" s="3304"/>
      <c r="AA7" s="3304"/>
      <c r="AB7" s="12"/>
      <c r="AC7" s="3302"/>
      <c r="AD7" s="3302"/>
      <c r="AE7" s="3302"/>
      <c r="AF7" s="3302"/>
      <c r="AG7" s="3302"/>
      <c r="AH7" s="3302"/>
      <c r="AI7" s="3302"/>
      <c r="AJ7" s="16"/>
      <c r="AK7" s="2962"/>
      <c r="AL7" s="1778"/>
      <c r="AM7" s="2917"/>
      <c r="AN7" s="2963"/>
      <c r="AO7" s="2963"/>
      <c r="AP7" s="2963"/>
      <c r="AQ7" s="2963"/>
    </row>
    <row r="8" spans="1:46" ht="12" customHeight="1" thickBot="1">
      <c r="A8" s="45"/>
      <c r="B8" s="2310"/>
      <c r="C8" s="3220"/>
      <c r="D8" s="3220"/>
      <c r="E8" s="3220"/>
      <c r="F8" s="3220"/>
      <c r="G8" s="3220"/>
      <c r="H8" s="3220"/>
      <c r="I8" s="59"/>
      <c r="J8" s="59"/>
      <c r="K8" s="1751"/>
      <c r="L8" s="59"/>
      <c r="M8" s="59"/>
      <c r="N8" s="59"/>
      <c r="O8" s="59"/>
      <c r="P8" s="59"/>
      <c r="Q8" s="60"/>
      <c r="R8" s="1760"/>
      <c r="S8" s="2578"/>
      <c r="T8" s="2579"/>
      <c r="U8" s="2610"/>
      <c r="V8" s="3304"/>
      <c r="W8" s="3304"/>
      <c r="X8" s="3304"/>
      <c r="Y8" s="3304"/>
      <c r="Z8" s="3304"/>
      <c r="AA8" s="3304"/>
      <c r="AB8" s="17"/>
      <c r="AC8" s="61"/>
      <c r="AD8" s="61"/>
      <c r="AE8" s="61"/>
      <c r="AF8" s="61"/>
      <c r="AG8" s="61"/>
      <c r="AH8" s="61"/>
      <c r="AI8" s="61"/>
      <c r="AJ8" s="62"/>
      <c r="AK8" s="2962"/>
      <c r="AL8" s="1778"/>
      <c r="AO8" s="2915"/>
      <c r="AQ8" s="2965" t="s">
        <v>10151</v>
      </c>
      <c r="AR8" s="1859"/>
      <c r="AS8" s="1859"/>
    </row>
    <row r="9" spans="1:46" ht="12" customHeight="1" thickBot="1">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8812</v>
      </c>
      <c r="AQ9" s="2967" t="s">
        <v>8809</v>
      </c>
      <c r="AR9" s="1859" t="s">
        <v>8816</v>
      </c>
      <c r="AS9" s="1859" t="s">
        <v>8817</v>
      </c>
    </row>
    <row r="10" spans="1:46" ht="12" customHeight="1" thickBot="1">
      <c r="A10" s="45"/>
      <c r="B10" s="2312"/>
      <c r="C10" s="3380" t="s">
        <v>1673</v>
      </c>
      <c r="D10" s="2133" t="str">
        <f>SUM(E11:E18)+COUNTIF(E11:E18,10)&amp;" pts"</f>
        <v>0 pts</v>
      </c>
      <c r="E10" s="2453" t="s">
        <v>1674</v>
      </c>
      <c r="F10" s="2443" t="s">
        <v>1675</v>
      </c>
      <c r="G10" s="66" t="s">
        <v>1658</v>
      </c>
      <c r="H10" s="25" t="s">
        <v>1676</v>
      </c>
      <c r="I10" s="96"/>
      <c r="J10" s="3281" t="s">
        <v>1677</v>
      </c>
      <c r="K10" s="3281"/>
      <c r="L10" s="3281"/>
      <c r="M10" s="96"/>
      <c r="N10" s="3281" t="s">
        <v>1678</v>
      </c>
      <c r="O10" s="3281"/>
      <c r="P10" s="3281"/>
      <c r="Q10" s="3281"/>
      <c r="R10" s="2316"/>
      <c r="S10" s="2578"/>
      <c r="T10" s="2579"/>
      <c r="U10" s="2611"/>
      <c r="V10" s="3395" t="s">
        <v>1679</v>
      </c>
      <c r="W10" s="3396"/>
      <c r="X10" s="3396"/>
      <c r="Y10" s="3396"/>
      <c r="Z10" s="3396"/>
      <c r="AA10" s="3396"/>
      <c r="AB10" s="3398"/>
      <c r="AC10" s="67"/>
      <c r="AD10" s="3395" t="s">
        <v>1680</v>
      </c>
      <c r="AE10" s="3396"/>
      <c r="AF10" s="3396"/>
      <c r="AG10" s="3396"/>
      <c r="AH10" s="3397" t="s">
        <v>1681</v>
      </c>
      <c r="AI10" s="3397"/>
      <c r="AJ10" s="2672">
        <f>SUM(AJ12:AJ23)+IF(OR(TipoDeCriatura="Ánima",TipoDeCriatura="Ánima, Elemental",TipoDeCriatura="No muerto, Espectro"),100,0)+AJ27</f>
        <v>0</v>
      </c>
      <c r="AK10" s="1962"/>
      <c r="AL10" s="1778"/>
      <c r="AN10" s="2963"/>
      <c r="AO10" s="2967" t="s">
        <v>8811</v>
      </c>
      <c r="AQ10" s="2965" t="s">
        <v>8814</v>
      </c>
      <c r="AR10" s="2965" t="s">
        <v>8815</v>
      </c>
      <c r="AS10" s="2965" t="s">
        <v>8810</v>
      </c>
      <c r="AT10" s="2963" t="s">
        <v>8828</v>
      </c>
    </row>
    <row r="11" spans="1:46" ht="12" customHeight="1" thickBot="1">
      <c r="A11" s="45"/>
      <c r="B11" s="2312"/>
      <c r="C11" s="3380"/>
      <c r="D11" s="69" t="s">
        <v>1682</v>
      </c>
      <c r="E11" s="2455"/>
      <c r="F11" s="71"/>
      <c r="G11" s="72">
        <f>MIN(20,MAX(0,AS11+F11))</f>
        <v>0</v>
      </c>
      <c r="H11" s="2462">
        <f>IF(G11&lt;1,0,VLOOKUP(G11,Tablas!$C$14:$D$33,2))</f>
        <v>0</v>
      </c>
      <c r="I11" s="67"/>
      <c r="J11" s="3367">
        <f>IF(COUNTIF(AB42:AE69,"Degeneración")&gt;0,0,AS19+L13)</f>
        <v>0</v>
      </c>
      <c r="K11" s="3407" t="str">
        <f>INDEX(Tabla_Regen,MATCH(J11,INDEX(Tabla_Regen,,2),0),3)</f>
        <v>Ninguna</v>
      </c>
      <c r="L11" s="3407"/>
      <c r="M11" s="96"/>
      <c r="N11" s="3408">
        <f>PDs!Z185</f>
        <v>35</v>
      </c>
      <c r="O11" s="3408"/>
      <c r="P11" s="3409"/>
      <c r="Q11" s="3409"/>
      <c r="R11" s="2316"/>
      <c r="S11" s="2578"/>
      <c r="T11" s="2579"/>
      <c r="U11" s="2611"/>
      <c r="V11" s="3417" t="s">
        <v>1683</v>
      </c>
      <c r="W11" s="3418"/>
      <c r="X11" s="3419"/>
      <c r="Y11" s="3399" t="s">
        <v>2309</v>
      </c>
      <c r="Z11" s="3399"/>
      <c r="AA11" s="3399"/>
      <c r="AB11" s="3400"/>
      <c r="AC11" s="67"/>
      <c r="AD11" s="3308" t="s">
        <v>1751</v>
      </c>
      <c r="AE11" s="3309"/>
      <c r="AF11" s="3309"/>
      <c r="AG11" s="3309" t="s">
        <v>1676</v>
      </c>
      <c r="AH11" s="3574"/>
      <c r="AI11" s="2530" t="s">
        <v>1685</v>
      </c>
      <c r="AJ11" s="2547" t="s">
        <v>1686</v>
      </c>
      <c r="AK11" s="1962"/>
      <c r="AL11" s="1778"/>
      <c r="AM11" s="2606" t="s">
        <v>9951</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12"/>
      <c r="C12" s="3380"/>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367"/>
      <c r="K12" s="3406" t="str">
        <f>IF(Tablas!$S$1398=0,INDEX(Tabla_Regen,MATCH(J11,INDEX(Tabla_Regen,,2),0),5),Tablas!$S$1398&amp;" PV al día")</f>
        <v>Ninguna</v>
      </c>
      <c r="L12" s="3406"/>
      <c r="M12" s="96"/>
      <c r="N12" s="3408"/>
      <c r="O12" s="3408"/>
      <c r="P12" s="3409"/>
      <c r="Q12" s="3409"/>
      <c r="R12" s="2316"/>
      <c r="S12" s="2578"/>
      <c r="T12" s="2579"/>
      <c r="U12" s="2611"/>
      <c r="V12" s="3420"/>
      <c r="W12" s="3421"/>
      <c r="X12" s="3422"/>
      <c r="Y12" s="3401"/>
      <c r="Z12" s="3401"/>
      <c r="AA12" s="3401"/>
      <c r="AB12" s="3402"/>
      <c r="AC12" s="67"/>
      <c r="AD12" s="3575"/>
      <c r="AE12" s="3576"/>
      <c r="AF12" s="3576"/>
      <c r="AG12" s="3423"/>
      <c r="AH12" s="3423"/>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c r="A13" s="45"/>
      <c r="B13" s="2312"/>
      <c r="C13" s="3380"/>
      <c r="D13" s="69" t="s">
        <v>1687</v>
      </c>
      <c r="E13" s="2455"/>
      <c r="F13" s="75"/>
      <c r="G13" s="72">
        <f t="shared" ref="G13:G18" si="5">MIN(20,MAX(0,AS13+F13))</f>
        <v>0</v>
      </c>
      <c r="H13" s="2462">
        <f>IF(G13&lt;1,0,VLOOKUP(G13,Tablas!$C$14:$D$33,2))</f>
        <v>0</v>
      </c>
      <c r="I13" s="498"/>
      <c r="J13" s="3315" t="s">
        <v>1688</v>
      </c>
      <c r="K13" s="3315"/>
      <c r="L13" s="77"/>
      <c r="M13" s="96"/>
      <c r="N13" s="3408"/>
      <c r="O13" s="3408"/>
      <c r="P13" s="3409"/>
      <c r="Q13" s="3409"/>
      <c r="R13" s="2316"/>
      <c r="S13" s="2578"/>
      <c r="T13" s="2579"/>
      <c r="U13" s="2611"/>
      <c r="V13" s="3410" t="s">
        <v>1689</v>
      </c>
      <c r="W13" s="3411"/>
      <c r="X13" s="3411"/>
      <c r="Y13" s="1256"/>
      <c r="Z13" s="56"/>
      <c r="AA13" s="78" t="s">
        <v>1691</v>
      </c>
      <c r="AB13" s="2122">
        <v>10</v>
      </c>
      <c r="AC13" s="67"/>
      <c r="AD13" s="3431"/>
      <c r="AE13" s="3432"/>
      <c r="AF13" s="3432"/>
      <c r="AG13" s="3423"/>
      <c r="AH13" s="3423"/>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c r="A14" s="45"/>
      <c r="B14" s="2312"/>
      <c r="C14" s="3380"/>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412" t="s">
        <v>1693</v>
      </c>
      <c r="W14" s="3413"/>
      <c r="X14" s="3413"/>
      <c r="Y14" s="1257" t="s">
        <v>1690</v>
      </c>
      <c r="Z14" s="82"/>
      <c r="AA14" s="83" t="s">
        <v>1694</v>
      </c>
      <c r="AB14" s="2446">
        <f>IF(TipoDeCriatura="Natural",MAX(Principal!AB13-HLOOKUP("Natura",Bonos_Raza_Base,2,FALSE),0),"-")</f>
        <v>10</v>
      </c>
      <c r="AC14" s="67"/>
      <c r="AD14" s="3431"/>
      <c r="AE14" s="3432"/>
      <c r="AF14" s="3432"/>
      <c r="AG14" s="3423"/>
      <c r="AH14" s="3423"/>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c r="A15" s="45"/>
      <c r="B15" s="2312"/>
      <c r="C15" s="3380"/>
      <c r="D15" s="69" t="s">
        <v>1695</v>
      </c>
      <c r="E15" s="2455"/>
      <c r="F15" s="75"/>
      <c r="G15" s="72">
        <f t="shared" si="5"/>
        <v>0</v>
      </c>
      <c r="H15" s="2462">
        <f>IF(G15&lt;1,0,VLOOKUP(G15,Tablas!$C$14:$D$33,2))</f>
        <v>0</v>
      </c>
      <c r="I15" s="2314"/>
      <c r="J15" s="3414" t="s">
        <v>1696</v>
      </c>
      <c r="K15" s="3415"/>
      <c r="L15" s="3416"/>
      <c r="M15" s="96"/>
      <c r="N15" s="3281" t="s">
        <v>1697</v>
      </c>
      <c r="O15" s="3281"/>
      <c r="P15" s="3281"/>
      <c r="Q15" s="3281"/>
      <c r="R15" s="2316"/>
      <c r="S15" s="2578"/>
      <c r="T15" s="2579"/>
      <c r="U15" s="2611"/>
      <c r="V15" s="3403" t="str">
        <f>IF(TipoDeCriatura="Natural",IF(AB14=0,"Sin tirada abierta",IF(AB14&gt;14,"Tirada abierta adicional","")),"")&amp;IF(TipoDeCriatura="Natural",IF(AB14&gt;19,", Núcleo trascendental",""),"")</f>
        <v/>
      </c>
      <c r="W15" s="3404"/>
      <c r="X15" s="3404"/>
      <c r="Y15" s="3404"/>
      <c r="Z15" s="3404"/>
      <c r="AA15" s="3404"/>
      <c r="AB15" s="3405"/>
      <c r="AC15" s="19"/>
      <c r="AD15" s="3431"/>
      <c r="AE15" s="3432"/>
      <c r="AF15" s="3432"/>
      <c r="AG15" s="3423"/>
      <c r="AH15" s="3423"/>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c r="A16" s="45"/>
      <c r="B16" s="2312"/>
      <c r="C16" s="3380"/>
      <c r="D16" s="69" t="s">
        <v>1698</v>
      </c>
      <c r="E16" s="2455"/>
      <c r="F16" s="75"/>
      <c r="G16" s="72">
        <f t="shared" si="5"/>
        <v>0</v>
      </c>
      <c r="H16" s="2462">
        <f>IF(G16&lt;1,0,VLOOKUP(G16,Tablas!$C$14:$D$33,2))</f>
        <v>0</v>
      </c>
      <c r="I16" s="187"/>
      <c r="J16" s="3350">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351">
        <f>IF(OR(Tablas!H1260&gt;0,Tablas!H1267&gt;0,Y11="Ánima",Y11="Ánima, Elemental",Y11="No muerto, Espectro",Tablas!J1838=1),0,AS22)</f>
        <v>0</v>
      </c>
      <c r="O16" s="3351"/>
      <c r="P16" s="3409"/>
      <c r="Q16" s="3409"/>
      <c r="R16" s="2316"/>
      <c r="S16" s="2578"/>
      <c r="T16" s="2579"/>
      <c r="U16" s="2611"/>
      <c r="V16" s="345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57"/>
      <c r="X16" s="3457"/>
      <c r="Y16" s="3457"/>
      <c r="Z16" s="3457"/>
      <c r="AA16" s="3457"/>
      <c r="AB16" s="3458"/>
      <c r="AC16" s="67"/>
      <c r="AD16" s="3431"/>
      <c r="AE16" s="3432"/>
      <c r="AF16" s="3432"/>
      <c r="AG16" s="3423"/>
      <c r="AH16" s="3423"/>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c r="A17" s="45"/>
      <c r="B17" s="2186"/>
      <c r="C17" s="3380"/>
      <c r="D17" s="69" t="s">
        <v>1700</v>
      </c>
      <c r="E17" s="2455"/>
      <c r="F17" s="75"/>
      <c r="G17" s="72">
        <f t="shared" si="5"/>
        <v>0</v>
      </c>
      <c r="H17" s="2462">
        <f>IF(G17&lt;1,0,VLOOKUP(G17,Tablas!$C$14:$D$33,2))</f>
        <v>0</v>
      </c>
      <c r="I17" s="187"/>
      <c r="J17" s="3350"/>
      <c r="K17" s="3383" t="str">
        <f>IF(J16&lt;1,"",VLOOKUP(J16,Tabla_TipoMovimiento,2))</f>
        <v>&lt; 1 m / asalto</v>
      </c>
      <c r="L17" s="3384"/>
      <c r="M17" s="104"/>
      <c r="N17" s="3351"/>
      <c r="O17" s="3351"/>
      <c r="P17" s="3409"/>
      <c r="Q17" s="3409"/>
      <c r="R17" s="2316"/>
      <c r="S17" s="2578"/>
      <c r="T17" s="2579"/>
      <c r="U17" s="2611"/>
      <c r="V17" s="3456"/>
      <c r="W17" s="3457"/>
      <c r="X17" s="3457"/>
      <c r="Y17" s="3457"/>
      <c r="Z17" s="3457"/>
      <c r="AA17" s="3457"/>
      <c r="AB17" s="3458"/>
      <c r="AC17" s="67"/>
      <c r="AD17" s="3431"/>
      <c r="AE17" s="3432"/>
      <c r="AF17" s="3432"/>
      <c r="AG17" s="3423"/>
      <c r="AH17" s="3423"/>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c r="A18" s="45"/>
      <c r="B18" s="1469"/>
      <c r="C18" s="3380"/>
      <c r="D18" s="84" t="s">
        <v>1701</v>
      </c>
      <c r="E18" s="2457"/>
      <c r="F18" s="86"/>
      <c r="G18" s="87">
        <f t="shared" si="5"/>
        <v>0</v>
      </c>
      <c r="H18" s="2458">
        <f>IF(G18&lt;1,0,VLOOKUP(G18,Tablas!$C$14:$D$33,2))</f>
        <v>0</v>
      </c>
      <c r="I18" s="96"/>
      <c r="J18" s="3348" t="s">
        <v>1688</v>
      </c>
      <c r="K18" s="3349"/>
      <c r="L18" s="2257"/>
      <c r="M18" s="187"/>
      <c r="N18" s="2461" t="s">
        <v>1688</v>
      </c>
      <c r="O18" s="90"/>
      <c r="P18" s="3409"/>
      <c r="Q18" s="3409"/>
      <c r="R18" s="2316"/>
      <c r="S18" s="2578"/>
      <c r="T18" s="2579"/>
      <c r="U18" s="2611"/>
      <c r="V18" s="3459"/>
      <c r="W18" s="3460"/>
      <c r="X18" s="3460"/>
      <c r="Y18" s="3460"/>
      <c r="Z18" s="3460"/>
      <c r="AA18" s="3460"/>
      <c r="AB18" s="3461"/>
      <c r="AC18" s="67"/>
      <c r="AD18" s="3431"/>
      <c r="AE18" s="3432"/>
      <c r="AF18" s="3432"/>
      <c r="AG18" s="3423"/>
      <c r="AH18" s="3423"/>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c r="A19" s="45"/>
      <c r="B19" s="2310"/>
      <c r="C19" s="3366"/>
      <c r="D19" s="3366"/>
      <c r="E19" s="3366"/>
      <c r="F19" s="3366"/>
      <c r="G19" s="3366"/>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431"/>
      <c r="AE19" s="3432"/>
      <c r="AF19" s="3432"/>
      <c r="AG19" s="3423"/>
      <c r="AH19" s="3423"/>
      <c r="AI19" s="2545" t="str">
        <f t="shared" si="1"/>
        <v/>
      </c>
      <c r="AJ19" s="1547" t="str">
        <f t="shared" si="2"/>
        <v/>
      </c>
      <c r="AK19" s="2962" t="str">
        <f t="shared" si="3"/>
        <v/>
      </c>
      <c r="AL19" s="1778"/>
      <c r="AM19" s="2606" t="str">
        <f t="shared" si="6"/>
        <v/>
      </c>
      <c r="AN19" s="2963" t="s">
        <v>8818</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9971</v>
      </c>
    </row>
    <row r="20" spans="1:46" ht="12" customHeight="1" thickBot="1">
      <c r="A20" s="45"/>
      <c r="B20" s="2310"/>
      <c r="C20" s="3248" t="s">
        <v>10096</v>
      </c>
      <c r="D20" s="3250"/>
      <c r="E20" s="3389" t="str">
        <f>INDEX(Tabla_Regen,MATCH(Regeneración_final,INDEX(Tabla_Regen,,2),0),6)</f>
        <v/>
      </c>
      <c r="F20" s="3390"/>
      <c r="G20" s="3390"/>
      <c r="H20" s="3390"/>
      <c r="I20" s="3390"/>
      <c r="J20" s="3391"/>
      <c r="K20" s="1752"/>
      <c r="L20" s="3377" t="s">
        <v>1704</v>
      </c>
      <c r="M20" s="3378"/>
      <c r="N20" s="3378"/>
      <c r="O20" s="3378"/>
      <c r="P20" s="3378"/>
      <c r="Q20" s="3379"/>
      <c r="R20" s="1760"/>
      <c r="S20" s="2578"/>
      <c r="T20" s="2579"/>
      <c r="U20" s="2611"/>
      <c r="V20" s="3281" t="s">
        <v>1705</v>
      </c>
      <c r="W20" s="3281"/>
      <c r="X20" s="3281"/>
      <c r="Y20" s="3281"/>
      <c r="Z20" s="3281"/>
      <c r="AA20" s="3281"/>
      <c r="AB20" s="3281"/>
      <c r="AC20" s="67"/>
      <c r="AD20" s="3431"/>
      <c r="AE20" s="3432"/>
      <c r="AF20" s="3432"/>
      <c r="AG20" s="3423"/>
      <c r="AH20" s="3423"/>
      <c r="AI20" s="2545" t="str">
        <f t="shared" si="1"/>
        <v/>
      </c>
      <c r="AJ20" s="1547" t="str">
        <f t="shared" si="2"/>
        <v/>
      </c>
      <c r="AK20" s="2962" t="str">
        <f t="shared" si="3"/>
        <v/>
      </c>
      <c r="AL20" s="1778"/>
      <c r="AM20" s="2606" t="str">
        <f t="shared" si="6"/>
        <v/>
      </c>
      <c r="AN20" s="2917" t="s">
        <v>8819</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c r="A21" s="45"/>
      <c r="B21" s="2310"/>
      <c r="C21" s="3251"/>
      <c r="D21" s="3253"/>
      <c r="E21" s="3392"/>
      <c r="F21" s="3393"/>
      <c r="G21" s="3393"/>
      <c r="H21" s="3393"/>
      <c r="I21" s="3393"/>
      <c r="J21" s="3394"/>
      <c r="K21" s="1752"/>
      <c r="L21" s="2460" t="s">
        <v>1708</v>
      </c>
      <c r="M21" s="3375" t="s">
        <v>1684</v>
      </c>
      <c r="N21" s="3375"/>
      <c r="O21" s="3454" t="s">
        <v>1709</v>
      </c>
      <c r="P21" s="3454"/>
      <c r="Q21" s="1545" t="s">
        <v>1658</v>
      </c>
      <c r="R21" s="1760"/>
      <c r="S21" s="2578"/>
      <c r="T21" s="2579"/>
      <c r="U21" s="2611"/>
      <c r="V21" s="3303" t="s">
        <v>1710</v>
      </c>
      <c r="W21" s="3303"/>
      <c r="X21" s="3303"/>
      <c r="Y21" s="3455" t="s">
        <v>1711</v>
      </c>
      <c r="Z21" s="3455"/>
      <c r="AA21" s="93" t="s">
        <v>1712</v>
      </c>
      <c r="AB21" s="25" t="s">
        <v>1686</v>
      </c>
      <c r="AC21" s="67"/>
      <c r="AD21" s="3431"/>
      <c r="AE21" s="3432"/>
      <c r="AF21" s="3432"/>
      <c r="AG21" s="3423"/>
      <c r="AH21" s="3423"/>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c r="A22" s="45"/>
      <c r="B22" s="2310"/>
      <c r="E22" s="67"/>
      <c r="K22" s="1752"/>
      <c r="L22" s="3428" t="s">
        <v>1713</v>
      </c>
      <c r="M22" s="3376" t="s">
        <v>1714</v>
      </c>
      <c r="N22" s="3376"/>
      <c r="O22" s="3374">
        <f>PenNatural</f>
        <v>0</v>
      </c>
      <c r="P22" s="3374"/>
      <c r="Q22" s="1546">
        <f>IF(Acrobacias_final="-","-",Acrobacias_final+O22)</f>
        <v>-30</v>
      </c>
      <c r="R22" s="1760"/>
      <c r="S22" s="2578"/>
      <c r="T22" s="2579"/>
      <c r="U22" s="2611"/>
      <c r="V22" s="3433" t="s">
        <v>1715</v>
      </c>
      <c r="W22" s="3433"/>
      <c r="X22" s="3434"/>
      <c r="Y22" s="3441" t="str">
        <f>IF(AA22=0,"",Raza)</f>
        <v/>
      </c>
      <c r="Z22" s="3442"/>
      <c r="AA22" s="2451">
        <f>IF(Raza=0,0,VLOOKUP(Raza,Tabla_Razas,7,FALSE))</f>
        <v>0</v>
      </c>
      <c r="AB22" s="95">
        <v>0</v>
      </c>
      <c r="AC22" s="67"/>
      <c r="AD22" s="3431"/>
      <c r="AE22" s="3432"/>
      <c r="AF22" s="3432"/>
      <c r="AG22" s="3423"/>
      <c r="AH22" s="3423"/>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c r="A23" s="45"/>
      <c r="B23" s="2310"/>
      <c r="C23" s="3281" t="s">
        <v>1702</v>
      </c>
      <c r="D23" s="3281"/>
      <c r="E23" s="67"/>
      <c r="F23" s="3377" t="s">
        <v>1703</v>
      </c>
      <c r="G23" s="3378"/>
      <c r="H23" s="3378"/>
      <c r="I23" s="3378"/>
      <c r="J23" s="3379"/>
      <c r="K23" s="1752"/>
      <c r="L23" s="3429"/>
      <c r="M23" s="3356" t="s">
        <v>1716</v>
      </c>
      <c r="N23" s="3356"/>
      <c r="O23" s="3361">
        <f>PenNatural</f>
        <v>0</v>
      </c>
      <c r="P23" s="3361"/>
      <c r="Q23" s="1547">
        <f>IF(Atletismo_final="-","-",Atletismo_final+O23)</f>
        <v>-30</v>
      </c>
      <c r="R23" s="1760"/>
      <c r="S23" s="2578"/>
      <c r="T23" s="2579"/>
      <c r="U23" s="2611"/>
      <c r="V23" s="3433" t="s">
        <v>1717</v>
      </c>
      <c r="W23" s="3433"/>
      <c r="X23" s="3434"/>
      <c r="Y23" s="3443"/>
      <c r="Z23" s="3444"/>
      <c r="AA23" s="2451">
        <v>0</v>
      </c>
      <c r="AB23" s="95">
        <f>IF(Y23="PDs",VLOOKUP(Principal!$AB$13,Tablas!W27:X37,2),0)</f>
        <v>0</v>
      </c>
      <c r="AC23" s="67"/>
      <c r="AD23" s="3424"/>
      <c r="AE23" s="3425"/>
      <c r="AF23" s="3425"/>
      <c r="AG23" s="3426"/>
      <c r="AH23" s="3426"/>
      <c r="AI23" s="2546" t="str">
        <f t="shared" si="1"/>
        <v/>
      </c>
      <c r="AJ23" s="1548" t="str">
        <f t="shared" si="2"/>
        <v/>
      </c>
      <c r="AK23" s="2962" t="str">
        <f t="shared" si="3"/>
        <v/>
      </c>
      <c r="AL23" s="1778"/>
      <c r="AM23" s="2606" t="str">
        <f t="shared" si="6"/>
        <v/>
      </c>
      <c r="AN23" s="2607"/>
      <c r="AO23" s="2607"/>
      <c r="AP23" s="2607"/>
    </row>
    <row r="24" spans="1:46" ht="12" customHeight="1" thickBot="1">
      <c r="A24" s="45"/>
      <c r="B24" s="2310"/>
      <c r="C24" s="91" t="s">
        <v>1674</v>
      </c>
      <c r="D24" s="92">
        <f>IF(Raza="Criatura",VLOOKUP(Tamaño,Tabla_CreaciónSeres,3),20)+IF(Nephilim="Nephilim Turak",-10,0)</f>
        <v>20</v>
      </c>
      <c r="E24" s="67"/>
      <c r="F24" s="3368" t="s">
        <v>1706</v>
      </c>
      <c r="G24" s="3369"/>
      <c r="H24" s="3370">
        <f>MAX(HA_final,HA_SinArmas_final)</f>
        <v>55</v>
      </c>
      <c r="I24" s="3381" t="s">
        <v>1707</v>
      </c>
      <c r="J24" s="3382"/>
      <c r="K24" s="1752"/>
      <c r="L24" s="3429"/>
      <c r="M24" s="3356" t="s">
        <v>1719</v>
      </c>
      <c r="N24" s="3356"/>
      <c r="O24" s="3361"/>
      <c r="P24" s="3361"/>
      <c r="Q24" s="1547">
        <f>IF(Montar_final="-","-",Montar_final+O24)</f>
        <v>-30</v>
      </c>
      <c r="R24" s="1760"/>
      <c r="S24" s="2578"/>
      <c r="T24" s="2579"/>
      <c r="U24" s="2610"/>
      <c r="V24" s="3433" t="s">
        <v>1720</v>
      </c>
      <c r="W24" s="3433"/>
      <c r="X24" s="3434"/>
      <c r="Y24" s="3439"/>
      <c r="Z24" s="3440"/>
      <c r="AA24" s="2451">
        <f>IF(Principal!Y24="No",0,IF(SUM(Tablas!P236:P261)&gt;0,1,0))</f>
        <v>0</v>
      </c>
      <c r="AB24" s="2454">
        <f>40*Tablas!P248+80*Tablas!P249+120*Tablas!P250</f>
        <v>0</v>
      </c>
      <c r="AC24" s="96"/>
      <c r="AD24" s="344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46"/>
      <c r="AF24" s="3446"/>
      <c r="AG24" s="3446"/>
      <c r="AH24" s="3446"/>
      <c r="AI24" s="3446"/>
      <c r="AJ24" s="3447"/>
      <c r="AK24" s="2962"/>
      <c r="AL24" s="1778"/>
      <c r="AM24" s="2917" t="s">
        <v>10230</v>
      </c>
      <c r="AN24" s="2607"/>
      <c r="AO24" s="2607"/>
      <c r="AP24" s="2607"/>
    </row>
    <row r="25" spans="1:46" ht="12" customHeight="1">
      <c r="A25" s="45"/>
      <c r="B25" s="2310"/>
      <c r="C25" s="94" t="s">
        <v>1682</v>
      </c>
      <c r="D25" s="2462">
        <f>Bono_Agi</f>
        <v>0</v>
      </c>
      <c r="E25" s="67"/>
      <c r="F25" s="3368"/>
      <c r="G25" s="3369"/>
      <c r="H25" s="3370"/>
      <c r="I25" s="3385" t="str">
        <f>IF(Combate!AF15=0,"",Combate!AF15)</f>
        <v/>
      </c>
      <c r="J25" s="3386"/>
      <c r="K25" s="1752"/>
      <c r="L25" s="3429"/>
      <c r="M25" s="3356" t="s">
        <v>1723</v>
      </c>
      <c r="N25" s="3356"/>
      <c r="O25" s="3361">
        <f>PenNatural</f>
        <v>0</v>
      </c>
      <c r="P25" s="3361"/>
      <c r="Q25" s="1547">
        <f>IF(Nadar_final="-","-",Nadar_final+O25)</f>
        <v>-30</v>
      </c>
      <c r="R25" s="1760"/>
      <c r="S25" s="2578"/>
      <c r="T25" s="2579"/>
      <c r="U25" s="2610"/>
      <c r="V25" s="3452" t="s">
        <v>1724</v>
      </c>
      <c r="W25" s="3452"/>
      <c r="X25" s="3453"/>
      <c r="Y25" s="3439"/>
      <c r="Z25" s="3440"/>
      <c r="AA25" s="2121">
        <f>IF(Y25="Si",1,0)</f>
        <v>0</v>
      </c>
      <c r="AB25" s="98">
        <v>0</v>
      </c>
      <c r="AC25" s="96"/>
      <c r="AD25" s="3448"/>
      <c r="AE25" s="3449"/>
      <c r="AF25" s="3449"/>
      <c r="AG25" s="3449"/>
      <c r="AH25" s="3449"/>
      <c r="AI25" s="3449"/>
      <c r="AJ25" s="3450"/>
      <c r="AK25" s="2962"/>
      <c r="AL25" s="1778"/>
      <c r="AM25" s="2917" t="s">
        <v>2165</v>
      </c>
      <c r="AN25" s="2867" t="b">
        <f>AND(Personalización!AN31,TipoDeCriatura="Natural")</f>
        <v>0</v>
      </c>
      <c r="AO25" s="2607"/>
      <c r="AP25" s="2607"/>
    </row>
    <row r="26" spans="1:46" ht="12" customHeight="1">
      <c r="A26" s="45"/>
      <c r="B26" s="2310"/>
      <c r="C26" s="94" t="s">
        <v>1687</v>
      </c>
      <c r="D26" s="2462">
        <f>Bono_Des</f>
        <v>0</v>
      </c>
      <c r="E26" s="67"/>
      <c r="F26" s="3371" t="str">
        <f>IF(HP_final&gt;HE_final,"H. Parada:","H. Esquiva:")</f>
        <v>H. Parada:</v>
      </c>
      <c r="G26" s="3372"/>
      <c r="H26" s="3373">
        <f>MAX(HP_final,HE_final,HD_SinArmas_final)</f>
        <v>5</v>
      </c>
      <c r="I26" s="3385"/>
      <c r="J26" s="3386"/>
      <c r="K26" s="1752"/>
      <c r="L26" s="3429"/>
      <c r="M26" s="3356" t="s">
        <v>1726</v>
      </c>
      <c r="N26" s="3356"/>
      <c r="O26" s="3361">
        <f>PenNatural</f>
        <v>0</v>
      </c>
      <c r="P26" s="3361"/>
      <c r="Q26" s="1547">
        <f>IF(Trepar_final="-","-",Trepar_final+O26)</f>
        <v>-30</v>
      </c>
      <c r="R26" s="1760"/>
      <c r="S26" s="2578"/>
      <c r="T26" s="2579"/>
      <c r="U26" s="2610"/>
      <c r="V26" s="3435" t="s">
        <v>1727</v>
      </c>
      <c r="W26" s="3435"/>
      <c r="X26" s="3436"/>
      <c r="Y26" s="3437"/>
      <c r="Z26" s="3438"/>
      <c r="AA26" s="101">
        <f>ROUNDUP((AB27-AB22-AB23-AB24-AB25)/100,0)</f>
        <v>2</v>
      </c>
      <c r="AB26" s="2589"/>
      <c r="AC26" s="67"/>
      <c r="AD26" s="3448"/>
      <c r="AE26" s="3449"/>
      <c r="AF26" s="3449"/>
      <c r="AG26" s="3449"/>
      <c r="AH26" s="3449"/>
      <c r="AI26" s="3449"/>
      <c r="AJ26" s="3450"/>
      <c r="AK26" s="2962"/>
      <c r="AL26" s="1778"/>
      <c r="AM26" s="2917" t="s">
        <v>1691</v>
      </c>
      <c r="AN26" s="2867" t="b">
        <f>AB13&lt;AP26</f>
        <v>0</v>
      </c>
      <c r="AO26" s="2607" t="s">
        <v>10231</v>
      </c>
      <c r="AP26" s="2607">
        <f>IF(OR(Tablas!J1738&gt;0,Tablas!J1752&gt;0,Tablas!J1787&gt;0,(AND(Raza="Ebudan",SueAman="Conseguido",Personalización!C33="Si"))),30,0)</f>
        <v>0</v>
      </c>
      <c r="AQ26" s="1859" t="s">
        <v>10232</v>
      </c>
    </row>
    <row r="27" spans="1:46" ht="12" customHeight="1" thickBot="1">
      <c r="A27" s="45"/>
      <c r="B27" s="2310"/>
      <c r="C27" s="94" t="s">
        <v>1718</v>
      </c>
      <c r="D27" s="2462">
        <f>HLOOKUP("Turno",Bonos_Cat_Base,2,FALSE)</f>
        <v>5</v>
      </c>
      <c r="E27" s="67"/>
      <c r="F27" s="3371"/>
      <c r="G27" s="3372"/>
      <c r="H27" s="3373"/>
      <c r="I27" s="3385"/>
      <c r="J27" s="3386"/>
      <c r="K27" s="1752"/>
      <c r="L27" s="3429"/>
      <c r="M27" s="3356" t="s">
        <v>1729</v>
      </c>
      <c r="N27" s="3356"/>
      <c r="O27" s="3361">
        <f>PenNatural</f>
        <v>0</v>
      </c>
      <c r="P27" s="3361"/>
      <c r="Q27" s="1547">
        <f>IF(Saltar_final="-","-",Saltar_final+O27)</f>
        <v>-30</v>
      </c>
      <c r="R27" s="1760"/>
      <c r="S27" s="2578"/>
      <c r="T27" s="2579"/>
      <c r="U27" s="2610"/>
      <c r="V27" s="3462" t="s">
        <v>1730</v>
      </c>
      <c r="W27" s="3462"/>
      <c r="X27" s="3462"/>
      <c r="Y27" s="3462"/>
      <c r="Z27" s="3462"/>
      <c r="AA27" s="2452">
        <f>SUM(AA22:AA26)</f>
        <v>2</v>
      </c>
      <c r="AB27" s="2450">
        <f>SUM(AB22:AB26)+50*Tablas!G345+100*Tablas!G346+150*Tablas!G347+Tablas!K1826</f>
        <v>160</v>
      </c>
      <c r="AC27" s="67"/>
      <c r="AD27" s="2531"/>
      <c r="AE27" s="3466" t="s">
        <v>1731</v>
      </c>
      <c r="AF27" s="3466"/>
      <c r="AG27" s="3466"/>
      <c r="AH27" s="3466"/>
      <c r="AI27" s="3466"/>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c r="A28" s="45"/>
      <c r="B28" s="2310"/>
      <c r="C28" s="94" t="s">
        <v>1721</v>
      </c>
      <c r="D28" s="2462">
        <f>PenNatural</f>
        <v>0</v>
      </c>
      <c r="E28" s="67"/>
      <c r="F28" s="3345" t="s">
        <v>1722</v>
      </c>
      <c r="G28" s="3346"/>
      <c r="H28" s="3347">
        <f>LlevarArmadura_final</f>
        <v>5</v>
      </c>
      <c r="I28" s="3385"/>
      <c r="J28" s="3386"/>
      <c r="K28" s="1754"/>
      <c r="L28" s="3430"/>
      <c r="M28" s="3471" t="s">
        <v>7752</v>
      </c>
      <c r="N28" s="3471"/>
      <c r="O28" s="3451"/>
      <c r="P28" s="3451"/>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c r="A29" s="45"/>
      <c r="B29" s="2310"/>
      <c r="C29" s="94" t="s">
        <v>8842</v>
      </c>
      <c r="D29" s="2462">
        <f>20+Tablas!$S$1211</f>
        <v>20</v>
      </c>
      <c r="E29" s="67"/>
      <c r="F29" s="3345"/>
      <c r="G29" s="3346"/>
      <c r="H29" s="3347"/>
      <c r="I29" s="3387"/>
      <c r="J29" s="3388"/>
      <c r="K29" s="1752"/>
      <c r="L29" s="3429" t="s">
        <v>1732</v>
      </c>
      <c r="M29" s="3356" t="s">
        <v>1733</v>
      </c>
      <c r="N29" s="3356"/>
      <c r="O29" s="3361"/>
      <c r="P29" s="3361"/>
      <c r="Q29" s="1547">
        <f>IF(Estilo_final="-","-",Estilo_final+O29)</f>
        <v>-30</v>
      </c>
      <c r="R29" s="1760"/>
      <c r="S29" s="2578"/>
      <c r="T29" s="2579"/>
      <c r="U29" s="2610"/>
      <c r="V29" s="3281" t="s">
        <v>1736</v>
      </c>
      <c r="W29" s="3281"/>
      <c r="X29" s="3281"/>
      <c r="Y29" s="3281"/>
      <c r="Z29" s="3281"/>
      <c r="AA29" s="3281"/>
      <c r="AB29" s="3281"/>
      <c r="AC29" s="3281"/>
      <c r="AD29" s="3281"/>
      <c r="AE29" s="3281"/>
      <c r="AF29" s="3427" t="s">
        <v>1737</v>
      </c>
      <c r="AG29" s="3427"/>
      <c r="AH29" s="3427"/>
      <c r="AI29" s="3427"/>
      <c r="AJ29" s="3427"/>
      <c r="AK29" s="2962"/>
      <c r="AL29" s="1778"/>
      <c r="AM29" s="2915"/>
      <c r="AO29" s="2607"/>
      <c r="AP29" s="2607"/>
    </row>
    <row r="30" spans="1:46" ht="12" customHeight="1">
      <c r="A30" s="45"/>
      <c r="B30" s="2310"/>
      <c r="C30" s="99" t="s">
        <v>1728</v>
      </c>
      <c r="D30" s="100"/>
      <c r="E30" s="67"/>
      <c r="F30" s="3352" t="str">
        <f>IF(Tablas!G519&gt;0,"Arma exclusiva:","Arma desarrollada:")</f>
        <v>Arma desarrollada:</v>
      </c>
      <c r="G30" s="3353"/>
      <c r="H30" s="3353"/>
      <c r="I30" s="335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55"/>
      <c r="K30" s="1752"/>
      <c r="L30" s="3429"/>
      <c r="M30" s="3356" t="s">
        <v>1735</v>
      </c>
      <c r="N30" s="3356"/>
      <c r="O30" s="3361"/>
      <c r="P30" s="3361"/>
      <c r="Q30" s="1547">
        <f>IF(Intimidar_final="-","-",Intimidar_final+O30)</f>
        <v>-30</v>
      </c>
      <c r="R30" s="1760"/>
      <c r="S30" s="2578"/>
      <c r="T30" s="2579"/>
      <c r="U30" s="2610"/>
      <c r="V30" s="3585" t="str">
        <f>IF(Raza="","",VLOOKUP(Raza,Tabla_Razas,20,FALSE))</f>
        <v/>
      </c>
      <c r="W30" s="3475"/>
      <c r="X30" s="3475"/>
      <c r="Y30" s="3475"/>
      <c r="Z30" s="3475"/>
      <c r="AA30" s="3475"/>
      <c r="AB30" s="3475"/>
      <c r="AC30" s="3475"/>
      <c r="AD30" s="3475"/>
      <c r="AE30" s="3586"/>
      <c r="AF30" s="3474" t="str">
        <f>Tablas!R262</f>
        <v/>
      </c>
      <c r="AG30" s="3475"/>
      <c r="AH30" s="3475"/>
      <c r="AI30" s="3475"/>
      <c r="AJ30" s="3476"/>
      <c r="AK30" s="2969">
        <f>IF($G$48=0,0,VLOOKUP($G$48,Tabla_LegadosSangre,7,FALSE))</f>
        <v>0</v>
      </c>
      <c r="AL30" s="1778"/>
      <c r="AM30" s="2970"/>
      <c r="AO30" s="2607"/>
      <c r="AP30" s="2607"/>
    </row>
    <row r="31" spans="1:46" ht="12" customHeight="1" thickBot="1">
      <c r="A31" s="45"/>
      <c r="B31" s="2310"/>
      <c r="C31" s="3467" t="s">
        <v>1658</v>
      </c>
      <c r="D31" s="3468">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69" t="s">
        <v>2485</v>
      </c>
      <c r="G31" s="3470"/>
      <c r="H31" s="3470"/>
      <c r="I31" s="3354"/>
      <c r="J31" s="3355"/>
      <c r="K31" s="1752"/>
      <c r="L31" s="3429"/>
      <c r="M31" s="3356" t="s">
        <v>1738</v>
      </c>
      <c r="N31" s="3356"/>
      <c r="O31" s="3361"/>
      <c r="P31" s="3361"/>
      <c r="Q31" s="1547">
        <f>IF(Liderazgo_final="-","-",Liderazgo_final+O31)</f>
        <v>-30</v>
      </c>
      <c r="R31" s="1760"/>
      <c r="S31" s="2578"/>
      <c r="T31" s="2579"/>
      <c r="U31" s="2610"/>
      <c r="V31" s="3587"/>
      <c r="W31" s="3478"/>
      <c r="X31" s="3478"/>
      <c r="Y31" s="3478"/>
      <c r="Z31" s="3478"/>
      <c r="AA31" s="3478"/>
      <c r="AB31" s="3478"/>
      <c r="AC31" s="3478"/>
      <c r="AD31" s="3478"/>
      <c r="AE31" s="3588"/>
      <c r="AF31" s="3477"/>
      <c r="AG31" s="3478"/>
      <c r="AH31" s="3478"/>
      <c r="AI31" s="3478"/>
      <c r="AJ31" s="3479"/>
      <c r="AK31" s="2969"/>
      <c r="AL31" s="1778"/>
      <c r="AM31" s="2606" t="s">
        <v>8808</v>
      </c>
      <c r="AO31" s="2607"/>
      <c r="AP31" s="2607"/>
    </row>
    <row r="32" spans="1:46" ht="12" customHeight="1" thickBot="1">
      <c r="A32" s="45"/>
      <c r="B32" s="2310"/>
      <c r="C32" s="3467"/>
      <c r="D32" s="3468"/>
      <c r="F32" s="3472" t="s">
        <v>1734</v>
      </c>
      <c r="G32" s="3473"/>
      <c r="H32" s="3473"/>
      <c r="I32" s="3473"/>
      <c r="J32" s="2923">
        <f>VLOOKUP(G13+G11,Tabla_NumAcciones,2)</f>
        <v>1</v>
      </c>
      <c r="K32" s="1752"/>
      <c r="L32" s="3429"/>
      <c r="M32" s="3356" t="s">
        <v>1740</v>
      </c>
      <c r="N32" s="3356"/>
      <c r="O32" s="3361"/>
      <c r="P32" s="3361"/>
      <c r="Q32" s="1547">
        <f>IF(Persuasión_final="-","-",Persuasión_final+O32)</f>
        <v>-30</v>
      </c>
      <c r="R32" s="1760"/>
      <c r="S32" s="2578"/>
      <c r="T32" s="2579"/>
      <c r="U32" s="2610"/>
      <c r="V32" s="3587"/>
      <c r="W32" s="3478"/>
      <c r="X32" s="3478"/>
      <c r="Y32" s="3478"/>
      <c r="Z32" s="3478"/>
      <c r="AA32" s="3478"/>
      <c r="AB32" s="3478"/>
      <c r="AC32" s="3478"/>
      <c r="AD32" s="3478"/>
      <c r="AE32" s="3588"/>
      <c r="AF32" s="3477"/>
      <c r="AG32" s="3478"/>
      <c r="AH32" s="3478"/>
      <c r="AI32" s="3478"/>
      <c r="AJ32" s="3479"/>
      <c r="AK32" s="2969"/>
      <c r="AL32" s="1778"/>
      <c r="AM32" s="2917" t="s">
        <v>8067</v>
      </c>
      <c r="AN32" s="2607" t="str">
        <f>IF(AND(Raza="Criatura",AB13&lt;30),"$AO$36","Lista_VentajasComun")</f>
        <v>Lista_VentajasComun</v>
      </c>
      <c r="AO32" s="2607"/>
      <c r="AP32" s="2607"/>
    </row>
    <row r="33" spans="1:51" ht="12" customHeight="1" thickBot="1">
      <c r="A33" s="45"/>
      <c r="B33" s="2310"/>
      <c r="K33" s="1752"/>
      <c r="L33" s="3429"/>
      <c r="M33" s="3356" t="s">
        <v>1085</v>
      </c>
      <c r="N33" s="3356"/>
      <c r="O33" s="3361"/>
      <c r="P33" s="3361"/>
      <c r="Q33" s="1547">
        <f>IF(Comercio_final="-","-",Comercio_final+O33)</f>
        <v>-30</v>
      </c>
      <c r="R33" s="1760"/>
      <c r="S33" s="2578"/>
      <c r="T33" s="2579"/>
      <c r="U33" s="2610"/>
      <c r="V33" s="3587"/>
      <c r="W33" s="3478"/>
      <c r="X33" s="3478"/>
      <c r="Y33" s="3478"/>
      <c r="Z33" s="3478"/>
      <c r="AA33" s="3478"/>
      <c r="AB33" s="3478"/>
      <c r="AC33" s="3478"/>
      <c r="AD33" s="3478"/>
      <c r="AE33" s="3588"/>
      <c r="AF33" s="3477"/>
      <c r="AG33" s="3478"/>
      <c r="AH33" s="3478"/>
      <c r="AI33" s="3478"/>
      <c r="AJ33" s="3479"/>
      <c r="AK33" s="2969"/>
      <c r="AL33" s="1778"/>
      <c r="AM33" s="2917" t="s">
        <v>8068</v>
      </c>
      <c r="AN33" s="2607" t="str">
        <f>IF(AND(Raza="Criatura",AB13&lt;30),"$AO$36",IF($AN$38,"Lista_VentajasDonYPsi",IF($AN$36,"Lista_VentajasDon",IF($AN$37,"Lista_VentajasPsi","$AO$37"))))</f>
        <v>$AO$37</v>
      </c>
      <c r="AP33" s="2607"/>
    </row>
    <row r="34" spans="1:51" ht="12" customHeight="1">
      <c r="A34" s="45"/>
      <c r="B34" s="2310"/>
      <c r="C34" s="3463" t="s">
        <v>1739</v>
      </c>
      <c r="D34" s="3464"/>
      <c r="E34" s="3464"/>
      <c r="F34" s="3464"/>
      <c r="G34" s="3464"/>
      <c r="H34" s="3464"/>
      <c r="I34" s="3465"/>
      <c r="J34" s="1858">
        <f>IF(Raza="Criatura",0,3)+TRUNC((PDs!S5+PDs!S7+PDs!S9+PDs!S11+PDs!S13)/2,0)-Tablas!C234+IF(Y23="PDs",0,IF($AB$13=0,0,VLOOKUP($AB$13,Tabla_Gnosis,3,FALSE)))</f>
        <v>3</v>
      </c>
      <c r="K34" s="1856"/>
      <c r="L34" s="3429"/>
      <c r="M34" s="3356" t="s">
        <v>1086</v>
      </c>
      <c r="N34" s="3356"/>
      <c r="O34" s="3360"/>
      <c r="P34" s="3360"/>
      <c r="Q34" s="1547">
        <f>IF(Callejeo_final="-","-",Callejeo_final+O34)</f>
        <v>-30</v>
      </c>
      <c r="R34" s="1760"/>
      <c r="S34" s="2578"/>
      <c r="T34" s="2579"/>
      <c r="U34" s="2610"/>
      <c r="V34" s="3587"/>
      <c r="W34" s="3478"/>
      <c r="X34" s="3478"/>
      <c r="Y34" s="3478"/>
      <c r="Z34" s="3478"/>
      <c r="AA34" s="3478"/>
      <c r="AB34" s="3478"/>
      <c r="AC34" s="3478"/>
      <c r="AD34" s="3478"/>
      <c r="AE34" s="3588"/>
      <c r="AF34" s="3480"/>
      <c r="AG34" s="3481"/>
      <c r="AH34" s="3481"/>
      <c r="AI34" s="3481"/>
      <c r="AJ34" s="3482"/>
      <c r="AK34" s="2969">
        <f>IF($G$48=0,0,VLOOKUP($G$48,Tabla_LegadosSangre,10,FALSE))</f>
        <v>0</v>
      </c>
      <c r="AL34" s="1778"/>
      <c r="AM34" s="2917" t="s">
        <v>8069</v>
      </c>
      <c r="AN34" s="2258" t="str">
        <f>IF(AND(Raza="Criatura",AB13&lt;30),"$AO$36","Lista_VentajasTrasfondo")</f>
        <v>Lista_VentajasTrasfondo</v>
      </c>
      <c r="AO34" s="2607"/>
      <c r="AP34" s="2607"/>
    </row>
    <row r="35" spans="1:51" ht="12" customHeight="1" thickBot="1">
      <c r="A35" s="45"/>
      <c r="B35" s="2310"/>
      <c r="C35" s="3357"/>
      <c r="D35" s="3358"/>
      <c r="E35" s="3358"/>
      <c r="F35" s="3359"/>
      <c r="G35" s="3483"/>
      <c r="H35" s="3484"/>
      <c r="I35" s="3485"/>
      <c r="J35" s="3486"/>
      <c r="K35" s="1856"/>
      <c r="L35" s="3429"/>
      <c r="M35" s="3356" t="s">
        <v>1087</v>
      </c>
      <c r="N35" s="3356"/>
      <c r="O35" s="3360"/>
      <c r="P35" s="3360"/>
      <c r="Q35" s="1547">
        <f>IF(Etiqueta_final="-","-",Etiqueta_final+O35)</f>
        <v>-30</v>
      </c>
      <c r="R35" s="1760"/>
      <c r="S35" s="2578"/>
      <c r="T35" s="2579"/>
      <c r="U35" s="2610"/>
      <c r="V35" s="3589"/>
      <c r="W35" s="3590"/>
      <c r="X35" s="3590"/>
      <c r="Y35" s="3590"/>
      <c r="Z35" s="3590"/>
      <c r="AA35" s="3590"/>
      <c r="AB35" s="3590"/>
      <c r="AC35" s="3590"/>
      <c r="AD35" s="3590"/>
      <c r="AE35" s="3591"/>
      <c r="AF35" s="3487" t="str">
        <f>IF(ISNUMBER(SEARCH("Afinidad Elemental",AF30)),"+10 Daño base ataques elemento afín","")</f>
        <v/>
      </c>
      <c r="AG35" s="3487"/>
      <c r="AH35" s="3487"/>
      <c r="AI35" s="3487"/>
      <c r="AJ35" s="3487"/>
      <c r="AK35" s="2969">
        <f>IF($G$48=0,0,VLOOKUP($G$48,Tabla_LegadosSangre,13,FALSE))</f>
        <v>0</v>
      </c>
      <c r="AL35" s="1778"/>
      <c r="AM35" s="2917" t="s">
        <v>8070</v>
      </c>
      <c r="AN35" s="2607" t="str">
        <f>IF(AND(Raza="Criatura",AB13&lt;30),"$AO$36","Lista_LegadosSangre")</f>
        <v>Lista_LegadosSangre</v>
      </c>
      <c r="AO35" s="2607"/>
      <c r="AP35" s="2607"/>
    </row>
    <row r="36" spans="1:51" ht="12" customHeight="1">
      <c r="A36" s="45"/>
      <c r="B36" s="2310"/>
      <c r="C36" s="3357"/>
      <c r="D36" s="3358"/>
      <c r="E36" s="3358"/>
      <c r="F36" s="3359"/>
      <c r="G36" s="3362"/>
      <c r="H36" s="3363"/>
      <c r="I36" s="3364"/>
      <c r="J36" s="3365"/>
      <c r="K36" s="1856"/>
      <c r="L36" s="3428" t="s">
        <v>1741</v>
      </c>
      <c r="M36" s="3376" t="s">
        <v>1742</v>
      </c>
      <c r="N36" s="3376"/>
      <c r="O36" s="3374">
        <f>IF(Combate!$E$15=0,0,VLOOKUP(Combate!$E$15,Tabla_Yelmos,3,FALSE))</f>
        <v>0</v>
      </c>
      <c r="P36" s="3374"/>
      <c r="Q36" s="1546">
        <f>IF(Advertir_final="-","-",Advertir_final+O36)</f>
        <v>-30</v>
      </c>
      <c r="R36" s="1760"/>
      <c r="S36" s="2578"/>
      <c r="T36" s="2579"/>
      <c r="U36" s="2610"/>
      <c r="V36" s="3248" t="s">
        <v>8668</v>
      </c>
      <c r="W36" s="3249"/>
      <c r="X36" s="3249"/>
      <c r="Y36" s="3249"/>
      <c r="Z36" s="3249"/>
      <c r="AA36" s="3249"/>
      <c r="AB36" s="3249"/>
      <c r="AC36" s="3249"/>
      <c r="AD36" s="3249"/>
      <c r="AE36" s="3249"/>
      <c r="AF36" s="3249"/>
      <c r="AG36" s="3249"/>
      <c r="AH36" s="3249"/>
      <c r="AI36" s="3249"/>
      <c r="AJ36" s="3250"/>
      <c r="AK36" s="2969">
        <f>IF($G$44=0,0,VLOOKUP($G$44,Tabla_LegadosSangre,7,FALSE))</f>
        <v>0</v>
      </c>
      <c r="AL36" s="1778"/>
      <c r="AM36" s="2917" t="s">
        <v>8071</v>
      </c>
      <c r="AN36" s="2607" t="b">
        <f>OR(ISNUMBER(SEARCH("Don",$C35&amp;$C36&amp;$C37&amp;$C38&amp;$C39&amp;$C40&amp;$C41&amp;$C42)),Tablas!H1194&gt;0)</f>
        <v>0</v>
      </c>
      <c r="AO36" s="2607" t="s">
        <v>9977</v>
      </c>
      <c r="AP36" s="2607"/>
    </row>
    <row r="37" spans="1:51" ht="12" customHeight="1">
      <c r="A37" s="45"/>
      <c r="B37" s="2310"/>
      <c r="C37" s="3357"/>
      <c r="D37" s="3358"/>
      <c r="E37" s="3358"/>
      <c r="F37" s="3359"/>
      <c r="G37" s="3362"/>
      <c r="H37" s="3363"/>
      <c r="I37" s="3364"/>
      <c r="J37" s="3365"/>
      <c r="K37" s="1856"/>
      <c r="L37" s="3429"/>
      <c r="M37" s="3356" t="s">
        <v>1743</v>
      </c>
      <c r="N37" s="3356"/>
      <c r="O37" s="3361">
        <f>IF(Combate!$E$15=0,0,VLOOKUP(Combate!$E$15,Tabla_Yelmos,3,FALSE))</f>
        <v>0</v>
      </c>
      <c r="P37" s="3361"/>
      <c r="Q37" s="1547">
        <f>IF(Buscar_final="-","-",Buscar_final+O37)</f>
        <v>-30</v>
      </c>
      <c r="R37" s="1760"/>
      <c r="S37" s="2578"/>
      <c r="T37" s="2579"/>
      <c r="U37" s="2610"/>
      <c r="V37" s="3579" t="str">
        <f>IF(Nephilim="","",VLOOKUP(Nephilim,Tabla_Razas,20,FALSE))</f>
        <v/>
      </c>
      <c r="W37" s="3580"/>
      <c r="X37" s="3580"/>
      <c r="Y37" s="3580"/>
      <c r="Z37" s="3580"/>
      <c r="AA37" s="3580"/>
      <c r="AB37" s="3580"/>
      <c r="AC37" s="3580"/>
      <c r="AD37" s="3580"/>
      <c r="AE37" s="3580"/>
      <c r="AF37" s="3580"/>
      <c r="AG37" s="3580"/>
      <c r="AH37" s="3580"/>
      <c r="AI37" s="3580"/>
      <c r="AJ37" s="3581"/>
      <c r="AK37" s="2969">
        <f>IF($G$44=0,0,VLOOKUP($G$44,Tabla_LegadosSangre,10,FALSE))</f>
        <v>0</v>
      </c>
      <c r="AL37" s="1778"/>
      <c r="AM37" s="2917" t="s">
        <v>8072</v>
      </c>
      <c r="AN37" s="2607" t="b">
        <f>OR(ISNUMBER(SEARCH("psiquica",$C35&amp;$C36&amp;$C37&amp;$C38&amp;$C39&amp;$C40&amp;$C41&amp;$C42)),Tablas!H1195&gt;0,Tablas!H1196&gt;0)</f>
        <v>0</v>
      </c>
      <c r="AO37" s="2607" t="s">
        <v>8807</v>
      </c>
      <c r="AP37" s="2607"/>
    </row>
    <row r="38" spans="1:51" ht="12" customHeight="1" thickBot="1">
      <c r="A38" s="45"/>
      <c r="B38" s="1469"/>
      <c r="C38" s="3357"/>
      <c r="D38" s="3358"/>
      <c r="E38" s="3358"/>
      <c r="F38" s="3359"/>
      <c r="G38" s="3362"/>
      <c r="H38" s="3363"/>
      <c r="I38" s="3364"/>
      <c r="J38" s="3365"/>
      <c r="K38" s="1856"/>
      <c r="L38" s="3430"/>
      <c r="M38" s="3471" t="s">
        <v>1744</v>
      </c>
      <c r="N38" s="3471"/>
      <c r="O38" s="3451"/>
      <c r="P38" s="3451"/>
      <c r="Q38" s="1548">
        <f>IF(Rastrear_final="-","-",Rastrear_final+O38)</f>
        <v>-30</v>
      </c>
      <c r="R38" s="1760"/>
      <c r="S38" s="2578"/>
      <c r="T38" s="2579"/>
      <c r="U38" s="2610"/>
      <c r="V38" s="3582"/>
      <c r="W38" s="3583"/>
      <c r="X38" s="3583"/>
      <c r="Y38" s="3583"/>
      <c r="Z38" s="3583"/>
      <c r="AA38" s="3583"/>
      <c r="AB38" s="3583"/>
      <c r="AC38" s="3583"/>
      <c r="AD38" s="3583"/>
      <c r="AE38" s="3583"/>
      <c r="AF38" s="3583"/>
      <c r="AG38" s="3583"/>
      <c r="AH38" s="3583"/>
      <c r="AI38" s="3583"/>
      <c r="AJ38" s="3584"/>
      <c r="AK38" s="1962"/>
      <c r="AL38" s="1778"/>
      <c r="AM38" s="2917" t="s">
        <v>8073</v>
      </c>
      <c r="AN38" s="2607" t="b">
        <f>AND($AN$37,$AN$36)</f>
        <v>0</v>
      </c>
      <c r="AO38" s="2607"/>
      <c r="AP38" s="2607"/>
    </row>
    <row r="39" spans="1:51" ht="12" customHeight="1">
      <c r="A39" s="45"/>
      <c r="B39" s="1469"/>
      <c r="C39" s="3357"/>
      <c r="D39" s="3358"/>
      <c r="E39" s="3358"/>
      <c r="F39" s="3359"/>
      <c r="G39" s="3362"/>
      <c r="H39" s="3363"/>
      <c r="I39" s="3364"/>
      <c r="J39" s="3365"/>
      <c r="K39" s="1856"/>
      <c r="L39" s="3429" t="s">
        <v>1745</v>
      </c>
      <c r="M39" s="3356" t="s">
        <v>1746</v>
      </c>
      <c r="N39" s="3356"/>
      <c r="O39" s="3361"/>
      <c r="P39" s="3361"/>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c r="A40" s="45"/>
      <c r="B40" s="1469"/>
      <c r="C40" s="3357"/>
      <c r="D40" s="3358"/>
      <c r="E40" s="3358"/>
      <c r="F40" s="3359"/>
      <c r="G40" s="3362"/>
      <c r="H40" s="3363"/>
      <c r="I40" s="3364"/>
      <c r="J40" s="3365"/>
      <c r="K40" s="1856"/>
      <c r="L40" s="3429"/>
      <c r="M40" s="3356" t="s">
        <v>1747</v>
      </c>
      <c r="N40" s="3356"/>
      <c r="O40" s="3361"/>
      <c r="P40" s="3361"/>
      <c r="Q40" s="1547" t="str">
        <f>IF(Ciencia_final="-","-",Ciencia_final+O40)</f>
        <v>-</v>
      </c>
      <c r="R40" s="1760"/>
      <c r="S40" s="2578"/>
      <c r="T40" s="2579"/>
      <c r="U40" s="2610"/>
      <c r="V40" s="3597" t="s">
        <v>1749</v>
      </c>
      <c r="W40" s="3598"/>
      <c r="X40" s="3598"/>
      <c r="Y40" s="3598"/>
      <c r="Z40" s="3598"/>
      <c r="AA40" s="3598"/>
      <c r="AB40" s="3598"/>
      <c r="AC40" s="3598"/>
      <c r="AD40" s="3598"/>
      <c r="AE40" s="3598"/>
      <c r="AF40" s="3598"/>
      <c r="AG40" s="3599"/>
      <c r="AH40" s="3600" t="s">
        <v>1681</v>
      </c>
      <c r="AI40" s="3601"/>
      <c r="AJ40" s="2563">
        <f>IF(ISNUMBER(SUM(AJ42:AJ69)+AJ70),SUM(AJ42:AJ69)+AJ70,0)</f>
        <v>0</v>
      </c>
      <c r="AK40" s="2962"/>
      <c r="AL40" s="1778"/>
      <c r="AM40" s="2917"/>
      <c r="AN40" s="2607"/>
      <c r="AO40" s="2607"/>
      <c r="AP40" s="2971"/>
    </row>
    <row r="41" spans="1:51" ht="12" customHeight="1">
      <c r="A41" s="45"/>
      <c r="B41" s="1469"/>
      <c r="C41" s="3357"/>
      <c r="D41" s="3358"/>
      <c r="E41" s="3358"/>
      <c r="F41" s="3359"/>
      <c r="G41" s="3362"/>
      <c r="H41" s="3363"/>
      <c r="I41" s="3364"/>
      <c r="J41" s="3365"/>
      <c r="K41" s="1856"/>
      <c r="L41" s="3429"/>
      <c r="M41" s="3356" t="s">
        <v>2991</v>
      </c>
      <c r="N41" s="3356"/>
      <c r="O41" s="3361"/>
      <c r="P41" s="3361"/>
      <c r="Q41" s="1547">
        <f>IF(Ley_final="-","-",Ley_final+O41)</f>
        <v>-30</v>
      </c>
      <c r="R41" s="1760"/>
      <c r="S41" s="2580"/>
      <c r="T41" s="2579"/>
      <c r="U41" s="2610"/>
      <c r="V41" s="3353" t="s">
        <v>9969</v>
      </c>
      <c r="W41" s="3353"/>
      <c r="X41" s="3353"/>
      <c r="Y41" s="3353"/>
      <c r="Z41" s="3353"/>
      <c r="AA41" s="3573"/>
      <c r="AB41" s="3593" t="s">
        <v>1752</v>
      </c>
      <c r="AC41" s="3594"/>
      <c r="AD41" s="3594"/>
      <c r="AE41" s="3595"/>
      <c r="AF41" s="3594" t="s">
        <v>8951</v>
      </c>
      <c r="AG41" s="3594"/>
      <c r="AH41" s="3596"/>
      <c r="AI41" s="2562" t="s">
        <v>1685</v>
      </c>
      <c r="AJ41" s="2437" t="s">
        <v>1686</v>
      </c>
      <c r="AK41" s="2962"/>
      <c r="AL41" s="1778"/>
      <c r="AM41" s="2917" t="s">
        <v>9967</v>
      </c>
      <c r="AN41" s="2607"/>
      <c r="AO41" s="2607" t="s">
        <v>9968</v>
      </c>
      <c r="AP41" s="2963"/>
    </row>
    <row r="42" spans="1:51" ht="12" customHeight="1">
      <c r="A42" s="45"/>
      <c r="B42" s="1469"/>
      <c r="C42" s="3357"/>
      <c r="D42" s="3358"/>
      <c r="E42" s="3358"/>
      <c r="F42" s="3359"/>
      <c r="G42" s="3362"/>
      <c r="H42" s="3363"/>
      <c r="I42" s="3364"/>
      <c r="J42" s="3365"/>
      <c r="K42" s="1856"/>
      <c r="L42" s="3429"/>
      <c r="M42" s="3356" t="s">
        <v>1748</v>
      </c>
      <c r="N42" s="3356"/>
      <c r="O42" s="3361"/>
      <c r="P42" s="3361"/>
      <c r="Q42" s="1547">
        <f>IF(Herbolaria_final="-","-",Herbolaria_final+O42)</f>
        <v>-30</v>
      </c>
      <c r="R42" s="1760"/>
      <c r="S42" s="2580">
        <f>IF(V42="",MAX($S$41:S41)+1,0)</f>
        <v>1</v>
      </c>
      <c r="T42" s="2579">
        <f>IF(V42="",0,MAX($T$41:T41)+1)</f>
        <v>0</v>
      </c>
      <c r="U42" s="2611">
        <f>IF(V42="",Tablas!A1,V42&amp;1)</f>
        <v>1</v>
      </c>
      <c r="V42" s="3602"/>
      <c r="W42" s="3603"/>
      <c r="X42" s="3603"/>
      <c r="Y42" s="3603"/>
      <c r="Z42" s="3603"/>
      <c r="AA42" s="3603"/>
      <c r="AB42" s="3592"/>
      <c r="AC42" s="3576"/>
      <c r="AD42" s="3576"/>
      <c r="AE42" s="3576"/>
      <c r="AF42" s="3491"/>
      <c r="AG42" s="3491"/>
      <c r="AH42" s="3492"/>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8066</v>
      </c>
      <c r="AS42" s="2917" t="s">
        <v>8066</v>
      </c>
    </row>
    <row r="43" spans="1:51" ht="12" customHeight="1">
      <c r="A43" s="45"/>
      <c r="B43" s="1469"/>
      <c r="C43" s="3490"/>
      <c r="D43" s="3491"/>
      <c r="E43" s="3491"/>
      <c r="F43" s="3492"/>
      <c r="G43" s="3500"/>
      <c r="H43" s="3501"/>
      <c r="I43" s="3501"/>
      <c r="J43" s="3502"/>
      <c r="K43" s="1856"/>
      <c r="L43" s="3429"/>
      <c r="M43" s="3356" t="s">
        <v>1750</v>
      </c>
      <c r="N43" s="3356"/>
      <c r="O43" s="3361"/>
      <c r="P43" s="3361"/>
      <c r="Q43" s="1547" t="str">
        <f>IF(Historia_final="-","-",Historia_final+O43)</f>
        <v>-</v>
      </c>
      <c r="R43" s="1760"/>
      <c r="S43" s="2580">
        <f>IF(V43="",MAX($S$41:S42)+1,0)</f>
        <v>2</v>
      </c>
      <c r="T43" s="2579">
        <f>IF(V43="",0,MAX($T$41:T42)+1)</f>
        <v>0</v>
      </c>
      <c r="U43" s="2611">
        <f>IF(V43="",Tablas!A2,IF(COUNTIF(V$42:V42,V43)&gt;0,V43&amp;COUNTIF(V$42:V42,V43)+1,V43&amp;1))</f>
        <v>2</v>
      </c>
      <c r="V43" s="3521"/>
      <c r="W43" s="3522"/>
      <c r="X43" s="3522"/>
      <c r="Y43" s="3522"/>
      <c r="Z43" s="3522"/>
      <c r="AA43" s="3522"/>
      <c r="AB43" s="3543"/>
      <c r="AC43" s="3544"/>
      <c r="AD43" s="3544"/>
      <c r="AE43" s="3544"/>
      <c r="AF43" s="3539"/>
      <c r="AG43" s="3539"/>
      <c r="AH43" s="3540"/>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c r="A44" s="45"/>
      <c r="B44" s="1469"/>
      <c r="C44" s="3357"/>
      <c r="D44" s="3358"/>
      <c r="E44" s="3358"/>
      <c r="F44" s="3358"/>
      <c r="G44" s="3570"/>
      <c r="H44" s="3571"/>
      <c r="I44" s="3571"/>
      <c r="J44" s="3572"/>
      <c r="K44" s="1755"/>
      <c r="L44" s="3429"/>
      <c r="M44" s="3356" t="s">
        <v>1088</v>
      </c>
      <c r="N44" s="3356"/>
      <c r="O44" s="3361"/>
      <c r="P44" s="3361"/>
      <c r="Q44" s="1547">
        <f>IF(Tactica_final="-","-",Tactica_final+O44)</f>
        <v>-30</v>
      </c>
      <c r="R44" s="1760"/>
      <c r="S44" s="2580">
        <f>IF(V44="",MAX($S$41:S43)+1,0)</f>
        <v>3</v>
      </c>
      <c r="T44" s="2579">
        <f>IF(V44="",0,MAX($T$41:T43)+1)</f>
        <v>0</v>
      </c>
      <c r="U44" s="2611">
        <f>IF(V44="",Tablas!A3,IF(COUNTIF(V$42:V43,V44)&gt;0,V44&amp;COUNTIF(V$42:V43,V44)+1,V44&amp;1))</f>
        <v>3</v>
      </c>
      <c r="V44" s="3521"/>
      <c r="W44" s="3522"/>
      <c r="X44" s="3522"/>
      <c r="Y44" s="3522"/>
      <c r="Z44" s="3522"/>
      <c r="AA44" s="3522"/>
      <c r="AB44" s="3543"/>
      <c r="AC44" s="3544"/>
      <c r="AD44" s="3544"/>
      <c r="AE44" s="3544"/>
      <c r="AF44" s="3358"/>
      <c r="AG44" s="3358"/>
      <c r="AH44" s="3359"/>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c r="A45" s="45"/>
      <c r="B45" s="2310"/>
      <c r="C45" s="3357"/>
      <c r="D45" s="3358"/>
      <c r="E45" s="3358"/>
      <c r="F45" s="3358"/>
      <c r="G45" s="3570"/>
      <c r="H45" s="3571"/>
      <c r="I45" s="3571"/>
      <c r="J45" s="3572"/>
      <c r="K45" s="1755"/>
      <c r="L45" s="3429"/>
      <c r="M45" s="3356" t="s">
        <v>1753</v>
      </c>
      <c r="N45" s="3356"/>
      <c r="O45" s="3361"/>
      <c r="P45" s="3361"/>
      <c r="Q45" s="1547" t="str">
        <f>IF(Medicina_final="-","-",Medicina_final+O45)</f>
        <v>-</v>
      </c>
      <c r="R45" s="1760"/>
      <c r="S45" s="2580">
        <f>IF(V45="",MAX($S$41:S44)+1,0)</f>
        <v>4</v>
      </c>
      <c r="T45" s="2579">
        <f>IF(V45="",0,MAX($T$41:T44)+1)</f>
        <v>0</v>
      </c>
      <c r="U45" s="2611">
        <f>IF(V45="",Tablas!A4,IF(COUNTIF(V$42:V44,V45)&gt;0,V45&amp;COUNTIF(V$42:V44,V45)+1,V45&amp;1))</f>
        <v>4</v>
      </c>
      <c r="V45" s="3521"/>
      <c r="W45" s="3522"/>
      <c r="X45" s="3522"/>
      <c r="Y45" s="3522"/>
      <c r="Z45" s="3522"/>
      <c r="AA45" s="3522"/>
      <c r="AB45" s="3543"/>
      <c r="AC45" s="3544"/>
      <c r="AD45" s="3544"/>
      <c r="AE45" s="3544"/>
      <c r="AF45" s="3539"/>
      <c r="AG45" s="3539"/>
      <c r="AH45" s="3540"/>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c r="A46" s="45"/>
      <c r="B46" s="2310"/>
      <c r="C46" s="3357"/>
      <c r="D46" s="3358"/>
      <c r="E46" s="3358"/>
      <c r="F46" s="3358"/>
      <c r="G46" s="3567"/>
      <c r="H46" s="3568"/>
      <c r="I46" s="3568"/>
      <c r="J46" s="3569"/>
      <c r="K46" s="1755"/>
      <c r="L46" s="3429"/>
      <c r="M46" s="3356" t="s">
        <v>1754</v>
      </c>
      <c r="N46" s="3356"/>
      <c r="O46" s="3361"/>
      <c r="P46" s="3361"/>
      <c r="Q46" s="1547">
        <f>IF(Memorizar_final="-","-",Memorizar_final+O46)</f>
        <v>-30</v>
      </c>
      <c r="R46" s="1760"/>
      <c r="S46" s="2580">
        <f>IF(V46="",MAX($S$41:S45)+1,0)</f>
        <v>5</v>
      </c>
      <c r="T46" s="2579">
        <f>IF(V46="",0,MAX($T$41:T45)+1)</f>
        <v>0</v>
      </c>
      <c r="U46" s="2611">
        <f>IF(V46="",Tablas!A5,IF(COUNTIF(V$42:V45,V46)&gt;0,V46&amp;COUNTIF(V$42:V45,V46)+1,V46&amp;1))</f>
        <v>5</v>
      </c>
      <c r="V46" s="3521"/>
      <c r="W46" s="3522"/>
      <c r="X46" s="3522"/>
      <c r="Y46" s="3522"/>
      <c r="Z46" s="3522"/>
      <c r="AA46" s="3522"/>
      <c r="AB46" s="3543"/>
      <c r="AC46" s="3544"/>
      <c r="AD46" s="3544"/>
      <c r="AE46" s="3544"/>
      <c r="AF46" s="3539"/>
      <c r="AG46" s="3539"/>
      <c r="AH46" s="3540"/>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c r="A47" s="45"/>
      <c r="B47" s="2310"/>
      <c r="C47" s="3357"/>
      <c r="D47" s="3358"/>
      <c r="E47" s="3358"/>
      <c r="F47" s="3358"/>
      <c r="G47" s="3500"/>
      <c r="H47" s="3501"/>
      <c r="I47" s="3501"/>
      <c r="J47" s="3502"/>
      <c r="K47" s="1753"/>
      <c r="L47" s="3429"/>
      <c r="M47" s="3356" t="s">
        <v>1755</v>
      </c>
      <c r="N47" s="3356"/>
      <c r="O47" s="3361"/>
      <c r="P47" s="3361"/>
      <c r="Q47" s="1547">
        <f>IF(Navegación_final="-","-",Navegación_final+O47)</f>
        <v>-30</v>
      </c>
      <c r="R47" s="1760"/>
      <c r="S47" s="2580">
        <f>IF(V47="",MAX($S$41:S46)+1,0)</f>
        <v>6</v>
      </c>
      <c r="T47" s="2579">
        <f>IF(V47="",0,MAX($T$41:T46)+1)</f>
        <v>0</v>
      </c>
      <c r="U47" s="2611">
        <f>IF(V47="",Tablas!A6,IF(COUNTIF(V$42:V46,V47)&gt;0,V47&amp;COUNTIF(V$42:V46,V47)+1,V47&amp;1))</f>
        <v>6</v>
      </c>
      <c r="V47" s="3521"/>
      <c r="W47" s="3522"/>
      <c r="X47" s="3522"/>
      <c r="Y47" s="3522"/>
      <c r="Z47" s="3522"/>
      <c r="AA47" s="3522"/>
      <c r="AB47" s="3543"/>
      <c r="AC47" s="3544"/>
      <c r="AD47" s="3544"/>
      <c r="AE47" s="3544"/>
      <c r="AF47" s="3539"/>
      <c r="AG47" s="3539"/>
      <c r="AH47" s="3540"/>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c r="A48" s="45"/>
      <c r="B48" s="2310"/>
      <c r="C48" s="3357"/>
      <c r="D48" s="3358"/>
      <c r="E48" s="3358"/>
      <c r="F48" s="3358"/>
      <c r="G48" s="3497"/>
      <c r="H48" s="3498"/>
      <c r="I48" s="3498"/>
      <c r="J48" s="3499"/>
      <c r="K48" s="1755"/>
      <c r="L48" s="3429"/>
      <c r="M48" s="3356" t="s">
        <v>1756</v>
      </c>
      <c r="N48" s="3356"/>
      <c r="O48" s="3361"/>
      <c r="P48" s="3361"/>
      <c r="Q48" s="1547">
        <f>IF(Ocultismo_final="-","-",Ocultismo_final+O48)</f>
        <v>-30</v>
      </c>
      <c r="R48" s="1760"/>
      <c r="S48" s="2580">
        <f>IF(V48="",MAX($S$41:S47)+1,0)</f>
        <v>7</v>
      </c>
      <c r="T48" s="2579">
        <f>IF(V48="",0,MAX($T$41:T47)+1)</f>
        <v>0</v>
      </c>
      <c r="U48" s="2611">
        <f>IF(V48="",Tablas!A7,IF(COUNTIF(V$42:V47,V48)&gt;0,V48&amp;COUNTIF(V$42:V47,V48)+1,V48&amp;1))</f>
        <v>7</v>
      </c>
      <c r="V48" s="3521"/>
      <c r="W48" s="3522"/>
      <c r="X48" s="3522"/>
      <c r="Y48" s="3522"/>
      <c r="Z48" s="3522"/>
      <c r="AA48" s="3522"/>
      <c r="AB48" s="3543"/>
      <c r="AC48" s="3544"/>
      <c r="AD48" s="3544"/>
      <c r="AE48" s="3544"/>
      <c r="AF48" s="3539"/>
      <c r="AG48" s="3539"/>
      <c r="AH48" s="3540"/>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c r="A49" s="45"/>
      <c r="B49" s="2310"/>
      <c r="C49" s="3488"/>
      <c r="D49" s="3489"/>
      <c r="E49" s="3489"/>
      <c r="F49" s="3489"/>
      <c r="G49" s="3497"/>
      <c r="H49" s="3498"/>
      <c r="I49" s="3498"/>
      <c r="J49" s="3499"/>
      <c r="K49" s="1752"/>
      <c r="L49" s="3429"/>
      <c r="M49" s="3356" t="s">
        <v>1757</v>
      </c>
      <c r="N49" s="3356"/>
      <c r="O49" s="3361"/>
      <c r="P49" s="3361"/>
      <c r="Q49" s="1547" t="str">
        <f>IF(Tasación_final="-","-",Tasación_final+O49)</f>
        <v>-</v>
      </c>
      <c r="R49" s="1760"/>
      <c r="S49" s="2580">
        <f>IF(V49="",MAX($S$41:S48)+1,0)</f>
        <v>8</v>
      </c>
      <c r="T49" s="2579">
        <f>IF(V49="",0,MAX($T$41:T48)+1)</f>
        <v>0</v>
      </c>
      <c r="U49" s="2611">
        <f>IF(V49="",Tablas!A8,IF(COUNTIF(V$42:V48,V49)&gt;0,V49&amp;COUNTIF(V$42:V48,V49)+1,V49&amp;1))</f>
        <v>8</v>
      </c>
      <c r="V49" s="3521"/>
      <c r="W49" s="3522"/>
      <c r="X49" s="3522"/>
      <c r="Y49" s="3522"/>
      <c r="Z49" s="3522"/>
      <c r="AA49" s="3522"/>
      <c r="AB49" s="3543"/>
      <c r="AC49" s="3544"/>
      <c r="AD49" s="3544"/>
      <c r="AE49" s="3544"/>
      <c r="AF49" s="3539"/>
      <c r="AG49" s="3539"/>
      <c r="AH49" s="3540"/>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c r="A50" s="45"/>
      <c r="B50" s="2310"/>
      <c r="C50" s="3493" t="s">
        <v>3299</v>
      </c>
      <c r="D50" s="3494"/>
      <c r="E50" s="3494"/>
      <c r="F50" s="3494"/>
      <c r="G50" s="3497"/>
      <c r="H50" s="3498"/>
      <c r="I50" s="3498"/>
      <c r="J50" s="3499"/>
      <c r="K50" s="1752"/>
      <c r="L50" s="3429"/>
      <c r="M50" s="3356" t="s">
        <v>1758</v>
      </c>
      <c r="N50" s="3356"/>
      <c r="O50" s="3361"/>
      <c r="P50" s="3361"/>
      <c r="Q50" s="1547" t="str">
        <f>IF(V.Mágica_final="-","-",V.Mágica_final+O50)</f>
        <v>-</v>
      </c>
      <c r="R50" s="1760"/>
      <c r="S50" s="2580">
        <f>IF(V50="",MAX($S$41:S49)+1,0)</f>
        <v>9</v>
      </c>
      <c r="T50" s="2579">
        <f>IF(V50="",0,MAX($T$41:T49)+1)</f>
        <v>0</v>
      </c>
      <c r="U50" s="2611">
        <f>IF(V50="",Tablas!A9,IF(COUNTIF(V$42:V49,V50)&gt;0,V50&amp;COUNTIF(V$42:V49,V50)+1,V50&amp;1))</f>
        <v>9</v>
      </c>
      <c r="V50" s="3521"/>
      <c r="W50" s="3522"/>
      <c r="X50" s="3522"/>
      <c r="Y50" s="3522"/>
      <c r="Z50" s="3522"/>
      <c r="AA50" s="3522"/>
      <c r="AB50" s="3543"/>
      <c r="AC50" s="3544"/>
      <c r="AD50" s="3544"/>
      <c r="AE50" s="3544"/>
      <c r="AF50" s="3539"/>
      <c r="AG50" s="3539"/>
      <c r="AH50" s="3540"/>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c r="A51" s="45"/>
      <c r="B51" s="2310"/>
      <c r="C51" s="3495"/>
      <c r="D51" s="3496"/>
      <c r="E51" s="3496"/>
      <c r="F51" s="3496"/>
      <c r="G51" s="3497"/>
      <c r="H51" s="3498"/>
      <c r="I51" s="3498"/>
      <c r="J51" s="3499"/>
      <c r="K51" s="1752"/>
      <c r="L51" s="3428" t="s">
        <v>1759</v>
      </c>
      <c r="M51" s="3376" t="s">
        <v>1760</v>
      </c>
      <c r="N51" s="3376"/>
      <c r="O51" s="3374"/>
      <c r="P51" s="3374"/>
      <c r="Q51" s="1546">
        <f>IF(Frialdad_final="-","-",Frialdad_final+O51)</f>
        <v>-30</v>
      </c>
      <c r="R51" s="1760"/>
      <c r="S51" s="2580">
        <f>IF(V51="",MAX($S$41:S50)+1,0)</f>
        <v>10</v>
      </c>
      <c r="T51" s="2579">
        <f>IF(V51="",0,MAX($T$41:T50)+1)</f>
        <v>0</v>
      </c>
      <c r="U51" s="2611">
        <f>IF(V51="",Tablas!A10,IF(COUNTIF(V$42:V50,V51)&gt;0,V51&amp;COUNTIF(V$42:V50,V51)+1,V51&amp;1))</f>
        <v>10</v>
      </c>
      <c r="V51" s="3521"/>
      <c r="W51" s="3522"/>
      <c r="X51" s="3522"/>
      <c r="Y51" s="3522"/>
      <c r="Z51" s="3522"/>
      <c r="AA51" s="3522"/>
      <c r="AB51" s="3543"/>
      <c r="AC51" s="3544"/>
      <c r="AD51" s="3544"/>
      <c r="AE51" s="3544"/>
      <c r="AF51" s="3539"/>
      <c r="AG51" s="3539"/>
      <c r="AH51" s="3540"/>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c r="A52" s="45"/>
      <c r="B52" s="2310"/>
      <c r="C52" s="3503"/>
      <c r="D52" s="3504"/>
      <c r="E52" s="3504"/>
      <c r="F52" s="3504"/>
      <c r="G52" s="3497"/>
      <c r="H52" s="3498"/>
      <c r="I52" s="3498"/>
      <c r="J52" s="3499"/>
      <c r="K52" s="2118"/>
      <c r="L52" s="3429"/>
      <c r="M52" s="3356" t="s">
        <v>1761</v>
      </c>
      <c r="N52" s="3356"/>
      <c r="O52" s="3361">
        <f>PenNatural</f>
        <v>0</v>
      </c>
      <c r="P52" s="3361"/>
      <c r="Q52" s="1547">
        <f>IF(P.Fuerza_final="-","-",P.Fuerza_final+O52)</f>
        <v>-25</v>
      </c>
      <c r="R52" s="1760"/>
      <c r="S52" s="2580">
        <f>IF(V52="",MAX($S$41:S51)+1,0)</f>
        <v>11</v>
      </c>
      <c r="T52" s="2579">
        <f>IF(V52="",0,MAX($T$41:T51)+1)</f>
        <v>0</v>
      </c>
      <c r="U52" s="2611">
        <f>IF(V52="",Tablas!A11,IF(COUNTIF(V$42:V51,V52)&gt;0,V52&amp;COUNTIF(V$42:V51,V52)+1,V52&amp;1))</f>
        <v>11</v>
      </c>
      <c r="V52" s="3521"/>
      <c r="W52" s="3522"/>
      <c r="X52" s="3522"/>
      <c r="Y52" s="3522"/>
      <c r="Z52" s="3522"/>
      <c r="AA52" s="3522"/>
      <c r="AB52" s="3543"/>
      <c r="AC52" s="3544"/>
      <c r="AD52" s="3544"/>
      <c r="AE52" s="3544"/>
      <c r="AF52" s="3539"/>
      <c r="AG52" s="3539"/>
      <c r="AH52" s="3540"/>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c r="A53" s="45"/>
      <c r="B53" s="2310"/>
      <c r="C53" s="3513"/>
      <c r="D53" s="3514"/>
      <c r="E53" s="3514"/>
      <c r="F53" s="3514"/>
      <c r="G53" s="3515"/>
      <c r="H53" s="3516"/>
      <c r="I53" s="3516"/>
      <c r="J53" s="3517"/>
      <c r="K53" s="2118"/>
      <c r="L53" s="3430"/>
      <c r="M53" s="3471" t="s">
        <v>1764</v>
      </c>
      <c r="N53" s="3471"/>
      <c r="O53" s="3451"/>
      <c r="P53" s="3451"/>
      <c r="Q53" s="1548">
        <f>IF(Res.Dolor_final="-","-",Res.Dolor_final+O53)</f>
        <v>-30</v>
      </c>
      <c r="R53" s="1760"/>
      <c r="S53" s="2580">
        <f>IF(V53="",MAX($S$41:S52)+1,0)</f>
        <v>12</v>
      </c>
      <c r="T53" s="2579">
        <f>IF(V53="",0,MAX($T$41:T52)+1)</f>
        <v>0</v>
      </c>
      <c r="U53" s="2611">
        <f>IF(V53="",Tablas!A12,IF(COUNTIF(V$42:V52,V53)&gt;0,V53&amp;COUNTIF(V$42:V52,V53)+1,V53&amp;1))</f>
        <v>12</v>
      </c>
      <c r="V53" s="3521"/>
      <c r="W53" s="3522"/>
      <c r="X53" s="3522"/>
      <c r="Y53" s="3522"/>
      <c r="Z53" s="3522"/>
      <c r="AA53" s="3522"/>
      <c r="AB53" s="3543"/>
      <c r="AC53" s="3544"/>
      <c r="AD53" s="3544"/>
      <c r="AE53" s="3544"/>
      <c r="AF53" s="3539"/>
      <c r="AG53" s="3539"/>
      <c r="AH53" s="3540"/>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c r="A54" s="45"/>
      <c r="B54" s="2310"/>
      <c r="C54" s="3506" t="str">
        <f>IF(COUNTIF(Principal!$AS$43:$AS$45,"Trasfondo")&gt;0,"PC exclusivos trasfondo","")</f>
        <v/>
      </c>
      <c r="D54" s="3506"/>
      <c r="E54" s="3506"/>
      <c r="F54" s="2267">
        <f>-Tablas!$F$234</f>
        <v>0</v>
      </c>
      <c r="G54" s="3507" t="str">
        <f>IF(AND(COUNTIF(Principal!$AS$43:$AS$45,"Don")&gt;0,COUNTIF(Principal!$AS$43:$AS$45,"Psiquicos")&gt;0),"PC exclusivos Don/Psíquicos",IF(COUNTIF(Principal!$AS$43:$AS$45,"Don")&gt;0,"PC exclusivos Don",IF(COUNTIF(Principal!$AS$43:$AS$45,"Psiquicos")&gt;0,"PC exclusivos Psíquica","")))</f>
        <v/>
      </c>
      <c r="H54" s="3508"/>
      <c r="I54" s="3508"/>
      <c r="J54" s="1857">
        <f>-Tablas!E234</f>
        <v>0</v>
      </c>
      <c r="K54" s="1752"/>
      <c r="L54" s="3429" t="s">
        <v>1767</v>
      </c>
      <c r="M54" s="3356" t="s">
        <v>1768</v>
      </c>
      <c r="N54" s="3356"/>
      <c r="O54" s="3361"/>
      <c r="P54" s="3361"/>
      <c r="Q54" s="1547">
        <f>IF(Cerrajería_final="-","-",Cerrajería_final+O54)</f>
        <v>-30</v>
      </c>
      <c r="R54" s="1760"/>
      <c r="S54" s="2580">
        <f>IF(V54="",MAX($S$41:S53)+1,0)</f>
        <v>13</v>
      </c>
      <c r="T54" s="2579">
        <f>IF(V54="",0,MAX($T$41:T53)+1)</f>
        <v>0</v>
      </c>
      <c r="U54" s="2611">
        <f>IF(V54="",Tablas!A13,IF(COUNTIF(V$42:V53,V54)&gt;0,V54&amp;COUNTIF(V$42:V53,V54)+1,V54&amp;1))</f>
        <v>13</v>
      </c>
      <c r="V54" s="3521"/>
      <c r="W54" s="3522"/>
      <c r="X54" s="3522"/>
      <c r="Y54" s="3522"/>
      <c r="Z54" s="3522"/>
      <c r="AA54" s="3522"/>
      <c r="AB54" s="3543"/>
      <c r="AC54" s="3544"/>
      <c r="AD54" s="3544"/>
      <c r="AE54" s="3544"/>
      <c r="AF54" s="3539"/>
      <c r="AG54" s="3539"/>
      <c r="AH54" s="3540"/>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c r="A55" s="45"/>
      <c r="B55" s="2310"/>
      <c r="K55" s="1752"/>
      <c r="L55" s="3429"/>
      <c r="M55" s="3356" t="s">
        <v>1770</v>
      </c>
      <c r="N55" s="3356"/>
      <c r="O55" s="3361"/>
      <c r="P55" s="3361"/>
      <c r="Q55" s="1547">
        <f>IF(Disfraz_final="-","-",Disfraz_final+O55)</f>
        <v>-30</v>
      </c>
      <c r="R55" s="1760"/>
      <c r="S55" s="2580">
        <f>IF(V55="",MAX($S$41:S54)+1,0)</f>
        <v>14</v>
      </c>
      <c r="T55" s="2579">
        <f>IF(V55="",0,MAX($T$41:T54)+1)</f>
        <v>0</v>
      </c>
      <c r="U55" s="2611">
        <f>IF(V55="",Tablas!A14,IF(COUNTIF(V$42:V54,V55)&gt;0,V55&amp;COUNTIF(V$42:V54,V55)+1,V55&amp;1))</f>
        <v>14</v>
      </c>
      <c r="V55" s="3521"/>
      <c r="W55" s="3522"/>
      <c r="X55" s="3522"/>
      <c r="Y55" s="3522"/>
      <c r="Z55" s="3522"/>
      <c r="AA55" s="3522"/>
      <c r="AB55" s="3543"/>
      <c r="AC55" s="3544"/>
      <c r="AD55" s="3544"/>
      <c r="AE55" s="3544"/>
      <c r="AF55" s="3539"/>
      <c r="AG55" s="3539"/>
      <c r="AH55" s="3540"/>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c r="A56" s="45"/>
      <c r="B56" s="2310"/>
      <c r="C56" s="3518" t="s">
        <v>1762</v>
      </c>
      <c r="D56" s="3287"/>
      <c r="E56" s="3287"/>
      <c r="F56" s="2453" t="s">
        <v>1674</v>
      </c>
      <c r="G56" s="2453" t="s">
        <v>1676</v>
      </c>
      <c r="H56" s="2453" t="s">
        <v>1763</v>
      </c>
      <c r="I56" s="2453" t="s">
        <v>1728</v>
      </c>
      <c r="J56" s="21" t="s">
        <v>1658</v>
      </c>
      <c r="K56" s="1752"/>
      <c r="L56" s="3429"/>
      <c r="M56" s="3356" t="s">
        <v>1772</v>
      </c>
      <c r="N56" s="3356"/>
      <c r="O56" s="3361">
        <f>PenNatural</f>
        <v>0</v>
      </c>
      <c r="P56" s="3361"/>
      <c r="Q56" s="1547">
        <f>IF(Ocultarse_final="-","-",Ocultarse_final+O56)</f>
        <v>-30</v>
      </c>
      <c r="R56" s="1760"/>
      <c r="S56" s="2580">
        <f>IF(V56="",MAX($S$41:S55)+1,0)</f>
        <v>15</v>
      </c>
      <c r="T56" s="2579">
        <f>IF(V56="",0,MAX($T$41:T55)+1)</f>
        <v>0</v>
      </c>
      <c r="U56" s="2611">
        <f>IF(V56="",Tablas!A15,IF(COUNTIF(V$42:V55,V56)&gt;0,V56&amp;COUNTIF(V$42:V55,V56)+1,V56&amp;1))</f>
        <v>15</v>
      </c>
      <c r="V56" s="3521"/>
      <c r="W56" s="3522"/>
      <c r="X56" s="3522"/>
      <c r="Y56" s="3522"/>
      <c r="Z56" s="3522"/>
      <c r="AA56" s="3522"/>
      <c r="AB56" s="3543"/>
      <c r="AC56" s="3544"/>
      <c r="AD56" s="3544"/>
      <c r="AE56" s="3544"/>
      <c r="AF56" s="3539"/>
      <c r="AG56" s="3539"/>
      <c r="AH56" s="3540"/>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c r="A57" s="45"/>
      <c r="B57" s="2310"/>
      <c r="C57" s="3519"/>
      <c r="D57" s="3510" t="s">
        <v>1765</v>
      </c>
      <c r="E57" s="3510"/>
      <c r="F57" s="2445">
        <f>IF(SUM(PDs!$S$5:$S$14)=0,20,25+(SUM(PDs!$S$5:$S$14)*5))</f>
        <v>30</v>
      </c>
      <c r="G57" s="2445" t="s">
        <v>1766</v>
      </c>
      <c r="H57" s="2445" t="s">
        <v>1766</v>
      </c>
      <c r="I57" s="107"/>
      <c r="J57" s="95">
        <f>F57+I57</f>
        <v>30</v>
      </c>
      <c r="K57" s="2118"/>
      <c r="L57" s="3429"/>
      <c r="M57" s="3356" t="s">
        <v>1774</v>
      </c>
      <c r="N57" s="3356"/>
      <c r="O57" s="3361"/>
      <c r="P57" s="3361"/>
      <c r="Q57" s="1547">
        <f>IF(Robo_final="-","-",Robo_final+O57)</f>
        <v>-30</v>
      </c>
      <c r="R57" s="1760"/>
      <c r="S57" s="2580">
        <f>IF(V57="",MAX($S$41:S56)+1,0)</f>
        <v>16</v>
      </c>
      <c r="T57" s="2579">
        <f>IF(V57="",0,MAX($T$41:T56)+1)</f>
        <v>0</v>
      </c>
      <c r="U57" s="2611">
        <f>IF(V57="",Tablas!A16,IF(COUNTIF(V$42:V56,V57)&gt;0,V57&amp;COUNTIF(V$42:V56,V57)+1,V57&amp;1))</f>
        <v>16</v>
      </c>
      <c r="V57" s="3521"/>
      <c r="W57" s="3522"/>
      <c r="X57" s="3522"/>
      <c r="Y57" s="3522"/>
      <c r="Z57" s="3522"/>
      <c r="AA57" s="3522"/>
      <c r="AB57" s="3543"/>
      <c r="AC57" s="3544"/>
      <c r="AD57" s="3544"/>
      <c r="AE57" s="3544"/>
      <c r="AF57" s="3539"/>
      <c r="AG57" s="3539"/>
      <c r="AH57" s="3540"/>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c r="A58" s="45"/>
      <c r="B58" s="2310"/>
      <c r="C58" s="3519"/>
      <c r="D58" s="3510" t="s">
        <v>1769</v>
      </c>
      <c r="E58" s="3510"/>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429"/>
      <c r="M58" s="3356" t="s">
        <v>1776</v>
      </c>
      <c r="N58" s="3356"/>
      <c r="O58" s="3361">
        <f>MIN(MAX(Combate!J17-Combate!J16+Principal!H28,Combate!J17),TRUNC(Combate!J17/2,0))+MAX(MIN(-20*IF(OR(Combate!E12=0,Combate!B12="Natural"),0,1)-20*IF(OR(Combate!E13=0,Combate!B13="Natural"),0,1)-20*IF(OR(Combate!E14=0,Combate!B14="Natural"),0,1)+20,0),-40)</f>
        <v>0</v>
      </c>
      <c r="P58" s="3361"/>
      <c r="Q58" s="1547">
        <f>IF(Sigilo_final="-","-",Sigilo_final+O58)</f>
        <v>-30</v>
      </c>
      <c r="R58" s="1760"/>
      <c r="S58" s="2580">
        <f>IF(V58="",MAX($S$41:S57)+1,0)</f>
        <v>17</v>
      </c>
      <c r="T58" s="2579">
        <f>IF(V58="",0,MAX($T$41:T57)+1)</f>
        <v>0</v>
      </c>
      <c r="U58" s="2611">
        <f>IF(V58="",Tablas!A17,IF(COUNTIF(V$42:V57,V58)&gt;0,V58&amp;COUNTIF(V$42:V57,V58)+1,V58&amp;1))</f>
        <v>17</v>
      </c>
      <c r="V58" s="3521"/>
      <c r="W58" s="3522"/>
      <c r="X58" s="3522"/>
      <c r="Y58" s="3522"/>
      <c r="Z58" s="3522"/>
      <c r="AA58" s="3522"/>
      <c r="AB58" s="3543"/>
      <c r="AC58" s="3544"/>
      <c r="AD58" s="3544"/>
      <c r="AE58" s="3544"/>
      <c r="AF58" s="3539"/>
      <c r="AG58" s="3539"/>
      <c r="AH58" s="3540"/>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c r="A59" s="45"/>
      <c r="B59" s="2310"/>
      <c r="C59" s="3519"/>
      <c r="D59" s="3510" t="s">
        <v>1771</v>
      </c>
      <c r="E59" s="3510"/>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429"/>
      <c r="M59" s="3356" t="s">
        <v>1778</v>
      </c>
      <c r="N59" s="3356"/>
      <c r="O59" s="3361"/>
      <c r="P59" s="3361"/>
      <c r="Q59" s="1547">
        <f>IF(Trampería_final="-","-",Trampería_final+O59)</f>
        <v>-30</v>
      </c>
      <c r="R59" s="1760"/>
      <c r="S59" s="2580">
        <f>IF(V59="",MAX($S$41:S58)+1,0)</f>
        <v>18</v>
      </c>
      <c r="T59" s="2579">
        <f>IF(V59="",0,MAX($T$41:T58)+1)</f>
        <v>0</v>
      </c>
      <c r="U59" s="2611">
        <f>IF(V59="",Tablas!A18,IF(COUNTIF(V$42:V58,V59)&gt;0,V59&amp;COUNTIF(V$42:V58,V59)+1,V59&amp;1))</f>
        <v>18</v>
      </c>
      <c r="V59" s="3521"/>
      <c r="W59" s="3522"/>
      <c r="X59" s="3522"/>
      <c r="Y59" s="3522"/>
      <c r="Z59" s="3522"/>
      <c r="AA59" s="3522"/>
      <c r="AB59" s="3543"/>
      <c r="AC59" s="3544"/>
      <c r="AD59" s="3544"/>
      <c r="AE59" s="3544"/>
      <c r="AF59" s="3539"/>
      <c r="AG59" s="3539"/>
      <c r="AH59" s="3540"/>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c r="A60" s="45"/>
      <c r="B60" s="2310"/>
      <c r="C60" s="3519"/>
      <c r="D60" s="3510" t="s">
        <v>1773</v>
      </c>
      <c r="E60" s="3510"/>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429"/>
      <c r="M60" s="3356" t="s">
        <v>1779</v>
      </c>
      <c r="N60" s="3356"/>
      <c r="O60" s="3361"/>
      <c r="P60" s="3361"/>
      <c r="Q60" s="1547">
        <f>IF(Venenos_final="-","-",Venenos_final+O60)</f>
        <v>-30</v>
      </c>
      <c r="R60" s="1760"/>
      <c r="S60" s="2580">
        <f>IF(V60="",MAX($S$41:S59)+1,0)</f>
        <v>19</v>
      </c>
      <c r="T60" s="2579">
        <f>IF(V60="",0,MAX($T$41:T59)+1)</f>
        <v>0</v>
      </c>
      <c r="U60" s="2611">
        <f>IF(V60="",Tablas!A19,IF(COUNTIF(V$42:V59,V60)&gt;0,V60&amp;COUNTIF(V$42:V59,V60)+1,V60&amp;1))</f>
        <v>19</v>
      </c>
      <c r="V60" s="3521"/>
      <c r="W60" s="3522"/>
      <c r="X60" s="3522"/>
      <c r="Y60" s="3522"/>
      <c r="Z60" s="3522"/>
      <c r="AA60" s="3522"/>
      <c r="AB60" s="3543"/>
      <c r="AC60" s="3544"/>
      <c r="AD60" s="3544"/>
      <c r="AE60" s="3544"/>
      <c r="AF60" s="3539"/>
      <c r="AG60" s="3539"/>
      <c r="AH60" s="3540"/>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c r="A61" s="45"/>
      <c r="B61" s="2310"/>
      <c r="C61" s="3519"/>
      <c r="D61" s="3510" t="s">
        <v>1775</v>
      </c>
      <c r="E61" s="3510"/>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428" t="s">
        <v>1780</v>
      </c>
      <c r="M61" s="3376" t="s">
        <v>1781</v>
      </c>
      <c r="N61" s="3376"/>
      <c r="O61" s="3374"/>
      <c r="P61" s="3374"/>
      <c r="Q61" s="1546">
        <f>IF(Arte_final="-","-",Arte_final+O61)</f>
        <v>-30</v>
      </c>
      <c r="R61" s="1760"/>
      <c r="S61" s="2580">
        <f>IF(V61="",MAX($S$41:S60)+1,0)</f>
        <v>20</v>
      </c>
      <c r="T61" s="2579">
        <f>IF(V61="",0,MAX($T$41:T60)+1)</f>
        <v>0</v>
      </c>
      <c r="U61" s="2611">
        <f>IF(V61="",Tablas!A20,IF(COUNTIF(V$42:V60,V61)&gt;0,V61&amp;COUNTIF(V$42:V60,V61)+1,V61&amp;1))</f>
        <v>20</v>
      </c>
      <c r="V61" s="3521"/>
      <c r="W61" s="3522"/>
      <c r="X61" s="3522"/>
      <c r="Y61" s="3522"/>
      <c r="Z61" s="3522"/>
      <c r="AA61" s="3522"/>
      <c r="AB61" s="3543"/>
      <c r="AC61" s="3544"/>
      <c r="AD61" s="3544"/>
      <c r="AE61" s="3544"/>
      <c r="AF61" s="3539"/>
      <c r="AG61" s="3539"/>
      <c r="AH61" s="3540"/>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c r="A62" s="45"/>
      <c r="B62" s="2310"/>
      <c r="C62" s="3519"/>
      <c r="D62" s="3511" t="s">
        <v>1777</v>
      </c>
      <c r="E62" s="3511"/>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429"/>
      <c r="M62" s="3356" t="s">
        <v>1782</v>
      </c>
      <c r="N62" s="3356"/>
      <c r="O62" s="3361">
        <f>PenNatural</f>
        <v>0</v>
      </c>
      <c r="P62" s="3361"/>
      <c r="Q62" s="1547">
        <f>IF(Baile_final="-","-",Baile_final+O62)</f>
        <v>-30</v>
      </c>
      <c r="R62" s="1760"/>
      <c r="S62" s="2580">
        <f>IF(V62="",MAX($S$41:S61)+1,0)</f>
        <v>21</v>
      </c>
      <c r="T62" s="2579">
        <f>IF(V62="",0,MAX($T$41:T61)+1)</f>
        <v>0</v>
      </c>
      <c r="U62" s="2611">
        <f>IF(V62="",Tablas!A21,IF(COUNTIF(V$42:V61,V62)&gt;0,V62&amp;COUNTIF(V$42:V61,V62)+1,V62&amp;1))</f>
        <v>21</v>
      </c>
      <c r="V62" s="3521"/>
      <c r="W62" s="3522"/>
      <c r="X62" s="3522"/>
      <c r="Y62" s="3522"/>
      <c r="Z62" s="3522"/>
      <c r="AA62" s="3522"/>
      <c r="AB62" s="3543"/>
      <c r="AC62" s="3544"/>
      <c r="AD62" s="3544"/>
      <c r="AE62" s="3544"/>
      <c r="AF62" s="3539"/>
      <c r="AG62" s="3539"/>
      <c r="AH62" s="3540"/>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c r="A63" s="45"/>
      <c r="B63" s="2310"/>
      <c r="C63" s="3519"/>
      <c r="D63" s="2444" t="s">
        <v>1688</v>
      </c>
      <c r="E63" s="3512"/>
      <c r="F63" s="3512"/>
      <c r="G63" s="3512"/>
      <c r="H63" s="3512"/>
      <c r="I63" s="3512"/>
      <c r="J63" s="3512"/>
      <c r="K63" s="1752"/>
      <c r="L63" s="3429"/>
      <c r="M63" s="3356" t="s">
        <v>1783</v>
      </c>
      <c r="N63" s="3356"/>
      <c r="O63" s="3361"/>
      <c r="P63" s="3361"/>
      <c r="Q63" s="1547" t="str">
        <f>IF(Forja_final="-","-",Forja_final+O63)</f>
        <v>-</v>
      </c>
      <c r="R63" s="1760"/>
      <c r="S63" s="2580">
        <f>IF(V63="",MAX($S$41:S62)+1,0)</f>
        <v>22</v>
      </c>
      <c r="T63" s="2579">
        <f>IF(V63="",0,MAX($T$41:T62)+1)</f>
        <v>0</v>
      </c>
      <c r="U63" s="2611">
        <f>IF(V63="",Tablas!A22,IF(COUNTIF(V$42:V62,V63)&gt;0,V63&amp;COUNTIF(V$42:V62,V63)+1,V63&amp;1))</f>
        <v>22</v>
      </c>
      <c r="V63" s="3521"/>
      <c r="W63" s="3522"/>
      <c r="X63" s="3522"/>
      <c r="Y63" s="3522"/>
      <c r="Z63" s="3522"/>
      <c r="AA63" s="3522"/>
      <c r="AB63" s="3543"/>
      <c r="AC63" s="3544"/>
      <c r="AD63" s="3544"/>
      <c r="AE63" s="3544"/>
      <c r="AF63" s="3539"/>
      <c r="AG63" s="3539"/>
      <c r="AH63" s="3540"/>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c r="A64" s="45"/>
      <c r="B64" s="2310"/>
      <c r="C64" s="3519"/>
      <c r="D64" s="56"/>
      <c r="E64" s="3512"/>
      <c r="F64" s="3512"/>
      <c r="G64" s="3512"/>
      <c r="H64" s="3512"/>
      <c r="I64" s="3512"/>
      <c r="J64" s="3512"/>
      <c r="K64" s="1752"/>
      <c r="L64" s="3429"/>
      <c r="M64" s="3356" t="s">
        <v>1082</v>
      </c>
      <c r="N64" s="3356"/>
      <c r="O64" s="3361"/>
      <c r="P64" s="3361"/>
      <c r="Q64" s="1547" t="str">
        <f>IF(Runas_final="-","-",Runas_final+O64)</f>
        <v>-</v>
      </c>
      <c r="R64" s="1760"/>
      <c r="S64" s="2580">
        <f>IF(V64="",MAX($S$41:S63)+1,0)</f>
        <v>23</v>
      </c>
      <c r="T64" s="2579">
        <f>IF(V64="",0,MAX($T$41:T63)+1)</f>
        <v>0</v>
      </c>
      <c r="U64" s="2611">
        <f>IF(V64="",Tablas!A23,IF(COUNTIF(V$42:V63,V64)&gt;0,V64&amp;COUNTIF(V$42:V63,V64)+1,V64&amp;1))</f>
        <v>23</v>
      </c>
      <c r="V64" s="3521"/>
      <c r="W64" s="3522"/>
      <c r="X64" s="3522"/>
      <c r="Y64" s="3522"/>
      <c r="Z64" s="3522"/>
      <c r="AA64" s="3522"/>
      <c r="AB64" s="3543"/>
      <c r="AC64" s="3544"/>
      <c r="AD64" s="3544"/>
      <c r="AE64" s="3544"/>
      <c r="AF64" s="3539"/>
      <c r="AG64" s="3539"/>
      <c r="AH64" s="3540"/>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c r="A65" s="45"/>
      <c r="B65" s="2310"/>
      <c r="C65" s="3520"/>
      <c r="D65" s="350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05"/>
      <c r="F65" s="3505"/>
      <c r="G65" s="3505"/>
      <c r="H65" s="3505"/>
      <c r="I65" s="3505"/>
      <c r="J65" s="3505"/>
      <c r="K65" s="1752"/>
      <c r="L65" s="3429"/>
      <c r="M65" s="3356" t="s">
        <v>1083</v>
      </c>
      <c r="N65" s="3356"/>
      <c r="O65" s="3361"/>
      <c r="P65" s="3361"/>
      <c r="Q65" s="1547" t="str">
        <f>IF(Alquimia_final="-","-",Alquimia_final+O65)</f>
        <v>-</v>
      </c>
      <c r="R65" s="1760"/>
      <c r="S65" s="2580">
        <f>IF(V65="",MAX($S$41:S64)+1,0)</f>
        <v>24</v>
      </c>
      <c r="T65" s="2579">
        <f>IF(V65="",0,MAX($T$41:T64)+1)</f>
        <v>0</v>
      </c>
      <c r="U65" s="2611">
        <f>IF(V65="",Tablas!A24,IF(COUNTIF(V$42:V64,V65)&gt;0,V65&amp;COUNTIF(V$42:V64,V65)+1,V65&amp;1))</f>
        <v>24</v>
      </c>
      <c r="V65" s="3521"/>
      <c r="W65" s="3522"/>
      <c r="X65" s="3522"/>
      <c r="Y65" s="3522"/>
      <c r="Z65" s="3522"/>
      <c r="AA65" s="3522"/>
      <c r="AB65" s="3543"/>
      <c r="AC65" s="3544"/>
      <c r="AD65" s="3544"/>
      <c r="AE65" s="3544"/>
      <c r="AF65" s="3539"/>
      <c r="AG65" s="3539"/>
      <c r="AH65" s="3540"/>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c r="A66" s="45"/>
      <c r="B66" s="2310"/>
      <c r="F66" s="67"/>
      <c r="K66" s="1752"/>
      <c r="L66" s="3429"/>
      <c r="M66" s="3356" t="s">
        <v>1084</v>
      </c>
      <c r="N66" s="3356"/>
      <c r="O66" s="3361"/>
      <c r="P66" s="3361"/>
      <c r="Q66" s="1547" t="str">
        <f>IF(Animismo_final="-","-",Animismo_final+O66)</f>
        <v>-</v>
      </c>
      <c r="R66" s="1760"/>
      <c r="S66" s="2580">
        <f>IF(V66="",MAX($S$41:S65)+1,0)</f>
        <v>25</v>
      </c>
      <c r="T66" s="2579">
        <f>IF(V66="",0,MAX($T$41:T65)+1)</f>
        <v>0</v>
      </c>
      <c r="U66" s="2611">
        <f>IF(V66="",Tablas!A25,IF(COUNTIF(V$42:V65,V66)&gt;0,V66&amp;COUNTIF(V$42:V65,V66)+1,V66&amp;1))</f>
        <v>25</v>
      </c>
      <c r="V66" s="3521"/>
      <c r="W66" s="3522"/>
      <c r="X66" s="3522"/>
      <c r="Y66" s="3522"/>
      <c r="Z66" s="3522"/>
      <c r="AA66" s="3522"/>
      <c r="AB66" s="3543"/>
      <c r="AC66" s="3544"/>
      <c r="AD66" s="3544"/>
      <c r="AE66" s="3544"/>
      <c r="AF66" s="3539"/>
      <c r="AG66" s="3539"/>
      <c r="AH66" s="3540"/>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c r="A67" s="45"/>
      <c r="B67" s="2310"/>
      <c r="C67" s="3549" t="s">
        <v>1785</v>
      </c>
      <c r="D67" s="3549"/>
      <c r="E67" s="110">
        <f>IF(INT=0,0,VLOOKUP(INT,Tabla_Idiomas,2))</f>
        <v>0</v>
      </c>
      <c r="F67" s="67"/>
      <c r="G67" s="3550" t="s">
        <v>1786</v>
      </c>
      <c r="H67" s="3551"/>
      <c r="I67" s="3551"/>
      <c r="J67" s="3552"/>
      <c r="K67" s="1752"/>
      <c r="L67" s="3429"/>
      <c r="M67" s="3356" t="s">
        <v>1784</v>
      </c>
      <c r="N67" s="3356"/>
      <c r="O67" s="3361"/>
      <c r="P67" s="3361"/>
      <c r="Q67" s="1547" t="str">
        <f>IF(Música_final="-","-",Música_final+O67)</f>
        <v>-</v>
      </c>
      <c r="R67" s="1760"/>
      <c r="S67" s="2580">
        <f>IF(V67="",MAX($S$41:S66)+1,0)</f>
        <v>26</v>
      </c>
      <c r="T67" s="2579">
        <f>IF(V67="",0,MAX($T$41:T66)+1)</f>
        <v>0</v>
      </c>
      <c r="U67" s="2611">
        <f>IF(V67="",Tablas!A26,IF(COUNTIF(V$42:V66,V67)&gt;0,V67&amp;COUNTIF(V$42:V66,V67)+1,V67&amp;1))</f>
        <v>26</v>
      </c>
      <c r="V67" s="3521"/>
      <c r="W67" s="3522"/>
      <c r="X67" s="3522"/>
      <c r="Y67" s="3522"/>
      <c r="Z67" s="3522"/>
      <c r="AA67" s="3522"/>
      <c r="AB67" s="3543"/>
      <c r="AC67" s="3544"/>
      <c r="AD67" s="3544"/>
      <c r="AE67" s="3544"/>
      <c r="AF67" s="3539"/>
      <c r="AG67" s="3539"/>
      <c r="AH67" s="3540"/>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c r="A68" s="45"/>
      <c r="B68" s="2310"/>
      <c r="C68" s="91" t="s">
        <v>1674</v>
      </c>
      <c r="D68" s="3555"/>
      <c r="E68" s="3555"/>
      <c r="F68" s="67"/>
      <c r="G68" s="3558"/>
      <c r="H68" s="3559"/>
      <c r="I68" s="3559"/>
      <c r="J68" s="3560"/>
      <c r="K68" s="1752"/>
      <c r="L68" s="3429"/>
      <c r="M68" s="3356" t="s">
        <v>1787</v>
      </c>
      <c r="N68" s="3356"/>
      <c r="O68" s="3361"/>
      <c r="P68" s="3361"/>
      <c r="Q68" s="1547">
        <f>IF(T.Manos_final="-","-",T.Manos_final+O68)</f>
        <v>-30</v>
      </c>
      <c r="R68" s="1760"/>
      <c r="S68" s="2580">
        <f>IF(V68="",MAX($S$41:S67)+1,0)</f>
        <v>27</v>
      </c>
      <c r="T68" s="2579">
        <f>IF(V68="",0,MAX($T$41:T67)+1)</f>
        <v>0</v>
      </c>
      <c r="U68" s="2611">
        <f>IF(V68="",Tablas!A27,IF(COUNTIF(V$42:V67,V68)&gt;0,V68&amp;COUNTIF(V$42:V67,V68)+1,V68&amp;1))</f>
        <v>27</v>
      </c>
      <c r="V68" s="3521"/>
      <c r="W68" s="3522"/>
      <c r="X68" s="3522"/>
      <c r="Y68" s="3522"/>
      <c r="Z68" s="3522"/>
      <c r="AA68" s="3522"/>
      <c r="AB68" s="3543"/>
      <c r="AC68" s="3544"/>
      <c r="AD68" s="3544"/>
      <c r="AE68" s="3544"/>
      <c r="AF68" s="3539"/>
      <c r="AG68" s="3539"/>
      <c r="AH68" s="3540"/>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c r="A69" s="45"/>
      <c r="B69" s="2310"/>
      <c r="C69" s="111" t="s">
        <v>1789</v>
      </c>
      <c r="D69" s="3509"/>
      <c r="E69" s="3509"/>
      <c r="F69" s="67"/>
      <c r="G69" s="3561"/>
      <c r="H69" s="3562"/>
      <c r="I69" s="3562"/>
      <c r="J69" s="3563"/>
      <c r="K69" s="1752"/>
      <c r="L69" s="3429"/>
      <c r="M69" s="3356" t="s">
        <v>7753</v>
      </c>
      <c r="N69" s="3356"/>
      <c r="O69" s="3361"/>
      <c r="P69" s="3361"/>
      <c r="Q69" s="1547" t="str">
        <f>IF(Caligrafíaritual_final="-","-",Caligrafíaritual_final+O69)</f>
        <v>-</v>
      </c>
      <c r="R69" s="1760"/>
      <c r="S69" s="2580">
        <f>IF(V69="",MAX($S$41:S68)+1,0)</f>
        <v>28</v>
      </c>
      <c r="T69" s="2579">
        <f>IF(V69="",0,MAX($T$41:T68)+1)</f>
        <v>0</v>
      </c>
      <c r="U69" s="2611">
        <f>IF(V69="",Tablas!A28,IF(COUNTIF(V$42:V68,V69)&gt;0,V69&amp;COUNTIF(V$42:V68,V69)+1,V69&amp;1))</f>
        <v>28</v>
      </c>
      <c r="V69" s="3527"/>
      <c r="W69" s="3528"/>
      <c r="X69" s="3528"/>
      <c r="Y69" s="3528"/>
      <c r="Z69" s="3528"/>
      <c r="AA69" s="3528"/>
      <c r="AB69" s="3577"/>
      <c r="AC69" s="3578"/>
      <c r="AD69" s="3578"/>
      <c r="AE69" s="3578"/>
      <c r="AF69" s="3541"/>
      <c r="AG69" s="3541"/>
      <c r="AH69" s="3542"/>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c r="A70" s="45"/>
      <c r="B70" s="2310"/>
      <c r="C70" s="94" t="s">
        <v>1790</v>
      </c>
      <c r="D70" s="3509"/>
      <c r="E70" s="3509"/>
      <c r="F70" s="67"/>
      <c r="G70" s="3561"/>
      <c r="H70" s="3562"/>
      <c r="I70" s="3562"/>
      <c r="J70" s="3563"/>
      <c r="K70" s="1756"/>
      <c r="L70" s="3429"/>
      <c r="M70" s="3356" t="s">
        <v>7754</v>
      </c>
      <c r="N70" s="3356"/>
      <c r="O70" s="3361"/>
      <c r="P70" s="3361"/>
      <c r="Q70" s="1547">
        <f>IF(Orfebrería_final="-","-",Orfebrería_final+O70)</f>
        <v>-30</v>
      </c>
      <c r="R70" s="2315"/>
      <c r="S70" s="2578"/>
      <c r="T70" s="2579"/>
      <c r="U70" s="2610"/>
      <c r="V70" s="3529"/>
      <c r="W70" s="3530"/>
      <c r="X70" s="3530"/>
      <c r="Y70" s="3530"/>
      <c r="Z70" s="3530"/>
      <c r="AA70" s="3530"/>
      <c r="AB70" s="3533"/>
      <c r="AC70" s="3534"/>
      <c r="AD70" s="3534"/>
      <c r="AE70" s="3534"/>
      <c r="AF70" s="3534"/>
      <c r="AG70" s="3534"/>
      <c r="AH70" s="3535"/>
      <c r="AI70" s="3525"/>
      <c r="AJ70" s="3523"/>
      <c r="AK70" s="2962"/>
      <c r="AL70" s="1778"/>
      <c r="AW70" s="1846"/>
      <c r="AX70" s="2950"/>
      <c r="AY70" s="1846"/>
      <c r="AZ70" s="2853"/>
      <c r="BA70" s="2853"/>
      <c r="BB70" s="2854"/>
      <c r="BC70" s="2854"/>
      <c r="BD70" s="2816"/>
      <c r="BE70" s="2816"/>
      <c r="BF70" s="2816"/>
      <c r="BG70" s="2816"/>
    </row>
    <row r="71" spans="1:59" ht="12" customHeight="1">
      <c r="A71" s="45"/>
      <c r="B71" s="2310"/>
      <c r="C71" s="94" t="s">
        <v>1791</v>
      </c>
      <c r="D71" s="3509"/>
      <c r="E71" s="3509"/>
      <c r="F71" s="67"/>
      <c r="G71" s="3561"/>
      <c r="H71" s="3562"/>
      <c r="I71" s="3562"/>
      <c r="J71" s="3563"/>
      <c r="K71" s="1756"/>
      <c r="L71" s="3429"/>
      <c r="M71" s="3356" t="s">
        <v>7755</v>
      </c>
      <c r="N71" s="3356"/>
      <c r="O71" s="3361"/>
      <c r="P71" s="3361"/>
      <c r="Q71" s="1547" t="str">
        <f>IF(Confección_final="-","-",Confección_final+O71)</f>
        <v>-</v>
      </c>
      <c r="R71" s="2315"/>
      <c r="S71" s="2578"/>
      <c r="T71" s="2579"/>
      <c r="U71" s="2610"/>
      <c r="V71" s="3531"/>
      <c r="W71" s="3532"/>
      <c r="X71" s="3532"/>
      <c r="Y71" s="3532"/>
      <c r="Z71" s="3532"/>
      <c r="AA71" s="3532"/>
      <c r="AB71" s="3536"/>
      <c r="AC71" s="3537"/>
      <c r="AD71" s="3537"/>
      <c r="AE71" s="3537"/>
      <c r="AF71" s="3537"/>
      <c r="AG71" s="3537"/>
      <c r="AH71" s="3538"/>
      <c r="AI71" s="3526"/>
      <c r="AJ71" s="3524"/>
      <c r="AK71" s="2962"/>
      <c r="AL71" s="1778"/>
      <c r="AW71" s="1846"/>
      <c r="AX71" s="2950"/>
      <c r="AY71" s="1846"/>
      <c r="AZ71" s="2853"/>
      <c r="BA71" s="2853"/>
      <c r="BB71" s="2854"/>
      <c r="BC71" s="2854"/>
      <c r="BD71" s="2816"/>
      <c r="BE71" s="2816"/>
      <c r="BF71" s="2816"/>
      <c r="BG71" s="2816"/>
    </row>
    <row r="72" spans="1:59" ht="12" customHeight="1" thickBot="1">
      <c r="A72" s="45"/>
      <c r="B72" s="2310"/>
      <c r="C72" s="94" t="s">
        <v>1792</v>
      </c>
      <c r="D72" s="3509"/>
      <c r="E72" s="3509"/>
      <c r="F72" s="63"/>
      <c r="G72" s="3561"/>
      <c r="H72" s="3562"/>
      <c r="I72" s="3562"/>
      <c r="J72" s="3563"/>
      <c r="K72" s="1752"/>
      <c r="L72" s="3430"/>
      <c r="M72" s="3557" t="s">
        <v>7756</v>
      </c>
      <c r="N72" s="3557"/>
      <c r="O72" s="3451"/>
      <c r="P72" s="3451"/>
      <c r="Q72" s="1548" t="str">
        <f>IF(Conf.marionetas_final="-","-",Conf.marionetas_final+O72)</f>
        <v>-</v>
      </c>
      <c r="R72" s="1760"/>
      <c r="S72" s="2578"/>
      <c r="T72" s="2579"/>
      <c r="U72" s="2610"/>
      <c r="V72" s="3545" t="str">
        <f>IF(SUM(AJ42:AJ69)&gt;PDs!T5/2,"Exceso de PDs en Poderes","")</f>
        <v/>
      </c>
      <c r="W72" s="3545"/>
      <c r="X72" s="3545"/>
      <c r="Y72" s="3545"/>
      <c r="Z72" s="3545"/>
      <c r="AA72" s="3545"/>
      <c r="AB72" s="3545"/>
      <c r="AC72" s="3545"/>
      <c r="AD72" s="3545"/>
      <c r="AE72" s="3545"/>
      <c r="AF72" s="3545"/>
      <c r="AG72" s="3545"/>
      <c r="AH72" s="3545"/>
      <c r="AI72" s="3545"/>
      <c r="AJ72" s="3545"/>
      <c r="AK72" s="2962"/>
      <c r="AL72" s="1778"/>
      <c r="AW72" s="1846"/>
      <c r="AX72" s="2950"/>
      <c r="AY72" s="1846"/>
      <c r="AZ72" s="2853"/>
      <c r="BA72" s="2853"/>
      <c r="BB72" s="2854"/>
      <c r="BC72" s="2854"/>
      <c r="BD72" s="2816"/>
      <c r="BE72" s="2816"/>
      <c r="BF72" s="2816"/>
      <c r="BG72" s="2816"/>
    </row>
    <row r="73" spans="1:59" ht="12" customHeight="1">
      <c r="A73" s="45"/>
      <c r="B73" s="2310"/>
      <c r="C73" s="94" t="s">
        <v>1793</v>
      </c>
      <c r="D73" s="3509"/>
      <c r="E73" s="3509"/>
      <c r="F73" s="63"/>
      <c r="G73" s="3561"/>
      <c r="H73" s="3562"/>
      <c r="I73" s="3562"/>
      <c r="J73" s="3563"/>
      <c r="K73" s="1752"/>
      <c r="L73" s="3429" t="s">
        <v>1788</v>
      </c>
      <c r="M73" s="3356" t="str">
        <f>IF(PDs!E177="","-",PDs!E177)</f>
        <v>-</v>
      </c>
      <c r="N73" s="3356"/>
      <c r="O73" s="3361"/>
      <c r="P73" s="3361"/>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c r="A74" s="45"/>
      <c r="B74" s="2310"/>
      <c r="C74" s="94" t="s">
        <v>1794</v>
      </c>
      <c r="D74" s="3509"/>
      <c r="E74" s="3509"/>
      <c r="F74" s="63"/>
      <c r="G74" s="3561"/>
      <c r="H74" s="3562"/>
      <c r="I74" s="3562"/>
      <c r="J74" s="3563"/>
      <c r="K74" s="1752"/>
      <c r="L74" s="3429"/>
      <c r="M74" s="3356" t="str">
        <f>IF(PDs!E178="","-",PDs!E178)</f>
        <v>-</v>
      </c>
      <c r="N74" s="3356"/>
      <c r="O74" s="3361"/>
      <c r="P74" s="3361"/>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c r="A75" s="45"/>
      <c r="B75" s="2310"/>
      <c r="C75" s="94" t="s">
        <v>1796</v>
      </c>
      <c r="D75" s="3509"/>
      <c r="E75" s="3509"/>
      <c r="F75" s="63"/>
      <c r="G75" s="3564"/>
      <c r="H75" s="3565"/>
      <c r="I75" s="3565"/>
      <c r="J75" s="3566"/>
      <c r="K75" s="1752"/>
      <c r="L75" s="3429"/>
      <c r="M75" s="3356" t="str">
        <f>IF(PDs!E179="","-",PDs!E179)</f>
        <v>-</v>
      </c>
      <c r="N75" s="3356"/>
      <c r="O75" s="3361"/>
      <c r="P75" s="3361"/>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c r="A76" s="45"/>
      <c r="B76" s="2310"/>
      <c r="C76" s="94" t="s">
        <v>1797</v>
      </c>
      <c r="D76" s="3509"/>
      <c r="E76" s="3509"/>
      <c r="F76" s="63"/>
      <c r="G76" s="3556" t="s">
        <v>1795</v>
      </c>
      <c r="H76" s="3556"/>
      <c r="I76" s="3556"/>
      <c r="J76" s="2928">
        <f>IF(TipoDeCriatura="Natural",IF(AB14&gt;19,9,IF(AB14&gt;14,6,IF(AB14&gt;9,3,0))),"")</f>
        <v>3</v>
      </c>
      <c r="K76" s="1752"/>
      <c r="L76" s="3429"/>
      <c r="M76" s="3356" t="str">
        <f>IF(PDs!E180="","-",PDs!E180)</f>
        <v>-</v>
      </c>
      <c r="N76" s="3356"/>
      <c r="O76" s="3361"/>
      <c r="P76" s="3361"/>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c r="A77" s="45"/>
      <c r="B77" s="2310"/>
      <c r="C77" s="113" t="s">
        <v>1798</v>
      </c>
      <c r="D77" s="3548"/>
      <c r="E77" s="3548"/>
      <c r="F77" s="63"/>
      <c r="G77" s="3547" t="s">
        <v>8665</v>
      </c>
      <c r="H77" s="3547"/>
      <c r="I77" s="3547"/>
      <c r="J77" s="24"/>
      <c r="K77" s="1752"/>
      <c r="L77" s="3553"/>
      <c r="M77" s="3554" t="str">
        <f>IF(PDs!E181="","-",PDs!E181)</f>
        <v>-</v>
      </c>
      <c r="N77" s="3554"/>
      <c r="O77" s="3546"/>
      <c r="P77" s="3546"/>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724" priority="60" stopIfTrue="1">
      <formula>NA()</formula>
    </cfRule>
    <cfRule type="expression" dxfId="723" priority="61" stopIfTrue="1">
      <formula>NA()</formula>
    </cfRule>
  </conditionalFormatting>
  <conditionalFormatting sqref="F35">
    <cfRule type="expression" dxfId="722" priority="62" stopIfTrue="1">
      <formula>A39=1</formula>
    </cfRule>
    <cfRule type="expression" dxfId="721" priority="63" stopIfTrue="1">
      <formula>A39</formula>
    </cfRule>
  </conditionalFormatting>
  <conditionalFormatting sqref="D111:G116">
    <cfRule type="cellIs" dxfId="720" priority="64" stopIfTrue="1" operator="equal">
      <formula>0</formula>
    </cfRule>
    <cfRule type="expression" dxfId="719" priority="65" stopIfTrue="1">
      <formula>NA()</formula>
    </cfRule>
    <cfRule type="expression" dxfId="718" priority="66" stopIfTrue="1">
      <formula>NA()</formula>
    </cfRule>
  </conditionalFormatting>
  <conditionalFormatting sqref="C111:C116">
    <cfRule type="cellIs" dxfId="717" priority="67" stopIfTrue="1" operator="equal">
      <formula>0</formula>
    </cfRule>
    <cfRule type="expression" dxfId="716" priority="68" stopIfTrue="1">
      <formula>F1=1</formula>
    </cfRule>
    <cfRule type="expression" dxfId="715" priority="69" stopIfTrue="1">
      <formula>F1=2</formula>
    </cfRule>
  </conditionalFormatting>
  <conditionalFormatting sqref="AF35:AJ35">
    <cfRule type="expression" dxfId="714" priority="72" stopIfTrue="1">
      <formula>F1=1</formula>
    </cfRule>
    <cfRule type="expression" dxfId="713" priority="73" stopIfTrue="1">
      <formula>F1=2</formula>
    </cfRule>
  </conditionalFormatting>
  <conditionalFormatting sqref="AF30">
    <cfRule type="expression" dxfId="712" priority="74" stopIfTrue="1">
      <formula>F1=1</formula>
    </cfRule>
    <cfRule type="expression" dxfId="711" priority="75" stopIfTrue="1">
      <formula>F1=2</formula>
    </cfRule>
    <cfRule type="cellIs" dxfId="710" priority="76" stopIfTrue="1" operator="equal">
      <formula>0</formula>
    </cfRule>
  </conditionalFormatting>
  <conditionalFormatting sqref="AI42 AI12:AI23">
    <cfRule type="cellIs" dxfId="709" priority="77" stopIfTrue="1" operator="greaterThan">
      <formula>$AB$13</formula>
    </cfRule>
  </conditionalFormatting>
  <conditionalFormatting sqref="J34">
    <cfRule type="cellIs" dxfId="708" priority="81" stopIfTrue="1" operator="lessThan">
      <formula>0</formula>
    </cfRule>
  </conditionalFormatting>
  <conditionalFormatting sqref="V30">
    <cfRule type="expression" dxfId="707" priority="92" stopIfTrue="1">
      <formula>$V$39=1</formula>
    </cfRule>
    <cfRule type="expression" dxfId="706" priority="93" stopIfTrue="1">
      <formula>$V$39=2</formula>
    </cfRule>
    <cfRule type="cellIs" dxfId="705" priority="94" stopIfTrue="1" operator="equal">
      <formula>0</formula>
    </cfRule>
  </conditionalFormatting>
  <conditionalFormatting sqref="D35:E35">
    <cfRule type="expression" dxfId="704" priority="128" stopIfTrue="1">
      <formula>NA()</formula>
    </cfRule>
    <cfRule type="expression" dxfId="703" priority="129" stopIfTrue="1">
      <formula>NA()</formula>
    </cfRule>
  </conditionalFormatting>
  <conditionalFormatting sqref="C35">
    <cfRule type="expression" dxfId="702" priority="130" stopIfTrue="1">
      <formula>NA()</formula>
    </cfRule>
    <cfRule type="expression" dxfId="701" priority="131" stopIfTrue="1">
      <formula>NA()</formula>
    </cfRule>
  </conditionalFormatting>
  <conditionalFormatting sqref="D36:F36">
    <cfRule type="expression" dxfId="700" priority="132" stopIfTrue="1">
      <formula>NA()</formula>
    </cfRule>
    <cfRule type="expression" dxfId="699" priority="133" stopIfTrue="1">
      <formula>NA()</formula>
    </cfRule>
  </conditionalFormatting>
  <conditionalFormatting sqref="C36">
    <cfRule type="expression" dxfId="698" priority="134" stopIfTrue="1">
      <formula>NA()</formula>
    </cfRule>
    <cfRule type="expression" dxfId="697" priority="135" stopIfTrue="1">
      <formula>NA()</formula>
    </cfRule>
  </conditionalFormatting>
  <conditionalFormatting sqref="C40">
    <cfRule type="expression" dxfId="696" priority="136" stopIfTrue="1">
      <formula>NA()</formula>
    </cfRule>
    <cfRule type="expression" dxfId="695" priority="137" stopIfTrue="1">
      <formula>NA()</formula>
    </cfRule>
  </conditionalFormatting>
  <conditionalFormatting sqref="D38:F38">
    <cfRule type="expression" dxfId="694" priority="138" stopIfTrue="1">
      <formula>NA()</formula>
    </cfRule>
    <cfRule type="expression" dxfId="693" priority="139" stopIfTrue="1">
      <formula>NA()</formula>
    </cfRule>
  </conditionalFormatting>
  <conditionalFormatting sqref="C37:C38">
    <cfRule type="expression" dxfId="692" priority="140" stopIfTrue="1">
      <formula>NA()</formula>
    </cfRule>
    <cfRule type="expression" dxfId="691" priority="141" stopIfTrue="1">
      <formula>NA()</formula>
    </cfRule>
  </conditionalFormatting>
  <conditionalFormatting sqref="D37:F37">
    <cfRule type="expression" dxfId="690" priority="142" stopIfTrue="1">
      <formula>NA()</formula>
    </cfRule>
    <cfRule type="expression" dxfId="689" priority="143" stopIfTrue="1">
      <formula>NA()</formula>
    </cfRule>
  </conditionalFormatting>
  <conditionalFormatting sqref="AI70">
    <cfRule type="cellIs" dxfId="688" priority="160" stopIfTrue="1" operator="greaterThan">
      <formula>$AB$13</formula>
    </cfRule>
  </conditionalFormatting>
  <conditionalFormatting sqref="V69">
    <cfRule type="cellIs" dxfId="687" priority="161" stopIfTrue="1" operator="equal">
      <formula>"Armas naturales"</formula>
    </cfRule>
  </conditionalFormatting>
  <conditionalFormatting sqref="C46">
    <cfRule type="expression" dxfId="686" priority="44" stopIfTrue="1">
      <formula>NA()</formula>
    </cfRule>
    <cfRule type="expression" dxfId="685" priority="45" stopIfTrue="1">
      <formula>NA()</formula>
    </cfRule>
  </conditionalFormatting>
  <conditionalFormatting sqref="D43:F43">
    <cfRule type="expression" dxfId="684" priority="48" stopIfTrue="1">
      <formula>NA()</formula>
    </cfRule>
    <cfRule type="expression" dxfId="683" priority="49" stopIfTrue="1">
      <formula>NA()</formula>
    </cfRule>
  </conditionalFormatting>
  <conditionalFormatting sqref="C43">
    <cfRule type="expression" dxfId="682" priority="50" stopIfTrue="1">
      <formula>NA()</formula>
    </cfRule>
    <cfRule type="expression" dxfId="681" priority="51" stopIfTrue="1">
      <formula>NA()</formula>
    </cfRule>
  </conditionalFormatting>
  <conditionalFormatting sqref="C47">
    <cfRule type="expression" dxfId="680" priority="52" stopIfTrue="1">
      <formula>NA()</formula>
    </cfRule>
    <cfRule type="expression" dxfId="679" priority="53" stopIfTrue="1">
      <formula>NA()</formula>
    </cfRule>
  </conditionalFormatting>
  <conditionalFormatting sqref="D45:F45">
    <cfRule type="expression" dxfId="678" priority="54" stopIfTrue="1">
      <formula>NA()</formula>
    </cfRule>
    <cfRule type="expression" dxfId="677" priority="55" stopIfTrue="1">
      <formula>NA()</formula>
    </cfRule>
  </conditionalFormatting>
  <conditionalFormatting sqref="C44:C45">
    <cfRule type="expression" dxfId="676" priority="56" stopIfTrue="1">
      <formula>NA()</formula>
    </cfRule>
    <cfRule type="expression" dxfId="675" priority="57" stopIfTrue="1">
      <formula>NA()</formula>
    </cfRule>
  </conditionalFormatting>
  <conditionalFormatting sqref="D44:F44">
    <cfRule type="expression" dxfId="674" priority="58" stopIfTrue="1">
      <formula>NA()</formula>
    </cfRule>
    <cfRule type="expression" dxfId="673" priority="59" stopIfTrue="1">
      <formula>NA()</formula>
    </cfRule>
  </conditionalFormatting>
  <conditionalFormatting sqref="C49:F49 C43:F47">
    <cfRule type="expression" dxfId="672" priority="1744">
      <formula>AND(NOT($AN$36),NOT($AN$37))</formula>
    </cfRule>
  </conditionalFormatting>
  <conditionalFormatting sqref="D48:F48">
    <cfRule type="expression" dxfId="671" priority="32" stopIfTrue="1">
      <formula>NA()</formula>
    </cfRule>
    <cfRule type="expression" dxfId="670" priority="33" stopIfTrue="1">
      <formula>NA()</formula>
    </cfRule>
  </conditionalFormatting>
  <conditionalFormatting sqref="C48">
    <cfRule type="expression" dxfId="669" priority="30" stopIfTrue="1">
      <formula>NA()</formula>
    </cfRule>
    <cfRule type="expression" dxfId="668" priority="31" stopIfTrue="1">
      <formula>NA()</formula>
    </cfRule>
  </conditionalFormatting>
  <conditionalFormatting sqref="C48:F48">
    <cfRule type="expression" dxfId="667" priority="34">
      <formula>AND(NOT($AN$36),NOT($AN$37))</formula>
    </cfRule>
  </conditionalFormatting>
  <conditionalFormatting sqref="J54 F54">
    <cfRule type="cellIs" dxfId="666" priority="29" operator="greaterThan">
      <formula>0</formula>
    </cfRule>
  </conditionalFormatting>
  <conditionalFormatting sqref="G54:J54">
    <cfRule type="expression" dxfId="665" priority="28">
      <formula>$J$54&lt;=0</formula>
    </cfRule>
  </conditionalFormatting>
  <conditionalFormatting sqref="C54:F54">
    <cfRule type="expression" dxfId="664" priority="27">
      <formula>$F$54&lt;=0</formula>
    </cfRule>
  </conditionalFormatting>
  <conditionalFormatting sqref="F54">
    <cfRule type="expression" dxfId="663" priority="22">
      <formula>$F$54&gt;0</formula>
    </cfRule>
    <cfRule type="expression" dxfId="662" priority="26">
      <formula>AND($C$54="",$G$54="")</formula>
    </cfRule>
  </conditionalFormatting>
  <conditionalFormatting sqref="Y23:Z23">
    <cfRule type="expression" dxfId="661" priority="25">
      <formula>$AB$13&lt;30</formula>
    </cfRule>
  </conditionalFormatting>
  <conditionalFormatting sqref="E12">
    <cfRule type="expression" dxfId="660" priority="4" stopIfTrue="1">
      <formula>OR(TipoDeCriatura="Ánima",TipoDeCriatura="Ánima, Elemental",TipoDeCriatura="No muerto, Espectro")</formula>
    </cfRule>
    <cfRule type="expression" dxfId="659" priority="2283" stopIfTrue="1">
      <formula>$D$12="-"</formula>
    </cfRule>
  </conditionalFormatting>
  <conditionalFormatting sqref="E17">
    <cfRule type="expression" dxfId="658" priority="2292" stopIfTrue="1">
      <formula>AND(OR($K$7="Ánima",$K$7="Ánima, Elemental",$K$7="No muerto, Espectro"),NOT($E$12=$E$17))</formula>
    </cfRule>
  </conditionalFormatting>
  <conditionalFormatting sqref="G54:I54">
    <cfRule type="expression" dxfId="657" priority="21">
      <formula>$J$54&gt;0</formula>
    </cfRule>
  </conditionalFormatting>
  <conditionalFormatting sqref="AI43:AI69">
    <cfRule type="cellIs" dxfId="656" priority="14" stopIfTrue="1" operator="greaterThan">
      <formula>$AB$13</formula>
    </cfRule>
  </conditionalFormatting>
  <conditionalFormatting sqref="AD13:AD23">
    <cfRule type="expression" dxfId="655" priority="9" stopIfTrue="1">
      <formula>H2=1</formula>
    </cfRule>
    <cfRule type="expression" dxfId="654" priority="10" stopIfTrue="1">
      <formula>H2=2</formula>
    </cfRule>
  </conditionalFormatting>
  <conditionalFormatting sqref="AB42:AE69">
    <cfRule type="expression" dxfId="653" priority="4769">
      <formula>AND($AK42&lt;&gt;"",$AF42="")</formula>
    </cfRule>
  </conditionalFormatting>
  <conditionalFormatting sqref="AB42:AH69">
    <cfRule type="expression" dxfId="652" priority="8">
      <formula>$AB42=""</formula>
    </cfRule>
  </conditionalFormatting>
  <conditionalFormatting sqref="AD12:AF23">
    <cfRule type="expression" dxfId="651" priority="7">
      <formula>AND($AK12&lt;&gt;"",$AG12="")</formula>
    </cfRule>
  </conditionalFormatting>
  <conditionalFormatting sqref="AG12:AH23">
    <cfRule type="expression" dxfId="650" priority="5">
      <formula>$AD12=""</formula>
    </cfRule>
  </conditionalFormatting>
  <conditionalFormatting sqref="E11:E14">
    <cfRule type="cellIs" dxfId="649" priority="4811" stopIfTrue="1" operator="greaterThan">
      <formula>$T$2</formula>
    </cfRule>
  </conditionalFormatting>
  <conditionalFormatting sqref="E15:E18">
    <cfRule type="cellIs" dxfId="648" priority="4812" operator="greaterThan">
      <formula>$T$3</formula>
    </cfRule>
  </conditionalFormatting>
  <conditionalFormatting sqref="AI42:AJ71 AI12:AJ23">
    <cfRule type="expression" dxfId="647" priority="3" stopIfTrue="1">
      <formula>NOT(ISNUMBER($AI12))</formula>
    </cfRule>
  </conditionalFormatting>
  <conditionalFormatting sqref="AB13">
    <cfRule type="expression" dxfId="646" priority="2" stopIfTrue="1">
      <formula>$AN$26</formula>
    </cfRule>
  </conditionalFormatting>
  <conditionalFormatting sqref="Y11:AB12">
    <cfRule type="expression" dxfId="645"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V45" sqref="V45:X45"/>
    </sheetView>
  </sheetViews>
  <sheetFormatPr defaultColWidth="5.7109375" defaultRowHeight="12" customHeight="1"/>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c r="A3" s="1844"/>
      <c r="B3" s="2114"/>
      <c r="AB3" s="2804"/>
      <c r="AC3" s="2339"/>
    </row>
    <row r="4" spans="1:37" ht="12" customHeight="1">
      <c r="A4" s="1844"/>
      <c r="B4" s="2114"/>
      <c r="C4" s="3940"/>
      <c r="D4" s="3941"/>
      <c r="E4" s="3941"/>
      <c r="F4" s="3941"/>
      <c r="G4" s="3941"/>
      <c r="H4" s="3941"/>
      <c r="I4" s="1556"/>
      <c r="J4" s="1556"/>
      <c r="K4" s="1556"/>
      <c r="L4" s="1557"/>
      <c r="M4" s="1558"/>
      <c r="O4" s="3920" t="s">
        <v>1799</v>
      </c>
      <c r="P4" s="3945" t="s">
        <v>1800</v>
      </c>
      <c r="Q4" s="3946"/>
      <c r="R4" s="3947"/>
      <c r="S4" s="2832" t="s">
        <v>1712</v>
      </c>
      <c r="T4" s="2833" t="s">
        <v>1674</v>
      </c>
      <c r="V4" s="3923" t="s">
        <v>10033</v>
      </c>
      <c r="W4" s="3924"/>
      <c r="X4" s="3924"/>
      <c r="Y4" s="3924"/>
      <c r="Z4" s="3924"/>
      <c r="AA4" s="3925"/>
      <c r="AB4" s="2906"/>
      <c r="AC4" s="2339"/>
    </row>
    <row r="5" spans="1:37" ht="12" customHeight="1">
      <c r="A5" s="1844"/>
      <c r="B5" s="2114"/>
      <c r="C5" s="3942"/>
      <c r="D5" s="3264"/>
      <c r="E5" s="3264"/>
      <c r="F5" s="3264"/>
      <c r="G5" s="3264"/>
      <c r="H5" s="3264"/>
      <c r="I5" s="12"/>
      <c r="J5" s="12"/>
      <c r="K5" s="12"/>
      <c r="L5" s="56"/>
      <c r="M5" s="1559"/>
      <c r="O5" s="3921"/>
      <c r="P5" s="3794" t="s">
        <v>2406</v>
      </c>
      <c r="Q5" s="3795"/>
      <c r="R5" s="3796"/>
      <c r="S5" s="3812">
        <v>1</v>
      </c>
      <c r="T5" s="3810">
        <f>IF($S$5&gt;0,(500+100*$S$5),400)</f>
        <v>600</v>
      </c>
      <c r="V5" s="3926"/>
      <c r="W5" s="3927"/>
      <c r="X5" s="3927"/>
      <c r="Y5" s="3927"/>
      <c r="Z5" s="3927"/>
      <c r="AA5" s="3928"/>
      <c r="AB5" s="2907"/>
      <c r="AC5" s="2339"/>
      <c r="AE5" s="2606"/>
    </row>
    <row r="6" spans="1:37" ht="12" customHeight="1">
      <c r="A6" s="1844"/>
      <c r="B6" s="2114"/>
      <c r="C6" s="3942"/>
      <c r="D6" s="3264"/>
      <c r="E6" s="3264"/>
      <c r="F6" s="3264"/>
      <c r="G6" s="3264"/>
      <c r="H6" s="3264"/>
      <c r="I6" s="3806" t="s">
        <v>1625</v>
      </c>
      <c r="J6" s="3806"/>
      <c r="K6" s="2818" t="str">
        <f>IF(OR(General!$G$22="",General!$G$22=0),"",General!$G$22)</f>
        <v/>
      </c>
      <c r="L6" s="354"/>
      <c r="M6" s="1559"/>
      <c r="O6" s="3921"/>
      <c r="P6" s="3797"/>
      <c r="Q6" s="3798"/>
      <c r="R6" s="3799"/>
      <c r="S6" s="3813"/>
      <c r="T6" s="3811"/>
      <c r="V6" s="3929" t="s">
        <v>10030</v>
      </c>
      <c r="W6" s="3930"/>
      <c r="X6" s="3930"/>
      <c r="Y6" s="2829" t="s">
        <v>1801</v>
      </c>
      <c r="Z6" s="2830" t="s">
        <v>10031</v>
      </c>
      <c r="AA6" s="2831" t="s">
        <v>10032</v>
      </c>
      <c r="AB6" s="2804"/>
      <c r="AC6" s="2339"/>
    </row>
    <row r="7" spans="1:37" ht="12" customHeight="1">
      <c r="A7" s="1844"/>
      <c r="B7" s="2114"/>
      <c r="C7" s="3942"/>
      <c r="D7" s="3264"/>
      <c r="E7" s="3264"/>
      <c r="F7" s="3264"/>
      <c r="G7" s="3264"/>
      <c r="H7" s="3264"/>
      <c r="I7" s="3807" t="s">
        <v>1626</v>
      </c>
      <c r="J7" s="3807"/>
      <c r="K7" s="2770" t="str">
        <f>Principal!$L$5</f>
        <v>Guerrero</v>
      </c>
      <c r="L7" s="1555"/>
      <c r="M7" s="1559"/>
      <c r="O7" s="3921"/>
      <c r="P7" s="3800"/>
      <c r="Q7" s="3801"/>
      <c r="R7" s="3802"/>
      <c r="S7" s="3816"/>
      <c r="T7" s="3820">
        <f>IF($S$7&gt;0,(100*$S$7),0)</f>
        <v>0</v>
      </c>
      <c r="V7" s="3937" t="str">
        <f>IF(AND(Categoría_1&lt;&gt;"",Categoría_2&lt;&gt;""),Categoría_1&amp;" a "&amp;Categoría_2,"-")</f>
        <v>-</v>
      </c>
      <c r="W7" s="3772"/>
      <c r="X7" s="3772"/>
      <c r="Y7" s="390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1"/>
      <c r="AA7" s="3932"/>
      <c r="AB7" s="2908"/>
      <c r="AC7" s="2339"/>
    </row>
    <row r="8" spans="1:37" ht="12" customHeight="1">
      <c r="A8" s="1844"/>
      <c r="B8" s="2114"/>
      <c r="C8" s="3942"/>
      <c r="D8" s="3264"/>
      <c r="E8" s="3264"/>
      <c r="F8" s="3264"/>
      <c r="G8" s="3264"/>
      <c r="H8" s="3264"/>
      <c r="I8" s="2817" t="s">
        <v>1627</v>
      </c>
      <c r="J8" s="56"/>
      <c r="K8" s="2819" t="str">
        <f>Principal!$P$5</f>
        <v>1 + 2</v>
      </c>
      <c r="L8" s="56"/>
      <c r="M8" s="1559"/>
      <c r="O8" s="3921"/>
      <c r="P8" s="3800"/>
      <c r="Q8" s="3801"/>
      <c r="R8" s="3802"/>
      <c r="S8" s="3816"/>
      <c r="T8" s="3820"/>
      <c r="V8" s="3937"/>
      <c r="W8" s="3772"/>
      <c r="X8" s="3772"/>
      <c r="Y8" s="3905"/>
      <c r="Z8" s="3931"/>
      <c r="AA8" s="3932"/>
      <c r="AB8" s="2908"/>
      <c r="AC8" s="2339"/>
    </row>
    <row r="9" spans="1:37" ht="12" customHeight="1">
      <c r="A9" s="1844"/>
      <c r="B9" s="2114"/>
      <c r="C9" s="3942"/>
      <c r="D9" s="3264"/>
      <c r="E9" s="3264"/>
      <c r="F9" s="3264"/>
      <c r="G9" s="3264"/>
      <c r="H9" s="3264"/>
      <c r="I9" s="3807" t="s">
        <v>1670</v>
      </c>
      <c r="J9" s="3807"/>
      <c r="K9" s="1520">
        <f>Tamaño</f>
        <v>1</v>
      </c>
      <c r="L9" s="2770" t="str">
        <f>Principal!M6</f>
        <v>Medio</v>
      </c>
      <c r="M9" s="2821"/>
      <c r="O9" s="3921"/>
      <c r="P9" s="3797"/>
      <c r="Q9" s="3798"/>
      <c r="R9" s="3799"/>
      <c r="S9" s="3814"/>
      <c r="T9" s="3821">
        <f>IF($S$9&gt;0,(100*$S$9),0)</f>
        <v>0</v>
      </c>
      <c r="V9" s="3966" t="str">
        <f>IF(AND(Categoría_2&lt;&gt;"",Categoría_3&lt;&gt;""),Categoría_2&amp;" a "&amp;Categoría_3,"-")</f>
        <v>-</v>
      </c>
      <c r="W9" s="3967"/>
      <c r="X9" s="3967"/>
      <c r="Y9" s="390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3"/>
      <c r="AA9" s="3934"/>
      <c r="AB9" s="2908"/>
      <c r="AC9" s="2339"/>
    </row>
    <row r="10" spans="1:37" ht="12" customHeight="1">
      <c r="A10" s="1844"/>
      <c r="B10" s="2114"/>
      <c r="C10" s="3942"/>
      <c r="D10" s="3264"/>
      <c r="E10" s="3264"/>
      <c r="F10" s="3264"/>
      <c r="G10" s="3264"/>
      <c r="H10" s="3264"/>
      <c r="I10" s="58" t="s">
        <v>1672</v>
      </c>
      <c r="J10" s="3948" t="str">
        <f>IF(ISNUMBER(FIND("(",Principal!K7)),LEFT(Principal!K7,FIND("(",Principal!K7)-1),Principal!K7)</f>
        <v>Natural 10</v>
      </c>
      <c r="K10" s="3948"/>
      <c r="L10" s="3948"/>
      <c r="M10" s="2821"/>
      <c r="O10" s="3921"/>
      <c r="P10" s="3797"/>
      <c r="Q10" s="3798"/>
      <c r="R10" s="3799"/>
      <c r="S10" s="3814"/>
      <c r="T10" s="3821"/>
      <c r="V10" s="3966"/>
      <c r="W10" s="3967"/>
      <c r="X10" s="3967"/>
      <c r="Y10" s="3906"/>
      <c r="Z10" s="3933"/>
      <c r="AA10" s="3934"/>
      <c r="AB10" s="2908"/>
      <c r="AC10" s="2339"/>
    </row>
    <row r="11" spans="1:37" ht="12" customHeight="1">
      <c r="A11" s="1844"/>
      <c r="B11" s="2114"/>
      <c r="C11" s="3942"/>
      <c r="D11" s="3264"/>
      <c r="E11" s="3264"/>
      <c r="F11" s="3264"/>
      <c r="G11" s="3264"/>
      <c r="H11" s="3264"/>
      <c r="I11" s="58"/>
      <c r="J11" s="2973" t="str">
        <f>IF(ISNUMBER(FIND("(",Principal!K7)),MID(Principal!K7,FIND("(",Principal!K7),LEN(Principal!K7)),"")</f>
        <v/>
      </c>
      <c r="K11" s="2820"/>
      <c r="L11" s="2820"/>
      <c r="M11" s="2821"/>
      <c r="O11" s="3921"/>
      <c r="P11" s="3800"/>
      <c r="Q11" s="3801"/>
      <c r="R11" s="3802"/>
      <c r="S11" s="3979"/>
      <c r="T11" s="3938">
        <f>IF($S$11&gt;0,(100*$S$11),0)</f>
        <v>0</v>
      </c>
      <c r="V11" s="3937" t="str">
        <f>IF(AND(Categoría_3&lt;&gt;"",Categoría_4&lt;&gt;""),Categoría_3&amp;" a "&amp;Categoría_4,"-")</f>
        <v>-</v>
      </c>
      <c r="W11" s="3772"/>
      <c r="X11" s="3772"/>
      <c r="Y11" s="390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1"/>
      <c r="AA11" s="3932"/>
      <c r="AB11" s="2804"/>
      <c r="AC11" s="2339"/>
    </row>
    <row r="12" spans="1:37" ht="12" customHeight="1">
      <c r="A12" s="1844"/>
      <c r="B12" s="2114"/>
      <c r="C12" s="3943"/>
      <c r="D12" s="3944"/>
      <c r="E12" s="3944"/>
      <c r="F12" s="3944"/>
      <c r="G12" s="3944"/>
      <c r="H12" s="3944"/>
      <c r="I12" s="1560"/>
      <c r="J12" s="1560"/>
      <c r="K12" s="1561"/>
      <c r="L12" s="1561"/>
      <c r="M12" s="1562"/>
      <c r="O12" s="3921"/>
      <c r="P12" s="3800"/>
      <c r="Q12" s="3801"/>
      <c r="R12" s="3802"/>
      <c r="S12" s="3979"/>
      <c r="T12" s="3938"/>
      <c r="V12" s="3937"/>
      <c r="W12" s="3772"/>
      <c r="X12" s="3772"/>
      <c r="Y12" s="3905"/>
      <c r="Z12" s="3931"/>
      <c r="AA12" s="3932"/>
      <c r="AB12" s="2804"/>
      <c r="AC12" s="2339"/>
    </row>
    <row r="13" spans="1:37" ht="12" customHeight="1">
      <c r="A13" s="1844"/>
      <c r="B13" s="2114"/>
      <c r="C13" s="3909" t="s">
        <v>1802</v>
      </c>
      <c r="D13" s="3910"/>
      <c r="E13" s="3910"/>
      <c r="F13" s="3910"/>
      <c r="G13" s="3910"/>
      <c r="H13" s="3910"/>
      <c r="I13" s="3910"/>
      <c r="J13" s="3910"/>
      <c r="K13" s="3910"/>
      <c r="L13" s="3910"/>
      <c r="M13" s="3911"/>
      <c r="O13" s="3921"/>
      <c r="P13" s="3797"/>
      <c r="Q13" s="3798"/>
      <c r="R13" s="3799"/>
      <c r="S13" s="3814"/>
      <c r="T13" s="3821">
        <f>IF($S$13&gt;0,(100*$S$13),0)</f>
        <v>0</v>
      </c>
      <c r="V13" s="3966" t="str">
        <f>IF(AND(Categoría_4&lt;&gt;"",Categoría_5&lt;&gt;""),Categoría_4&amp;" a "&amp;Categoría_5,"-")</f>
        <v>-</v>
      </c>
      <c r="W13" s="3967"/>
      <c r="X13" s="3967"/>
      <c r="Y13" s="390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3"/>
      <c r="AA13" s="3934"/>
      <c r="AB13" s="2909" t="str">
        <f>IF(Principal!AD18=0,"",VLOOKUP(Principal!AD18,Tabla_HabEsenciales,5,FALSE))</f>
        <v/>
      </c>
      <c r="AC13" s="2339"/>
    </row>
    <row r="14" spans="1:37" ht="12" customHeight="1" thickBot="1">
      <c r="A14" s="1844"/>
      <c r="B14" s="2114"/>
      <c r="C14" s="3912"/>
      <c r="D14" s="3302"/>
      <c r="E14" s="3302"/>
      <c r="F14" s="3302"/>
      <c r="G14" s="3302"/>
      <c r="H14" s="3302"/>
      <c r="I14" s="3302"/>
      <c r="J14" s="3302"/>
      <c r="K14" s="3302"/>
      <c r="L14" s="3302"/>
      <c r="M14" s="3913"/>
      <c r="O14" s="3921"/>
      <c r="P14" s="3803"/>
      <c r="Q14" s="3804"/>
      <c r="R14" s="3805"/>
      <c r="S14" s="3815"/>
      <c r="T14" s="3939"/>
      <c r="V14" s="3968"/>
      <c r="W14" s="3969"/>
      <c r="X14" s="3969"/>
      <c r="Y14" s="3917"/>
      <c r="Z14" s="3935"/>
      <c r="AA14" s="3936"/>
      <c r="AB14" s="2909" t="str">
        <f>IF(Principal!AD19=0,"",VLOOKUP(Principal!AD19,Tabla_HabEsenciales,5,FALSE))</f>
        <v/>
      </c>
      <c r="AC14" s="2910"/>
    </row>
    <row r="15" spans="1:37" ht="12" customHeight="1" thickBot="1">
      <c r="A15" s="1844"/>
      <c r="B15" s="2114"/>
      <c r="C15" s="3912"/>
      <c r="D15" s="3302"/>
      <c r="E15" s="3302"/>
      <c r="F15" s="3302"/>
      <c r="G15" s="3302"/>
      <c r="H15" s="3302"/>
      <c r="I15" s="3302"/>
      <c r="J15" s="3302"/>
      <c r="K15" s="3302"/>
      <c r="L15" s="3302"/>
      <c r="M15" s="3913"/>
      <c r="O15" s="3921"/>
      <c r="P15" s="3817" t="s">
        <v>1803</v>
      </c>
      <c r="Q15" s="3818"/>
      <c r="R15" s="3907">
        <f>SUM(S5:S14)</f>
        <v>1</v>
      </c>
      <c r="S15" s="3918" t="s">
        <v>1686</v>
      </c>
      <c r="T15" s="3808">
        <f>SUM(T5:T14)</f>
        <v>600</v>
      </c>
      <c r="V15" s="2827"/>
      <c r="W15" s="2828"/>
      <c r="X15" s="2827"/>
      <c r="Y15" s="2827"/>
      <c r="Z15" s="2828"/>
      <c r="AA15" s="2827"/>
      <c r="AB15" s="2909" t="str">
        <f>IF(Principal!AD20=0,"",VLOOKUP(Principal!AD20,Tabla_HabEsenciales,5,FALSE))</f>
        <v/>
      </c>
      <c r="AC15" s="2910"/>
    </row>
    <row r="16" spans="1:37" ht="12" customHeight="1" thickBot="1">
      <c r="A16" s="1844"/>
      <c r="B16" s="2114"/>
      <c r="C16" s="3914"/>
      <c r="D16" s="3915"/>
      <c r="E16" s="3915"/>
      <c r="F16" s="3915"/>
      <c r="G16" s="3915"/>
      <c r="H16" s="3915"/>
      <c r="I16" s="3915"/>
      <c r="J16" s="3915"/>
      <c r="K16" s="3915"/>
      <c r="L16" s="3915"/>
      <c r="M16" s="3916"/>
      <c r="O16" s="3922"/>
      <c r="P16" s="3819"/>
      <c r="Q16" s="3653"/>
      <c r="R16" s="3908"/>
      <c r="S16" s="3919"/>
      <c r="T16" s="3809"/>
      <c r="V16" s="2842"/>
      <c r="W16" s="3963" t="s">
        <v>10039</v>
      </c>
      <c r="X16" s="3964"/>
      <c r="Y16" s="3964"/>
      <c r="Z16" s="3965"/>
      <c r="AA16" s="2837">
        <f>MAX(Principal!AJ10+Principal!AJ40-Principal!$AB$27,0)</f>
        <v>0</v>
      </c>
      <c r="AB16" s="2909" t="str">
        <f>IF(Principal!AD21=0,"",VLOOKUP(Principal!AD21,Tabla_HabEsenciales,5,FALSE))</f>
        <v/>
      </c>
      <c r="AC16" s="2910"/>
    </row>
    <row r="17" spans="1:31" ht="12" customHeight="1">
      <c r="A17" s="1844"/>
      <c r="B17" s="2114"/>
      <c r="V17" s="2540"/>
      <c r="W17" s="2834" t="s">
        <v>10034</v>
      </c>
      <c r="X17" s="2835" t="s">
        <v>10035</v>
      </c>
      <c r="Y17" s="2835" t="s">
        <v>10036</v>
      </c>
      <c r="Z17" s="2835" t="s">
        <v>10037</v>
      </c>
      <c r="AA17" s="2836" t="s">
        <v>10038</v>
      </c>
      <c r="AB17" s="2909" t="str">
        <f>IF(Principal!AD22=0,"",VLOOKUP(Principal!AD22,Tabla_HabEsenciales,5,FALSE))</f>
        <v/>
      </c>
      <c r="AC17" s="2910"/>
    </row>
    <row r="18" spans="1:31" ht="12" customHeight="1" thickBot="1">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c r="A19" s="1844"/>
      <c r="B19" s="2114"/>
      <c r="C19" s="67"/>
      <c r="D19" s="67"/>
      <c r="E19" s="67"/>
      <c r="F19" s="67"/>
      <c r="I19" s="67"/>
      <c r="J19" s="67"/>
      <c r="K19" s="67"/>
      <c r="L19" s="3682" t="str">
        <f>IF(Categoría_1=0,"",Categoría_1)</f>
        <v>Guerrero</v>
      </c>
      <c r="M19" s="3683"/>
      <c r="N19" s="3686" t="str">
        <f>IF(Categoría_2=0,"",Categoría_2)</f>
        <v/>
      </c>
      <c r="O19" s="3683"/>
      <c r="P19" s="3686" t="str">
        <f>IF(Categoría_3=0,"",Categoría_3)</f>
        <v/>
      </c>
      <c r="Q19" s="3683"/>
      <c r="R19" s="3686" t="str">
        <f>IF(Categoría_4=0,"",Categoría_4)</f>
        <v/>
      </c>
      <c r="S19" s="3683"/>
      <c r="T19" s="3686" t="str">
        <f>IF(Categoría_5=0,"",Categoría_5)</f>
        <v/>
      </c>
      <c r="U19" s="3730"/>
      <c r="V19" s="67"/>
      <c r="AB19" s="2908"/>
      <c r="AC19" s="2912"/>
    </row>
    <row r="20" spans="1:31" ht="12" customHeight="1" thickBot="1">
      <c r="A20" s="1844"/>
      <c r="B20" s="2114"/>
      <c r="C20" s="67"/>
      <c r="D20" s="67"/>
      <c r="E20" s="67"/>
      <c r="F20" s="67"/>
      <c r="I20" s="67"/>
      <c r="J20" s="67"/>
      <c r="K20" s="67"/>
      <c r="L20" s="3978"/>
      <c r="M20" s="3793"/>
      <c r="N20" s="3791"/>
      <c r="O20" s="3793"/>
      <c r="P20" s="3791"/>
      <c r="Q20" s="3793"/>
      <c r="R20" s="3791"/>
      <c r="S20" s="3793"/>
      <c r="T20" s="3791"/>
      <c r="U20" s="3792"/>
      <c r="V20" s="67"/>
      <c r="W20" s="67"/>
      <c r="X20" s="67"/>
      <c r="Y20" s="67"/>
      <c r="Z20" s="67"/>
      <c r="AA20" s="67"/>
      <c r="AB20" s="2908"/>
      <c r="AC20" s="2910"/>
    </row>
    <row r="21" spans="1:31" ht="12" customHeight="1" thickBot="1">
      <c r="A21" s="1844"/>
      <c r="B21" s="2114"/>
      <c r="C21" s="3667" t="s">
        <v>1703</v>
      </c>
      <c r="D21" s="1563" t="s">
        <v>1708</v>
      </c>
      <c r="E21" s="3777" t="s">
        <v>1684</v>
      </c>
      <c r="F21" s="3778"/>
      <c r="G21" s="3778"/>
      <c r="H21" s="3778"/>
      <c r="I21" s="3778"/>
      <c r="J21" s="3778"/>
      <c r="K21" s="3779"/>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89" t="s">
        <v>1800</v>
      </c>
      <c r="Y21" s="3789"/>
      <c r="Z21" s="1564" t="s">
        <v>1728</v>
      </c>
      <c r="AA21" s="1566" t="s">
        <v>1658</v>
      </c>
      <c r="AB21" s="2908"/>
      <c r="AC21" s="2910"/>
      <c r="AE21" s="2606"/>
    </row>
    <row r="22" spans="1:31" ht="12" customHeight="1">
      <c r="A22" s="1844"/>
      <c r="B22" s="2114"/>
      <c r="C22" s="3668"/>
      <c r="D22" s="3836" t="s">
        <v>1674</v>
      </c>
      <c r="E22" s="3780" t="s">
        <v>1804</v>
      </c>
      <c r="F22" s="3397"/>
      <c r="G22" s="3397"/>
      <c r="H22" s="3397"/>
      <c r="I22" s="3397"/>
      <c r="J22" s="3397"/>
      <c r="K22" s="3781"/>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790">
        <f>MIN(50,HLOOKUP($E22,Bonos_Cat_Base,2,FALSE)+5*Nivel_Total*Tablas!$G$357)</f>
        <v>5</v>
      </c>
      <c r="Y22" s="3790"/>
      <c r="Z22" s="2740"/>
      <c r="AA22" s="1585">
        <f>Z22+X22+V22+W22+Bono_ATA</f>
        <v>55</v>
      </c>
      <c r="AB22" s="2908"/>
      <c r="AC22" s="2910"/>
      <c r="AD22" s="2606" t="s">
        <v>8829</v>
      </c>
    </row>
    <row r="23" spans="1:31" ht="12" customHeight="1">
      <c r="A23" s="1844"/>
      <c r="B23" s="2114"/>
      <c r="C23" s="3668"/>
      <c r="D23" s="3755"/>
      <c r="E23" s="3782" t="s">
        <v>1805</v>
      </c>
      <c r="F23" s="3783"/>
      <c r="G23" s="3783"/>
      <c r="H23" s="3783"/>
      <c r="I23" s="3783"/>
      <c r="J23" s="3783"/>
      <c r="K23" s="3784"/>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772">
        <f>MIN(50,HLOOKUP($E23,Bonos_Cat_Base,2,FALSE)+5*Nivel_Total*Tablas!$G$358)</f>
        <v>5</v>
      </c>
      <c r="Y23" s="3772"/>
      <c r="Z23" s="2733"/>
      <c r="AA23" s="1586">
        <f>W23+X23+V23+Z23+Bono_ATA</f>
        <v>5</v>
      </c>
      <c r="AB23" s="2908"/>
      <c r="AC23" s="2910"/>
      <c r="AD23" s="2606">
        <f>MAX(HP_final,HE_final)</f>
        <v>5</v>
      </c>
    </row>
    <row r="24" spans="1:31" ht="12" customHeight="1">
      <c r="A24" s="1844"/>
      <c r="B24" s="2114"/>
      <c r="C24" s="3668"/>
      <c r="D24" s="3755"/>
      <c r="E24" s="3785" t="s">
        <v>1806</v>
      </c>
      <c r="F24" s="3356"/>
      <c r="G24" s="3356"/>
      <c r="H24" s="3356"/>
      <c r="I24" s="3356"/>
      <c r="J24" s="3356"/>
      <c r="K24" s="3786"/>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71">
        <f>MIN(50,HLOOKUP($E24,Bonos_Cat_Base,2,FALSE)+5*Nivel_Total*Tablas!$G$359)</f>
        <v>0</v>
      </c>
      <c r="Y24" s="3771"/>
      <c r="Z24" s="2735"/>
      <c r="AA24" s="1587">
        <f>V24+W24+X24+Z24+Bono_ATA</f>
        <v>0</v>
      </c>
      <c r="AB24" s="2908"/>
      <c r="AC24" s="2910"/>
    </row>
    <row r="25" spans="1:31" ht="12" customHeight="1">
      <c r="A25" s="1844"/>
      <c r="B25" s="2114"/>
      <c r="C25" s="3668"/>
      <c r="D25" s="3755"/>
      <c r="E25" s="3782" t="s">
        <v>1807</v>
      </c>
      <c r="F25" s="3783"/>
      <c r="G25" s="3783"/>
      <c r="H25" s="3783"/>
      <c r="I25" s="3783"/>
      <c r="J25" s="3783"/>
      <c r="K25" s="3784"/>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773">
        <f>HLOOKUP($E25,Bonos_Cat_Base,2,FALSE)</f>
        <v>5</v>
      </c>
      <c r="Y25" s="3773">
        <f>HLOOKUP($E25,Bonos_Cat_Base,2,FALSE)</f>
        <v>5</v>
      </c>
      <c r="Z25" s="2733"/>
      <c r="AA25" s="1588">
        <f>V25+W25+X25+Z25</f>
        <v>5</v>
      </c>
      <c r="AB25" s="2908"/>
      <c r="AC25" s="2910"/>
    </row>
    <row r="26" spans="1:31" ht="12" customHeight="1">
      <c r="A26" s="1844"/>
      <c r="B26" s="2114"/>
      <c r="C26" s="3668"/>
      <c r="D26" s="3837"/>
      <c r="E26" s="378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88"/>
      <c r="G26" s="3788"/>
      <c r="H26" s="3788"/>
      <c r="I26" s="3788"/>
      <c r="J26" s="3788"/>
      <c r="K26" s="3788"/>
      <c r="L26" s="3788"/>
      <c r="M26" s="3788"/>
      <c r="N26" s="3788"/>
      <c r="O26" s="3788"/>
      <c r="P26" s="3788"/>
      <c r="Q26" s="3788"/>
      <c r="R26" s="3788"/>
      <c r="S26" s="3788"/>
      <c r="T26" s="3788"/>
      <c r="U26" s="3788"/>
      <c r="V26" s="3788"/>
      <c r="W26" s="3788"/>
      <c r="X26" s="3788"/>
      <c r="Y26" s="3788"/>
      <c r="Z26" s="3788"/>
      <c r="AA26" s="1589" t="str">
        <f>IF((M22+M23+M24+O22+O23+O24+Q22+Q23+Q24+S22+S23+S24+U22+U23+U24)&gt;(($T$5+$T$7+$T$9+$T$11+$T$13)/2),($T$5+$T$7+$T$9+$T$11+$T$13)/2,"")</f>
        <v/>
      </c>
      <c r="AB26" s="2908"/>
      <c r="AC26" s="2910"/>
    </row>
    <row r="27" spans="1:31" ht="12" customHeight="1">
      <c r="A27" s="1844"/>
      <c r="B27" s="2114"/>
      <c r="C27" s="3668"/>
      <c r="D27" s="3754" t="s">
        <v>1808</v>
      </c>
      <c r="E27" s="3822" t="s">
        <v>1682</v>
      </c>
      <c r="F27" s="3823"/>
      <c r="G27" s="3823"/>
      <c r="H27" s="3823"/>
      <c r="I27" s="3823"/>
      <c r="J27" s="3823"/>
      <c r="K27" s="3824"/>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976" t="s">
        <v>1766</v>
      </c>
      <c r="Y27" s="3976"/>
      <c r="Z27" s="2741"/>
      <c r="AA27" s="1590">
        <f t="shared" ref="AA27:AA32" si="6">W27+V27+Z27</f>
        <v>0</v>
      </c>
      <c r="AB27" s="2908"/>
      <c r="AC27" s="2910"/>
    </row>
    <row r="28" spans="1:31" ht="12" customHeight="1">
      <c r="A28" s="1844"/>
      <c r="B28" s="2114"/>
      <c r="C28" s="3668"/>
      <c r="D28" s="3755"/>
      <c r="E28" s="3782" t="s">
        <v>1809</v>
      </c>
      <c r="F28" s="3783"/>
      <c r="G28" s="3783"/>
      <c r="H28" s="3783"/>
      <c r="I28" s="3783"/>
      <c r="J28" s="3783"/>
      <c r="K28" s="3784"/>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772" t="s">
        <v>1766</v>
      </c>
      <c r="Y28" s="3772"/>
      <c r="Z28" s="2738"/>
      <c r="AA28" s="1591">
        <f t="shared" si="6"/>
        <v>0</v>
      </c>
      <c r="AB28" s="2908"/>
      <c r="AC28" s="2910"/>
    </row>
    <row r="29" spans="1:31" ht="12" customHeight="1">
      <c r="A29" s="1844"/>
      <c r="B29" s="2114"/>
      <c r="C29" s="3668"/>
      <c r="D29" s="3755"/>
      <c r="E29" s="3785" t="s">
        <v>1687</v>
      </c>
      <c r="F29" s="3356"/>
      <c r="G29" s="3356"/>
      <c r="H29" s="3356"/>
      <c r="I29" s="3356"/>
      <c r="J29" s="3356"/>
      <c r="K29" s="3786"/>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71" t="s">
        <v>1766</v>
      </c>
      <c r="Y29" s="3771"/>
      <c r="Z29" s="2737"/>
      <c r="AA29" s="1592">
        <f t="shared" si="6"/>
        <v>0</v>
      </c>
      <c r="AB29" s="2908"/>
      <c r="AC29" s="2910"/>
    </row>
    <row r="30" spans="1:31" ht="12" customHeight="1">
      <c r="A30" s="1844"/>
      <c r="B30" s="2114"/>
      <c r="C30" s="3668"/>
      <c r="D30" s="3755"/>
      <c r="E30" s="3782" t="s">
        <v>1692</v>
      </c>
      <c r="F30" s="3783"/>
      <c r="G30" s="3783"/>
      <c r="H30" s="3783"/>
      <c r="I30" s="3783"/>
      <c r="J30" s="3783"/>
      <c r="K30" s="3784"/>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772" t="s">
        <v>1766</v>
      </c>
      <c r="Y30" s="3772"/>
      <c r="Z30" s="2738"/>
      <c r="AA30" s="1591">
        <f t="shared" si="6"/>
        <v>0</v>
      </c>
      <c r="AB30" s="2908"/>
      <c r="AC30" s="2910"/>
    </row>
    <row r="31" spans="1:31" ht="12" customHeight="1">
      <c r="A31" s="1844"/>
      <c r="B31" s="2114"/>
      <c r="C31" s="3668"/>
      <c r="D31" s="3755"/>
      <c r="E31" s="3785" t="s">
        <v>1700</v>
      </c>
      <c r="F31" s="3356"/>
      <c r="G31" s="3356"/>
      <c r="H31" s="3356"/>
      <c r="I31" s="3356"/>
      <c r="J31" s="3356"/>
      <c r="K31" s="3786"/>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71" t="s">
        <v>1766</v>
      </c>
      <c r="Y31" s="3771"/>
      <c r="Z31" s="2737"/>
      <c r="AA31" s="1592">
        <f t="shared" si="6"/>
        <v>0</v>
      </c>
      <c r="AB31" s="2908"/>
      <c r="AC31" s="2910"/>
    </row>
    <row r="32" spans="1:31" ht="12" customHeight="1">
      <c r="A32" s="1844"/>
      <c r="B32" s="2114"/>
      <c r="C32" s="3668"/>
      <c r="D32" s="3755"/>
      <c r="E32" s="3782" t="s">
        <v>1701</v>
      </c>
      <c r="F32" s="3783"/>
      <c r="G32" s="3783"/>
      <c r="H32" s="3783"/>
      <c r="I32" s="3783"/>
      <c r="J32" s="3783"/>
      <c r="K32" s="3784"/>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773" t="s">
        <v>1766</v>
      </c>
      <c r="Y32" s="3773"/>
      <c r="Z32" s="2742"/>
      <c r="AA32" s="1593">
        <f t="shared" si="6"/>
        <v>0</v>
      </c>
      <c r="AB32" s="2804"/>
      <c r="AC32" s="1675"/>
    </row>
    <row r="33" spans="1:60" ht="12" customHeight="1">
      <c r="A33" s="1844"/>
      <c r="B33" s="2114"/>
      <c r="C33" s="3668"/>
      <c r="D33" s="3838" t="s">
        <v>1810</v>
      </c>
      <c r="E33" s="3822" t="s">
        <v>1682</v>
      </c>
      <c r="F33" s="3823"/>
      <c r="G33" s="3823"/>
      <c r="H33" s="3823"/>
      <c r="I33" s="3823"/>
      <c r="J33" s="3823"/>
      <c r="K33" s="3835"/>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774" t="s">
        <v>1766</v>
      </c>
      <c r="Y33" s="3774"/>
      <c r="Z33" s="2741"/>
      <c r="AA33" s="1594">
        <f t="shared" ref="AA33:AA38" si="12">W33+V33+Z33+IF(Bono_ATA&lt;0,TRUNC(Bono_ATA/20,0),0)</f>
        <v>0</v>
      </c>
      <c r="AB33" s="2804"/>
      <c r="AC33" s="1675"/>
    </row>
    <row r="34" spans="1:60" ht="12" customHeight="1">
      <c r="A34" s="1844"/>
      <c r="B34" s="2114"/>
      <c r="C34" s="3668"/>
      <c r="D34" s="3755"/>
      <c r="E34" s="3782" t="s">
        <v>1809</v>
      </c>
      <c r="F34" s="3783"/>
      <c r="G34" s="3783"/>
      <c r="H34" s="3783"/>
      <c r="I34" s="3783"/>
      <c r="J34" s="3783"/>
      <c r="K34" s="3825"/>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772" t="s">
        <v>1766</v>
      </c>
      <c r="Y34" s="3772"/>
      <c r="Z34" s="2738"/>
      <c r="AA34" s="1591">
        <f t="shared" si="12"/>
        <v>0</v>
      </c>
      <c r="AB34" s="2804"/>
      <c r="AC34" s="1675"/>
    </row>
    <row r="35" spans="1:60" ht="12" customHeight="1">
      <c r="A35" s="1844"/>
      <c r="B35" s="2114"/>
      <c r="C35" s="3668"/>
      <c r="D35" s="3755"/>
      <c r="E35" s="3785" t="s">
        <v>1687</v>
      </c>
      <c r="F35" s="3356"/>
      <c r="G35" s="3356"/>
      <c r="H35" s="3356"/>
      <c r="I35" s="3356"/>
      <c r="J35" s="3356"/>
      <c r="K35" s="3826"/>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71" t="s">
        <v>1766</v>
      </c>
      <c r="Y35" s="3771"/>
      <c r="Z35" s="2737"/>
      <c r="AA35" s="1592">
        <f t="shared" si="12"/>
        <v>0</v>
      </c>
      <c r="AB35" s="2804"/>
      <c r="AC35" s="1675"/>
    </row>
    <row r="36" spans="1:60" ht="12" customHeight="1">
      <c r="A36" s="1844"/>
      <c r="B36" s="2114"/>
      <c r="C36" s="3668"/>
      <c r="D36" s="3755"/>
      <c r="E36" s="3782" t="s">
        <v>1692</v>
      </c>
      <c r="F36" s="3783"/>
      <c r="G36" s="3783"/>
      <c r="H36" s="3783"/>
      <c r="I36" s="3783"/>
      <c r="J36" s="3783"/>
      <c r="K36" s="3825"/>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772" t="s">
        <v>1766</v>
      </c>
      <c r="Y36" s="3772"/>
      <c r="Z36" s="2738"/>
      <c r="AA36" s="1591">
        <f t="shared" si="12"/>
        <v>0</v>
      </c>
      <c r="AB36" s="2804"/>
      <c r="AC36" s="1675"/>
      <c r="BB36" s="2805"/>
      <c r="BC36" s="2805"/>
      <c r="BD36" s="1861"/>
      <c r="BE36" s="1861"/>
      <c r="BF36" s="146"/>
      <c r="BG36" s="146"/>
      <c r="BH36" s="146"/>
    </row>
    <row r="37" spans="1:60" ht="12" customHeight="1">
      <c r="A37" s="1844"/>
      <c r="B37" s="2114"/>
      <c r="C37" s="3668"/>
      <c r="D37" s="3755"/>
      <c r="E37" s="3785" t="s">
        <v>1700</v>
      </c>
      <c r="F37" s="3356"/>
      <c r="G37" s="3356"/>
      <c r="H37" s="3356"/>
      <c r="I37" s="3356"/>
      <c r="J37" s="3356"/>
      <c r="K37" s="3826"/>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71" t="s">
        <v>1766</v>
      </c>
      <c r="Y37" s="3771"/>
      <c r="Z37" s="2737"/>
      <c r="AA37" s="1592">
        <f t="shared" si="12"/>
        <v>0</v>
      </c>
      <c r="AB37" s="2804"/>
      <c r="AC37" s="1675"/>
      <c r="BB37" s="1753"/>
      <c r="BC37" s="1753"/>
      <c r="BD37" s="1753"/>
      <c r="BE37" s="1753"/>
      <c r="BF37" s="67"/>
      <c r="BG37" s="67"/>
      <c r="BH37" s="67"/>
    </row>
    <row r="38" spans="1:60" ht="12" customHeight="1">
      <c r="A38" s="1844"/>
      <c r="B38" s="2114"/>
      <c r="C38" s="3668"/>
      <c r="D38" s="3839"/>
      <c r="E38" s="3827" t="s">
        <v>1701</v>
      </c>
      <c r="F38" s="3828"/>
      <c r="G38" s="3828"/>
      <c r="H38" s="3828"/>
      <c r="I38" s="3828"/>
      <c r="J38" s="3828"/>
      <c r="K38" s="3829"/>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40" t="s">
        <v>1766</v>
      </c>
      <c r="Y38" s="3840"/>
      <c r="Z38" s="2742"/>
      <c r="AA38" s="1593">
        <f t="shared" si="12"/>
        <v>0</v>
      </c>
      <c r="AB38" s="2804"/>
      <c r="AC38" s="1675"/>
      <c r="BB38" s="1753"/>
      <c r="BC38" s="1753"/>
      <c r="BD38" s="1753"/>
      <c r="BE38" s="1753"/>
      <c r="BF38" s="67"/>
      <c r="BG38" s="67"/>
      <c r="BH38" s="67"/>
    </row>
    <row r="39" spans="1:60" ht="12" customHeight="1">
      <c r="A39" s="1844"/>
      <c r="B39" s="2114"/>
      <c r="C39" s="3668"/>
      <c r="D39" s="1595" t="s">
        <v>1811</v>
      </c>
      <c r="E39" s="3830" t="s">
        <v>1812</v>
      </c>
      <c r="F39" s="3831"/>
      <c r="G39" s="3831"/>
      <c r="H39" s="3831"/>
      <c r="I39" s="3831"/>
      <c r="J39" s="3831"/>
      <c r="K39" s="3832"/>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41">
        <f>HLOOKUP($E39,Bonos_Cat_Base,2,FALSE)</f>
        <v>25</v>
      </c>
      <c r="Y39" s="3841">
        <f>HLOOKUP($E39,Bonos_Cat_Base,2,FALSE)</f>
        <v>25</v>
      </c>
      <c r="Z39" s="2743"/>
      <c r="AA39" s="1596">
        <f>Z39+X39+W39+V39</f>
        <v>25</v>
      </c>
      <c r="AB39" s="2804"/>
      <c r="AC39" s="1675"/>
      <c r="BB39" s="1753"/>
      <c r="BC39" s="1753"/>
      <c r="BD39" s="1753"/>
      <c r="BE39" s="1753"/>
      <c r="BF39" s="67"/>
      <c r="BG39" s="67"/>
      <c r="BH39" s="67"/>
    </row>
    <row r="40" spans="1:60" ht="12" customHeight="1">
      <c r="A40" s="1844"/>
      <c r="B40" s="2114"/>
      <c r="C40" s="3668"/>
      <c r="D40" s="3754" t="s">
        <v>1813</v>
      </c>
      <c r="E40" s="3833" t="s">
        <v>2947</v>
      </c>
      <c r="F40" s="3727"/>
      <c r="G40" s="3727"/>
      <c r="H40" s="3727"/>
      <c r="I40" s="3727"/>
      <c r="J40" s="3727"/>
      <c r="K40" s="3728"/>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767" t="str">
        <f t="shared" ref="V40:V41" si="13">IF(E40=0,"",VLOOKUP(E40,Tabla_TablasArmas,3,FALSE))</f>
        <v>Uso de arma similar:</v>
      </c>
      <c r="W40" s="3768"/>
      <c r="X40" s="3768"/>
      <c r="Y40" s="3844"/>
      <c r="Z40" s="3844"/>
      <c r="AA40" s="3845"/>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Tablas!$AG$630:$AG$647</v>
      </c>
      <c r="AF40" s="2901"/>
      <c r="AG40" s="2901"/>
      <c r="BB40" s="1753"/>
      <c r="BC40" s="1753"/>
      <c r="BD40" s="1753"/>
      <c r="BE40" s="1753"/>
      <c r="BF40" s="67"/>
      <c r="BG40" s="67"/>
      <c r="BH40" s="67"/>
    </row>
    <row r="41" spans="1:60" ht="12" customHeight="1">
      <c r="A41" s="1844"/>
      <c r="B41" s="2114"/>
      <c r="C41" s="3668"/>
      <c r="D41" s="3755"/>
      <c r="E41" s="3834" t="s">
        <v>2951</v>
      </c>
      <c r="F41" s="3689"/>
      <c r="G41" s="3689"/>
      <c r="H41" s="3689"/>
      <c r="I41" s="3689"/>
      <c r="J41" s="3689"/>
      <c r="K41" s="3690"/>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769" t="str">
        <f t="shared" si="13"/>
        <v>Uso de arma distinta:</v>
      </c>
      <c r="W41" s="3770"/>
      <c r="X41" s="3770"/>
      <c r="Y41" s="3846"/>
      <c r="Z41" s="3846"/>
      <c r="AA41" s="3847"/>
      <c r="AB41" s="2804"/>
      <c r="AC41" s="1675"/>
      <c r="AD41" s="2606" t="str">
        <f t="shared" si="14"/>
        <v>Tablas!$AI$630:$AI$748</v>
      </c>
      <c r="BB41" s="1753"/>
      <c r="BC41" s="1753"/>
      <c r="BD41" s="1753"/>
      <c r="BE41" s="1753"/>
      <c r="BF41" s="67"/>
      <c r="BG41" s="67"/>
      <c r="BH41" s="67"/>
    </row>
    <row r="42" spans="1:60" ht="12" customHeight="1">
      <c r="A42" s="1844"/>
      <c r="B42" s="2114"/>
      <c r="C42" s="3668"/>
      <c r="D42" s="3755"/>
      <c r="E42" s="3833" t="s">
        <v>2949</v>
      </c>
      <c r="F42" s="3727"/>
      <c r="G42" s="3727"/>
      <c r="H42" s="3727"/>
      <c r="I42" s="3727"/>
      <c r="J42" s="3727"/>
      <c r="K42" s="3728"/>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767" t="str">
        <f t="shared" ref="V42" si="15">IF(E42=0,"",VLOOKUP(E42,Tabla_TablasArmas,3,FALSE))</f>
        <v>Uso de arma mixta:</v>
      </c>
      <c r="W42" s="3768"/>
      <c r="X42" s="3768"/>
      <c r="Y42" s="3844"/>
      <c r="Z42" s="3844"/>
      <c r="AA42" s="3845"/>
      <c r="AB42" s="2804"/>
      <c r="AC42" s="1675"/>
      <c r="AD42" s="2606" t="str">
        <f t="shared" si="14"/>
        <v>Tablas!$AH$630:$AH$638</v>
      </c>
      <c r="BB42" s="1753"/>
      <c r="BC42" s="1753"/>
      <c r="BD42" s="1753"/>
      <c r="BE42" s="1753"/>
      <c r="BF42" s="67"/>
      <c r="BG42" s="67"/>
      <c r="BH42" s="67"/>
    </row>
    <row r="43" spans="1:60" ht="12" customHeight="1">
      <c r="A43" s="1844"/>
      <c r="B43" s="2114"/>
      <c r="C43" s="3668"/>
      <c r="D43" s="3755"/>
      <c r="E43" s="3834"/>
      <c r="F43" s="3689"/>
      <c r="G43" s="3689"/>
      <c r="H43" s="3689"/>
      <c r="I43" s="3689"/>
      <c r="J43" s="3689"/>
      <c r="K43" s="369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69" t="str">
        <f t="shared" ref="V43:V45" si="16">IF(E43=0,"",VLOOKUP(E43,Tabla_TablasArmas,3,FALSE))</f>
        <v/>
      </c>
      <c r="W43" s="3770"/>
      <c r="X43" s="3770"/>
      <c r="Y43" s="3846"/>
      <c r="Z43" s="3846"/>
      <c r="AA43" s="3847"/>
      <c r="AB43" s="2804"/>
      <c r="AC43" s="1675"/>
      <c r="AD43" s="2606" t="str">
        <f t="shared" si="14"/>
        <v/>
      </c>
      <c r="BB43" s="2258"/>
      <c r="BC43" s="2258"/>
      <c r="BD43" s="2258"/>
      <c r="BE43" s="2258"/>
      <c r="BF43" s="80"/>
      <c r="BG43" s="80"/>
      <c r="BH43" s="80"/>
    </row>
    <row r="44" spans="1:60" ht="12" customHeight="1">
      <c r="A44" s="1844"/>
      <c r="B44" s="2114"/>
      <c r="C44" s="3668"/>
      <c r="D44" s="3755"/>
      <c r="E44" s="3833"/>
      <c r="F44" s="3727"/>
      <c r="G44" s="3727"/>
      <c r="H44" s="3727"/>
      <c r="I44" s="3727"/>
      <c r="J44" s="3727"/>
      <c r="K44" s="372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67" t="str">
        <f t="shared" si="16"/>
        <v/>
      </c>
      <c r="W44" s="3768"/>
      <c r="X44" s="3768"/>
      <c r="Y44" s="3844"/>
      <c r="Z44" s="3844"/>
      <c r="AA44" s="3845"/>
      <c r="AB44" s="2804"/>
      <c r="AC44" s="1675"/>
      <c r="AD44" s="2606" t="str">
        <f t="shared" si="14"/>
        <v/>
      </c>
      <c r="BB44" s="2258"/>
      <c r="BC44" s="2258"/>
      <c r="BD44" s="2258"/>
      <c r="BE44" s="2258"/>
      <c r="BF44" s="80"/>
      <c r="BG44" s="80"/>
      <c r="BH44" s="80"/>
    </row>
    <row r="45" spans="1:60" ht="12" customHeight="1">
      <c r="A45" s="1844"/>
      <c r="B45" s="2114"/>
      <c r="C45" s="3668"/>
      <c r="D45" s="3837"/>
      <c r="E45" s="3834"/>
      <c r="F45" s="3689"/>
      <c r="G45" s="3689"/>
      <c r="H45" s="3689"/>
      <c r="I45" s="3689"/>
      <c r="J45" s="3689"/>
      <c r="K45" s="369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842" t="str">
        <f t="shared" si="16"/>
        <v/>
      </c>
      <c r="W45" s="3843"/>
      <c r="X45" s="3843"/>
      <c r="Y45" s="3848"/>
      <c r="Z45" s="3848"/>
      <c r="AA45" s="3849"/>
      <c r="AB45" s="2804"/>
      <c r="AC45" s="1675"/>
      <c r="AD45" s="2606" t="str">
        <f t="shared" si="14"/>
        <v/>
      </c>
      <c r="BB45" s="2258"/>
      <c r="BC45" s="2258"/>
      <c r="BD45" s="2258"/>
      <c r="BE45" s="2258"/>
      <c r="BF45" s="80"/>
      <c r="BG45" s="80"/>
      <c r="BH45" s="80"/>
    </row>
    <row r="46" spans="1:60" ht="12" customHeight="1">
      <c r="A46" s="1844"/>
      <c r="B46" s="2114"/>
      <c r="C46" s="3668"/>
      <c r="D46" s="3762" t="s">
        <v>1814</v>
      </c>
      <c r="E46" s="3723"/>
      <c r="F46" s="3724"/>
      <c r="G46" s="3724"/>
      <c r="H46" s="3724"/>
      <c r="I46" s="3724"/>
      <c r="J46" s="3724"/>
      <c r="K46" s="3725"/>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775" t="str">
        <f t="shared" ref="V46:V55" si="22">IF($E46="","",VLOOKUP($E46,Tabla_Tabla_Estilos,3,FALSE))</f>
        <v/>
      </c>
      <c r="W46" s="3775"/>
      <c r="X46" s="3775"/>
      <c r="Y46" s="3775"/>
      <c r="Z46" s="3775"/>
      <c r="AA46" s="3776"/>
      <c r="AB46" s="2804"/>
      <c r="AC46" s="1675"/>
      <c r="BB46" s="2258"/>
      <c r="BC46" s="2258"/>
      <c r="BD46" s="2258"/>
      <c r="BE46" s="2258"/>
      <c r="BF46" s="80"/>
      <c r="BG46" s="80"/>
      <c r="BH46" s="80"/>
    </row>
    <row r="47" spans="1:60" ht="12" customHeight="1">
      <c r="A47" s="1844"/>
      <c r="B47" s="2114"/>
      <c r="C47" s="3668"/>
      <c r="D47" s="3763"/>
      <c r="E47" s="3688"/>
      <c r="F47" s="3689"/>
      <c r="G47" s="3689"/>
      <c r="H47" s="3689"/>
      <c r="I47" s="3689"/>
      <c r="J47" s="3689"/>
      <c r="K47" s="3690"/>
      <c r="L47" s="127" t="str">
        <f t="shared" si="17"/>
        <v/>
      </c>
      <c r="M47" s="1526"/>
      <c r="N47" s="127">
        <f t="shared" si="18"/>
        <v>0</v>
      </c>
      <c r="O47" s="1526"/>
      <c r="P47" s="127">
        <f t="shared" si="19"/>
        <v>0</v>
      </c>
      <c r="Q47" s="1526"/>
      <c r="R47" s="127">
        <f t="shared" si="20"/>
        <v>0</v>
      </c>
      <c r="S47" s="1526"/>
      <c r="T47" s="127">
        <f t="shared" si="21"/>
        <v>0</v>
      </c>
      <c r="U47" s="1575"/>
      <c r="V47" s="3738" t="str">
        <f t="shared" si="22"/>
        <v/>
      </c>
      <c r="W47" s="3738"/>
      <c r="X47" s="3738"/>
      <c r="Y47" s="3738"/>
      <c r="Z47" s="3738"/>
      <c r="AA47" s="3739"/>
      <c r="AB47" s="2804"/>
      <c r="AC47" s="1675"/>
      <c r="BB47" s="2258"/>
      <c r="BC47" s="2258"/>
      <c r="BD47" s="2258"/>
      <c r="BE47" s="2258"/>
      <c r="BF47" s="80"/>
      <c r="BG47" s="80"/>
      <c r="BH47" s="80"/>
    </row>
    <row r="48" spans="1:60" ht="12" customHeight="1">
      <c r="A48" s="1844"/>
      <c r="B48" s="2114"/>
      <c r="C48" s="3668"/>
      <c r="D48" s="3763"/>
      <c r="E48" s="3726"/>
      <c r="F48" s="3727"/>
      <c r="G48" s="3727"/>
      <c r="H48" s="3727"/>
      <c r="I48" s="3727"/>
      <c r="J48" s="3727"/>
      <c r="K48" s="3728"/>
      <c r="L48" s="132" t="str">
        <f t="shared" si="17"/>
        <v/>
      </c>
      <c r="M48" s="1525"/>
      <c r="N48" s="132">
        <f t="shared" si="18"/>
        <v>0</v>
      </c>
      <c r="O48" s="1525"/>
      <c r="P48" s="132">
        <f t="shared" si="19"/>
        <v>0</v>
      </c>
      <c r="Q48" s="1525"/>
      <c r="R48" s="132">
        <f t="shared" si="20"/>
        <v>0</v>
      </c>
      <c r="S48" s="1525"/>
      <c r="T48" s="132">
        <f t="shared" si="21"/>
        <v>0</v>
      </c>
      <c r="U48" s="1576"/>
      <c r="V48" s="3741" t="str">
        <f t="shared" si="22"/>
        <v/>
      </c>
      <c r="W48" s="3741"/>
      <c r="X48" s="3741"/>
      <c r="Y48" s="3741"/>
      <c r="Z48" s="3741"/>
      <c r="AA48" s="3742"/>
      <c r="AB48" s="2804"/>
      <c r="AC48" s="1675"/>
      <c r="BB48" s="2258"/>
      <c r="BC48" s="2258"/>
      <c r="BD48" s="2258"/>
      <c r="BE48" s="2258"/>
      <c r="BF48" s="80"/>
      <c r="BG48" s="80"/>
      <c r="BH48" s="80"/>
    </row>
    <row r="49" spans="1:65" ht="12" customHeight="1">
      <c r="A49" s="1844"/>
      <c r="B49" s="2114"/>
      <c r="C49" s="3668"/>
      <c r="D49" s="3763"/>
      <c r="E49" s="3688"/>
      <c r="F49" s="3689"/>
      <c r="G49" s="3689"/>
      <c r="H49" s="3689"/>
      <c r="I49" s="3689"/>
      <c r="J49" s="3689"/>
      <c r="K49" s="3690"/>
      <c r="L49" s="127" t="str">
        <f t="shared" si="17"/>
        <v/>
      </c>
      <c r="M49" s="1526"/>
      <c r="N49" s="127">
        <f t="shared" si="18"/>
        <v>0</v>
      </c>
      <c r="O49" s="1526"/>
      <c r="P49" s="127">
        <f t="shared" si="19"/>
        <v>0</v>
      </c>
      <c r="Q49" s="1526"/>
      <c r="R49" s="127">
        <f t="shared" si="20"/>
        <v>0</v>
      </c>
      <c r="S49" s="1526"/>
      <c r="T49" s="127">
        <f t="shared" si="21"/>
        <v>0</v>
      </c>
      <c r="U49" s="1575"/>
      <c r="V49" s="3738" t="str">
        <f t="shared" si="22"/>
        <v/>
      </c>
      <c r="W49" s="3738"/>
      <c r="X49" s="3738"/>
      <c r="Y49" s="3738"/>
      <c r="Z49" s="3738"/>
      <c r="AA49" s="3739"/>
      <c r="AB49" s="2804"/>
      <c r="AC49" s="1675"/>
    </row>
    <row r="50" spans="1:65" ht="12" customHeight="1">
      <c r="A50" s="1844"/>
      <c r="B50" s="2114"/>
      <c r="C50" s="3668"/>
      <c r="D50" s="3763"/>
      <c r="E50" s="3726"/>
      <c r="F50" s="3727"/>
      <c r="G50" s="3727"/>
      <c r="H50" s="3727"/>
      <c r="I50" s="3727"/>
      <c r="J50" s="3727"/>
      <c r="K50" s="3728"/>
      <c r="L50" s="132" t="str">
        <f t="shared" si="17"/>
        <v/>
      </c>
      <c r="M50" s="1525"/>
      <c r="N50" s="132">
        <f t="shared" si="18"/>
        <v>0</v>
      </c>
      <c r="O50" s="1525"/>
      <c r="P50" s="132">
        <f t="shared" si="19"/>
        <v>0</v>
      </c>
      <c r="Q50" s="1525"/>
      <c r="R50" s="132">
        <f t="shared" si="20"/>
        <v>0</v>
      </c>
      <c r="S50" s="1525"/>
      <c r="T50" s="132">
        <f t="shared" si="21"/>
        <v>0</v>
      </c>
      <c r="U50" s="1576"/>
      <c r="V50" s="3741" t="str">
        <f t="shared" si="22"/>
        <v/>
      </c>
      <c r="W50" s="3741"/>
      <c r="X50" s="3741"/>
      <c r="Y50" s="3741"/>
      <c r="Z50" s="3741"/>
      <c r="AA50" s="3742"/>
      <c r="AB50" s="2804"/>
      <c r="AC50" s="1675"/>
      <c r="AD50" s="2606" t="str">
        <f>IF(PDs!$AD75=0,"",IF(PDs!$V75="FALTAN REQUISITOS",PDs!$V75,VLOOKUP(X50,Tabla_AM_Armas,9,FALSE)))</f>
        <v/>
      </c>
    </row>
    <row r="51" spans="1:65" ht="12" customHeight="1">
      <c r="A51" s="1844"/>
      <c r="B51" s="2114"/>
      <c r="C51" s="3668"/>
      <c r="D51" s="3763"/>
      <c r="E51" s="3688"/>
      <c r="F51" s="3689"/>
      <c r="G51" s="3689"/>
      <c r="H51" s="3689"/>
      <c r="I51" s="3689"/>
      <c r="J51" s="3689"/>
      <c r="K51" s="3690"/>
      <c r="L51" s="127" t="str">
        <f t="shared" si="17"/>
        <v/>
      </c>
      <c r="M51" s="1526"/>
      <c r="N51" s="127">
        <f t="shared" si="18"/>
        <v>0</v>
      </c>
      <c r="O51" s="1526"/>
      <c r="P51" s="127">
        <f t="shared" si="19"/>
        <v>0</v>
      </c>
      <c r="Q51" s="1526"/>
      <c r="R51" s="127">
        <f t="shared" si="20"/>
        <v>0</v>
      </c>
      <c r="S51" s="1526"/>
      <c r="T51" s="127">
        <f t="shared" si="21"/>
        <v>0</v>
      </c>
      <c r="U51" s="1575"/>
      <c r="V51" s="3738" t="str">
        <f t="shared" si="22"/>
        <v/>
      </c>
      <c r="W51" s="3738"/>
      <c r="X51" s="3738"/>
      <c r="Y51" s="3738"/>
      <c r="Z51" s="3738"/>
      <c r="AA51" s="3739"/>
      <c r="AB51" s="2804"/>
      <c r="AC51" s="1675"/>
      <c r="AD51" s="2606" t="str">
        <f>IF(PDs!$AD76=0,"",IF(PDs!$V76="FALTAN REQUISITOS",PDs!$V76,VLOOKUP(X51,Tabla_AM_Armas,9,FALSE)))</f>
        <v/>
      </c>
    </row>
    <row r="52" spans="1:65" ht="12" customHeight="1">
      <c r="A52" s="1844"/>
      <c r="B52" s="2114"/>
      <c r="C52" s="3668"/>
      <c r="D52" s="3763"/>
      <c r="E52" s="3726"/>
      <c r="F52" s="3727"/>
      <c r="G52" s="3727"/>
      <c r="H52" s="3727"/>
      <c r="I52" s="3727"/>
      <c r="J52" s="3727"/>
      <c r="K52" s="3728"/>
      <c r="L52" s="132" t="str">
        <f t="shared" si="17"/>
        <v/>
      </c>
      <c r="M52" s="155"/>
      <c r="N52" s="132">
        <f t="shared" si="18"/>
        <v>0</v>
      </c>
      <c r="O52" s="155"/>
      <c r="P52" s="132">
        <f t="shared" si="19"/>
        <v>0</v>
      </c>
      <c r="Q52" s="155"/>
      <c r="R52" s="132">
        <f t="shared" si="20"/>
        <v>0</v>
      </c>
      <c r="S52" s="155"/>
      <c r="T52" s="132">
        <f t="shared" si="21"/>
        <v>0</v>
      </c>
      <c r="U52" s="1577"/>
      <c r="V52" s="3741" t="str">
        <f t="shared" si="22"/>
        <v/>
      </c>
      <c r="W52" s="3741"/>
      <c r="X52" s="3741"/>
      <c r="Y52" s="3741"/>
      <c r="Z52" s="3741"/>
      <c r="AA52" s="3742"/>
      <c r="AB52" s="2804"/>
      <c r="AC52" s="1675"/>
      <c r="AD52" s="2606" t="str">
        <f>IF(PDs!$AD77=0,"",IF(PDs!$V77="FALTAN REQUISITOS",PDs!$V77,VLOOKUP(X52,Tabla_AM_Armas,9,FALSE)))</f>
        <v/>
      </c>
    </row>
    <row r="53" spans="1:65" ht="12" customHeight="1">
      <c r="A53" s="1844"/>
      <c r="B53" s="2114"/>
      <c r="C53" s="3668"/>
      <c r="D53" s="3763"/>
      <c r="E53" s="3688"/>
      <c r="F53" s="3689"/>
      <c r="G53" s="3689"/>
      <c r="H53" s="3689"/>
      <c r="I53" s="3689"/>
      <c r="J53" s="3689"/>
      <c r="K53" s="3690"/>
      <c r="L53" s="127" t="str">
        <f t="shared" si="17"/>
        <v/>
      </c>
      <c r="M53" s="156"/>
      <c r="N53" s="127">
        <f t="shared" si="18"/>
        <v>0</v>
      </c>
      <c r="O53" s="156"/>
      <c r="P53" s="127">
        <f t="shared" si="19"/>
        <v>0</v>
      </c>
      <c r="Q53" s="156"/>
      <c r="R53" s="127">
        <f t="shared" si="20"/>
        <v>0</v>
      </c>
      <c r="S53" s="156"/>
      <c r="T53" s="127">
        <f t="shared" si="21"/>
        <v>0</v>
      </c>
      <c r="U53" s="1578"/>
      <c r="V53" s="3738" t="str">
        <f t="shared" si="22"/>
        <v/>
      </c>
      <c r="W53" s="3738"/>
      <c r="X53" s="3738"/>
      <c r="Y53" s="3738"/>
      <c r="Z53" s="3738"/>
      <c r="AA53" s="3739"/>
      <c r="AB53" s="2804"/>
      <c r="AC53" s="1675"/>
    </row>
    <row r="54" spans="1:65" ht="12" customHeight="1">
      <c r="A54" s="1844"/>
      <c r="B54" s="2114"/>
      <c r="C54" s="3668"/>
      <c r="D54" s="3763"/>
      <c r="E54" s="3726"/>
      <c r="F54" s="3727"/>
      <c r="G54" s="3727"/>
      <c r="H54" s="3727"/>
      <c r="I54" s="3727"/>
      <c r="J54" s="3727"/>
      <c r="K54" s="3728"/>
      <c r="L54" s="132" t="str">
        <f t="shared" si="17"/>
        <v/>
      </c>
      <c r="M54" s="155"/>
      <c r="N54" s="132">
        <f t="shared" si="18"/>
        <v>0</v>
      </c>
      <c r="O54" s="155"/>
      <c r="P54" s="132">
        <f t="shared" si="19"/>
        <v>0</v>
      </c>
      <c r="Q54" s="155"/>
      <c r="R54" s="132">
        <f t="shared" si="20"/>
        <v>0</v>
      </c>
      <c r="S54" s="155"/>
      <c r="T54" s="132">
        <f t="shared" si="21"/>
        <v>0</v>
      </c>
      <c r="U54" s="1577"/>
      <c r="V54" s="3741" t="str">
        <f t="shared" si="22"/>
        <v/>
      </c>
      <c r="W54" s="3741"/>
      <c r="X54" s="3741"/>
      <c r="Y54" s="3741"/>
      <c r="Z54" s="3741"/>
      <c r="AA54" s="3742"/>
      <c r="AB54" s="2804"/>
      <c r="AC54" s="1675"/>
      <c r="BB54" s="1753"/>
      <c r="BC54" s="1753"/>
      <c r="BD54" s="1753"/>
      <c r="BE54" s="1753"/>
      <c r="BF54" s="67"/>
      <c r="BG54" s="67"/>
      <c r="BH54" s="67"/>
      <c r="BI54" s="67"/>
    </row>
    <row r="55" spans="1:65" ht="12" customHeight="1">
      <c r="A55" s="1844"/>
      <c r="B55" s="2114"/>
      <c r="C55" s="3668"/>
      <c r="D55" s="3764"/>
      <c r="E55" s="3734"/>
      <c r="F55" s="3735"/>
      <c r="G55" s="3735"/>
      <c r="H55" s="3735"/>
      <c r="I55" s="3735"/>
      <c r="J55" s="3735"/>
      <c r="K55" s="3736"/>
      <c r="L55" s="1570" t="str">
        <f t="shared" si="17"/>
        <v/>
      </c>
      <c r="M55" s="1579"/>
      <c r="N55" s="1570">
        <f t="shared" si="18"/>
        <v>0</v>
      </c>
      <c r="O55" s="1579"/>
      <c r="P55" s="1570">
        <f t="shared" si="19"/>
        <v>0</v>
      </c>
      <c r="Q55" s="1579"/>
      <c r="R55" s="1570">
        <f t="shared" si="20"/>
        <v>0</v>
      </c>
      <c r="S55" s="1579"/>
      <c r="T55" s="1570">
        <f t="shared" si="21"/>
        <v>0</v>
      </c>
      <c r="U55" s="1580"/>
      <c r="V55" s="3765" t="str">
        <f t="shared" si="22"/>
        <v/>
      </c>
      <c r="W55" s="3765"/>
      <c r="X55" s="3765"/>
      <c r="Y55" s="3765"/>
      <c r="Z55" s="3765"/>
      <c r="AA55" s="3766"/>
      <c r="AB55" s="2804"/>
      <c r="AC55" s="1675"/>
      <c r="AE55" s="2900"/>
      <c r="AF55" s="2900" t="s">
        <v>10224</v>
      </c>
      <c r="BB55" s="1753"/>
      <c r="BC55" s="1753"/>
      <c r="BD55" s="1753"/>
      <c r="BE55" s="1753"/>
      <c r="BF55" s="67"/>
      <c r="BG55" s="67"/>
      <c r="BH55" s="67"/>
      <c r="BI55" s="67"/>
    </row>
    <row r="56" spans="1:65" ht="12" customHeight="1">
      <c r="A56" s="1844"/>
      <c r="B56" s="2114"/>
      <c r="C56" s="3668"/>
      <c r="D56" s="3762" t="s">
        <v>1815</v>
      </c>
      <c r="E56" s="3884"/>
      <c r="F56" s="3885"/>
      <c r="G56" s="3885"/>
      <c r="H56" s="3885"/>
      <c r="I56" s="3886"/>
      <c r="J56" s="3882"/>
      <c r="K56" s="3883"/>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977" t="str">
        <f t="shared" ref="V56:V74" si="28">IF($AD56=0,"",IF(VLOOKUP($AD56,Tabla_ArtesMarciales,21,FALSE)="-",VLOOKUP($AD56,Tabla_ArtesMarciales,9,FALSE),"FALTAN REQUISITOS"))</f>
        <v/>
      </c>
      <c r="W56" s="3775"/>
      <c r="X56" s="3775"/>
      <c r="Y56" s="3775"/>
      <c r="Z56" s="3775"/>
      <c r="AA56" s="3776"/>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c r="A57" s="1844"/>
      <c r="B57" s="2114"/>
      <c r="C57" s="3668"/>
      <c r="D57" s="3763"/>
      <c r="E57" s="3876"/>
      <c r="F57" s="3877"/>
      <c r="G57" s="3877"/>
      <c r="H57" s="3877"/>
      <c r="I57" s="3878"/>
      <c r="J57" s="3887"/>
      <c r="K57" s="3888"/>
      <c r="L57" s="2160" t="str">
        <f t="shared" si="23"/>
        <v/>
      </c>
      <c r="M57" s="1526"/>
      <c r="N57" s="127" t="str">
        <f t="shared" si="24"/>
        <v/>
      </c>
      <c r="O57" s="1526"/>
      <c r="P57" s="127" t="str">
        <f t="shared" si="25"/>
        <v/>
      </c>
      <c r="Q57" s="1526"/>
      <c r="R57" s="127" t="str">
        <f t="shared" si="26"/>
        <v/>
      </c>
      <c r="S57" s="1526"/>
      <c r="T57" s="127" t="str">
        <f t="shared" si="27"/>
        <v/>
      </c>
      <c r="U57" s="1526"/>
      <c r="V57" s="3737" t="str">
        <f t="shared" si="28"/>
        <v/>
      </c>
      <c r="W57" s="3738"/>
      <c r="X57" s="3738"/>
      <c r="Y57" s="3738"/>
      <c r="Z57" s="3738"/>
      <c r="AA57" s="3739"/>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c r="A58" s="1844"/>
      <c r="B58" s="2114"/>
      <c r="C58" s="3668"/>
      <c r="D58" s="3763"/>
      <c r="E58" s="3889"/>
      <c r="F58" s="3890"/>
      <c r="G58" s="3890"/>
      <c r="H58" s="3890"/>
      <c r="I58" s="3891"/>
      <c r="J58" s="3892"/>
      <c r="K58" s="3893"/>
      <c r="L58" s="2159" t="str">
        <f t="shared" si="23"/>
        <v/>
      </c>
      <c r="M58" s="1525"/>
      <c r="N58" s="132" t="str">
        <f t="shared" si="24"/>
        <v/>
      </c>
      <c r="O58" s="1525"/>
      <c r="P58" s="132" t="str">
        <f t="shared" si="25"/>
        <v/>
      </c>
      <c r="Q58" s="1525"/>
      <c r="R58" s="132" t="str">
        <f t="shared" si="26"/>
        <v/>
      </c>
      <c r="S58" s="1525"/>
      <c r="T58" s="132" t="str">
        <f t="shared" si="27"/>
        <v/>
      </c>
      <c r="U58" s="1525"/>
      <c r="V58" s="3740" t="str">
        <f t="shared" si="28"/>
        <v/>
      </c>
      <c r="W58" s="3741"/>
      <c r="X58" s="3741"/>
      <c r="Y58" s="3741"/>
      <c r="Z58" s="3741"/>
      <c r="AA58" s="3742"/>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c r="A59" s="1844"/>
      <c r="B59" s="2114"/>
      <c r="C59" s="3668"/>
      <c r="D59" s="3763"/>
      <c r="E59" s="3876"/>
      <c r="F59" s="3877"/>
      <c r="G59" s="3877"/>
      <c r="H59" s="3877"/>
      <c r="I59" s="3878"/>
      <c r="J59" s="3887"/>
      <c r="K59" s="3888"/>
      <c r="L59" s="2160" t="str">
        <f t="shared" si="23"/>
        <v/>
      </c>
      <c r="M59" s="1526"/>
      <c r="N59" s="127" t="str">
        <f t="shared" si="24"/>
        <v/>
      </c>
      <c r="O59" s="1526"/>
      <c r="P59" s="127" t="str">
        <f t="shared" si="25"/>
        <v/>
      </c>
      <c r="Q59" s="1526"/>
      <c r="R59" s="127" t="str">
        <f t="shared" si="26"/>
        <v/>
      </c>
      <c r="S59" s="1526"/>
      <c r="T59" s="127" t="str">
        <f t="shared" si="27"/>
        <v/>
      </c>
      <c r="U59" s="1526"/>
      <c r="V59" s="3737" t="str">
        <f t="shared" si="28"/>
        <v/>
      </c>
      <c r="W59" s="3738"/>
      <c r="X59" s="3738"/>
      <c r="Y59" s="3738"/>
      <c r="Z59" s="3738"/>
      <c r="AA59" s="3739"/>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c r="A60" s="1844"/>
      <c r="B60" s="2114"/>
      <c r="C60" s="3668"/>
      <c r="D60" s="3763"/>
      <c r="E60" s="3889"/>
      <c r="F60" s="3890"/>
      <c r="G60" s="3890"/>
      <c r="H60" s="3890"/>
      <c r="I60" s="3891"/>
      <c r="J60" s="3892"/>
      <c r="K60" s="3893"/>
      <c r="L60" s="2159" t="str">
        <f t="shared" si="23"/>
        <v/>
      </c>
      <c r="M60" s="1525"/>
      <c r="N60" s="132" t="str">
        <f t="shared" si="24"/>
        <v/>
      </c>
      <c r="O60" s="1525"/>
      <c r="P60" s="132" t="str">
        <f t="shared" si="25"/>
        <v/>
      </c>
      <c r="Q60" s="1525"/>
      <c r="R60" s="132" t="str">
        <f t="shared" si="26"/>
        <v/>
      </c>
      <c r="S60" s="1525"/>
      <c r="T60" s="132" t="str">
        <f t="shared" si="27"/>
        <v/>
      </c>
      <c r="U60" s="1525"/>
      <c r="V60" s="3740" t="str">
        <f t="shared" si="28"/>
        <v/>
      </c>
      <c r="W60" s="3741"/>
      <c r="X60" s="3741"/>
      <c r="Y60" s="3741"/>
      <c r="Z60" s="3741"/>
      <c r="AA60" s="3742"/>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c r="A61" s="1844"/>
      <c r="B61" s="2114"/>
      <c r="C61" s="3668"/>
      <c r="D61" s="3763"/>
      <c r="E61" s="3876"/>
      <c r="F61" s="3877"/>
      <c r="G61" s="3877"/>
      <c r="H61" s="3877"/>
      <c r="I61" s="3878"/>
      <c r="J61" s="3887"/>
      <c r="K61" s="3888"/>
      <c r="L61" s="2160" t="str">
        <f t="shared" si="23"/>
        <v/>
      </c>
      <c r="M61" s="1526"/>
      <c r="N61" s="127" t="str">
        <f t="shared" si="24"/>
        <v/>
      </c>
      <c r="O61" s="1526"/>
      <c r="P61" s="127" t="str">
        <f t="shared" si="25"/>
        <v/>
      </c>
      <c r="Q61" s="1526"/>
      <c r="R61" s="127" t="str">
        <f t="shared" si="26"/>
        <v/>
      </c>
      <c r="S61" s="1526"/>
      <c r="T61" s="127" t="str">
        <f t="shared" si="27"/>
        <v/>
      </c>
      <c r="U61" s="1526"/>
      <c r="V61" s="3737" t="str">
        <f t="shared" si="28"/>
        <v/>
      </c>
      <c r="W61" s="3738"/>
      <c r="X61" s="3738"/>
      <c r="Y61" s="3738"/>
      <c r="Z61" s="3738"/>
      <c r="AA61" s="3739"/>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c r="A62" s="1844"/>
      <c r="B62" s="2114"/>
      <c r="C62" s="3668"/>
      <c r="D62" s="3763"/>
      <c r="E62" s="3889"/>
      <c r="F62" s="3890"/>
      <c r="G62" s="3890"/>
      <c r="H62" s="3890"/>
      <c r="I62" s="3891"/>
      <c r="J62" s="3892"/>
      <c r="K62" s="3893"/>
      <c r="L62" s="2159" t="str">
        <f t="shared" si="23"/>
        <v/>
      </c>
      <c r="M62" s="1525"/>
      <c r="N62" s="132" t="str">
        <f t="shared" si="24"/>
        <v/>
      </c>
      <c r="O62" s="1525"/>
      <c r="P62" s="132" t="str">
        <f t="shared" si="25"/>
        <v/>
      </c>
      <c r="Q62" s="1525"/>
      <c r="R62" s="132" t="str">
        <f t="shared" si="26"/>
        <v/>
      </c>
      <c r="S62" s="1525"/>
      <c r="T62" s="132" t="str">
        <f t="shared" si="27"/>
        <v/>
      </c>
      <c r="U62" s="1525"/>
      <c r="V62" s="3740" t="str">
        <f t="shared" si="28"/>
        <v/>
      </c>
      <c r="W62" s="3741"/>
      <c r="X62" s="3741"/>
      <c r="Y62" s="3741"/>
      <c r="Z62" s="3741"/>
      <c r="AA62" s="3742"/>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c r="A63" s="1844"/>
      <c r="B63" s="2114"/>
      <c r="C63" s="3668"/>
      <c r="D63" s="3763"/>
      <c r="E63" s="3876"/>
      <c r="F63" s="3877"/>
      <c r="G63" s="3877"/>
      <c r="H63" s="3877"/>
      <c r="I63" s="3878"/>
      <c r="J63" s="3887"/>
      <c r="K63" s="3888"/>
      <c r="L63" s="2160" t="str">
        <f t="shared" si="23"/>
        <v/>
      </c>
      <c r="M63" s="1526"/>
      <c r="N63" s="127" t="str">
        <f t="shared" si="24"/>
        <v/>
      </c>
      <c r="O63" s="1526"/>
      <c r="P63" s="127" t="str">
        <f t="shared" si="25"/>
        <v/>
      </c>
      <c r="Q63" s="1526"/>
      <c r="R63" s="127" t="str">
        <f t="shared" si="26"/>
        <v/>
      </c>
      <c r="S63" s="1526"/>
      <c r="T63" s="127" t="str">
        <f t="shared" si="27"/>
        <v/>
      </c>
      <c r="U63" s="1526"/>
      <c r="V63" s="3737" t="str">
        <f t="shared" si="28"/>
        <v/>
      </c>
      <c r="W63" s="3738"/>
      <c r="X63" s="3738"/>
      <c r="Y63" s="3738"/>
      <c r="Z63" s="3738"/>
      <c r="AA63" s="3739"/>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c r="A64" s="1844"/>
      <c r="B64" s="2114"/>
      <c r="C64" s="3668"/>
      <c r="D64" s="3763"/>
      <c r="E64" s="3889"/>
      <c r="F64" s="3890"/>
      <c r="G64" s="3890"/>
      <c r="H64" s="3890"/>
      <c r="I64" s="3891"/>
      <c r="J64" s="3892"/>
      <c r="K64" s="3893"/>
      <c r="L64" s="2159" t="str">
        <f t="shared" si="23"/>
        <v/>
      </c>
      <c r="M64" s="1525"/>
      <c r="N64" s="132" t="str">
        <f t="shared" si="24"/>
        <v/>
      </c>
      <c r="O64" s="1525"/>
      <c r="P64" s="132" t="str">
        <f t="shared" si="25"/>
        <v/>
      </c>
      <c r="Q64" s="1525"/>
      <c r="R64" s="132" t="str">
        <f t="shared" si="26"/>
        <v/>
      </c>
      <c r="S64" s="1525"/>
      <c r="T64" s="132" t="str">
        <f t="shared" si="27"/>
        <v/>
      </c>
      <c r="U64" s="1525"/>
      <c r="V64" s="3740" t="str">
        <f t="shared" si="28"/>
        <v/>
      </c>
      <c r="W64" s="3741"/>
      <c r="X64" s="3741"/>
      <c r="Y64" s="3741"/>
      <c r="Z64" s="3741"/>
      <c r="AA64" s="3742"/>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c r="A65" s="1844"/>
      <c r="B65" s="2114"/>
      <c r="C65" s="3668"/>
      <c r="D65" s="3763"/>
      <c r="E65" s="3876"/>
      <c r="F65" s="3877"/>
      <c r="G65" s="3877"/>
      <c r="H65" s="3877"/>
      <c r="I65" s="3878"/>
      <c r="J65" s="3887"/>
      <c r="K65" s="3888"/>
      <c r="L65" s="2160" t="str">
        <f t="shared" si="23"/>
        <v/>
      </c>
      <c r="M65" s="1526"/>
      <c r="N65" s="127" t="str">
        <f t="shared" si="24"/>
        <v/>
      </c>
      <c r="O65" s="1526"/>
      <c r="P65" s="127" t="str">
        <f t="shared" si="25"/>
        <v/>
      </c>
      <c r="Q65" s="1526"/>
      <c r="R65" s="127" t="str">
        <f t="shared" si="26"/>
        <v/>
      </c>
      <c r="S65" s="1526"/>
      <c r="T65" s="127" t="str">
        <f t="shared" si="27"/>
        <v/>
      </c>
      <c r="U65" s="1526"/>
      <c r="V65" s="3737" t="str">
        <f t="shared" si="28"/>
        <v/>
      </c>
      <c r="W65" s="3738"/>
      <c r="X65" s="3738"/>
      <c r="Y65" s="3738"/>
      <c r="Z65" s="3738"/>
      <c r="AA65" s="3739"/>
      <c r="AB65" s="2914"/>
      <c r="AC65" s="1677"/>
      <c r="AD65" s="2606">
        <f t="shared" si="30"/>
        <v>0</v>
      </c>
      <c r="AE65" s="3152">
        <f>IF(ISNUMBER(MATCH(E65,Tablas!$AC$804:$AC$822,0)),"Grado_AM_Básicas",IF(ISNUMBER(MATCH(E65,Tablas!$AC$823:$AC$840,0)),"Grado_AM_Avanzadas",))</f>
        <v>0</v>
      </c>
      <c r="AF65" s="2900">
        <f>--(COUNTIF($E$56:$E65,E65)=1)</f>
        <v>0</v>
      </c>
    </row>
    <row r="66" spans="1:57" ht="12" customHeight="1">
      <c r="A66" s="1844"/>
      <c r="B66" s="2114"/>
      <c r="C66" s="3668"/>
      <c r="D66" s="3763"/>
      <c r="E66" s="3889"/>
      <c r="F66" s="3890"/>
      <c r="G66" s="3890"/>
      <c r="H66" s="3890"/>
      <c r="I66" s="3891"/>
      <c r="J66" s="3892"/>
      <c r="K66" s="3893"/>
      <c r="L66" s="2159" t="str">
        <f t="shared" si="23"/>
        <v/>
      </c>
      <c r="M66" s="1525"/>
      <c r="N66" s="132" t="str">
        <f t="shared" si="24"/>
        <v/>
      </c>
      <c r="O66" s="1525"/>
      <c r="P66" s="132" t="str">
        <f t="shared" si="25"/>
        <v/>
      </c>
      <c r="Q66" s="1525"/>
      <c r="R66" s="132" t="str">
        <f t="shared" si="26"/>
        <v/>
      </c>
      <c r="S66" s="1525"/>
      <c r="T66" s="132" t="str">
        <f t="shared" si="27"/>
        <v/>
      </c>
      <c r="U66" s="1525"/>
      <c r="V66" s="3740" t="str">
        <f t="shared" si="28"/>
        <v/>
      </c>
      <c r="W66" s="3741"/>
      <c r="X66" s="3741"/>
      <c r="Y66" s="3741"/>
      <c r="Z66" s="3741"/>
      <c r="AA66" s="3742"/>
      <c r="AB66" s="2914"/>
      <c r="AC66" s="1677"/>
      <c r="AD66" s="2606">
        <f t="shared" si="30"/>
        <v>0</v>
      </c>
      <c r="AE66" s="3152">
        <f>IF(ISNUMBER(MATCH(E66,Tablas!$AC$804:$AC$822,0)),"Grado_AM_Básicas",IF(ISNUMBER(MATCH(E66,Tablas!$AC$823:$AC$840,0)),"Grado_AM_Avanzadas",))</f>
        <v>0</v>
      </c>
      <c r="AF66" s="2900">
        <f>--(COUNTIF($E$56:$E66,E66)=1)</f>
        <v>0</v>
      </c>
    </row>
    <row r="67" spans="1:57" ht="12" customHeight="1">
      <c r="A67" s="1844"/>
      <c r="B67" s="2114"/>
      <c r="C67" s="3668"/>
      <c r="D67" s="3763"/>
      <c r="E67" s="3876"/>
      <c r="F67" s="3877"/>
      <c r="G67" s="3877"/>
      <c r="H67" s="3877"/>
      <c r="I67" s="3878"/>
      <c r="J67" s="3887"/>
      <c r="K67" s="3888"/>
      <c r="L67" s="2160" t="str">
        <f t="shared" si="23"/>
        <v/>
      </c>
      <c r="M67" s="1526"/>
      <c r="N67" s="127" t="str">
        <f t="shared" si="24"/>
        <v/>
      </c>
      <c r="O67" s="1526"/>
      <c r="P67" s="127" t="str">
        <f t="shared" si="25"/>
        <v/>
      </c>
      <c r="Q67" s="1526"/>
      <c r="R67" s="127" t="str">
        <f t="shared" si="26"/>
        <v/>
      </c>
      <c r="S67" s="1526"/>
      <c r="T67" s="127" t="str">
        <f t="shared" si="27"/>
        <v/>
      </c>
      <c r="U67" s="1526"/>
      <c r="V67" s="3737" t="str">
        <f t="shared" si="28"/>
        <v/>
      </c>
      <c r="W67" s="3738"/>
      <c r="X67" s="3738"/>
      <c r="Y67" s="3738"/>
      <c r="Z67" s="3738"/>
      <c r="AA67" s="3739"/>
      <c r="AB67" s="2914"/>
      <c r="AC67" s="1677"/>
      <c r="AD67" s="2606">
        <f t="shared" si="30"/>
        <v>0</v>
      </c>
      <c r="AE67" s="3152">
        <f>IF(ISNUMBER(MATCH(E67,Tablas!$AC$804:$AC$822,0)),"Grado_AM_Básicas",IF(ISNUMBER(MATCH(E67,Tablas!$AC$823:$AC$840,0)),"Grado_AM_Avanzadas",))</f>
        <v>0</v>
      </c>
      <c r="AF67" s="2900">
        <f>--(COUNTIF($E$56:$E67,E67)=1)</f>
        <v>0</v>
      </c>
    </row>
    <row r="68" spans="1:57" ht="12" customHeight="1">
      <c r="A68" s="1844"/>
      <c r="B68" s="2114"/>
      <c r="C68" s="3668"/>
      <c r="D68" s="3763"/>
      <c r="E68" s="3889"/>
      <c r="F68" s="3890"/>
      <c r="G68" s="3890"/>
      <c r="H68" s="3890"/>
      <c r="I68" s="3891"/>
      <c r="J68" s="3892"/>
      <c r="K68" s="3893"/>
      <c r="L68" s="2159" t="str">
        <f t="shared" si="23"/>
        <v/>
      </c>
      <c r="M68" s="1525"/>
      <c r="N68" s="132" t="str">
        <f t="shared" si="24"/>
        <v/>
      </c>
      <c r="O68" s="1525"/>
      <c r="P68" s="132" t="str">
        <f t="shared" si="25"/>
        <v/>
      </c>
      <c r="Q68" s="1525"/>
      <c r="R68" s="132" t="str">
        <f t="shared" si="26"/>
        <v/>
      </c>
      <c r="S68" s="1525"/>
      <c r="T68" s="132" t="str">
        <f t="shared" si="27"/>
        <v/>
      </c>
      <c r="U68" s="1525"/>
      <c r="V68" s="3740" t="str">
        <f t="shared" si="28"/>
        <v/>
      </c>
      <c r="W68" s="3741"/>
      <c r="X68" s="3741"/>
      <c r="Y68" s="3741"/>
      <c r="Z68" s="3741"/>
      <c r="AA68" s="3742"/>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c r="A69" s="1844"/>
      <c r="B69" s="2114"/>
      <c r="C69" s="3668"/>
      <c r="D69" s="3763"/>
      <c r="E69" s="3876"/>
      <c r="F69" s="3877"/>
      <c r="G69" s="3877"/>
      <c r="H69" s="3877"/>
      <c r="I69" s="3878"/>
      <c r="J69" s="3887"/>
      <c r="K69" s="3888"/>
      <c r="L69" s="2160" t="str">
        <f t="shared" si="23"/>
        <v/>
      </c>
      <c r="M69" s="1526"/>
      <c r="N69" s="127" t="str">
        <f t="shared" si="24"/>
        <v/>
      </c>
      <c r="O69" s="1526"/>
      <c r="P69" s="127" t="str">
        <f t="shared" si="25"/>
        <v/>
      </c>
      <c r="Q69" s="1526"/>
      <c r="R69" s="127" t="str">
        <f t="shared" si="26"/>
        <v/>
      </c>
      <c r="S69" s="1526"/>
      <c r="T69" s="127" t="str">
        <f t="shared" si="27"/>
        <v/>
      </c>
      <c r="U69" s="1526"/>
      <c r="V69" s="3737" t="str">
        <f t="shared" si="28"/>
        <v/>
      </c>
      <c r="W69" s="3738"/>
      <c r="X69" s="3738"/>
      <c r="Y69" s="3738"/>
      <c r="Z69" s="3738"/>
      <c r="AA69" s="3739"/>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c r="A70" s="5"/>
      <c r="B70" s="2335"/>
      <c r="C70" s="3668"/>
      <c r="D70" s="3763"/>
      <c r="E70" s="3889"/>
      <c r="F70" s="3890"/>
      <c r="G70" s="3890"/>
      <c r="H70" s="3890"/>
      <c r="I70" s="3891"/>
      <c r="J70" s="3892"/>
      <c r="K70" s="3893"/>
      <c r="L70" s="2159" t="str">
        <f t="shared" si="23"/>
        <v/>
      </c>
      <c r="M70" s="1525"/>
      <c r="N70" s="132" t="str">
        <f t="shared" si="24"/>
        <v/>
      </c>
      <c r="O70" s="1525"/>
      <c r="P70" s="132" t="str">
        <f t="shared" si="25"/>
        <v/>
      </c>
      <c r="Q70" s="1525"/>
      <c r="R70" s="132" t="str">
        <f t="shared" si="26"/>
        <v/>
      </c>
      <c r="S70" s="1525"/>
      <c r="T70" s="132" t="str">
        <f t="shared" si="27"/>
        <v/>
      </c>
      <c r="U70" s="1525"/>
      <c r="V70" s="3740" t="str">
        <f t="shared" si="28"/>
        <v/>
      </c>
      <c r="W70" s="3741"/>
      <c r="X70" s="3741"/>
      <c r="Y70" s="3741"/>
      <c r="Z70" s="3741"/>
      <c r="AA70" s="3742"/>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c r="A71" s="5"/>
      <c r="B71" s="2335"/>
      <c r="C71" s="3668"/>
      <c r="D71" s="3763"/>
      <c r="E71" s="3876"/>
      <c r="F71" s="3877"/>
      <c r="G71" s="3877"/>
      <c r="H71" s="3877"/>
      <c r="I71" s="3878"/>
      <c r="J71" s="3887"/>
      <c r="K71" s="3888"/>
      <c r="L71" s="2160" t="str">
        <f t="shared" si="23"/>
        <v/>
      </c>
      <c r="M71" s="1526"/>
      <c r="N71" s="1527" t="str">
        <f t="shared" si="24"/>
        <v/>
      </c>
      <c r="O71" s="1526"/>
      <c r="P71" s="1527" t="str">
        <f t="shared" si="25"/>
        <v/>
      </c>
      <c r="Q71" s="1526"/>
      <c r="R71" s="1527" t="str">
        <f t="shared" si="26"/>
        <v/>
      </c>
      <c r="S71" s="1526"/>
      <c r="T71" s="1527" t="str">
        <f t="shared" si="27"/>
        <v/>
      </c>
      <c r="U71" s="1526"/>
      <c r="V71" s="3737" t="str">
        <f t="shared" si="28"/>
        <v/>
      </c>
      <c r="W71" s="3738"/>
      <c r="X71" s="3738"/>
      <c r="Y71" s="3738"/>
      <c r="Z71" s="3738"/>
      <c r="AA71" s="3739"/>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c r="A72" s="5"/>
      <c r="B72" s="2335"/>
      <c r="C72" s="3668"/>
      <c r="D72" s="3763"/>
      <c r="E72" s="3889"/>
      <c r="F72" s="3890"/>
      <c r="G72" s="3890"/>
      <c r="H72" s="3890"/>
      <c r="I72" s="3891"/>
      <c r="J72" s="3892"/>
      <c r="K72" s="3893"/>
      <c r="L72" s="2159" t="str">
        <f t="shared" si="23"/>
        <v/>
      </c>
      <c r="M72" s="1525"/>
      <c r="N72" s="1522" t="str">
        <f t="shared" si="24"/>
        <v/>
      </c>
      <c r="O72" s="1525"/>
      <c r="P72" s="1522" t="str">
        <f t="shared" si="25"/>
        <v/>
      </c>
      <c r="Q72" s="1525"/>
      <c r="R72" s="1522" t="str">
        <f t="shared" si="26"/>
        <v/>
      </c>
      <c r="S72" s="1525"/>
      <c r="T72" s="1522" t="str">
        <f t="shared" si="27"/>
        <v/>
      </c>
      <c r="U72" s="1525"/>
      <c r="V72" s="3740" t="str">
        <f t="shared" si="28"/>
        <v/>
      </c>
      <c r="W72" s="3741"/>
      <c r="X72" s="3741"/>
      <c r="Y72" s="3741"/>
      <c r="Z72" s="3741"/>
      <c r="AA72" s="3742"/>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c r="A73" s="5"/>
      <c r="B73" s="2335"/>
      <c r="C73" s="3668"/>
      <c r="D73" s="3763"/>
      <c r="E73" s="3876"/>
      <c r="F73" s="3877"/>
      <c r="G73" s="3877"/>
      <c r="H73" s="3877"/>
      <c r="I73" s="3878"/>
      <c r="J73" s="3887"/>
      <c r="K73" s="3888"/>
      <c r="L73" s="2160" t="str">
        <f t="shared" si="23"/>
        <v/>
      </c>
      <c r="M73" s="1526"/>
      <c r="N73" s="1527" t="str">
        <f t="shared" si="24"/>
        <v/>
      </c>
      <c r="O73" s="1526"/>
      <c r="P73" s="1527" t="str">
        <f t="shared" si="25"/>
        <v/>
      </c>
      <c r="Q73" s="1526"/>
      <c r="R73" s="1527" t="str">
        <f t="shared" si="26"/>
        <v/>
      </c>
      <c r="S73" s="1526"/>
      <c r="T73" s="1527" t="str">
        <f t="shared" si="27"/>
        <v/>
      </c>
      <c r="U73" s="1526"/>
      <c r="V73" s="3737" t="str">
        <f t="shared" si="28"/>
        <v/>
      </c>
      <c r="W73" s="3738"/>
      <c r="X73" s="3738"/>
      <c r="Y73" s="3738"/>
      <c r="Z73" s="3738"/>
      <c r="AA73" s="3739"/>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c r="A74" s="5"/>
      <c r="B74" s="2335"/>
      <c r="C74" s="3668"/>
      <c r="D74" s="3763"/>
      <c r="E74" s="3895"/>
      <c r="F74" s="3896"/>
      <c r="G74" s="3896"/>
      <c r="H74" s="3896"/>
      <c r="I74" s="3897"/>
      <c r="J74" s="3898"/>
      <c r="K74" s="3899"/>
      <c r="L74" s="2159" t="str">
        <f t="shared" si="23"/>
        <v/>
      </c>
      <c r="M74" s="1525"/>
      <c r="N74" s="1522" t="str">
        <f t="shared" si="24"/>
        <v/>
      </c>
      <c r="O74" s="1525"/>
      <c r="P74" s="1522" t="str">
        <f t="shared" si="25"/>
        <v/>
      </c>
      <c r="Q74" s="1525"/>
      <c r="R74" s="1522" t="str">
        <f t="shared" si="26"/>
        <v/>
      </c>
      <c r="S74" s="1525"/>
      <c r="T74" s="1522" t="str">
        <f t="shared" si="27"/>
        <v/>
      </c>
      <c r="U74" s="1525"/>
      <c r="V74" s="3740" t="str">
        <f t="shared" si="28"/>
        <v/>
      </c>
      <c r="W74" s="3741"/>
      <c r="X74" s="3741"/>
      <c r="Y74" s="3741"/>
      <c r="Z74" s="3741"/>
      <c r="AA74" s="3742"/>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c r="A75" s="5"/>
      <c r="B75" s="2335"/>
      <c r="C75" s="3668"/>
      <c r="D75" s="3763"/>
      <c r="E75" s="3688"/>
      <c r="F75" s="3689"/>
      <c r="G75" s="3689"/>
      <c r="H75" s="3689"/>
      <c r="I75" s="3689"/>
      <c r="J75" s="3689"/>
      <c r="K75" s="3690"/>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743" t="str">
        <f>IF(E75=0,"",IF(VLOOKUP(E75,Tabla_AM_Armas,4,FALSE)="-","-","FALTAN REQUISITOS"))</f>
        <v/>
      </c>
      <c r="W75" s="3744"/>
      <c r="X75" s="3744"/>
      <c r="Y75" s="3744"/>
      <c r="Z75" s="3744"/>
      <c r="AA75" s="3745"/>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c r="A76" s="5"/>
      <c r="B76" s="2335"/>
      <c r="C76" s="3668"/>
      <c r="D76" s="3763"/>
      <c r="E76" s="3726"/>
      <c r="F76" s="3727"/>
      <c r="G76" s="3727"/>
      <c r="H76" s="3727"/>
      <c r="I76" s="3727"/>
      <c r="J76" s="3727"/>
      <c r="K76" s="3728"/>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746" t="str">
        <f>IF(E76=0,"",IF(VLOOKUP(E76,Tabla_AM_Armas,4,FALSE)="-","-","FALTAN REQUISITOS"))</f>
        <v/>
      </c>
      <c r="W76" s="3747"/>
      <c r="X76" s="3747"/>
      <c r="Y76" s="3747"/>
      <c r="Z76" s="3747"/>
      <c r="AA76" s="3748"/>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c r="A77" s="5"/>
      <c r="B77" s="2335"/>
      <c r="C77" s="3668"/>
      <c r="D77" s="3764"/>
      <c r="E77" s="3734"/>
      <c r="F77" s="3735"/>
      <c r="G77" s="3735"/>
      <c r="H77" s="3735"/>
      <c r="I77" s="3735"/>
      <c r="J77" s="3735"/>
      <c r="K77" s="3736"/>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749" t="str">
        <f>IF(E77=0,"",IF(VLOOKUP(E77,Tabla_AM_Armas,4,FALSE)="-","-","FALTAN REQUISITOS"))</f>
        <v/>
      </c>
      <c r="W77" s="3750"/>
      <c r="X77" s="3750"/>
      <c r="Y77" s="3750"/>
      <c r="Z77" s="3750"/>
      <c r="AA77" s="3751"/>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c r="A78" s="5"/>
      <c r="B78" s="2335"/>
      <c r="C78" s="3668"/>
      <c r="D78" s="3754" t="s">
        <v>1816</v>
      </c>
      <c r="E78" s="3756"/>
      <c r="F78" s="3757"/>
      <c r="G78" s="3757"/>
      <c r="H78" s="3757"/>
      <c r="I78" s="3757"/>
      <c r="J78" s="3757"/>
      <c r="K78" s="375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858" t="str">
        <f>IF(E78=0,"",IF(VLOOKUP(E78,Tabla_ArsMagnus,5,FALSE)="-","Ver Descripción","FALTAN REQUISITOS"))</f>
        <v/>
      </c>
      <c r="W78" s="3859"/>
      <c r="X78" s="3859"/>
      <c r="Y78" s="3859"/>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c r="A79" s="5"/>
      <c r="B79" s="2335"/>
      <c r="C79" s="3668"/>
      <c r="D79" s="3755"/>
      <c r="E79" s="3759"/>
      <c r="F79" s="3760"/>
      <c r="G79" s="3760"/>
      <c r="H79" s="3760"/>
      <c r="I79" s="3760"/>
      <c r="J79" s="3760"/>
      <c r="K79" s="3761"/>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860" t="str">
        <f>IF(E79=0,"",IF(VLOOKUP(E79,Tabla_ArsMagnus,5,FALSE)="-","Ver Descripción","FALTAN REQUISITOS"))</f>
        <v/>
      </c>
      <c r="W79" s="3861"/>
      <c r="X79" s="3861"/>
      <c r="Y79" s="3861"/>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c r="A80" s="5"/>
      <c r="B80" s="2335"/>
      <c r="C80" s="3668"/>
      <c r="D80" s="3755"/>
      <c r="E80" s="3756"/>
      <c r="F80" s="3757"/>
      <c r="G80" s="3757"/>
      <c r="H80" s="3757"/>
      <c r="I80" s="3757"/>
      <c r="J80" s="3757"/>
      <c r="K80" s="375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858" t="str">
        <f>IF(E80=0,"",IF(VLOOKUP(E80,Tabla_ArsMagnus,5,FALSE)="-","Ver Descripción","FALTAN REQUISITOS"))</f>
        <v/>
      </c>
      <c r="W80" s="3859"/>
      <c r="X80" s="3859"/>
      <c r="Y80" s="3859"/>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c r="A81" s="5"/>
      <c r="B81" s="2335"/>
      <c r="C81" s="3668"/>
      <c r="D81" s="3755"/>
      <c r="E81" s="3759"/>
      <c r="F81" s="3760"/>
      <c r="G81" s="3760"/>
      <c r="H81" s="3760"/>
      <c r="I81" s="3760"/>
      <c r="J81" s="3760"/>
      <c r="K81" s="3761"/>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860" t="str">
        <f>IF(E81=0,"",IF(VLOOKUP(E81,Tabla_ArsMagnus,5,FALSE)="-","Ver Descripción","FALTAN REQUISITOS"))</f>
        <v/>
      </c>
      <c r="W81" s="3861"/>
      <c r="X81" s="3861"/>
      <c r="Y81" s="3861"/>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c r="A82" s="5"/>
      <c r="B82" s="2335"/>
      <c r="C82" s="3668"/>
      <c r="D82" s="3755"/>
      <c r="E82" s="3756"/>
      <c r="F82" s="3757"/>
      <c r="G82" s="3757"/>
      <c r="H82" s="3757"/>
      <c r="I82" s="3757"/>
      <c r="J82" s="3757"/>
      <c r="K82" s="375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858" t="str">
        <f>IF(E82=0,"",IF(VLOOKUP(E82,Tabla_ArsMagnus,5,FALSE)="-","Ver Descripción","FALTAN REQUISITOS"))</f>
        <v/>
      </c>
      <c r="W82" s="3859"/>
      <c r="X82" s="3859"/>
      <c r="Y82" s="3859"/>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c r="A83" s="5"/>
      <c r="B83" s="2335"/>
      <c r="C83" s="3668"/>
      <c r="D83" s="3699" t="s">
        <v>1818</v>
      </c>
      <c r="E83" s="3700"/>
      <c r="F83" s="3700"/>
      <c r="G83" s="3700"/>
      <c r="H83" s="3700"/>
      <c r="I83" s="3700"/>
      <c r="J83" s="3700"/>
      <c r="K83" s="3752"/>
      <c r="L83" s="3646">
        <f>T$5*IF(Categoría_1=0,0.5,VLOOKUP(Categoría_1,Tabla_Categorías,6,FALSE))</f>
        <v>360.00000000000006</v>
      </c>
      <c r="M83" s="3661">
        <f>SUM(M27:M82)+SUM(M22:M25)</f>
        <v>100</v>
      </c>
      <c r="N83" s="3646">
        <f>SUM(T$5:T$7)*IF(Categoría_2=0,0,VLOOKUP(Categoría_2,Tabla_Categorías,6,FALSE))</f>
        <v>0</v>
      </c>
      <c r="O83" s="3661">
        <f>(SUM(O27:O82)+SUM(O22:O25)+M83)*IF(Categoría_2=0,0,1)</f>
        <v>0</v>
      </c>
      <c r="P83" s="3646">
        <f>SUM(T$5:T$9)*IF(Categoría_3=0,0,VLOOKUP(Categoría_3,Tabla_Categorías,6,FALSE))</f>
        <v>0</v>
      </c>
      <c r="Q83" s="3650">
        <f>(SUM(Q27:Q82)+SUM(Q22:Q25)+O83)*IF(Categoría_3=0,0,1)</f>
        <v>0</v>
      </c>
      <c r="R83" s="3646">
        <f>SUM(T$5:T$11)*IF(Categoría_4=0,0,VLOOKUP(Categoría_4,Tabla_Categorías,6,FALSE))</f>
        <v>0</v>
      </c>
      <c r="S83" s="3661">
        <f>(SUM(S27:S82)+SUM(S22:S25)+Q83)*IF(Categoría_4=0,0,1)</f>
        <v>0</v>
      </c>
      <c r="T83" s="3646">
        <f>SUM(T$5:T$13)*IF(Categoría_5=0,0,VLOOKUP(Categoría_5,Tabla_Categorías,6,FALSE))</f>
        <v>0</v>
      </c>
      <c r="U83" s="3661">
        <f>(SUM(U27:U82)+SUM(U22:U25)+S83)*IF(Categoría_5=0,0,1)</f>
        <v>0</v>
      </c>
      <c r="V83" s="3863"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4"/>
      <c r="X83" s="3864"/>
      <c r="Y83" s="3864"/>
      <c r="Z83" s="3864"/>
      <c r="AA83" s="3865"/>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c r="A84" s="5"/>
      <c r="B84" s="2335"/>
      <c r="C84" s="3669"/>
      <c r="D84" s="3702"/>
      <c r="E84" s="3703"/>
      <c r="F84" s="3703"/>
      <c r="G84" s="3703"/>
      <c r="H84" s="3703"/>
      <c r="I84" s="3703"/>
      <c r="J84" s="3703"/>
      <c r="K84" s="3753"/>
      <c r="L84" s="3647"/>
      <c r="M84" s="3662"/>
      <c r="N84" s="3647"/>
      <c r="O84" s="3662"/>
      <c r="P84" s="3647"/>
      <c r="Q84" s="3653"/>
      <c r="R84" s="3647"/>
      <c r="S84" s="3662"/>
      <c r="T84" s="3647"/>
      <c r="U84" s="3662"/>
      <c r="V84" s="3866"/>
      <c r="W84" s="3867"/>
      <c r="X84" s="3867"/>
      <c r="Y84" s="3867"/>
      <c r="Z84" s="3867"/>
      <c r="AA84" s="3868"/>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c r="A87" s="5"/>
      <c r="B87" s="2335"/>
      <c r="C87" s="161"/>
      <c r="D87" s="161"/>
      <c r="E87" s="161"/>
      <c r="F87" s="161"/>
      <c r="I87" s="161"/>
      <c r="J87" s="161"/>
      <c r="K87" s="161"/>
      <c r="L87" s="3682" t="str">
        <f>IF(Categoría_1=0,"",Categoría_1)</f>
        <v>Guerrero</v>
      </c>
      <c r="M87" s="3683"/>
      <c r="N87" s="3686" t="str">
        <f>IF(Categoría_2=0,"",Categoría_2)</f>
        <v/>
      </c>
      <c r="O87" s="3683"/>
      <c r="P87" s="3686" t="str">
        <f>IF(Categoría_3=0,"",Categoría_3)</f>
        <v/>
      </c>
      <c r="Q87" s="3683"/>
      <c r="R87" s="3686" t="str">
        <f>IF(Categoría_4=0,"",Categoría_4)</f>
        <v/>
      </c>
      <c r="S87" s="3683"/>
      <c r="T87" s="3686" t="str">
        <f>IF(Categoría_5=0,"",Categoría_5)</f>
        <v/>
      </c>
      <c r="U87" s="3730"/>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c r="A88" s="5"/>
      <c r="B88" s="2335"/>
      <c r="C88" s="163"/>
      <c r="D88" s="161"/>
      <c r="E88" s="161"/>
      <c r="F88" s="161"/>
      <c r="I88" s="161"/>
      <c r="J88" s="161"/>
      <c r="K88" s="161"/>
      <c r="L88" s="3900"/>
      <c r="M88" s="3901"/>
      <c r="N88" s="3902"/>
      <c r="O88" s="3901"/>
      <c r="P88" s="3902"/>
      <c r="Q88" s="3901"/>
      <c r="R88" s="3902"/>
      <c r="S88" s="3901"/>
      <c r="T88" s="3902"/>
      <c r="U88" s="3903"/>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c r="A89" s="5"/>
      <c r="B89" s="2335"/>
      <c r="C89" s="3667" t="s">
        <v>1819</v>
      </c>
      <c r="D89" s="1563" t="s">
        <v>1708</v>
      </c>
      <c r="E89" s="3856" t="s">
        <v>1684</v>
      </c>
      <c r="F89" s="3789"/>
      <c r="G89" s="3789"/>
      <c r="H89" s="3789"/>
      <c r="I89" s="3789"/>
      <c r="J89" s="3789"/>
      <c r="K89" s="3857"/>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89" t="s">
        <v>1800</v>
      </c>
      <c r="Y89" s="3789"/>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c r="A90" s="5"/>
      <c r="B90" s="2335"/>
      <c r="C90" s="3679"/>
      <c r="D90" s="3850" t="s">
        <v>1674</v>
      </c>
      <c r="E90" s="3785" t="s">
        <v>1820</v>
      </c>
      <c r="F90" s="3356"/>
      <c r="G90" s="3356"/>
      <c r="H90" s="3356"/>
      <c r="I90" s="3356"/>
      <c r="J90" s="3356"/>
      <c r="K90" s="3786"/>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71">
        <f>HLOOKUP($E90,Bonos_Cat_Base,2,FALSE)</f>
        <v>0</v>
      </c>
      <c r="Y90" s="3771">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c r="A91" s="5"/>
      <c r="B91" s="2335"/>
      <c r="C91" s="3679"/>
      <c r="D91" s="3850"/>
      <c r="E91" s="3782" t="s">
        <v>1821</v>
      </c>
      <c r="F91" s="3783"/>
      <c r="G91" s="3783"/>
      <c r="H91" s="3783"/>
      <c r="I91" s="3783"/>
      <c r="J91" s="3783"/>
      <c r="K91" s="3784"/>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772" t="s">
        <v>1766</v>
      </c>
      <c r="Y91" s="3772"/>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c r="A92" s="5"/>
      <c r="B92" s="2335"/>
      <c r="C92" s="3679"/>
      <c r="D92" s="3850"/>
      <c r="E92" s="3785" t="s">
        <v>1822</v>
      </c>
      <c r="F92" s="3356"/>
      <c r="G92" s="3356"/>
      <c r="H92" s="3356"/>
      <c r="I92" s="3356"/>
      <c r="J92" s="3356"/>
      <c r="K92" s="3786"/>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71" t="s">
        <v>1766</v>
      </c>
      <c r="Y92" s="3771"/>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c r="A93" s="5"/>
      <c r="B93" s="2335"/>
      <c r="C93" s="3679"/>
      <c r="D93" s="3850"/>
      <c r="E93" s="3782" t="s">
        <v>1823</v>
      </c>
      <c r="F93" s="3783"/>
      <c r="G93" s="3783"/>
      <c r="H93" s="3783"/>
      <c r="I93" s="3783"/>
      <c r="J93" s="3783"/>
      <c r="K93" s="3784"/>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772" t="s">
        <v>1766</v>
      </c>
      <c r="Y93" s="3772"/>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c r="A94" s="5"/>
      <c r="B94" s="2335"/>
      <c r="C94" s="3679"/>
      <c r="D94" s="3851"/>
      <c r="E94" s="3785" t="s">
        <v>1824</v>
      </c>
      <c r="F94" s="3356"/>
      <c r="G94" s="3356"/>
      <c r="H94" s="3356"/>
      <c r="I94" s="3356"/>
      <c r="J94" s="3356"/>
      <c r="K94" s="3786"/>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71">
        <f>IF(Tablas!G442&gt;0,5*Nivel_Total,0)</f>
        <v>0</v>
      </c>
      <c r="Y94" s="3771"/>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c r="A95" s="5"/>
      <c r="B95" s="2335"/>
      <c r="C95" s="3679"/>
      <c r="D95" s="3711" t="s">
        <v>1825</v>
      </c>
      <c r="E95" s="3874" t="s">
        <v>1826</v>
      </c>
      <c r="F95" s="3875"/>
      <c r="G95" s="3875"/>
      <c r="H95" s="3875"/>
      <c r="I95" s="3875"/>
      <c r="J95" s="3875"/>
      <c r="K95" s="3879"/>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862">
        <f t="shared" ref="X95:Y98" si="31">HLOOKUP($E95,Bonos_Cat_Base,2,FALSE)</f>
        <v>0</v>
      </c>
      <c r="Y95" s="3862">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c r="A96" s="5"/>
      <c r="B96" s="2335"/>
      <c r="C96" s="3679"/>
      <c r="D96" s="3712"/>
      <c r="E96" s="3606" t="s">
        <v>8548</v>
      </c>
      <c r="F96" s="3607"/>
      <c r="G96" s="3607"/>
      <c r="H96" s="3607"/>
      <c r="I96" s="3607"/>
      <c r="J96" s="3607"/>
      <c r="K96" s="3717"/>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974">
        <f t="shared" si="31"/>
        <v>0</v>
      </c>
      <c r="Y96" s="3974">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c r="A97" s="5"/>
      <c r="B97" s="2335"/>
      <c r="C97" s="3679"/>
      <c r="D97" s="3712"/>
      <c r="E97" s="3608" t="s">
        <v>651</v>
      </c>
      <c r="F97" s="3609"/>
      <c r="G97" s="3609"/>
      <c r="H97" s="3609"/>
      <c r="I97" s="3609"/>
      <c r="J97" s="3609"/>
      <c r="K97" s="3719"/>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975">
        <f t="shared" si="31"/>
        <v>0</v>
      </c>
      <c r="Y97" s="3975">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c r="A98" s="5"/>
      <c r="B98" s="2335"/>
      <c r="C98" s="3679"/>
      <c r="D98" s="3852"/>
      <c r="E98" s="3614" t="s">
        <v>1829</v>
      </c>
      <c r="F98" s="3615"/>
      <c r="G98" s="3615"/>
      <c r="H98" s="3615"/>
      <c r="I98" s="3615"/>
      <c r="J98" s="3615"/>
      <c r="K98" s="3855"/>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904">
        <f t="shared" si="31"/>
        <v>0</v>
      </c>
      <c r="Y98" s="3904">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c r="A99" s="5"/>
      <c r="B99" s="2335"/>
      <c r="C99" s="3679"/>
      <c r="D99" s="3853" t="s">
        <v>1830</v>
      </c>
      <c r="E99" s="3833"/>
      <c r="F99" s="3727"/>
      <c r="G99" s="3727"/>
      <c r="H99" s="3727"/>
      <c r="I99" s="3727"/>
      <c r="J99" s="3727"/>
      <c r="K99" s="372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46">
        <f>IF($E99=0,0,VLOOKUP($E99,Tabla_TablasSobrenat,3))</f>
        <v>0</v>
      </c>
      <c r="W99" s="3747">
        <f t="shared" ref="W99:AA100" si="32">IF($E99=0,0,VLOOKUP($E99,Tabla_TablasSobrenat,2))</f>
        <v>0</v>
      </c>
      <c r="X99" s="3747">
        <f t="shared" si="32"/>
        <v>0</v>
      </c>
      <c r="Y99" s="3747">
        <f t="shared" si="32"/>
        <v>0</v>
      </c>
      <c r="Z99" s="3747">
        <f t="shared" si="32"/>
        <v>0</v>
      </c>
      <c r="AA99" s="3970">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c r="A100" s="5"/>
      <c r="B100" s="2335"/>
      <c r="C100" s="3679"/>
      <c r="D100" s="3854"/>
      <c r="E100" s="3834"/>
      <c r="F100" s="3689"/>
      <c r="G100" s="3689"/>
      <c r="H100" s="3689"/>
      <c r="I100" s="3689"/>
      <c r="J100" s="3689"/>
      <c r="K100" s="3690"/>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971">
        <f>IF($E100=0,0,VLOOKUP($E100,Tabla_TablasSobrenat,3))</f>
        <v>0</v>
      </c>
      <c r="W100" s="3972">
        <f t="shared" si="32"/>
        <v>0</v>
      </c>
      <c r="X100" s="3972">
        <f t="shared" si="32"/>
        <v>0</v>
      </c>
      <c r="Y100" s="3972">
        <f t="shared" si="32"/>
        <v>0</v>
      </c>
      <c r="Z100" s="3972">
        <f t="shared" si="32"/>
        <v>0</v>
      </c>
      <c r="AA100" s="3973">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c r="A101" s="1842"/>
      <c r="B101" s="2115"/>
      <c r="C101" s="3668"/>
      <c r="D101" s="3699" t="s">
        <v>1831</v>
      </c>
      <c r="E101" s="3700"/>
      <c r="F101" s="3700"/>
      <c r="G101" s="3700"/>
      <c r="H101" s="3700"/>
      <c r="I101" s="3700"/>
      <c r="J101" s="3700"/>
      <c r="K101" s="3701"/>
      <c r="L101" s="3646">
        <f>T$5*IF(Categoría_1=0,0.5,VLOOKUP(Categoría_1,Tabla_Categorías,7,FALSE))</f>
        <v>300</v>
      </c>
      <c r="M101" s="3661">
        <f>SUM(M90:M100)</f>
        <v>0</v>
      </c>
      <c r="N101" s="3646">
        <f>SUM(T$5:T$8)*IF(Categoría_2=0,0,VLOOKUP(Categoría_2,Tabla_Categorías,7,FALSE))</f>
        <v>0</v>
      </c>
      <c r="O101" s="3661">
        <f>(SUM(O90:O100)+M101)*IF(Categoría_2=0,0,1)</f>
        <v>0</v>
      </c>
      <c r="P101" s="3646">
        <f>SUM(T$5:T$10)*IF(Categoría_3=0,0,VLOOKUP(Categoría_3,Tabla_Categorías,7,FALSE))</f>
        <v>0</v>
      </c>
      <c r="Q101" s="3650">
        <f>(SUM(Q90:Q100)+O101)*IF(Categoría_3=0,0,1)</f>
        <v>0</v>
      </c>
      <c r="R101" s="3646">
        <f>SUM(T$5:T$11)*IF(Categoría_4=0,0,VLOOKUP(Categoría_4,Tabla_Categorías,7,FALSE))</f>
        <v>0</v>
      </c>
      <c r="S101" s="3661">
        <f>(SUM(S90:S100)+Q101)*IF(Categoría_4=0,0,1)</f>
        <v>0</v>
      </c>
      <c r="T101" s="3697">
        <f>SUM(T$5:T$13)*IF(Categoría_5=0,0,VLOOKUP(Categoría_5,Tabla_Categorías,7,FALSE))</f>
        <v>0</v>
      </c>
      <c r="U101" s="3732">
        <f>(SUM(U90:U100)+S101)*IF(Categoría_5=0,0,1)</f>
        <v>0</v>
      </c>
      <c r="V101" s="3705" t="str">
        <f>IF(OR(M93&gt;L101/2,O93&gt;N101/2,Q93&gt;P101/2,S93&gt;R101/2,U93&gt;T101/2),"Exceso en Proyección Mágica",IF(M94+O94+Q94+S94+U94&gt;0.1*$Z$189,"Exceso de PDs en Nivel de Magia",IF(OR(M101&gt;L101,O101&gt;N101,Q101&gt;P101,S101&gt;R101,U101&gt;T101),"Exceso de PDs en Habilidades Místicas","")))</f>
        <v/>
      </c>
      <c r="W101" s="3706"/>
      <c r="X101" s="3706"/>
      <c r="Y101" s="3706"/>
      <c r="Z101" s="3706"/>
      <c r="AA101" s="3707"/>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c r="A102" s="1842"/>
      <c r="B102" s="2115"/>
      <c r="C102" s="3669"/>
      <c r="D102" s="3702"/>
      <c r="E102" s="3703"/>
      <c r="F102" s="3703"/>
      <c r="G102" s="3703"/>
      <c r="H102" s="3703"/>
      <c r="I102" s="3703"/>
      <c r="J102" s="3703"/>
      <c r="K102" s="3704"/>
      <c r="L102" s="3647"/>
      <c r="M102" s="3662"/>
      <c r="N102" s="3647"/>
      <c r="O102" s="3662"/>
      <c r="P102" s="3647"/>
      <c r="Q102" s="3653"/>
      <c r="R102" s="3647"/>
      <c r="S102" s="3662"/>
      <c r="T102" s="3698"/>
      <c r="U102" s="3733"/>
      <c r="V102" s="3708"/>
      <c r="W102" s="3709"/>
      <c r="X102" s="3709"/>
      <c r="Y102" s="3709"/>
      <c r="Z102" s="3709"/>
      <c r="AA102" s="3710"/>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c r="A105" s="1842"/>
      <c r="B105" s="2115"/>
      <c r="C105" s="67"/>
      <c r="D105" s="67"/>
      <c r="E105" s="67"/>
      <c r="F105" s="67"/>
      <c r="I105" s="67"/>
      <c r="J105" s="67"/>
      <c r="K105" s="67"/>
      <c r="L105" s="3682" t="str">
        <f>IF(Categoría_1=0,"",Categoría_1)</f>
        <v>Guerrero</v>
      </c>
      <c r="M105" s="3683"/>
      <c r="N105" s="3686" t="str">
        <f>IF(Categoría_2=0,"",Categoría_2)</f>
        <v/>
      </c>
      <c r="O105" s="3683"/>
      <c r="P105" s="3686" t="str">
        <f>IF(Categoría_3=0,"",Categoría_3)</f>
        <v/>
      </c>
      <c r="Q105" s="3683"/>
      <c r="R105" s="3686" t="str">
        <f>IF(Categoría_4=0,"",Categoría_4)</f>
        <v/>
      </c>
      <c r="S105" s="3683"/>
      <c r="T105" s="3686" t="str">
        <f>IF(Categoría_5=0,"",Categoría_5)</f>
        <v/>
      </c>
      <c r="U105" s="3730"/>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c r="A106" s="1842"/>
      <c r="B106" s="2115"/>
      <c r="C106" s="67"/>
      <c r="D106" s="67"/>
      <c r="E106" s="67"/>
      <c r="F106" s="67"/>
      <c r="I106" s="67"/>
      <c r="J106" s="67"/>
      <c r="K106" s="67"/>
      <c r="L106" s="3684"/>
      <c r="M106" s="3685"/>
      <c r="N106" s="3687"/>
      <c r="O106" s="3685"/>
      <c r="P106" s="3687"/>
      <c r="Q106" s="3685"/>
      <c r="R106" s="3687"/>
      <c r="S106" s="3685"/>
      <c r="T106" s="3687"/>
      <c r="U106" s="3731"/>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c r="A107" s="1842"/>
      <c r="B107" s="2115"/>
      <c r="C107" s="3678" t="s">
        <v>1832</v>
      </c>
      <c r="D107" s="1523" t="s">
        <v>1708</v>
      </c>
      <c r="E107" s="3713" t="s">
        <v>1684</v>
      </c>
      <c r="F107" s="3714"/>
      <c r="G107" s="3714"/>
      <c r="H107" s="3714"/>
      <c r="I107" s="3714"/>
      <c r="J107" s="3714"/>
      <c r="K107" s="3715"/>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729" t="s">
        <v>1800</v>
      </c>
      <c r="Y107" s="3729"/>
      <c r="Z107" s="1523" t="s">
        <v>1728</v>
      </c>
      <c r="AA107" s="126" t="s">
        <v>1658</v>
      </c>
      <c r="AB107" s="2804"/>
      <c r="AC107" s="1675"/>
      <c r="AE107" s="2606"/>
      <c r="AO107" s="2606"/>
    </row>
    <row r="108" spans="1:63" ht="12" customHeight="1">
      <c r="A108" s="1842"/>
      <c r="B108" s="2115"/>
      <c r="C108" s="3679"/>
      <c r="D108" s="3680" t="s">
        <v>1674</v>
      </c>
      <c r="E108" s="3716" t="s">
        <v>1833</v>
      </c>
      <c r="F108" s="3607"/>
      <c r="G108" s="3607"/>
      <c r="H108" s="3607"/>
      <c r="I108" s="3607"/>
      <c r="J108" s="3607"/>
      <c r="K108" s="3717"/>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869">
        <f>ROUNDUP(HLOOKUP($E108,Bonos_Cat_Base,2,FALSE),0)</f>
        <v>1</v>
      </c>
      <c r="Y108" s="3869"/>
      <c r="Z108" s="2744"/>
      <c r="AA108" s="164">
        <f>V108+Z108+X108</f>
        <v>1</v>
      </c>
      <c r="AB108" s="2804"/>
      <c r="AC108" s="1675"/>
      <c r="AO108" s="2606"/>
    </row>
    <row r="109" spans="1:63" ht="12" customHeight="1">
      <c r="A109" s="1842"/>
      <c r="B109" s="2115"/>
      <c r="C109" s="3679"/>
      <c r="D109" s="3681"/>
      <c r="E109" s="3718" t="s">
        <v>1834</v>
      </c>
      <c r="F109" s="3609"/>
      <c r="G109" s="3609"/>
      <c r="H109" s="3609"/>
      <c r="I109" s="3609"/>
      <c r="J109" s="3609"/>
      <c r="K109" s="3719"/>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870" t="s">
        <v>1766</v>
      </c>
      <c r="Y109" s="3870"/>
      <c r="Z109" s="2745"/>
      <c r="AA109" s="135">
        <f>V109+W109+Z109+Bono_ATA-Combate!U16</f>
        <v>0</v>
      </c>
      <c r="AB109" s="2804"/>
      <c r="AC109" s="1675"/>
      <c r="AO109" s="2606"/>
    </row>
    <row r="110" spans="1:63" ht="12" customHeight="1">
      <c r="A110" s="1842"/>
      <c r="B110" s="2115"/>
      <c r="C110" s="3679"/>
      <c r="D110" s="1604" t="s">
        <v>1830</v>
      </c>
      <c r="E110" s="3720"/>
      <c r="F110" s="3721"/>
      <c r="G110" s="3721"/>
      <c r="H110" s="3721"/>
      <c r="I110" s="3721"/>
      <c r="J110" s="3721"/>
      <c r="K110" s="3722"/>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91" t="str">
        <f>IF($E110=0,"",VLOOKUP($E110,Tabla_TablasSobrenat,3))</f>
        <v/>
      </c>
      <c r="W110" s="3692">
        <f>IF($E110=0,0,VLOOKUP($E110,Tabla_TablasSobrenat,2))</f>
        <v>0</v>
      </c>
      <c r="X110" s="3692">
        <f>IF($E110=0,0,VLOOKUP($E110,Tabla_TablasSobrenat,2))</f>
        <v>0</v>
      </c>
      <c r="Y110" s="3692">
        <f>IF($E110=0,0,VLOOKUP($E110,Tabla_TablasSobrenat,2))</f>
        <v>0</v>
      </c>
      <c r="Z110" s="3692">
        <f>IF($E110=0,0,VLOOKUP($E110,Tabla_TablasSobrenat,2))</f>
        <v>0</v>
      </c>
      <c r="AA110" s="3693">
        <f>IF($E110=0,0,VLOOKUP($E110,Tabla_TablasSobrenat,2))</f>
        <v>0</v>
      </c>
      <c r="AB110" s="2804"/>
      <c r="AC110" s="1675"/>
      <c r="AO110" s="2606"/>
    </row>
    <row r="111" spans="1:63" ht="12" customHeight="1">
      <c r="A111" s="1842"/>
      <c r="B111" s="2115"/>
      <c r="C111" s="3679"/>
      <c r="D111" s="3711" t="s">
        <v>1835</v>
      </c>
      <c r="E111" s="3723"/>
      <c r="F111" s="3724"/>
      <c r="G111" s="3724"/>
      <c r="H111" s="3724"/>
      <c r="I111" s="3724"/>
      <c r="J111" s="3724"/>
      <c r="K111" s="3725"/>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94" t="str">
        <f>IF(E111=0,"",VLOOKUP(E111,Tablas!$D$1092:$R$1107,4,FALSE))</f>
        <v/>
      </c>
      <c r="W111" s="3695"/>
      <c r="X111" s="3695"/>
      <c r="Y111" s="3695"/>
      <c r="Z111" s="3695"/>
      <c r="AA111" s="3696"/>
      <c r="AB111" s="2804"/>
      <c r="AC111" s="1675"/>
      <c r="AO111" s="2606"/>
    </row>
    <row r="112" spans="1:63" ht="12" customHeight="1">
      <c r="A112" s="1842"/>
      <c r="B112" s="2115"/>
      <c r="C112" s="3679"/>
      <c r="D112" s="3712"/>
      <c r="E112" s="3688"/>
      <c r="F112" s="3689"/>
      <c r="G112" s="3689"/>
      <c r="H112" s="3689"/>
      <c r="I112" s="3689"/>
      <c r="J112" s="3689"/>
      <c r="K112" s="3690"/>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675" t="str">
        <f>IF(E112=0,"",VLOOKUP(E112,Tablas!$D$1092:$R$1107,4,FALSE))</f>
        <v/>
      </c>
      <c r="W112" s="3676"/>
      <c r="X112" s="3676"/>
      <c r="Y112" s="3676"/>
      <c r="Z112" s="3676"/>
      <c r="AA112" s="3677"/>
      <c r="AB112" s="2804"/>
      <c r="AC112" s="1675"/>
      <c r="AO112" s="2606"/>
    </row>
    <row r="113" spans="1:46" ht="12" customHeight="1">
      <c r="A113" s="1842"/>
      <c r="B113" s="2115"/>
      <c r="C113" s="3679"/>
      <c r="D113" s="3712"/>
      <c r="E113" s="3726"/>
      <c r="F113" s="3727"/>
      <c r="G113" s="3727"/>
      <c r="H113" s="3727"/>
      <c r="I113" s="3727"/>
      <c r="J113" s="3727"/>
      <c r="K113" s="3728"/>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672" t="str">
        <f>IF(E113=0,"",VLOOKUP(E113,Tablas!$D$1092:$R$1107,4,FALSE))</f>
        <v/>
      </c>
      <c r="W113" s="3673"/>
      <c r="X113" s="3673"/>
      <c r="Y113" s="3673"/>
      <c r="Z113" s="3673"/>
      <c r="AA113" s="3674"/>
      <c r="AB113" s="2804"/>
      <c r="AC113" s="1675"/>
      <c r="AO113" s="2606"/>
    </row>
    <row r="114" spans="1:46" ht="12" customHeight="1">
      <c r="A114" s="1842"/>
      <c r="B114" s="2115"/>
      <c r="C114" s="3679"/>
      <c r="D114" s="3712"/>
      <c r="E114" s="3688"/>
      <c r="F114" s="3689"/>
      <c r="G114" s="3689"/>
      <c r="H114" s="3689"/>
      <c r="I114" s="3689"/>
      <c r="J114" s="3689"/>
      <c r="K114" s="3690"/>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675" t="str">
        <f>IF(E114=0,"",VLOOKUP(E114,Tablas!$D$1092:$R$1107,4,FALSE))</f>
        <v/>
      </c>
      <c r="W114" s="3676"/>
      <c r="X114" s="3676"/>
      <c r="Y114" s="3676"/>
      <c r="Z114" s="3676"/>
      <c r="AA114" s="3677"/>
      <c r="AB114" s="2804"/>
      <c r="AC114" s="1675"/>
      <c r="AO114" s="2606"/>
    </row>
    <row r="115" spans="1:46" ht="12" customHeight="1">
      <c r="A115" s="1842"/>
      <c r="B115" s="2115"/>
      <c r="C115" s="3679"/>
      <c r="D115" s="3712"/>
      <c r="E115" s="3726"/>
      <c r="F115" s="3727"/>
      <c r="G115" s="3727"/>
      <c r="H115" s="3727"/>
      <c r="I115" s="3727"/>
      <c r="J115" s="3727"/>
      <c r="K115" s="3728"/>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672" t="str">
        <f>IF(E115=0,"",VLOOKUP(E115,Tablas!$D$1092:$R$1107,4,FALSE))</f>
        <v/>
      </c>
      <c r="W115" s="3673"/>
      <c r="X115" s="3673"/>
      <c r="Y115" s="3673"/>
      <c r="Z115" s="3673"/>
      <c r="AA115" s="3674"/>
      <c r="AB115" s="2804"/>
      <c r="AC115" s="1675"/>
      <c r="AH115" s="2916"/>
      <c r="AO115" s="2606"/>
    </row>
    <row r="116" spans="1:46" ht="12" customHeight="1" thickBot="1">
      <c r="A116" s="1842"/>
      <c r="B116" s="2115"/>
      <c r="C116" s="3679"/>
      <c r="D116" s="3712"/>
      <c r="E116" s="3688"/>
      <c r="F116" s="3689"/>
      <c r="G116" s="3689"/>
      <c r="H116" s="3689"/>
      <c r="I116" s="3689"/>
      <c r="J116" s="3689"/>
      <c r="K116" s="3690"/>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675" t="str">
        <f>IF(E116=0,"",VLOOKUP(E116,Tablas!$D$1092:$R$1107,4,FALSE))</f>
        <v/>
      </c>
      <c r="W116" s="3676"/>
      <c r="X116" s="3676"/>
      <c r="Y116" s="3676"/>
      <c r="Z116" s="3676"/>
      <c r="AA116" s="3677"/>
      <c r="AB116" s="2804"/>
      <c r="AC116" s="1675"/>
      <c r="AO116" s="2606"/>
    </row>
    <row r="117" spans="1:46" ht="12" customHeight="1">
      <c r="A117" s="1842"/>
      <c r="B117" s="2115"/>
      <c r="C117" s="3668"/>
      <c r="D117" s="3648" t="s">
        <v>1836</v>
      </c>
      <c r="E117" s="3649"/>
      <c r="F117" s="3649"/>
      <c r="G117" s="3649"/>
      <c r="H117" s="3649"/>
      <c r="I117" s="3649"/>
      <c r="J117" s="3649"/>
      <c r="K117" s="3650"/>
      <c r="L117" s="3646">
        <f>T$5*IF(Categoría_1=0,0.5,VLOOKUP(Categoría_1,Tabla_Categorías,8,FALSE))</f>
        <v>300</v>
      </c>
      <c r="M117" s="3661">
        <f>SUM(M108:M116)</f>
        <v>0</v>
      </c>
      <c r="N117" s="3646">
        <f>SUM(T$5:T$7)*IF(Categoría_2=0,0,VLOOKUP(Categoría_2,Tabla_Categorías,8,FALSE))</f>
        <v>0</v>
      </c>
      <c r="O117" s="3661">
        <f>(SUM(O108:O116)+M117)*IF(Categoría_2=0,0,1)</f>
        <v>0</v>
      </c>
      <c r="P117" s="3646">
        <f>SUM(T$5:T$9)*IF(Categoría_3=0,0,VLOOKUP(Categoría_3,Tabla_Categorías,8,FALSE))</f>
        <v>0</v>
      </c>
      <c r="Q117" s="3650">
        <f>(SUM(Q108:Q116)+O117)*IF(Categoría_3=0,0,1)</f>
        <v>0</v>
      </c>
      <c r="R117" s="3646">
        <f>SUM(T$5:T$11)*IF(Categoría_4=0,0,VLOOKUP(Categoría_4,Tabla_Categorías,8,FALSE))</f>
        <v>0</v>
      </c>
      <c r="S117" s="3661">
        <f>(SUM(S108:S116)+Q117)*IF(Categoría_4=0,0,1)</f>
        <v>0</v>
      </c>
      <c r="T117" s="3646">
        <f>SUM(T$5:T$13)*IF(Categoría_5=0,0,VLOOKUP(Categoría_5,Tabla_Categorías,8,FALSE))</f>
        <v>0</v>
      </c>
      <c r="U117" s="3661">
        <f>(SUM(U108:U116)+S117)*IF(Categoría_5=0,0,1)</f>
        <v>0</v>
      </c>
      <c r="V117" s="3863" t="str">
        <f>IF(OR(M109&gt;L117/2,O109&gt;N117/2,Q109&gt;P117/2,S109&gt;R117/2,U109&gt;T117/2),"Exceso en Proyección Psíquica",IF(OR(M117&gt;L117,O117&gt;N117,Q117&gt;P117,S117&gt;R117,U117&gt;T117),"Exceso de PDs en Habilidades Psíquicas",""))</f>
        <v/>
      </c>
      <c r="W117" s="3864"/>
      <c r="X117" s="3864"/>
      <c r="Y117" s="3864"/>
      <c r="Z117" s="3864"/>
      <c r="AA117" s="3865"/>
      <c r="AB117" s="2804"/>
      <c r="AC117" s="1675"/>
      <c r="AO117" s="2606"/>
    </row>
    <row r="118" spans="1:46" ht="12" customHeight="1" thickBot="1">
      <c r="A118" s="1842"/>
      <c r="B118" s="2115"/>
      <c r="C118" s="3669"/>
      <c r="D118" s="3651"/>
      <c r="E118" s="3652"/>
      <c r="F118" s="3652"/>
      <c r="G118" s="3652"/>
      <c r="H118" s="3652"/>
      <c r="I118" s="3652"/>
      <c r="J118" s="3652"/>
      <c r="K118" s="3653"/>
      <c r="L118" s="3647"/>
      <c r="M118" s="3662"/>
      <c r="N118" s="3647"/>
      <c r="O118" s="3662"/>
      <c r="P118" s="3647"/>
      <c r="Q118" s="3653"/>
      <c r="R118" s="3647"/>
      <c r="S118" s="3662"/>
      <c r="T118" s="3647"/>
      <c r="U118" s="3662"/>
      <c r="V118" s="3866"/>
      <c r="W118" s="3867"/>
      <c r="X118" s="3867"/>
      <c r="Y118" s="3867"/>
      <c r="Z118" s="3867"/>
      <c r="AA118" s="3868"/>
      <c r="AB118" s="2804"/>
      <c r="AC118" s="1675"/>
      <c r="AE118" s="2917" t="str">
        <f>IF(Tablas!N136="","","Tablas!$M$31:$M$32")</f>
        <v/>
      </c>
      <c r="AO118" s="2606"/>
    </row>
    <row r="119" spans="1:46" ht="12" customHeight="1">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c r="A122" s="1842"/>
      <c r="B122" s="2115"/>
      <c r="AB122" s="2804"/>
      <c r="AC122" s="2808"/>
    </row>
    <row r="123" spans="1:46" ht="12" customHeight="1" thickBot="1">
      <c r="A123" s="1845"/>
      <c r="B123" s="2115"/>
      <c r="C123" s="44"/>
      <c r="D123" s="44"/>
      <c r="E123" s="44"/>
      <c r="F123" s="44"/>
      <c r="G123" s="44"/>
      <c r="H123" s="44"/>
      <c r="I123" s="157"/>
      <c r="J123" s="3626" t="str">
        <f>IF(Categoría_1=0,"",Categoría_1)</f>
        <v>Guerrero</v>
      </c>
      <c r="K123" s="3624"/>
      <c r="L123" s="3620" t="str">
        <f>IF(Categoría_2=0,"",Categoría_2)</f>
        <v/>
      </c>
      <c r="M123" s="3624"/>
      <c r="N123" s="3620" t="str">
        <f>IF(Categoría_3=0,"",Categoría_3)</f>
        <v/>
      </c>
      <c r="O123" s="3624"/>
      <c r="P123" s="3620" t="str">
        <f>IF(Categoría_4=0,"",Categoría_4)</f>
        <v/>
      </c>
      <c r="Q123" s="3624"/>
      <c r="R123" s="3620" t="str">
        <f>IF(Categoría_5=0,"",Categoría_5)</f>
        <v/>
      </c>
      <c r="S123" s="3621"/>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c r="A124" s="1843"/>
      <c r="B124" s="2115"/>
      <c r="C124" s="157"/>
      <c r="D124" s="157"/>
      <c r="E124" s="157"/>
      <c r="F124" s="157"/>
      <c r="I124" s="157"/>
      <c r="J124" s="3627"/>
      <c r="K124" s="3625"/>
      <c r="L124" s="3622"/>
      <c r="M124" s="3625"/>
      <c r="N124" s="3622"/>
      <c r="O124" s="3625"/>
      <c r="P124" s="3622"/>
      <c r="Q124" s="3625"/>
      <c r="R124" s="3622"/>
      <c r="S124" s="3623"/>
      <c r="T124" s="157"/>
      <c r="U124" s="157"/>
      <c r="V124" s="157"/>
      <c r="W124" s="3871" t="s">
        <v>1848</v>
      </c>
      <c r="X124" s="3872"/>
      <c r="Y124" s="157"/>
      <c r="Z124" s="157"/>
      <c r="AA124" s="157"/>
      <c r="AB124" s="2804"/>
      <c r="AC124" s="1675"/>
      <c r="AE124" s="3894" t="s">
        <v>2896</v>
      </c>
      <c r="AF124" s="3894"/>
      <c r="AG124" s="3894"/>
      <c r="AH124" s="3894"/>
      <c r="AI124" s="3894"/>
      <c r="AJ124" s="3894"/>
      <c r="AL124" s="3894" t="s">
        <v>8914</v>
      </c>
      <c r="AM124" s="3894"/>
      <c r="AN124" s="3894"/>
      <c r="AO124" s="3894"/>
      <c r="AP124" s="3894"/>
      <c r="AQ124" s="3894"/>
      <c r="AR124" s="3894"/>
      <c r="AS124" s="3894"/>
      <c r="AT124" s="3894"/>
    </row>
    <row r="125" spans="1:46" ht="12" customHeight="1" thickBot="1">
      <c r="A125" s="1843"/>
      <c r="B125" s="2115"/>
      <c r="C125" s="3667" t="s">
        <v>1704</v>
      </c>
      <c r="D125" s="1625" t="s">
        <v>1708</v>
      </c>
      <c r="E125" s="3880" t="s">
        <v>1684</v>
      </c>
      <c r="F125" s="3714"/>
      <c r="G125" s="3714"/>
      <c r="H125" s="3881"/>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01" t="s">
        <v>1788</v>
      </c>
      <c r="AI125" s="2606" t="s">
        <v>7876</v>
      </c>
      <c r="AJ125" s="2606" t="s">
        <v>7860</v>
      </c>
      <c r="AL125" s="1859" t="s">
        <v>8836</v>
      </c>
      <c r="AN125" s="1859" t="s">
        <v>8834</v>
      </c>
      <c r="AP125" s="1859" t="s">
        <v>8835</v>
      </c>
      <c r="AR125" s="1859" t="s">
        <v>8838</v>
      </c>
      <c r="AT125" s="1859" t="s">
        <v>8837</v>
      </c>
    </row>
    <row r="126" spans="1:46" ht="12" customHeight="1">
      <c r="A126" s="1843"/>
      <c r="B126" s="2115" t="str">
        <f>D126</f>
        <v>Atléticas</v>
      </c>
      <c r="C126" s="3668"/>
      <c r="D126" s="3605" t="s">
        <v>1713</v>
      </c>
      <c r="E126" s="3670" t="s">
        <v>1714</v>
      </c>
      <c r="F126" s="3671"/>
      <c r="G126" s="3671"/>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3"/>
      <c r="B127" s="2115" t="str">
        <f>B126</f>
        <v>Atléticas</v>
      </c>
      <c r="C127" s="3668"/>
      <c r="D127" s="3429"/>
      <c r="E127" s="3608" t="s">
        <v>1716</v>
      </c>
      <c r="F127" s="3609"/>
      <c r="G127" s="3609"/>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f t="shared" si="37"/>
        <v>2</v>
      </c>
      <c r="AN127" s="1859" t="e">
        <f t="shared" si="38"/>
        <v>#N/A</v>
      </c>
      <c r="AP127" s="1859" t="e">
        <f t="shared" si="39"/>
        <v>#N/A</v>
      </c>
      <c r="AR127" s="1859" t="e">
        <f t="shared" si="40"/>
        <v>#N/A</v>
      </c>
      <c r="AT127" s="1859" t="e">
        <f t="shared" si="41"/>
        <v>#N/A</v>
      </c>
    </row>
    <row r="128" spans="1:46" ht="12" customHeight="1">
      <c r="A128" s="1843"/>
      <c r="B128" s="2115" t="str">
        <f t="shared" ref="B128:B132" si="42">B127</f>
        <v>Atléticas</v>
      </c>
      <c r="C128" s="3668"/>
      <c r="D128" s="3429"/>
      <c r="E128" s="3606" t="s">
        <v>1719</v>
      </c>
      <c r="F128" s="3607"/>
      <c r="G128" s="3607"/>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f t="shared" si="37"/>
        <v>2</v>
      </c>
      <c r="AN128" s="1859" t="e">
        <f t="shared" si="38"/>
        <v>#N/A</v>
      </c>
      <c r="AP128" s="1859" t="e">
        <f t="shared" si="39"/>
        <v>#N/A</v>
      </c>
      <c r="AR128" s="1859" t="e">
        <f t="shared" si="40"/>
        <v>#N/A</v>
      </c>
      <c r="AT128" s="1859" t="e">
        <f t="shared" si="41"/>
        <v>#N/A</v>
      </c>
    </row>
    <row r="129" spans="1:46" ht="12" customHeight="1">
      <c r="A129" s="1843"/>
      <c r="B129" s="2115" t="str">
        <f t="shared" si="42"/>
        <v>Atléticas</v>
      </c>
      <c r="C129" s="3668"/>
      <c r="D129" s="3429"/>
      <c r="E129" s="3608" t="s">
        <v>1723</v>
      </c>
      <c r="F129" s="3609"/>
      <c r="G129" s="3609"/>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f t="shared" si="37"/>
        <v>2</v>
      </c>
      <c r="AN129" s="1859" t="e">
        <f t="shared" si="38"/>
        <v>#N/A</v>
      </c>
      <c r="AP129" s="1859" t="e">
        <f t="shared" si="39"/>
        <v>#N/A</v>
      </c>
      <c r="AR129" s="1859" t="e">
        <f t="shared" si="40"/>
        <v>#N/A</v>
      </c>
      <c r="AT129" s="1859" t="e">
        <f t="shared" si="41"/>
        <v>#N/A</v>
      </c>
    </row>
    <row r="130" spans="1:46" ht="12" customHeight="1">
      <c r="A130" s="1843"/>
      <c r="B130" s="2115" t="str">
        <f t="shared" si="42"/>
        <v>Atléticas</v>
      </c>
      <c r="C130" s="3668"/>
      <c r="D130" s="3429"/>
      <c r="E130" s="3606" t="s">
        <v>1726</v>
      </c>
      <c r="F130" s="3607"/>
      <c r="G130" s="3607"/>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f t="shared" si="37"/>
        <v>2</v>
      </c>
      <c r="AN130" s="1859" t="e">
        <f t="shared" si="38"/>
        <v>#N/A</v>
      </c>
      <c r="AP130" s="1859" t="e">
        <f t="shared" si="39"/>
        <v>#N/A</v>
      </c>
      <c r="AR130" s="1859" t="e">
        <f t="shared" si="40"/>
        <v>#N/A</v>
      </c>
      <c r="AT130" s="1859" t="e">
        <f t="shared" si="41"/>
        <v>#N/A</v>
      </c>
    </row>
    <row r="131" spans="1:46" ht="12" customHeight="1">
      <c r="A131" s="1843"/>
      <c r="B131" s="2115" t="str">
        <f t="shared" si="42"/>
        <v>Atléticas</v>
      </c>
      <c r="C131" s="3668"/>
      <c r="D131" s="3429"/>
      <c r="E131" s="3608" t="s">
        <v>1729</v>
      </c>
      <c r="F131" s="3609"/>
      <c r="G131" s="3609"/>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f t="shared" si="37"/>
        <v>2</v>
      </c>
      <c r="AN131" s="1859" t="e">
        <f t="shared" si="38"/>
        <v>#N/A</v>
      </c>
      <c r="AP131" s="1859" t="e">
        <f t="shared" si="39"/>
        <v>#N/A</v>
      </c>
      <c r="AR131" s="1859" t="e">
        <f t="shared" si="40"/>
        <v>#N/A</v>
      </c>
      <c r="AT131" s="1859" t="e">
        <f t="shared" si="41"/>
        <v>#N/A</v>
      </c>
    </row>
    <row r="132" spans="1:46" ht="12" customHeight="1">
      <c r="A132" s="1843"/>
      <c r="B132" s="2115" t="str">
        <f t="shared" si="42"/>
        <v>Atléticas</v>
      </c>
      <c r="C132" s="3668"/>
      <c r="D132" s="3429"/>
      <c r="E132" s="3606" t="s">
        <v>7752</v>
      </c>
      <c r="F132" s="3607"/>
      <c r="G132" s="3607"/>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f t="shared" si="37"/>
        <v>2</v>
      </c>
      <c r="AN132" s="1859" t="e">
        <f t="shared" si="38"/>
        <v>#N/A</v>
      </c>
      <c r="AP132" s="1859" t="e">
        <f t="shared" si="39"/>
        <v>#N/A</v>
      </c>
      <c r="AR132" s="1859" t="e">
        <f t="shared" si="40"/>
        <v>#N/A</v>
      </c>
      <c r="AT132" s="1859" t="e">
        <f t="shared" si="41"/>
        <v>#N/A</v>
      </c>
    </row>
    <row r="133" spans="1:46" ht="12" customHeight="1">
      <c r="A133" s="1843"/>
      <c r="B133" s="2115" t="str">
        <f>D133</f>
        <v>Sociales</v>
      </c>
      <c r="C133" s="3668"/>
      <c r="D133" s="3604" t="s">
        <v>1732</v>
      </c>
      <c r="E133" s="3874" t="s">
        <v>1733</v>
      </c>
      <c r="F133" s="3875"/>
      <c r="G133" s="3875"/>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f t="shared" si="37"/>
        <v>2</v>
      </c>
      <c r="AN133" s="1859" t="e">
        <f t="shared" si="38"/>
        <v>#N/A</v>
      </c>
      <c r="AP133" s="1859" t="e">
        <f t="shared" si="39"/>
        <v>#N/A</v>
      </c>
      <c r="AR133" s="1859" t="e">
        <f t="shared" si="40"/>
        <v>#N/A</v>
      </c>
      <c r="AT133" s="1859" t="e">
        <f t="shared" si="41"/>
        <v>#N/A</v>
      </c>
    </row>
    <row r="134" spans="1:46" ht="12" customHeight="1">
      <c r="A134" s="1843"/>
      <c r="B134" s="2115" t="str">
        <f>B133</f>
        <v>Sociales</v>
      </c>
      <c r="C134" s="3668"/>
      <c r="D134" s="3429"/>
      <c r="E134" s="3606" t="s">
        <v>1735</v>
      </c>
      <c r="F134" s="3607"/>
      <c r="G134" s="3607"/>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f t="shared" si="37"/>
        <v>2</v>
      </c>
      <c r="AN134" s="1859" t="e">
        <f t="shared" si="38"/>
        <v>#N/A</v>
      </c>
      <c r="AP134" s="1859" t="e">
        <f t="shared" si="39"/>
        <v>#N/A</v>
      </c>
      <c r="AR134" s="1859" t="e">
        <f t="shared" si="40"/>
        <v>#N/A</v>
      </c>
      <c r="AT134" s="1859" t="e">
        <f t="shared" si="41"/>
        <v>#N/A</v>
      </c>
    </row>
    <row r="135" spans="1:46" ht="12" customHeight="1">
      <c r="A135" s="1843"/>
      <c r="B135" s="2115" t="str">
        <f t="shared" ref="B135:B139" si="43">B134</f>
        <v>Sociales</v>
      </c>
      <c r="C135" s="3668"/>
      <c r="D135" s="3429"/>
      <c r="E135" s="3608" t="s">
        <v>1738</v>
      </c>
      <c r="F135" s="3609"/>
      <c r="G135" s="3609"/>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f t="shared" si="37"/>
        <v>2</v>
      </c>
      <c r="AN135" s="1859" t="e">
        <f t="shared" si="38"/>
        <v>#N/A</v>
      </c>
      <c r="AP135" s="1859" t="e">
        <f t="shared" si="39"/>
        <v>#N/A</v>
      </c>
      <c r="AR135" s="1859" t="e">
        <f t="shared" si="40"/>
        <v>#N/A</v>
      </c>
      <c r="AT135" s="1859" t="e">
        <f t="shared" si="41"/>
        <v>#N/A</v>
      </c>
    </row>
    <row r="136" spans="1:46" ht="12" customHeight="1">
      <c r="A136" s="1843"/>
      <c r="B136" s="2115" t="str">
        <f t="shared" si="43"/>
        <v>Sociales</v>
      </c>
      <c r="C136" s="3668"/>
      <c r="D136" s="3429"/>
      <c r="E136" s="3606" t="s">
        <v>1740</v>
      </c>
      <c r="F136" s="3607"/>
      <c r="G136" s="3607"/>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f t="shared" si="37"/>
        <v>2</v>
      </c>
      <c r="AN136" s="1859" t="e">
        <f t="shared" si="38"/>
        <v>#N/A</v>
      </c>
      <c r="AP136" s="1859" t="e">
        <f t="shared" si="39"/>
        <v>#N/A</v>
      </c>
      <c r="AR136" s="1859" t="e">
        <f t="shared" si="40"/>
        <v>#N/A</v>
      </c>
      <c r="AT136" s="1859" t="e">
        <f t="shared" si="41"/>
        <v>#N/A</v>
      </c>
    </row>
    <row r="137" spans="1:46" ht="12" customHeight="1">
      <c r="A137" s="1843"/>
      <c r="B137" s="2115" t="str">
        <f t="shared" si="43"/>
        <v>Sociales</v>
      </c>
      <c r="C137" s="3668"/>
      <c r="D137" s="3429"/>
      <c r="E137" s="3608" t="s">
        <v>1085</v>
      </c>
      <c r="F137" s="3609"/>
      <c r="G137" s="3609"/>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f t="shared" si="37"/>
        <v>2</v>
      </c>
      <c r="AN137" s="1859" t="e">
        <f t="shared" si="38"/>
        <v>#N/A</v>
      </c>
      <c r="AP137" s="1859" t="e">
        <f t="shared" si="39"/>
        <v>#N/A</v>
      </c>
      <c r="AR137" s="1859" t="e">
        <f t="shared" si="40"/>
        <v>#N/A</v>
      </c>
      <c r="AT137" s="1859" t="e">
        <f t="shared" si="41"/>
        <v>#N/A</v>
      </c>
    </row>
    <row r="138" spans="1:46" ht="12" customHeight="1">
      <c r="A138" s="1843"/>
      <c r="B138" s="2115" t="str">
        <f t="shared" si="43"/>
        <v>Sociales</v>
      </c>
      <c r="C138" s="3668"/>
      <c r="D138" s="3429"/>
      <c r="E138" s="3606" t="s">
        <v>1086</v>
      </c>
      <c r="F138" s="3607"/>
      <c r="G138" s="3607"/>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f t="shared" si="37"/>
        <v>2</v>
      </c>
      <c r="AN138" s="1859" t="e">
        <f t="shared" si="38"/>
        <v>#N/A</v>
      </c>
      <c r="AP138" s="1859" t="e">
        <f t="shared" si="39"/>
        <v>#N/A</v>
      </c>
      <c r="AR138" s="1859" t="e">
        <f t="shared" si="40"/>
        <v>#N/A</v>
      </c>
      <c r="AT138" s="1859" t="e">
        <f t="shared" si="41"/>
        <v>#N/A</v>
      </c>
    </row>
    <row r="139" spans="1:46" ht="12" customHeight="1">
      <c r="A139" s="1843"/>
      <c r="B139" s="2115" t="str">
        <f t="shared" si="43"/>
        <v>Sociales</v>
      </c>
      <c r="C139" s="3668"/>
      <c r="D139" s="3430"/>
      <c r="E139" s="3610" t="s">
        <v>1087</v>
      </c>
      <c r="F139" s="3611"/>
      <c r="G139" s="3611"/>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f t="shared" si="37"/>
        <v>2</v>
      </c>
      <c r="AN139" s="1859" t="e">
        <f t="shared" si="38"/>
        <v>#N/A</v>
      </c>
      <c r="AP139" s="1859" t="e">
        <f t="shared" si="39"/>
        <v>#N/A</v>
      </c>
      <c r="AR139" s="1859" t="e">
        <f t="shared" si="40"/>
        <v>#N/A</v>
      </c>
      <c r="AT139" s="1859" t="e">
        <f t="shared" si="41"/>
        <v>#N/A</v>
      </c>
    </row>
    <row r="140" spans="1:46" ht="12" customHeight="1">
      <c r="A140" s="1843"/>
      <c r="B140" s="2115" t="str">
        <f>"Perceptivas"</f>
        <v>Perceptivas</v>
      </c>
      <c r="C140" s="3668"/>
      <c r="D140" s="3429" t="s">
        <v>8692</v>
      </c>
      <c r="E140" s="3606" t="s">
        <v>1742</v>
      </c>
      <c r="F140" s="3607"/>
      <c r="G140" s="3607"/>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f t="shared" si="37"/>
        <v>2</v>
      </c>
      <c r="AN140" s="1859" t="e">
        <f t="shared" si="38"/>
        <v>#N/A</v>
      </c>
      <c r="AP140" s="1859" t="e">
        <f t="shared" si="39"/>
        <v>#N/A</v>
      </c>
      <c r="AR140" s="1859" t="e">
        <f t="shared" si="40"/>
        <v>#N/A</v>
      </c>
      <c r="AT140" s="1859" t="e">
        <f t="shared" si="41"/>
        <v>#N/A</v>
      </c>
    </row>
    <row r="141" spans="1:46" ht="12" customHeight="1">
      <c r="A141" s="1843"/>
      <c r="B141" s="2115" t="str">
        <f>B140</f>
        <v>Perceptivas</v>
      </c>
      <c r="C141" s="3668"/>
      <c r="D141" s="3429"/>
      <c r="E141" s="3608" t="s">
        <v>1743</v>
      </c>
      <c r="F141" s="3609"/>
      <c r="G141" s="3609"/>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f t="shared" si="37"/>
        <v>2</v>
      </c>
      <c r="AN141" s="1859" t="e">
        <f t="shared" si="38"/>
        <v>#N/A</v>
      </c>
      <c r="AP141" s="1859" t="e">
        <f t="shared" si="39"/>
        <v>#N/A</v>
      </c>
      <c r="AR141" s="1859" t="e">
        <f t="shared" si="40"/>
        <v>#N/A</v>
      </c>
      <c r="AT141" s="1859" t="e">
        <f t="shared" si="41"/>
        <v>#N/A</v>
      </c>
    </row>
    <row r="142" spans="1:46" ht="12" customHeight="1">
      <c r="A142" s="1843"/>
      <c r="B142" s="2115" t="str">
        <f>B141</f>
        <v>Perceptivas</v>
      </c>
      <c r="C142" s="3668"/>
      <c r="D142" s="3429"/>
      <c r="E142" s="3606" t="s">
        <v>1744</v>
      </c>
      <c r="F142" s="3607"/>
      <c r="G142" s="3607"/>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f t="shared" si="37"/>
        <v>2</v>
      </c>
      <c r="AN142" s="1859" t="e">
        <f t="shared" si="38"/>
        <v>#N/A</v>
      </c>
      <c r="AP142" s="1859" t="e">
        <f t="shared" si="39"/>
        <v>#N/A</v>
      </c>
      <c r="AR142" s="1859" t="e">
        <f t="shared" si="40"/>
        <v>#N/A</v>
      </c>
      <c r="AT142" s="1859" t="e">
        <f t="shared" si="41"/>
        <v>#N/A</v>
      </c>
    </row>
    <row r="143" spans="1:46" ht="12" customHeight="1">
      <c r="A143" s="1843"/>
      <c r="B143" s="2115" t="str">
        <f>D143</f>
        <v>Intelectuales</v>
      </c>
      <c r="C143" s="3668"/>
      <c r="D143" s="3604" t="s">
        <v>1745</v>
      </c>
      <c r="E143" s="3874" t="s">
        <v>1746</v>
      </c>
      <c r="F143" s="3875"/>
      <c r="G143" s="3875"/>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f t="shared" si="37"/>
        <v>3</v>
      </c>
      <c r="AN143" s="1859" t="e">
        <f t="shared" si="38"/>
        <v>#N/A</v>
      </c>
      <c r="AP143" s="1859" t="e">
        <f t="shared" si="39"/>
        <v>#N/A</v>
      </c>
      <c r="AR143" s="1859" t="e">
        <f t="shared" si="40"/>
        <v>#N/A</v>
      </c>
      <c r="AT143" s="1859" t="e">
        <f t="shared" si="41"/>
        <v>#N/A</v>
      </c>
    </row>
    <row r="144" spans="1:46" ht="12" customHeight="1">
      <c r="A144" s="1843"/>
      <c r="B144" s="2115" t="str">
        <f t="shared" ref="B144:B154" si="44">B143</f>
        <v>Intelectuales</v>
      </c>
      <c r="C144" s="3668"/>
      <c r="D144" s="3429"/>
      <c r="E144" s="3606" t="s">
        <v>1747</v>
      </c>
      <c r="F144" s="3607"/>
      <c r="G144" s="3607"/>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c r="A145" s="1843"/>
      <c r="B145" s="2115" t="str">
        <f t="shared" si="44"/>
        <v>Intelectuales</v>
      </c>
      <c r="C145" s="3668"/>
      <c r="D145" s="3429"/>
      <c r="E145" s="3608" t="s">
        <v>2991</v>
      </c>
      <c r="F145" s="3609"/>
      <c r="G145" s="3609"/>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f t="shared" si="37"/>
        <v>3</v>
      </c>
      <c r="AN145" s="1859" t="e">
        <f t="shared" si="38"/>
        <v>#N/A</v>
      </c>
      <c r="AP145" s="1859" t="e">
        <f t="shared" si="39"/>
        <v>#N/A</v>
      </c>
      <c r="AR145" s="1859" t="e">
        <f t="shared" si="40"/>
        <v>#N/A</v>
      </c>
      <c r="AT145" s="1859" t="e">
        <f t="shared" si="41"/>
        <v>#N/A</v>
      </c>
    </row>
    <row r="146" spans="1:46" ht="12" customHeight="1">
      <c r="A146" s="1843"/>
      <c r="B146" s="2115" t="str">
        <f t="shared" si="44"/>
        <v>Intelectuales</v>
      </c>
      <c r="C146" s="3668"/>
      <c r="D146" s="3429"/>
      <c r="E146" s="3606" t="s">
        <v>1748</v>
      </c>
      <c r="F146" s="3607"/>
      <c r="G146" s="3607"/>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f t="shared" si="37"/>
        <v>3</v>
      </c>
      <c r="AN146" s="1859" t="e">
        <f t="shared" si="38"/>
        <v>#N/A</v>
      </c>
      <c r="AP146" s="1859" t="e">
        <f t="shared" si="39"/>
        <v>#N/A</v>
      </c>
      <c r="AR146" s="1859" t="e">
        <f t="shared" si="40"/>
        <v>#N/A</v>
      </c>
      <c r="AT146" s="1859" t="e">
        <f t="shared" si="41"/>
        <v>#N/A</v>
      </c>
    </row>
    <row r="147" spans="1:46" ht="12" customHeight="1">
      <c r="A147" s="1843"/>
      <c r="B147" s="2115" t="str">
        <f t="shared" si="44"/>
        <v>Intelectuales</v>
      </c>
      <c r="C147" s="3668"/>
      <c r="D147" s="3429"/>
      <c r="E147" s="3608" t="s">
        <v>1750</v>
      </c>
      <c r="F147" s="3609"/>
      <c r="G147" s="3609"/>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c r="A148" s="1843"/>
      <c r="B148" s="2115" t="str">
        <f t="shared" si="44"/>
        <v>Intelectuales</v>
      </c>
      <c r="C148" s="3668"/>
      <c r="D148" s="3429"/>
      <c r="E148" s="3606" t="s">
        <v>1088</v>
      </c>
      <c r="F148" s="3607"/>
      <c r="G148" s="3607"/>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f t="shared" si="37"/>
        <v>3</v>
      </c>
      <c r="AN148" s="1859" t="e">
        <f t="shared" si="38"/>
        <v>#N/A</v>
      </c>
      <c r="AP148" s="1859" t="e">
        <f t="shared" si="39"/>
        <v>#N/A</v>
      </c>
      <c r="AR148" s="1859" t="e">
        <f t="shared" si="40"/>
        <v>#N/A</v>
      </c>
      <c r="AT148" s="1859" t="e">
        <f t="shared" si="41"/>
        <v>#N/A</v>
      </c>
    </row>
    <row r="149" spans="1:46" ht="12" customHeight="1">
      <c r="A149" s="1842"/>
      <c r="B149" s="2115" t="str">
        <f t="shared" si="44"/>
        <v>Intelectuales</v>
      </c>
      <c r="C149" s="3668"/>
      <c r="D149" s="3429"/>
      <c r="E149" s="3608" t="s">
        <v>1753</v>
      </c>
      <c r="F149" s="3609"/>
      <c r="G149" s="3609"/>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f t="shared" si="37"/>
        <v>3</v>
      </c>
      <c r="AN149" s="1859" t="e">
        <f t="shared" si="38"/>
        <v>#N/A</v>
      </c>
      <c r="AP149" s="1859" t="e">
        <f t="shared" si="39"/>
        <v>#N/A</v>
      </c>
      <c r="AR149" s="1859" t="e">
        <f t="shared" si="40"/>
        <v>#N/A</v>
      </c>
      <c r="AT149" s="1859" t="e">
        <f t="shared" si="41"/>
        <v>#N/A</v>
      </c>
    </row>
    <row r="150" spans="1:46" ht="12" customHeight="1">
      <c r="A150" s="1842"/>
      <c r="B150" s="2115" t="str">
        <f t="shared" si="44"/>
        <v>Intelectuales</v>
      </c>
      <c r="C150" s="3668"/>
      <c r="D150" s="3429"/>
      <c r="E150" s="3606" t="s">
        <v>1754</v>
      </c>
      <c r="F150" s="3607"/>
      <c r="G150" s="3607"/>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f t="shared" si="37"/>
        <v>3</v>
      </c>
      <c r="AN150" s="1859" t="e">
        <f t="shared" si="38"/>
        <v>#N/A</v>
      </c>
      <c r="AP150" s="1859" t="e">
        <f t="shared" si="39"/>
        <v>#N/A</v>
      </c>
      <c r="AR150" s="1859" t="e">
        <f t="shared" si="40"/>
        <v>#N/A</v>
      </c>
      <c r="AT150" s="1859" t="e">
        <f t="shared" si="41"/>
        <v>#N/A</v>
      </c>
    </row>
    <row r="151" spans="1:46" ht="12" customHeight="1">
      <c r="A151" s="1842"/>
      <c r="B151" s="2115" t="str">
        <f t="shared" si="44"/>
        <v>Intelectuales</v>
      </c>
      <c r="C151" s="3668"/>
      <c r="D151" s="3429"/>
      <c r="E151" s="3608" t="s">
        <v>1755</v>
      </c>
      <c r="F151" s="3609"/>
      <c r="G151" s="3609"/>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f t="shared" si="37"/>
        <v>3</v>
      </c>
      <c r="AN151" s="1859" t="e">
        <f t="shared" si="38"/>
        <v>#N/A</v>
      </c>
      <c r="AP151" s="1859" t="e">
        <f t="shared" si="39"/>
        <v>#N/A</v>
      </c>
      <c r="AR151" s="1859" t="e">
        <f t="shared" si="40"/>
        <v>#N/A</v>
      </c>
      <c r="AT151" s="1859" t="e">
        <f t="shared" si="41"/>
        <v>#N/A</v>
      </c>
    </row>
    <row r="152" spans="1:46" ht="12" customHeight="1">
      <c r="A152" s="1842"/>
      <c r="B152" s="2115" t="str">
        <f t="shared" si="44"/>
        <v>Intelectuales</v>
      </c>
      <c r="C152" s="3668"/>
      <c r="D152" s="3429"/>
      <c r="E152" s="3606" t="s">
        <v>1756</v>
      </c>
      <c r="F152" s="3607"/>
      <c r="G152" s="3607"/>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f t="shared" si="37"/>
        <v>3</v>
      </c>
      <c r="AN152" s="1859" t="e">
        <f t="shared" si="38"/>
        <v>#N/A</v>
      </c>
      <c r="AP152" s="1859" t="e">
        <f t="shared" si="39"/>
        <v>#N/A</v>
      </c>
      <c r="AR152" s="1859" t="e">
        <f t="shared" si="40"/>
        <v>#N/A</v>
      </c>
      <c r="AT152" s="1859" t="e">
        <f t="shared" si="41"/>
        <v>#N/A</v>
      </c>
    </row>
    <row r="153" spans="1:46" ht="12" customHeight="1">
      <c r="A153" s="1842"/>
      <c r="B153" s="2115" t="str">
        <f t="shared" si="44"/>
        <v>Intelectuales</v>
      </c>
      <c r="C153" s="3668"/>
      <c r="D153" s="3429"/>
      <c r="E153" s="3608" t="s">
        <v>1757</v>
      </c>
      <c r="F153" s="3609"/>
      <c r="G153" s="3609"/>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f t="shared" si="37"/>
        <v>3</v>
      </c>
      <c r="AN153" s="1859" t="e">
        <f t="shared" si="38"/>
        <v>#N/A</v>
      </c>
      <c r="AP153" s="1859" t="e">
        <f t="shared" si="39"/>
        <v>#N/A</v>
      </c>
      <c r="AR153" s="1859" t="e">
        <f t="shared" si="40"/>
        <v>#N/A</v>
      </c>
      <c r="AT153" s="1859" t="e">
        <f t="shared" si="41"/>
        <v>#N/A</v>
      </c>
    </row>
    <row r="154" spans="1:46" ht="12" customHeight="1">
      <c r="A154" s="1842"/>
      <c r="B154" s="2115" t="str">
        <f t="shared" si="44"/>
        <v>Intelectuales</v>
      </c>
      <c r="C154" s="3668"/>
      <c r="D154" s="3430"/>
      <c r="E154" s="3614" t="s">
        <v>1758</v>
      </c>
      <c r="F154" s="3615"/>
      <c r="G154" s="3615"/>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f t="shared" si="37"/>
        <v>3</v>
      </c>
      <c r="AN154" s="1859" t="e">
        <f t="shared" si="38"/>
        <v>#N/A</v>
      </c>
      <c r="AP154" s="1859" t="e">
        <f t="shared" si="39"/>
        <v>#N/A</v>
      </c>
      <c r="AR154" s="1859" t="e">
        <f t="shared" si="40"/>
        <v>#N/A</v>
      </c>
      <c r="AT154" s="1859" t="e">
        <f t="shared" si="41"/>
        <v>#N/A</v>
      </c>
    </row>
    <row r="155" spans="1:46" ht="12" customHeight="1">
      <c r="A155" s="1842"/>
      <c r="B155" s="2115" t="str">
        <f>D155</f>
        <v>Vigor</v>
      </c>
      <c r="C155" s="3668"/>
      <c r="D155" s="3429" t="s">
        <v>1759</v>
      </c>
      <c r="E155" s="3608" t="s">
        <v>1760</v>
      </c>
      <c r="F155" s="3609"/>
      <c r="G155" s="3609"/>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f t="shared" si="37"/>
        <v>2</v>
      </c>
      <c r="AN155" s="1859" t="e">
        <f t="shared" si="38"/>
        <v>#N/A</v>
      </c>
      <c r="AP155" s="1859" t="e">
        <f t="shared" si="39"/>
        <v>#N/A</v>
      </c>
      <c r="AR155" s="1859" t="e">
        <f t="shared" si="40"/>
        <v>#N/A</v>
      </c>
      <c r="AT155" s="1859" t="e">
        <f t="shared" si="41"/>
        <v>#N/A</v>
      </c>
    </row>
    <row r="156" spans="1:46" ht="12" customHeight="1">
      <c r="A156" s="1842"/>
      <c r="B156" s="2115" t="str">
        <f>B155</f>
        <v>Vigor</v>
      </c>
      <c r="C156" s="3668"/>
      <c r="D156" s="3429"/>
      <c r="E156" s="3606" t="s">
        <v>1761</v>
      </c>
      <c r="F156" s="3607"/>
      <c r="G156" s="3607"/>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06">
        <f t="shared" si="34"/>
        <v>0</v>
      </c>
      <c r="AC156" s="1675"/>
      <c r="AE156" s="315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f t="shared" si="37"/>
        <v>1</v>
      </c>
      <c r="AN156" s="1859" t="e">
        <f t="shared" si="38"/>
        <v>#N/A</v>
      </c>
      <c r="AP156" s="1859" t="e">
        <f t="shared" si="39"/>
        <v>#N/A</v>
      </c>
      <c r="AR156" s="1859" t="e">
        <f t="shared" si="40"/>
        <v>#N/A</v>
      </c>
      <c r="AT156" s="1859" t="e">
        <f t="shared" si="41"/>
        <v>#N/A</v>
      </c>
    </row>
    <row r="157" spans="1:46" ht="12" customHeight="1">
      <c r="A157" s="1842"/>
      <c r="B157" s="2115" t="str">
        <f>B156</f>
        <v>Vigor</v>
      </c>
      <c r="C157" s="3668"/>
      <c r="D157" s="3429"/>
      <c r="E157" s="3608" t="s">
        <v>1764</v>
      </c>
      <c r="F157" s="3609"/>
      <c r="G157" s="3609"/>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f t="shared" si="37"/>
        <v>2</v>
      </c>
      <c r="AN157" s="1859" t="e">
        <f t="shared" si="38"/>
        <v>#N/A</v>
      </c>
      <c r="AP157" s="1859" t="e">
        <f t="shared" si="39"/>
        <v>#N/A</v>
      </c>
      <c r="AR157" s="1859" t="e">
        <f t="shared" si="40"/>
        <v>#N/A</v>
      </c>
      <c r="AT157" s="1859" t="e">
        <f t="shared" si="41"/>
        <v>#N/A</v>
      </c>
    </row>
    <row r="158" spans="1:46" ht="12" customHeight="1">
      <c r="A158" s="1842"/>
      <c r="B158" s="2115" t="str">
        <f>D158</f>
        <v>Subterfugio</v>
      </c>
      <c r="C158" s="3668"/>
      <c r="D158" s="3604" t="s">
        <v>1767</v>
      </c>
      <c r="E158" s="3873" t="s">
        <v>1768</v>
      </c>
      <c r="F158" s="3823"/>
      <c r="G158" s="3823"/>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42"/>
      <c r="B159" s="2115" t="str">
        <f t="shared" ref="B159:B164" si="56">B158</f>
        <v>Subterfugio</v>
      </c>
      <c r="C159" s="3668"/>
      <c r="D159" s="3429"/>
      <c r="E159" s="3608" t="s">
        <v>1770</v>
      </c>
      <c r="F159" s="3609"/>
      <c r="G159" s="3609"/>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f t="shared" si="51"/>
        <v>2</v>
      </c>
      <c r="AN159" s="1859" t="e">
        <f t="shared" si="52"/>
        <v>#N/A</v>
      </c>
      <c r="AP159" s="1859" t="e">
        <f t="shared" si="53"/>
        <v>#N/A</v>
      </c>
      <c r="AR159" s="1859" t="e">
        <f t="shared" si="54"/>
        <v>#N/A</v>
      </c>
      <c r="AT159" s="1859" t="e">
        <f t="shared" si="55"/>
        <v>#N/A</v>
      </c>
    </row>
    <row r="160" spans="1:46" ht="12" customHeight="1">
      <c r="A160" s="1842"/>
      <c r="B160" s="2115" t="str">
        <f t="shared" si="56"/>
        <v>Subterfugio</v>
      </c>
      <c r="C160" s="3668"/>
      <c r="D160" s="3429"/>
      <c r="E160" s="3606" t="s">
        <v>1772</v>
      </c>
      <c r="F160" s="3607"/>
      <c r="G160" s="3607"/>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f t="shared" si="51"/>
        <v>2</v>
      </c>
      <c r="AN160" s="1859" t="e">
        <f t="shared" si="52"/>
        <v>#N/A</v>
      </c>
      <c r="AP160" s="1859" t="e">
        <f t="shared" si="53"/>
        <v>#N/A</v>
      </c>
      <c r="AR160" s="1859" t="e">
        <f t="shared" si="54"/>
        <v>#N/A</v>
      </c>
      <c r="AT160" s="1859" t="e">
        <f t="shared" si="55"/>
        <v>#N/A</v>
      </c>
    </row>
    <row r="161" spans="1:46" ht="12" customHeight="1">
      <c r="A161" s="1842"/>
      <c r="B161" s="2115" t="str">
        <f t="shared" si="56"/>
        <v>Subterfugio</v>
      </c>
      <c r="C161" s="3668"/>
      <c r="D161" s="3429"/>
      <c r="E161" s="3608" t="s">
        <v>1774</v>
      </c>
      <c r="F161" s="3609"/>
      <c r="G161" s="3609"/>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f t="shared" si="51"/>
        <v>2</v>
      </c>
      <c r="AN161" s="1859" t="e">
        <f t="shared" si="52"/>
        <v>#N/A</v>
      </c>
      <c r="AP161" s="1859" t="e">
        <f t="shared" si="53"/>
        <v>#N/A</v>
      </c>
      <c r="AR161" s="1859" t="e">
        <f t="shared" si="54"/>
        <v>#N/A</v>
      </c>
      <c r="AT161" s="1859" t="e">
        <f t="shared" si="55"/>
        <v>#N/A</v>
      </c>
    </row>
    <row r="162" spans="1:46" ht="12" customHeight="1">
      <c r="A162" s="1842"/>
      <c r="B162" s="2115" t="str">
        <f t="shared" si="56"/>
        <v>Subterfugio</v>
      </c>
      <c r="C162" s="3668"/>
      <c r="D162" s="3429"/>
      <c r="E162" s="3606" t="s">
        <v>1776</v>
      </c>
      <c r="F162" s="3607"/>
      <c r="G162" s="3607"/>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f t="shared" si="51"/>
        <v>2</v>
      </c>
      <c r="AN162" s="1859" t="e">
        <f t="shared" si="52"/>
        <v>#N/A</v>
      </c>
      <c r="AP162" s="1859" t="e">
        <f t="shared" si="53"/>
        <v>#N/A</v>
      </c>
      <c r="AR162" s="1859" t="e">
        <f t="shared" si="54"/>
        <v>#N/A</v>
      </c>
      <c r="AT162" s="1859" t="e">
        <f t="shared" si="55"/>
        <v>#N/A</v>
      </c>
    </row>
    <row r="163" spans="1:46" ht="12" customHeight="1">
      <c r="A163" s="1842"/>
      <c r="B163" s="2115" t="str">
        <f t="shared" si="56"/>
        <v>Subterfugio</v>
      </c>
      <c r="C163" s="3668"/>
      <c r="D163" s="3429"/>
      <c r="E163" s="3608" t="s">
        <v>1778</v>
      </c>
      <c r="F163" s="3609"/>
      <c r="G163" s="3609"/>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f t="shared" si="51"/>
        <v>2</v>
      </c>
      <c r="AN163" s="1859" t="e">
        <f t="shared" si="52"/>
        <v>#N/A</v>
      </c>
      <c r="AP163" s="1859" t="e">
        <f t="shared" si="53"/>
        <v>#N/A</v>
      </c>
      <c r="AR163" s="1859" t="e">
        <f t="shared" si="54"/>
        <v>#N/A</v>
      </c>
      <c r="AT163" s="1859" t="e">
        <f t="shared" si="55"/>
        <v>#N/A</v>
      </c>
    </row>
    <row r="164" spans="1:46" ht="12" customHeight="1">
      <c r="A164" s="1842"/>
      <c r="B164" s="2115" t="str">
        <f t="shared" si="56"/>
        <v>Subterfugio</v>
      </c>
      <c r="C164" s="3668"/>
      <c r="D164" s="3430"/>
      <c r="E164" s="3614" t="s">
        <v>1779</v>
      </c>
      <c r="F164" s="3615"/>
      <c r="G164" s="3615"/>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f t="shared" si="51"/>
        <v>2</v>
      </c>
      <c r="AN164" s="1859" t="e">
        <f t="shared" si="52"/>
        <v>#N/A</v>
      </c>
      <c r="AP164" s="1859" t="e">
        <f t="shared" si="53"/>
        <v>#N/A</v>
      </c>
      <c r="AR164" s="1859" t="e">
        <f t="shared" si="54"/>
        <v>#N/A</v>
      </c>
      <c r="AT164" s="1859" t="e">
        <f t="shared" si="55"/>
        <v>#N/A</v>
      </c>
    </row>
    <row r="165" spans="1:46" ht="12" customHeight="1">
      <c r="A165" s="1842"/>
      <c r="B165" s="2115" t="str">
        <f>D165</f>
        <v>Creativas</v>
      </c>
      <c r="C165" s="3668"/>
      <c r="D165" s="3429" t="s">
        <v>1780</v>
      </c>
      <c r="E165" s="3608" t="s">
        <v>1781</v>
      </c>
      <c r="F165" s="3609"/>
      <c r="G165" s="3609"/>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f t="shared" si="51"/>
        <v>2</v>
      </c>
      <c r="AN165" s="1859" t="e">
        <f t="shared" si="52"/>
        <v>#N/A</v>
      </c>
      <c r="AP165" s="1859" t="e">
        <f t="shared" si="53"/>
        <v>#N/A</v>
      </c>
      <c r="AR165" s="1859" t="e">
        <f t="shared" si="54"/>
        <v>#N/A</v>
      </c>
      <c r="AT165" s="1859" t="e">
        <f t="shared" si="55"/>
        <v>#N/A</v>
      </c>
    </row>
    <row r="166" spans="1:46" ht="12" customHeight="1">
      <c r="A166" s="1842"/>
      <c r="B166" s="2115" t="str">
        <f>B165</f>
        <v>Creativas</v>
      </c>
      <c r="C166" s="3668"/>
      <c r="D166" s="3429"/>
      <c r="E166" s="3606" t="s">
        <v>1782</v>
      </c>
      <c r="F166" s="3607"/>
      <c r="G166" s="3607"/>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f t="shared" si="51"/>
        <v>2</v>
      </c>
      <c r="AN166" s="1859" t="e">
        <f t="shared" si="52"/>
        <v>#N/A</v>
      </c>
      <c r="AP166" s="1859" t="e">
        <f t="shared" si="53"/>
        <v>#N/A</v>
      </c>
      <c r="AR166" s="1859" t="e">
        <f t="shared" si="54"/>
        <v>#N/A</v>
      </c>
      <c r="AT166" s="1859" t="e">
        <f t="shared" si="55"/>
        <v>#N/A</v>
      </c>
    </row>
    <row r="167" spans="1:46" ht="12" customHeight="1">
      <c r="A167" s="1842"/>
      <c r="B167" s="2115" t="str">
        <f t="shared" ref="B167:B176" si="57">B166</f>
        <v>Creativas</v>
      </c>
      <c r="C167" s="3668"/>
      <c r="D167" s="3429"/>
      <c r="E167" s="3608" t="s">
        <v>1783</v>
      </c>
      <c r="F167" s="3609"/>
      <c r="G167" s="3609"/>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f t="shared" si="51"/>
        <v>2</v>
      </c>
      <c r="AN167" s="1859" t="e">
        <f t="shared" si="52"/>
        <v>#N/A</v>
      </c>
      <c r="AP167" s="1859" t="e">
        <f t="shared" si="53"/>
        <v>#N/A</v>
      </c>
      <c r="AR167" s="1859" t="e">
        <f t="shared" si="54"/>
        <v>#N/A</v>
      </c>
      <c r="AT167" s="1859" t="e">
        <f t="shared" si="55"/>
        <v>#N/A</v>
      </c>
    </row>
    <row r="168" spans="1:46" ht="12" customHeight="1">
      <c r="A168" s="1842"/>
      <c r="B168" s="2115" t="str">
        <f t="shared" si="57"/>
        <v>Creativas</v>
      </c>
      <c r="C168" s="3668"/>
      <c r="D168" s="3429"/>
      <c r="E168" s="3606" t="s">
        <v>1082</v>
      </c>
      <c r="F168" s="3607"/>
      <c r="G168" s="3607"/>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f t="shared" si="51"/>
        <v>2</v>
      </c>
      <c r="AN168" s="1859" t="e">
        <f t="shared" si="52"/>
        <v>#N/A</v>
      </c>
      <c r="AP168" s="1859" t="e">
        <f t="shared" si="53"/>
        <v>#N/A</v>
      </c>
      <c r="AR168" s="1859" t="e">
        <f t="shared" si="54"/>
        <v>#N/A</v>
      </c>
      <c r="AT168" s="1859" t="e">
        <f t="shared" si="55"/>
        <v>#N/A</v>
      </c>
    </row>
    <row r="169" spans="1:46" ht="12" customHeight="1">
      <c r="A169" s="1842"/>
      <c r="B169" s="2115" t="str">
        <f t="shared" si="57"/>
        <v>Creativas</v>
      </c>
      <c r="C169" s="3668"/>
      <c r="D169" s="3429"/>
      <c r="E169" s="3608" t="s">
        <v>1083</v>
      </c>
      <c r="F169" s="3609"/>
      <c r="G169" s="3609"/>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c r="A170" s="1842"/>
      <c r="B170" s="2115" t="str">
        <f t="shared" si="57"/>
        <v>Creativas</v>
      </c>
      <c r="C170" s="3668"/>
      <c r="D170" s="3429"/>
      <c r="E170" s="3606" t="s">
        <v>1084</v>
      </c>
      <c r="F170" s="3607"/>
      <c r="G170" s="3607"/>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c r="A171" s="1842"/>
      <c r="B171" s="2115" t="str">
        <f t="shared" si="57"/>
        <v>Creativas</v>
      </c>
      <c r="C171" s="3668"/>
      <c r="D171" s="3429"/>
      <c r="E171" s="3608" t="s">
        <v>1784</v>
      </c>
      <c r="F171" s="3609"/>
      <c r="G171" s="3609"/>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f t="shared" si="51"/>
        <v>2</v>
      </c>
      <c r="AN171" s="1859" t="e">
        <f t="shared" si="52"/>
        <v>#N/A</v>
      </c>
      <c r="AP171" s="1859" t="e">
        <f t="shared" si="53"/>
        <v>#N/A</v>
      </c>
      <c r="AR171" s="1859" t="e">
        <f t="shared" si="54"/>
        <v>#N/A</v>
      </c>
      <c r="AT171" s="1859" t="e">
        <f t="shared" si="55"/>
        <v>#N/A</v>
      </c>
    </row>
    <row r="172" spans="1:46" ht="12" customHeight="1">
      <c r="A172" s="1842"/>
      <c r="B172" s="2115" t="str">
        <f t="shared" si="57"/>
        <v>Creativas</v>
      </c>
      <c r="C172" s="3668"/>
      <c r="D172" s="3429"/>
      <c r="E172" s="3606" t="s">
        <v>1787</v>
      </c>
      <c r="F172" s="3607"/>
      <c r="G172" s="3607"/>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f t="shared" si="51"/>
        <v>2</v>
      </c>
      <c r="AN172" s="1859" t="e">
        <f t="shared" si="52"/>
        <v>#N/A</v>
      </c>
      <c r="AP172" s="1859" t="e">
        <f t="shared" si="53"/>
        <v>#N/A</v>
      </c>
      <c r="AR172" s="1859" t="e">
        <f t="shared" si="54"/>
        <v>#N/A</v>
      </c>
      <c r="AT172" s="1859" t="e">
        <f t="shared" si="55"/>
        <v>#N/A</v>
      </c>
    </row>
    <row r="173" spans="1:46" ht="12" customHeight="1">
      <c r="A173" s="1842"/>
      <c r="B173" s="2115" t="str">
        <f t="shared" si="57"/>
        <v>Creativas</v>
      </c>
      <c r="C173" s="3668"/>
      <c r="D173" s="3429"/>
      <c r="E173" s="3608" t="s">
        <v>7753</v>
      </c>
      <c r="F173" s="3609"/>
      <c r="G173" s="3609"/>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f t="shared" si="51"/>
        <v>2</v>
      </c>
      <c r="AN173" s="1859" t="e">
        <f t="shared" si="52"/>
        <v>#N/A</v>
      </c>
      <c r="AP173" s="1859" t="e">
        <f t="shared" si="53"/>
        <v>#N/A</v>
      </c>
      <c r="AR173" s="1859" t="e">
        <f t="shared" si="54"/>
        <v>#N/A</v>
      </c>
      <c r="AT173" s="1859" t="e">
        <f t="shared" si="55"/>
        <v>#N/A</v>
      </c>
    </row>
    <row r="174" spans="1:46" ht="12" customHeight="1">
      <c r="A174" s="1842"/>
      <c r="B174" s="2115" t="str">
        <f t="shared" si="57"/>
        <v>Creativas</v>
      </c>
      <c r="C174" s="3668"/>
      <c r="D174" s="3429"/>
      <c r="E174" s="3606" t="s">
        <v>7754</v>
      </c>
      <c r="F174" s="3607"/>
      <c r="G174" s="3607"/>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f t="shared" si="51"/>
        <v>2</v>
      </c>
      <c r="AN174" s="1859" t="e">
        <f t="shared" si="52"/>
        <v>#N/A</v>
      </c>
      <c r="AP174" s="1859" t="e">
        <f t="shared" si="53"/>
        <v>#N/A</v>
      </c>
      <c r="AR174" s="1859" t="e">
        <f t="shared" si="54"/>
        <v>#N/A</v>
      </c>
      <c r="AT174" s="1859" t="e">
        <f t="shared" si="55"/>
        <v>#N/A</v>
      </c>
    </row>
    <row r="175" spans="1:46" ht="12" customHeight="1">
      <c r="A175" s="1842"/>
      <c r="B175" s="2115" t="str">
        <f t="shared" si="57"/>
        <v>Creativas</v>
      </c>
      <c r="C175" s="3668"/>
      <c r="D175" s="3429"/>
      <c r="E175" s="3608" t="s">
        <v>7755</v>
      </c>
      <c r="F175" s="3609"/>
      <c r="G175" s="3609"/>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f t="shared" si="51"/>
        <v>2</v>
      </c>
      <c r="AN175" s="1859" t="e">
        <f t="shared" si="52"/>
        <v>#N/A</v>
      </c>
      <c r="AP175" s="1859" t="e">
        <f t="shared" si="53"/>
        <v>#N/A</v>
      </c>
      <c r="AR175" s="1859" t="e">
        <f t="shared" si="54"/>
        <v>#N/A</v>
      </c>
      <c r="AT175" s="1859" t="e">
        <f t="shared" si="55"/>
        <v>#N/A</v>
      </c>
    </row>
    <row r="176" spans="1:46" ht="12" customHeight="1">
      <c r="A176" s="1842"/>
      <c r="B176" s="2115" t="str">
        <f t="shared" si="57"/>
        <v>Creativas</v>
      </c>
      <c r="C176" s="3668"/>
      <c r="D176" s="3429"/>
      <c r="E176" s="3606" t="s">
        <v>7756</v>
      </c>
      <c r="F176" s="3607"/>
      <c r="G176" s="3607"/>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f t="shared" si="51"/>
        <v>2</v>
      </c>
      <c r="AN176" s="1859" t="e">
        <f t="shared" si="52"/>
        <v>#N/A</v>
      </c>
      <c r="AP176" s="1859" t="e">
        <f t="shared" si="53"/>
        <v>#N/A</v>
      </c>
      <c r="AR176" s="1859" t="e">
        <f t="shared" si="54"/>
        <v>#N/A</v>
      </c>
      <c r="AT176" s="1859" t="e">
        <f t="shared" si="55"/>
        <v>#N/A</v>
      </c>
    </row>
    <row r="177" spans="1:35" ht="12" customHeight="1">
      <c r="A177" s="1842"/>
      <c r="B177" s="2115">
        <f>IF(OR(U177="FUE",U177="CON",U177="DES",U177="AGI"),1,IF(OR(U177="INT",U177="POD",U177="VOL",U177="PER"),2,0))</f>
        <v>0</v>
      </c>
      <c r="C177" s="3668"/>
      <c r="D177" s="2187" t="s">
        <v>1766</v>
      </c>
      <c r="E177" s="3638"/>
      <c r="F177" s="3639"/>
      <c r="G177" s="3639"/>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c r="A178" s="1842"/>
      <c r="B178" s="2115">
        <f>IF(OR(U178="FUE",U178="CON",U178="DES",U178="AGI"),1,IF(OR(U178="INT",U178="POD",U178="VOL",U178="PER"),2,0))</f>
        <v>0</v>
      </c>
      <c r="C178" s="3668"/>
      <c r="D178" s="2188" t="s">
        <v>1766</v>
      </c>
      <c r="E178" s="3640"/>
      <c r="F178" s="3641"/>
      <c r="G178" s="3641"/>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8691</v>
      </c>
      <c r="AI178" s="3152" t="s">
        <v>1713</v>
      </c>
    </row>
    <row r="179" spans="1:35" ht="12" customHeight="1">
      <c r="A179" s="1845"/>
      <c r="B179" s="2115">
        <f>IF(OR(U179="FUE",U179="CON",U179="DES",U179="AGI"),1,IF(OR(U179="INT",U179="POD",U179="VOL",U179="PER"),2,0))</f>
        <v>0</v>
      </c>
      <c r="C179" s="3668"/>
      <c r="D179" s="2188" t="s">
        <v>1766</v>
      </c>
      <c r="E179" s="3642"/>
      <c r="F179" s="3643"/>
      <c r="G179" s="3643"/>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8687</v>
      </c>
      <c r="AI179" s="3152" t="s">
        <v>1732</v>
      </c>
    </row>
    <row r="180" spans="1:35" ht="12" customHeight="1">
      <c r="A180" s="1845"/>
      <c r="B180" s="2115">
        <f>IF(OR(U180="FUE",U180="CON",U180="DES",U180="AGI"),1,IF(OR(U180="INT",U180="POD",U180="VOL",U180="PER"),2,0))</f>
        <v>0</v>
      </c>
      <c r="C180" s="3668"/>
      <c r="D180" s="2188" t="s">
        <v>1766</v>
      </c>
      <c r="E180" s="3640"/>
      <c r="F180" s="3641"/>
      <c r="G180" s="3641"/>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8692</v>
      </c>
      <c r="AI180" s="3152" t="s">
        <v>8672</v>
      </c>
    </row>
    <row r="181" spans="1:35" ht="12" customHeight="1">
      <c r="A181" s="1845"/>
      <c r="B181" s="2115">
        <f>IF(OR(U181="FUE",U181="CON",U181="DES",U181="AGI"),1,IF(OR(U181="INT",U181="POD",U181="VOL",U181="PER"),2,0))</f>
        <v>0</v>
      </c>
      <c r="C181" s="3668"/>
      <c r="D181" s="2189" t="s">
        <v>1766</v>
      </c>
      <c r="E181" s="3632"/>
      <c r="F181" s="3633"/>
      <c r="G181" s="3633"/>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8688</v>
      </c>
      <c r="AI181" s="3152" t="s">
        <v>1745</v>
      </c>
    </row>
    <row r="182" spans="1:35" ht="12" customHeight="1" thickBot="1">
      <c r="A182" s="1845"/>
      <c r="B182" s="2115"/>
      <c r="C182" s="3668"/>
      <c r="D182" s="3654" t="s">
        <v>1852</v>
      </c>
      <c r="E182" s="3655"/>
      <c r="F182" s="3655"/>
      <c r="G182" s="3655"/>
      <c r="H182" s="3655"/>
      <c r="I182" s="3655"/>
      <c r="J182" s="3655"/>
      <c r="K182" s="3655"/>
      <c r="L182" s="3655"/>
      <c r="M182" s="3655"/>
      <c r="N182" s="3655"/>
      <c r="O182" s="3655"/>
      <c r="P182" s="3655"/>
      <c r="Q182" s="3655"/>
      <c r="R182" s="3655"/>
      <c r="S182" s="3655"/>
      <c r="T182" s="3655"/>
      <c r="U182" s="3655"/>
      <c r="V182" s="3655"/>
      <c r="W182" s="3655"/>
      <c r="X182" s="3655"/>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c r="A183" s="1845"/>
      <c r="B183" s="2115"/>
      <c r="C183" s="3668"/>
      <c r="D183" s="3656" t="s">
        <v>1854</v>
      </c>
      <c r="E183" s="3657"/>
      <c r="F183" s="3657"/>
      <c r="G183" s="3657"/>
      <c r="H183" s="3657"/>
      <c r="I183" s="3657"/>
      <c r="J183" s="3657"/>
      <c r="K183" s="3657"/>
      <c r="L183" s="3657"/>
      <c r="M183" s="3657"/>
      <c r="N183" s="3657"/>
      <c r="O183" s="3657"/>
      <c r="P183" s="3657"/>
      <c r="Q183" s="3657"/>
      <c r="R183" s="3657"/>
      <c r="S183" s="3657"/>
      <c r="T183" s="3657"/>
      <c r="U183" s="3657"/>
      <c r="V183" s="3657"/>
      <c r="W183" s="3657"/>
      <c r="X183" s="3657"/>
      <c r="Y183" s="189">
        <f>SUM($X126:$X181)</f>
        <v>0</v>
      </c>
      <c r="Z183" s="188" t="s">
        <v>1853</v>
      </c>
      <c r="AA183" s="1516">
        <f>IF(Nivel_Total=0,5,Nivel_Total*5)</f>
        <v>5</v>
      </c>
      <c r="AB183" s="2908"/>
      <c r="AC183" s="1675"/>
      <c r="AH183" s="2901" t="s">
        <v>8689</v>
      </c>
      <c r="AI183" s="3152" t="s">
        <v>1767</v>
      </c>
    </row>
    <row r="184" spans="1:35" ht="12" customHeight="1">
      <c r="A184" s="1845"/>
      <c r="B184" s="2115"/>
      <c r="C184" s="3668"/>
      <c r="D184" s="3658" t="s">
        <v>1855</v>
      </c>
      <c r="E184" s="3607"/>
      <c r="F184" s="3607"/>
      <c r="G184" s="3607"/>
      <c r="H184" s="3607"/>
      <c r="I184" s="3607"/>
      <c r="J184" s="3607"/>
      <c r="K184" s="3607"/>
      <c r="L184" s="3607"/>
      <c r="M184" s="3607"/>
      <c r="N184" s="3607"/>
      <c r="O184" s="3607"/>
      <c r="P184" s="3607"/>
      <c r="Q184" s="3607"/>
      <c r="R184" s="3607"/>
      <c r="S184" s="3607"/>
      <c r="T184" s="3607"/>
      <c r="U184" s="3607"/>
      <c r="V184" s="3607"/>
      <c r="W184" s="3607"/>
      <c r="X184" s="3607"/>
      <c r="Y184" s="190">
        <f>SUM($Y126:$Y181)</f>
        <v>0</v>
      </c>
      <c r="Z184" s="191" t="s">
        <v>1853</v>
      </c>
      <c r="AA184" s="1517">
        <f>(IF(ISNUMBER(MATCH("Novel",P5:P14,0)),VLOOKUP("Novel",P5:S14,4,FALSE)))*5</f>
        <v>0</v>
      </c>
      <c r="AB184" s="2921"/>
      <c r="AC184" s="1675"/>
      <c r="AH184" s="2901" t="s">
        <v>8690</v>
      </c>
      <c r="AI184" s="3152" t="s">
        <v>1780</v>
      </c>
    </row>
    <row r="185" spans="1:35" ht="12" customHeight="1">
      <c r="A185" s="1845"/>
      <c r="B185" s="2115"/>
      <c r="C185" s="3668"/>
      <c r="D185" s="3659" t="s">
        <v>1856</v>
      </c>
      <c r="E185" s="3634" t="str">
        <f>IF(Acumulacion="Si","Múltiplos de Acumulación","Múltiplos de Vida")</f>
        <v>Múltiplos de Vida</v>
      </c>
      <c r="F185" s="3635"/>
      <c r="G185" s="3635"/>
      <c r="H185" s="3635"/>
      <c r="I185" s="3636"/>
      <c r="J185" s="3616">
        <f>IF(Acumulacion="Si","X",IF(Categoría_1=0,0,VLOOKUP(Categoría_1,Tabla_Categorías,4,FALSE)))</f>
        <v>15</v>
      </c>
      <c r="K185" s="3618"/>
      <c r="L185" s="3616">
        <f>IF(Acumulacion="Si","X",IF(Categoría_2=0,0,VLOOKUP(Categoría_2,Tabla_Categorías,4,FALSE)))</f>
        <v>0</v>
      </c>
      <c r="M185" s="3618"/>
      <c r="N185" s="3616">
        <f>IF(Acumulacion="Si","X",IF(Categoría_3=0,0,VLOOKUP(Categoría_3,Tabla_Categorías,4,FALSE)))</f>
        <v>0</v>
      </c>
      <c r="O185" s="3618"/>
      <c r="P185" s="3616">
        <f>IF(Acumulacion="Si","X",IF(Categoría_4=0,0,VLOOKUP(Categoría_4,Tabla_Categorías,4,FALSE)))</f>
        <v>0</v>
      </c>
      <c r="Q185" s="3618"/>
      <c r="R185" s="3616">
        <f>IF(Acumulacion="Si","X",IF(Categoría_5=0,0,VLOOKUP(Categoría_5,Tabla_Categorías,4,FALSE)))</f>
        <v>0</v>
      </c>
      <c r="S185" s="3618"/>
      <c r="T185" s="3616">
        <f>IF(Acumulacion="Si",IF(Tablas!$S$1676&gt;0,Tablas!$S$1676,VLOOKUP(Tamaño,Tabla_CreaciónSeres,5)),IF(J185=0,0,TRUNC((K185/J185),0))+IF(L185=0,0,TRUNC((M185/L185),0))+IF(N185=0,0,TRUNC((O185/N185),0))+IF(P185=0,0,TRUNC((Q185/P185),0))+IF(R185=0,0,TRUNC((S185/R185),0)))</f>
        <v>0</v>
      </c>
      <c r="U185" s="3612">
        <f>20+CON*10+Bono_Con</f>
        <v>20</v>
      </c>
      <c r="V185" s="3612">
        <f>(HLOOKUP("PV",Bonos_Cat_Base,2,FALSE)+(10*Tablas!$G$349+20*Tablas!$G$350+30*Tablas!$G$351)*Nivel_Total)*IF(Acumulacion="Si",VLOOKUP(Tamaño,Tabla_CreaciónSeres,5),1)</f>
        <v>15</v>
      </c>
      <c r="W185" s="3612">
        <f>IF(Acumulacion="Si",T185*(K185+M185+O185+Q185+S185),T185*CON)</f>
        <v>0</v>
      </c>
      <c r="X185" s="3663"/>
      <c r="Y185" s="3664"/>
      <c r="Z185" s="3628">
        <f>U185+W185+V185+X185</f>
        <v>35</v>
      </c>
      <c r="AA185" s="3629"/>
      <c r="AB185" s="2804"/>
      <c r="AC185" s="1675"/>
    </row>
    <row r="186" spans="1:35" ht="12" customHeight="1" thickBot="1">
      <c r="A186" s="1845"/>
      <c r="B186" s="2115"/>
      <c r="C186" s="3669"/>
      <c r="D186" s="3660"/>
      <c r="E186" s="3617"/>
      <c r="F186" s="3613"/>
      <c r="G186" s="3613"/>
      <c r="H186" s="3613"/>
      <c r="I186" s="3637"/>
      <c r="J186" s="3617"/>
      <c r="K186" s="3619"/>
      <c r="L186" s="3617"/>
      <c r="M186" s="3619"/>
      <c r="N186" s="3617"/>
      <c r="O186" s="3619"/>
      <c r="P186" s="3617"/>
      <c r="Q186" s="3619"/>
      <c r="R186" s="3617"/>
      <c r="S186" s="3619"/>
      <c r="T186" s="3617"/>
      <c r="U186" s="3613"/>
      <c r="V186" s="3613"/>
      <c r="W186" s="3613"/>
      <c r="X186" s="3665"/>
      <c r="Y186" s="3666"/>
      <c r="Z186" s="3630"/>
      <c r="AA186" s="3631"/>
      <c r="AB186" s="2922"/>
      <c r="AC186" s="1675"/>
    </row>
    <row r="187" spans="1:35" ht="12" customHeight="1">
      <c r="A187" s="1845"/>
      <c r="B187" s="2338"/>
      <c r="AB187" s="2804"/>
      <c r="AC187" s="1675"/>
    </row>
    <row r="188" spans="1:35" ht="12" customHeight="1" thickBot="1">
      <c r="A188" s="1845"/>
      <c r="B188" s="2115"/>
      <c r="AB188" s="2804"/>
      <c r="AC188" s="1675"/>
    </row>
    <row r="189" spans="1:35" ht="12" customHeight="1">
      <c r="A189" s="1845"/>
      <c r="B189" s="2115"/>
      <c r="C189" s="3648" t="s">
        <v>1857</v>
      </c>
      <c r="D189" s="3649"/>
      <c r="E189" s="3649"/>
      <c r="F189" s="3649"/>
      <c r="G189" s="3649"/>
      <c r="H189" s="3649"/>
      <c r="I189" s="3650"/>
      <c r="J189" s="3646">
        <f>$T$5</f>
        <v>600</v>
      </c>
      <c r="K189" s="3661">
        <f>M83+M101+M117+SUM(K126:K181)+K185+Z7+W18</f>
        <v>100</v>
      </c>
      <c r="L189" s="3646">
        <f>$T$7</f>
        <v>0</v>
      </c>
      <c r="M189" s="3661">
        <f>IF(Categoría_2="",0,O83+O101+O117+M185+SUM(M126:M181)-M83-M101-M117+AA7+Z9+X18)</f>
        <v>0</v>
      </c>
      <c r="N189" s="3646">
        <f>$T$9</f>
        <v>0</v>
      </c>
      <c r="O189" s="3661">
        <f>IF(Categoría_3="",0,Q83+Q101+Q117+O185+SUM(O126:O181)-O83-O101-O117+AA9+Z11+Y18)</f>
        <v>0</v>
      </c>
      <c r="P189" s="3646">
        <f>$T$11</f>
        <v>0</v>
      </c>
      <c r="Q189" s="3661">
        <f>IF(Categoría_4="",0,S83+S101+S117+Q185+SUM(Q126:Q181)-Q83-Q101-Q117+AA11+Z13+Z18)</f>
        <v>0</v>
      </c>
      <c r="R189" s="3646">
        <f>$T$13</f>
        <v>0</v>
      </c>
      <c r="S189" s="3644">
        <f>IF(Categoría_4="",0,U83+U101+U117+S185+SUM(S126:S181)-S83-S101-S117+AA13+AA18)</f>
        <v>0</v>
      </c>
      <c r="T189" s="3953" t="str">
        <f>IF(AA189&gt;Z189,"Exceso de PDs gastados",IF(OR(K189&gt;J189,M189&gt;L189,O189&gt;N189,Q189&gt;P189,S189&gt;R189),"Límite por Categoría excedido",""))</f>
        <v/>
      </c>
      <c r="U189" s="3954"/>
      <c r="V189" s="3954"/>
      <c r="W189" s="3955"/>
      <c r="X189" s="3949" t="s">
        <v>4549</v>
      </c>
      <c r="Y189" s="3950"/>
      <c r="Z189" s="3959">
        <f>J189+L189+N189+P189+R189</f>
        <v>600</v>
      </c>
      <c r="AA189" s="3961">
        <f>K189+M189+O189+Q189+S189</f>
        <v>100</v>
      </c>
      <c r="AB189" s="2804"/>
      <c r="AC189" s="1675"/>
    </row>
    <row r="190" spans="1:35" ht="12" customHeight="1" thickBot="1">
      <c r="A190" s="1845"/>
      <c r="B190" s="2115"/>
      <c r="C190" s="3651"/>
      <c r="D190" s="3652"/>
      <c r="E190" s="3652"/>
      <c r="F190" s="3652"/>
      <c r="G190" s="3652"/>
      <c r="H190" s="3652"/>
      <c r="I190" s="3653"/>
      <c r="J190" s="3647"/>
      <c r="K190" s="3662"/>
      <c r="L190" s="3647"/>
      <c r="M190" s="3662"/>
      <c r="N190" s="3647"/>
      <c r="O190" s="3662"/>
      <c r="P190" s="3647"/>
      <c r="Q190" s="3662"/>
      <c r="R190" s="3647"/>
      <c r="S190" s="3645"/>
      <c r="T190" s="3956"/>
      <c r="U190" s="3957"/>
      <c r="V190" s="3957"/>
      <c r="W190" s="3958"/>
      <c r="X190" s="3951"/>
      <c r="Y190" s="3952"/>
      <c r="Z190" s="3960"/>
      <c r="AA190" s="3962"/>
      <c r="AB190" s="2804"/>
      <c r="AC190" s="1675"/>
    </row>
    <row r="191" spans="1:35" ht="12" customHeight="1">
      <c r="A191" s="1843"/>
      <c r="B191" s="2115"/>
      <c r="AB191" s="2804"/>
      <c r="AC191" s="2808"/>
    </row>
    <row r="192" spans="1:35" ht="12" customHeight="1" thickBot="1">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643" priority="413" stopIfTrue="1" operator="equal">
      <formula>"Tabla de Esquiva con Escudo"</formula>
    </cfRule>
  </conditionalFormatting>
  <conditionalFormatting sqref="K189">
    <cfRule type="cellIs" dxfId="642" priority="414" stopIfTrue="1" operator="greaterThan">
      <formula>$J$189</formula>
    </cfRule>
  </conditionalFormatting>
  <conditionalFormatting sqref="Y184">
    <cfRule type="cellIs" dxfId="641" priority="415" stopIfTrue="1" operator="notEqual">
      <formula>$AA$184</formula>
    </cfRule>
  </conditionalFormatting>
  <conditionalFormatting sqref="Y183">
    <cfRule type="cellIs" dxfId="640" priority="416" stopIfTrue="1" operator="notEqual">
      <formula>$AA$183</formula>
    </cfRule>
  </conditionalFormatting>
  <conditionalFormatting sqref="Y182">
    <cfRule type="cellIs" dxfId="639" priority="417" stopIfTrue="1" operator="notEqual">
      <formula>$AA$182</formula>
    </cfRule>
  </conditionalFormatting>
  <conditionalFormatting sqref="Y126:Y128">
    <cfRule type="cellIs" dxfId="638" priority="418" stopIfTrue="1" operator="greaterThan">
      <formula>$AA$184/5</formula>
    </cfRule>
  </conditionalFormatting>
  <conditionalFormatting sqref="AA126:AA128">
    <cfRule type="expression" dxfId="637" priority="422" stopIfTrue="1">
      <formula>B1</formula>
    </cfRule>
  </conditionalFormatting>
  <conditionalFormatting sqref="P7 P9 P11 P13">
    <cfRule type="expression" dxfId="636" priority="464" stopIfTrue="1">
      <formula>$P$5=0</formula>
    </cfRule>
  </conditionalFormatting>
  <conditionalFormatting sqref="Y129:Y132">
    <cfRule type="cellIs" dxfId="635" priority="94" stopIfTrue="1" operator="greaterThan">
      <formula>$AA$184/5</formula>
    </cfRule>
  </conditionalFormatting>
  <conditionalFormatting sqref="AA129:AA132">
    <cfRule type="expression" dxfId="634" priority="95" stopIfTrue="1">
      <formula>B4</formula>
    </cfRule>
  </conditionalFormatting>
  <conditionalFormatting sqref="Y133:Y180">
    <cfRule type="cellIs" dxfId="633" priority="83" stopIfTrue="1" operator="greaterThan">
      <formula>$AA$184/5</formula>
    </cfRule>
  </conditionalFormatting>
  <conditionalFormatting sqref="AA133:AA180">
    <cfRule type="expression" dxfId="632" priority="84" stopIfTrue="1">
      <formula>B8</formula>
    </cfRule>
  </conditionalFormatting>
  <conditionalFormatting sqref="Y181">
    <cfRule type="cellIs" dxfId="631" priority="76" stopIfTrue="1" operator="greaterThan">
      <formula>$AA$184/5</formula>
    </cfRule>
  </conditionalFormatting>
  <conditionalFormatting sqref="AA181">
    <cfRule type="expression" dxfId="630" priority="77" stopIfTrue="1">
      <formula>B56</formula>
    </cfRule>
  </conditionalFormatting>
  <conditionalFormatting sqref="V41:V45">
    <cfRule type="expression" dxfId="629" priority="1630" stopIfTrue="1">
      <formula>AND(NOT($V41="Armas improvisadas"),$Y41=0)</formula>
    </cfRule>
  </conditionalFormatting>
  <conditionalFormatting sqref="E40:E56 E99:E100 E110:E116 E75:E82">
    <cfRule type="expression" dxfId="628" priority="1633">
      <formula>NOT(OR(L40=M40,$N40=$O40,$P40=$Q40,$R40=$S40,$T40=$U40))</formula>
    </cfRule>
  </conditionalFormatting>
  <conditionalFormatting sqref="Y40:AA45">
    <cfRule type="expression" dxfId="627" priority="75" stopIfTrue="1">
      <formula>$V40=""</formula>
    </cfRule>
  </conditionalFormatting>
  <conditionalFormatting sqref="E113">
    <cfRule type="expression" dxfId="626" priority="1745" stopIfTrue="1">
      <formula>NOT(OR(#REF!=#REF!,#REF!=#REF!,#REF!=#REF!,#REF!=#REF!,#REF!=#REF!))</formula>
    </cfRule>
  </conditionalFormatting>
  <conditionalFormatting sqref="E114">
    <cfRule type="expression" dxfId="625" priority="2285" stopIfTrue="1">
      <formula>NOT(OR(#REF!=#REF!,#REF!=#REF!,#REF!=#REF!,#REF!=#REF!,#REF!=#REF!))</formula>
    </cfRule>
  </conditionalFormatting>
  <conditionalFormatting sqref="E115:E116">
    <cfRule type="expression" dxfId="624" priority="2288" stopIfTrue="1">
      <formula>NOT(OR(M123=L123,O123=N123,Q123=P123,S123=R123,U123=T123))</formula>
    </cfRule>
  </conditionalFormatting>
  <conditionalFormatting sqref="E57">
    <cfRule type="expression" dxfId="623" priority="59">
      <formula>NOT(OR(L57=M57,$N57=$O57,$P57=$Q57,$R57=$S57,$T57=$U57))</formula>
    </cfRule>
  </conditionalFormatting>
  <conditionalFormatting sqref="E59">
    <cfRule type="expression" dxfId="622" priority="57">
      <formula>NOT(OR(L59=M59,$N59=$O59,$P59=$Q59,$R59=$S59,$T59=$U59))</formula>
    </cfRule>
  </conditionalFormatting>
  <conditionalFormatting sqref="E58">
    <cfRule type="expression" dxfId="621" priority="56">
      <formula>NOT(OR(L58=M58,$N58=$O58,$P58=$Q58,$R58=$S58,$T58=$U58))</formula>
    </cfRule>
  </conditionalFormatting>
  <conditionalFormatting sqref="E61">
    <cfRule type="expression" dxfId="620" priority="55">
      <formula>NOT(OR(L61=M61,$N61=$O61,$P61=$Q61,$R61=$S61,$T61=$U61))</formula>
    </cfRule>
  </conditionalFormatting>
  <conditionalFormatting sqref="E60">
    <cfRule type="expression" dxfId="619" priority="54">
      <formula>NOT(OR(L60=M60,$N60=$O60,$P60=$Q60,$R60=$S60,$T60=$U60))</formula>
    </cfRule>
  </conditionalFormatting>
  <conditionalFormatting sqref="E63">
    <cfRule type="expression" dxfId="618" priority="53">
      <formula>NOT(OR(L63=M63,$N63=$O63,$P63=$Q63,$R63=$S63,$T63=$U63))</formula>
    </cfRule>
  </conditionalFormatting>
  <conditionalFormatting sqref="E62">
    <cfRule type="expression" dxfId="617" priority="52">
      <formula>NOT(OR(L62=M62,$N62=$O62,$P62=$Q62,$R62=$S62,$T62=$U62))</formula>
    </cfRule>
  </conditionalFormatting>
  <conditionalFormatting sqref="E65">
    <cfRule type="expression" dxfId="616" priority="51">
      <formula>NOT(OR(L65=M65,$N65=$O65,$P65=$Q65,$R65=$S65,$T65=$U65))</formula>
    </cfRule>
  </conditionalFormatting>
  <conditionalFormatting sqref="E64">
    <cfRule type="expression" dxfId="615" priority="50">
      <formula>NOT(OR(L64=M64,$N64=$O64,$P64=$Q64,$R64=$S64,$T64=$U64))</formula>
    </cfRule>
  </conditionalFormatting>
  <conditionalFormatting sqref="E67">
    <cfRule type="expression" dxfId="614" priority="49">
      <formula>NOT(OR(L67=M67,$N67=$O67,$P67=$Q67,$R67=$S67,$T67=$U67))</formula>
    </cfRule>
  </conditionalFormatting>
  <conditionalFormatting sqref="E66">
    <cfRule type="expression" dxfId="613" priority="48">
      <formula>NOT(OR(L66=M66,$N66=$O66,$P66=$Q66,$R66=$S66,$T66=$U66))</formula>
    </cfRule>
  </conditionalFormatting>
  <conditionalFormatting sqref="E69">
    <cfRule type="expression" dxfId="612" priority="47">
      <formula>NOT(OR(L69=M69,$N69=$O69,$P69=$Q69,$R69=$S69,$T69=$U69))</formula>
    </cfRule>
  </conditionalFormatting>
  <conditionalFormatting sqref="E68">
    <cfRule type="expression" dxfId="611" priority="46">
      <formula>NOT(OR(L68=M68,$N68=$O68,$P68=$Q68,$R68=$S68,$T68=$U68))</formula>
    </cfRule>
  </conditionalFormatting>
  <conditionalFormatting sqref="E71">
    <cfRule type="expression" dxfId="610" priority="45">
      <formula>NOT(OR(L71=M71,$N71=$O71,$P71=$Q71,$R71=$S71,$T71=$U71))</formula>
    </cfRule>
  </conditionalFormatting>
  <conditionalFormatting sqref="E70">
    <cfRule type="expression" dxfId="609" priority="44">
      <formula>NOT(OR(L70=M70,$N70=$O70,$P70=$Q70,$R70=$S70,$T70=$U70))</formula>
    </cfRule>
  </conditionalFormatting>
  <conditionalFormatting sqref="E73">
    <cfRule type="expression" dxfId="608" priority="43">
      <formula>NOT(OR(L73=M73,$N73=$O73,$P73=$Q73,$R73=$S73,$T73=$U73))</formula>
    </cfRule>
  </conditionalFormatting>
  <conditionalFormatting sqref="E72">
    <cfRule type="expression" dxfId="607" priority="42">
      <formula>NOT(OR(L72=M72,$N72=$O72,$P72=$Q72,$R72=$S72,$T72=$U72))</formula>
    </cfRule>
  </conditionalFormatting>
  <conditionalFormatting sqref="E74">
    <cfRule type="expression" dxfId="606" priority="41">
      <formula>NOT(OR(L74=M74,$N74=$O74,$P74=$Q74,$R74=$S74,$T74=$U74))</formula>
    </cfRule>
  </conditionalFormatting>
  <conditionalFormatting sqref="E56:I74">
    <cfRule type="expression" dxfId="605"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04"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03"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02"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01"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00"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99"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98"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97" priority="4570" stopIfTrue="1">
      <formula>Categoría_5=0</formula>
    </cfRule>
  </conditionalFormatting>
  <conditionalFormatting sqref="N83:O83">
    <cfRule type="expression" dxfId="596" priority="4638" stopIfTrue="1">
      <formula>Categoría_2=0</formula>
    </cfRule>
  </conditionalFormatting>
  <conditionalFormatting sqref="P83:Q83">
    <cfRule type="expression" dxfId="595" priority="4644" stopIfTrue="1">
      <formula>Categoría_3=0</formula>
    </cfRule>
  </conditionalFormatting>
  <conditionalFormatting sqref="R83">
    <cfRule type="expression" dxfId="594" priority="4650" stopIfTrue="1">
      <formula>Categoría_4=0</formula>
    </cfRule>
  </conditionalFormatting>
  <conditionalFormatting sqref="T83 T101 T117">
    <cfRule type="expression" dxfId="593" priority="4656" stopIfTrue="1">
      <formula>Categoría_5=0</formula>
    </cfRule>
  </conditionalFormatting>
  <conditionalFormatting sqref="S83">
    <cfRule type="expression" dxfId="592" priority="4662" stopIfTrue="1">
      <formula>Categoría_4=0</formula>
    </cfRule>
  </conditionalFormatting>
  <conditionalFormatting sqref="V40">
    <cfRule type="expression" dxfId="591" priority="38" stopIfTrue="1">
      <formula>AND(NOT($V40="Armas improvisadas"),$Y40=0)</formula>
    </cfRule>
  </conditionalFormatting>
  <conditionalFormatting sqref="L83:M84">
    <cfRule type="expression" dxfId="590" priority="36" stopIfTrue="1">
      <formula>$N83&gt;0</formula>
    </cfRule>
  </conditionalFormatting>
  <conditionalFormatting sqref="L189:M189">
    <cfRule type="cellIs" dxfId="589" priority="4989" stopIfTrue="1" operator="greaterThan">
      <formula>$L$189</formula>
    </cfRule>
    <cfRule type="expression" dxfId="588" priority="4990" stopIfTrue="1">
      <formula>$P$7=0</formula>
    </cfRule>
  </conditionalFormatting>
  <conditionalFormatting sqref="N189:O189">
    <cfRule type="cellIs" dxfId="587" priority="4991" stopIfTrue="1" operator="greaterThan">
      <formula>$N$189</formula>
    </cfRule>
    <cfRule type="expression" dxfId="586" priority="4992" stopIfTrue="1">
      <formula>$P$9=0</formula>
    </cfRule>
  </conditionalFormatting>
  <conditionalFormatting sqref="P189:Q189">
    <cfRule type="cellIs" dxfId="585" priority="4993" stopIfTrue="1" operator="greaterThan">
      <formula>$P$189</formula>
    </cfRule>
    <cfRule type="expression" dxfId="584" priority="4994" stopIfTrue="1">
      <formula>$P$11=0</formula>
    </cfRule>
  </conditionalFormatting>
  <conditionalFormatting sqref="R189:S189">
    <cfRule type="cellIs" dxfId="583" priority="4995" stopIfTrue="1" operator="greaterThan">
      <formula>$R$189</formula>
    </cfRule>
    <cfRule type="expression" dxfId="582" priority="4996" stopIfTrue="1">
      <formula>$P$13=0</formula>
    </cfRule>
  </conditionalFormatting>
  <conditionalFormatting sqref="U83 U101 U117">
    <cfRule type="expression" dxfId="581" priority="4998" stopIfTrue="1">
      <formula>$P$13=0</formula>
    </cfRule>
  </conditionalFormatting>
  <conditionalFormatting sqref="M189:M190">
    <cfRule type="expression" dxfId="580" priority="5003">
      <formula>$M$189&gt;$T$7</formula>
    </cfRule>
  </conditionalFormatting>
  <conditionalFormatting sqref="W126:X181">
    <cfRule type="cellIs" dxfId="579" priority="5004" stopIfTrue="1" operator="greaterThan">
      <formula>$R$15</formula>
    </cfRule>
  </conditionalFormatting>
  <conditionalFormatting sqref="Y7:Y14">
    <cfRule type="expression" dxfId="578" priority="32" stopIfTrue="1">
      <formula>NOT($Y7=$Z7+$AA7)</formula>
    </cfRule>
  </conditionalFormatting>
  <conditionalFormatting sqref="AA16">
    <cfRule type="expression" dxfId="577" priority="31" stopIfTrue="1">
      <formula>NOT($AA$16=$W$18+$X$18+$Y$18+$Z$18+$AA$18)</formula>
    </cfRule>
  </conditionalFormatting>
  <conditionalFormatting sqref="N83:O84">
    <cfRule type="expression" dxfId="576" priority="29" stopIfTrue="1">
      <formula>$P83&gt;0</formula>
    </cfRule>
  </conditionalFormatting>
  <conditionalFormatting sqref="P83:Q84">
    <cfRule type="expression" dxfId="575" priority="28" stopIfTrue="1">
      <formula>$R83&gt;0</formula>
    </cfRule>
  </conditionalFormatting>
  <conditionalFormatting sqref="R83:S84">
    <cfRule type="expression" dxfId="574" priority="27" stopIfTrue="1">
      <formula>$T83&gt;0</formula>
    </cfRule>
  </conditionalFormatting>
  <conditionalFormatting sqref="N101:O101">
    <cfRule type="expression" dxfId="573" priority="21" stopIfTrue="1">
      <formula>Categoría_2=0</formula>
    </cfRule>
  </conditionalFormatting>
  <conditionalFormatting sqref="P101:Q101">
    <cfRule type="expression" dxfId="572" priority="22" stopIfTrue="1">
      <formula>Categoría_3=0</formula>
    </cfRule>
  </conditionalFormatting>
  <conditionalFormatting sqref="R101">
    <cfRule type="expression" dxfId="571" priority="23" stopIfTrue="1">
      <formula>Categoría_4=0</formula>
    </cfRule>
  </conditionalFormatting>
  <conditionalFormatting sqref="S101">
    <cfRule type="expression" dxfId="570" priority="25" stopIfTrue="1">
      <formula>Categoría_4=0</formula>
    </cfRule>
  </conditionalFormatting>
  <conditionalFormatting sqref="L101:M102">
    <cfRule type="expression" dxfId="569" priority="19" stopIfTrue="1">
      <formula>$N101&gt;0</formula>
    </cfRule>
  </conditionalFormatting>
  <conditionalFormatting sqref="N101:O102">
    <cfRule type="expression" dxfId="568" priority="18" stopIfTrue="1">
      <formula>$P101&gt;0</formula>
    </cfRule>
  </conditionalFormatting>
  <conditionalFormatting sqref="P101:Q102">
    <cfRule type="expression" dxfId="567" priority="17" stopIfTrue="1">
      <formula>$R101&gt;0</formula>
    </cfRule>
  </conditionalFormatting>
  <conditionalFormatting sqref="R101:S102">
    <cfRule type="expression" dxfId="566" priority="16" stopIfTrue="1">
      <formula>$T101&gt;0</formula>
    </cfRule>
  </conditionalFormatting>
  <conditionalFormatting sqref="N117:O117">
    <cfRule type="expression" dxfId="565" priority="11" stopIfTrue="1">
      <formula>Categoría_2=0</formula>
    </cfRule>
  </conditionalFormatting>
  <conditionalFormatting sqref="P117:Q117">
    <cfRule type="expression" dxfId="564" priority="12" stopIfTrue="1">
      <formula>Categoría_3=0</formula>
    </cfRule>
  </conditionalFormatting>
  <conditionalFormatting sqref="R117">
    <cfRule type="expression" dxfId="563" priority="13" stopIfTrue="1">
      <formula>Categoría_4=0</formula>
    </cfRule>
  </conditionalFormatting>
  <conditionalFormatting sqref="S117">
    <cfRule type="expression" dxfId="562" priority="15" stopIfTrue="1">
      <formula>Categoría_4=0</formula>
    </cfRule>
  </conditionalFormatting>
  <conditionalFormatting sqref="L117:M118">
    <cfRule type="expression" dxfId="561" priority="9" stopIfTrue="1">
      <formula>$N117&gt;0</formula>
    </cfRule>
  </conditionalFormatting>
  <conditionalFormatting sqref="N117:O118">
    <cfRule type="expression" dxfId="560" priority="8" stopIfTrue="1">
      <formula>$P117&gt;0</formula>
    </cfRule>
  </conditionalFormatting>
  <conditionalFormatting sqref="P117:Q118">
    <cfRule type="expression" dxfId="559" priority="7" stopIfTrue="1">
      <formula>$R117&gt;0</formula>
    </cfRule>
  </conditionalFormatting>
  <conditionalFormatting sqref="R117:S118">
    <cfRule type="expression" dxfId="558" priority="6" stopIfTrue="1">
      <formula>$T117&gt;0</formula>
    </cfRule>
  </conditionalFormatting>
  <conditionalFormatting sqref="AA126:AA176">
    <cfRule type="expression" dxfId="557"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c r="A3" s="45"/>
      <c r="B3" s="2849"/>
      <c r="C3" s="3304"/>
      <c r="D3" s="3304"/>
      <c r="E3" s="3304"/>
      <c r="F3" s="3304"/>
      <c r="G3" s="3304"/>
      <c r="H3" s="3304"/>
      <c r="I3" s="9"/>
      <c r="J3" s="9"/>
      <c r="K3" s="9"/>
      <c r="L3" s="9"/>
      <c r="M3" s="9"/>
      <c r="N3" s="9"/>
      <c r="O3" s="9"/>
      <c r="P3" s="9"/>
      <c r="Q3" s="9"/>
      <c r="R3" s="9"/>
      <c r="S3" s="9"/>
      <c r="T3" s="9"/>
      <c r="U3" s="9"/>
      <c r="V3" s="9"/>
      <c r="W3" s="2030"/>
      <c r="X3" s="2714"/>
      <c r="Y3" s="45"/>
      <c r="Z3" s="45"/>
      <c r="AA3" s="2713"/>
      <c r="AB3" s="3304"/>
      <c r="AC3" s="3304"/>
      <c r="AD3" s="3304"/>
      <c r="AE3" s="3304"/>
      <c r="AF3" s="3304"/>
      <c r="AG3" s="3304"/>
      <c r="AH3" s="9"/>
      <c r="AI3" s="9"/>
      <c r="AJ3" s="9"/>
      <c r="AK3" s="9"/>
      <c r="AL3" s="9"/>
      <c r="AM3" s="9"/>
      <c r="AN3" s="9"/>
      <c r="AO3" s="9"/>
      <c r="AP3" s="9"/>
      <c r="AQ3" s="10"/>
      <c r="AR3" s="2976"/>
      <c r="AS3" s="2809"/>
      <c r="AZ3" s="2974"/>
    </row>
    <row r="4" spans="1:56" ht="12" customHeight="1" thickBot="1">
      <c r="A4" s="45"/>
      <c r="B4" s="2849"/>
      <c r="C4" s="3304"/>
      <c r="D4" s="3304"/>
      <c r="E4" s="3304"/>
      <c r="F4" s="3304"/>
      <c r="G4" s="3304"/>
      <c r="H4" s="3304"/>
      <c r="I4" s="12"/>
      <c r="J4" s="12"/>
      <c r="K4" s="3223" t="s">
        <v>1625</v>
      </c>
      <c r="L4" s="3223"/>
      <c r="M4" s="3224" t="str">
        <f>IF(OR(General!$G$22="",General!$G$22=0),"",General!$G$22)</f>
        <v/>
      </c>
      <c r="N4" s="3224"/>
      <c r="O4" s="3224"/>
      <c r="P4" s="3224"/>
      <c r="Q4" s="3224"/>
      <c r="R4" s="2028"/>
      <c r="S4" s="2028"/>
      <c r="T4" s="2028"/>
      <c r="U4" s="2028"/>
      <c r="V4" s="2028"/>
      <c r="W4" s="13"/>
      <c r="X4" s="2714"/>
      <c r="Y4" s="45"/>
      <c r="Z4" s="45"/>
      <c r="AA4" s="2713"/>
      <c r="AB4" s="3304"/>
      <c r="AC4" s="3304"/>
      <c r="AD4" s="3304"/>
      <c r="AE4" s="3304"/>
      <c r="AF4" s="3304"/>
      <c r="AG4" s="3304"/>
      <c r="AH4" s="12"/>
      <c r="AI4" s="12"/>
      <c r="AJ4" s="3223" t="s">
        <v>1625</v>
      </c>
      <c r="AK4" s="3223"/>
      <c r="AL4" s="3224" t="str">
        <f>IF(OR(General!$G$22="",General!$G$22=0),"",General!$G$22)</f>
        <v/>
      </c>
      <c r="AM4" s="3224"/>
      <c r="AN4" s="3224"/>
      <c r="AO4" s="3224"/>
      <c r="AP4" s="3224"/>
      <c r="AQ4" s="13"/>
      <c r="AR4" s="2976"/>
      <c r="AS4" s="2809"/>
      <c r="AZ4" s="2974"/>
    </row>
    <row r="5" spans="1:56" ht="12" customHeight="1" thickBot="1">
      <c r="A5" s="45"/>
      <c r="B5" s="2849"/>
      <c r="C5" s="3304"/>
      <c r="D5" s="3304"/>
      <c r="E5" s="3304"/>
      <c r="F5" s="3304"/>
      <c r="G5" s="3304"/>
      <c r="H5" s="3304"/>
      <c r="I5" s="12"/>
      <c r="J5" s="12"/>
      <c r="K5" s="3300" t="s">
        <v>1626</v>
      </c>
      <c r="L5" s="3300"/>
      <c r="M5" s="3301" t="str">
        <f>Principal!$L$5</f>
        <v>Guerrero</v>
      </c>
      <c r="N5" s="3301"/>
      <c r="O5" s="3301"/>
      <c r="P5" s="14" t="s">
        <v>1627</v>
      </c>
      <c r="Q5" s="15" t="str">
        <f>Principal!$P$5</f>
        <v>1 + 2</v>
      </c>
      <c r="R5" s="12"/>
      <c r="S5" s="12"/>
      <c r="T5" s="12"/>
      <c r="U5" s="12"/>
      <c r="V5" s="12"/>
      <c r="W5" s="16"/>
      <c r="X5" s="2714"/>
      <c r="Y5" s="45"/>
      <c r="Z5" s="45"/>
      <c r="AA5" s="2713"/>
      <c r="AB5" s="3304"/>
      <c r="AC5" s="3304"/>
      <c r="AD5" s="3304"/>
      <c r="AE5" s="3304"/>
      <c r="AF5" s="3304"/>
      <c r="AG5" s="3304"/>
      <c r="AH5" s="12"/>
      <c r="AI5" s="12"/>
      <c r="AJ5" s="3300" t="s">
        <v>1626</v>
      </c>
      <c r="AK5" s="3300"/>
      <c r="AL5" s="3301" t="str">
        <f>Principal!$L$5</f>
        <v>Guerrero</v>
      </c>
      <c r="AM5" s="3301"/>
      <c r="AN5" s="3301"/>
      <c r="AO5" s="14" t="s">
        <v>1627</v>
      </c>
      <c r="AP5" s="15" t="str">
        <f>Principal!$P$5</f>
        <v>1 + 2</v>
      </c>
      <c r="AQ5" s="16"/>
      <c r="AR5" s="2976"/>
      <c r="AS5" s="2809"/>
      <c r="AZ5" s="2974"/>
    </row>
    <row r="6" spans="1:56" ht="12" customHeight="1" thickBot="1">
      <c r="A6" s="45"/>
      <c r="B6" s="2849"/>
      <c r="C6" s="3304"/>
      <c r="D6" s="3304"/>
      <c r="E6" s="3304"/>
      <c r="F6" s="3304"/>
      <c r="G6" s="3304"/>
      <c r="H6" s="3304"/>
      <c r="I6" s="12"/>
      <c r="J6" s="12"/>
      <c r="K6" s="3302" t="s">
        <v>1858</v>
      </c>
      <c r="L6" s="3302"/>
      <c r="M6" s="3302"/>
      <c r="N6" s="3302"/>
      <c r="O6" s="3302"/>
      <c r="P6" s="3302"/>
      <c r="Q6" s="3302"/>
      <c r="R6" s="12"/>
      <c r="S6" s="12"/>
      <c r="T6" s="12"/>
      <c r="U6" s="12"/>
      <c r="V6" s="12"/>
      <c r="W6" s="16"/>
      <c r="X6" s="2714"/>
      <c r="Y6" s="45"/>
      <c r="Z6" s="45"/>
      <c r="AA6" s="2713"/>
      <c r="AB6" s="3304"/>
      <c r="AC6" s="3304"/>
      <c r="AD6" s="3304"/>
      <c r="AE6" s="3304"/>
      <c r="AF6" s="3304"/>
      <c r="AG6" s="3304"/>
      <c r="AH6" s="12"/>
      <c r="AI6" s="12"/>
      <c r="AJ6" s="3302" t="s">
        <v>1859</v>
      </c>
      <c r="AK6" s="3302"/>
      <c r="AL6" s="3302"/>
      <c r="AM6" s="3302"/>
      <c r="AN6" s="3302"/>
      <c r="AO6" s="3302"/>
      <c r="AP6" s="3302"/>
      <c r="AQ6" s="16"/>
      <c r="AR6" s="2976"/>
      <c r="AS6" s="2809"/>
      <c r="AZ6" s="2974"/>
    </row>
    <row r="7" spans="1:56" ht="12" customHeight="1" thickBot="1">
      <c r="A7" s="45"/>
      <c r="B7" s="2849"/>
      <c r="C7" s="3304"/>
      <c r="D7" s="3304"/>
      <c r="E7" s="3304"/>
      <c r="F7" s="3304"/>
      <c r="G7" s="3304"/>
      <c r="H7" s="3304"/>
      <c r="I7" s="12"/>
      <c r="J7" s="12"/>
      <c r="K7" s="3302"/>
      <c r="L7" s="3302"/>
      <c r="M7" s="3302"/>
      <c r="N7" s="3302"/>
      <c r="O7" s="3302"/>
      <c r="P7" s="3302"/>
      <c r="Q7" s="3302"/>
      <c r="R7" s="12"/>
      <c r="S7" s="12"/>
      <c r="T7" s="12"/>
      <c r="U7" s="12"/>
      <c r="V7" s="12"/>
      <c r="W7" s="16"/>
      <c r="X7" s="2714"/>
      <c r="Y7" s="45"/>
      <c r="Z7" s="45"/>
      <c r="AA7" s="2713"/>
      <c r="AB7" s="3304"/>
      <c r="AC7" s="3304"/>
      <c r="AD7" s="3304"/>
      <c r="AE7" s="3304"/>
      <c r="AF7" s="3304"/>
      <c r="AG7" s="3304"/>
      <c r="AH7" s="12"/>
      <c r="AI7" s="12"/>
      <c r="AJ7" s="3302"/>
      <c r="AK7" s="3302"/>
      <c r="AL7" s="3302"/>
      <c r="AM7" s="3302"/>
      <c r="AN7" s="3302"/>
      <c r="AO7" s="3302"/>
      <c r="AP7" s="3302"/>
      <c r="AQ7" s="16"/>
      <c r="AR7" s="2976"/>
      <c r="AS7" s="2809"/>
      <c r="AZ7" s="2974"/>
    </row>
    <row r="8" spans="1:56" ht="12" customHeight="1" thickBot="1">
      <c r="A8" s="45"/>
      <c r="B8" s="2849"/>
      <c r="C8" s="3304"/>
      <c r="D8" s="3304"/>
      <c r="E8" s="3304"/>
      <c r="F8" s="3304"/>
      <c r="G8" s="3304"/>
      <c r="H8" s="3304"/>
      <c r="I8" s="17"/>
      <c r="J8" s="17"/>
      <c r="K8" s="17"/>
      <c r="L8" s="17"/>
      <c r="M8" s="17"/>
      <c r="N8" s="17"/>
      <c r="O8" s="17"/>
      <c r="P8" s="17"/>
      <c r="Q8" s="17"/>
      <c r="R8" s="17"/>
      <c r="S8" s="17"/>
      <c r="T8" s="17"/>
      <c r="U8" s="17"/>
      <c r="V8" s="17"/>
      <c r="W8" s="2031"/>
      <c r="X8" s="2714"/>
      <c r="Y8" s="45"/>
      <c r="Z8" s="45"/>
      <c r="AA8" s="2713"/>
      <c r="AB8" s="3304"/>
      <c r="AC8" s="3304"/>
      <c r="AD8" s="3304"/>
      <c r="AE8" s="3304"/>
      <c r="AF8" s="3304"/>
      <c r="AG8" s="3304"/>
      <c r="AH8" s="17"/>
      <c r="AI8" s="17"/>
      <c r="AJ8" s="17"/>
      <c r="AK8" s="17"/>
      <c r="AL8" s="17"/>
      <c r="AM8" s="17"/>
      <c r="AN8" s="17"/>
      <c r="AO8" s="17"/>
      <c r="AP8" s="17"/>
      <c r="AQ8" s="18"/>
      <c r="AR8" s="2976"/>
      <c r="AS8" s="2809"/>
      <c r="AZ8" s="2974"/>
    </row>
    <row r="9" spans="1:56" ht="12" customHeight="1" thickBot="1">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c r="A10" s="45"/>
      <c r="B10" s="2849"/>
      <c r="E10" s="3988" t="s">
        <v>1860</v>
      </c>
      <c r="F10" s="3989"/>
      <c r="G10" s="3989"/>
      <c r="H10" s="3989"/>
      <c r="I10" s="3989"/>
      <c r="J10" s="3989"/>
      <c r="K10" s="3989"/>
      <c r="L10" s="3989"/>
      <c r="M10" s="3989"/>
      <c r="N10" s="3989"/>
      <c r="O10" s="3989"/>
      <c r="P10" s="3989"/>
      <c r="Q10" s="3989"/>
      <c r="R10" s="3989"/>
      <c r="S10" s="3989"/>
      <c r="T10" s="3989"/>
      <c r="U10" s="2844"/>
      <c r="X10" s="2714"/>
      <c r="Y10" s="45"/>
      <c r="Z10" s="45"/>
      <c r="AA10" s="2713"/>
      <c r="AB10" s="3990" t="s">
        <v>1707</v>
      </c>
      <c r="AC10" s="3991" t="s">
        <v>10042</v>
      </c>
      <c r="AD10" s="3991"/>
      <c r="AE10" s="3991"/>
      <c r="AF10" s="194"/>
      <c r="AG10" s="67"/>
      <c r="AH10" s="3281" t="s">
        <v>1813</v>
      </c>
      <c r="AI10" s="3281"/>
      <c r="AJ10" s="3281"/>
      <c r="AK10" s="3281"/>
      <c r="AL10" s="3992" t="s">
        <v>1861</v>
      </c>
      <c r="AM10" s="3992"/>
      <c r="AN10" s="3992"/>
      <c r="AO10" s="3992"/>
      <c r="AP10" s="3992"/>
      <c r="AQ10" s="3992"/>
      <c r="AR10" s="2976"/>
      <c r="AS10" s="2809"/>
      <c r="AT10" s="2974"/>
      <c r="AU10" s="2974"/>
      <c r="AV10" s="2977" t="s">
        <v>8841</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c r="A11" s="45"/>
      <c r="B11" s="2849"/>
      <c r="E11" s="3993" t="s">
        <v>1860</v>
      </c>
      <c r="F11" s="3994"/>
      <c r="G11" s="3994"/>
      <c r="H11" s="3995" t="s">
        <v>1630</v>
      </c>
      <c r="I11" s="3995"/>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3990"/>
      <c r="AC11" s="3996" t="s">
        <v>10043</v>
      </c>
      <c r="AD11" s="3996"/>
      <c r="AE11" s="3996"/>
      <c r="AF11" s="195"/>
      <c r="AG11" s="67"/>
      <c r="AH11" s="3997" t="str">
        <f>IF(PDs!$E40=0,"",PDs!$E40)</f>
        <v>Arma similar</v>
      </c>
      <c r="AI11" s="3997"/>
      <c r="AJ11" s="3997"/>
      <c r="AK11" s="3997"/>
      <c r="AL11" s="3998" t="str">
        <f>IF(PDs!$AD40=0,"",PDs!$V40&amp;" ")&amp;IF(PDs!$AD40=0,"",IF(PDs!$Y40=0,"",PDs!$Y40))</f>
        <v xml:space="preserve">Uso de arma similar: </v>
      </c>
      <c r="AM11" s="3998"/>
      <c r="AN11" s="3998"/>
      <c r="AO11" s="3998"/>
      <c r="AP11" s="3998"/>
      <c r="AQ11" s="3998"/>
      <c r="AR11" s="2976"/>
      <c r="AS11" s="2809"/>
      <c r="AT11" s="2974"/>
      <c r="AU11" s="2974"/>
      <c r="AV11" s="2977"/>
      <c r="AW11" s="2974"/>
      <c r="AX11" s="2974"/>
      <c r="AY11" s="2974"/>
      <c r="AZ11" s="2974"/>
      <c r="BA11" s="2974"/>
      <c r="BB11" s="2974"/>
      <c r="BC11" s="2974"/>
      <c r="BD11" s="2974"/>
    </row>
    <row r="12" spans="1:56" ht="12" customHeight="1" thickBot="1">
      <c r="A12" s="45"/>
      <c r="B12" s="2850">
        <f>IF(E12=0,0,VLOOKUP($E12,Tabla_Armaduras,8,FALSE))</f>
        <v>0</v>
      </c>
      <c r="E12" s="4004"/>
      <c r="F12" s="4005"/>
      <c r="G12" s="4005"/>
      <c r="H12" s="4003" t="str">
        <f>IF(E12=0,"",VLOOKUP(E12,Tabla_Armaduras,7,FALSE))</f>
        <v/>
      </c>
      <c r="I12" s="4003"/>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3990"/>
      <c r="AC12" s="3996" t="s">
        <v>1872</v>
      </c>
      <c r="AD12" s="3996"/>
      <c r="AE12" s="3996"/>
      <c r="AF12" s="195"/>
      <c r="AG12" s="67"/>
      <c r="AH12" s="3987" t="str">
        <f>IF(PDs!$E41=0,"",PDs!$E41)</f>
        <v>Arma distinta / Desarmado</v>
      </c>
      <c r="AI12" s="3987"/>
      <c r="AJ12" s="3987"/>
      <c r="AK12" s="3987"/>
      <c r="AL12" s="4000" t="str">
        <f>IF(PDs!$AD41=0,"",PDs!$V41&amp;" ")&amp;IF(PDs!$AD41=0,"",IF(PDs!$Y41=0,"",PDs!$Y41))</f>
        <v xml:space="preserve">Uso de arma distinta: </v>
      </c>
      <c r="AM12" s="4000"/>
      <c r="AN12" s="4000"/>
      <c r="AO12" s="4000"/>
      <c r="AP12" s="4000"/>
      <c r="AQ12" s="4000"/>
      <c r="AR12" s="2976"/>
      <c r="AS12" s="2809"/>
      <c r="AT12" s="2974"/>
      <c r="AU12" s="2974"/>
      <c r="AV12" s="2977" t="s">
        <v>8820</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c r="A13" s="45"/>
      <c r="B13" s="2850">
        <f>IF(E13=0,0,VLOOKUP($E13,Tabla_Armaduras,8,FALSE))</f>
        <v>0</v>
      </c>
      <c r="E13" s="4001"/>
      <c r="F13" s="4002"/>
      <c r="G13" s="4002"/>
      <c r="H13" s="4003" t="str">
        <f>IF(E13=0,"",VLOOKUP(E13,Tabla_Armaduras,7,FALSE))</f>
        <v/>
      </c>
      <c r="I13" s="4003"/>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3990"/>
      <c r="AC13" s="3996" t="s">
        <v>1873</v>
      </c>
      <c r="AD13" s="3996"/>
      <c r="AE13" s="3996"/>
      <c r="AF13" s="195"/>
      <c r="AG13" s="67"/>
      <c r="AH13" s="3987" t="str">
        <f>IF(PDs!$E42=0,"",PDs!$E42)</f>
        <v>Arma mixta</v>
      </c>
      <c r="AI13" s="3987"/>
      <c r="AJ13" s="3987"/>
      <c r="AK13" s="3987"/>
      <c r="AL13" s="4000" t="str">
        <f>IF(PDs!$AD42=0,"",PDs!$V42&amp;" ")&amp;IF(PDs!$AD42=0,"",IF(PDs!$Y42=0,"",PDs!$Y42))</f>
        <v xml:space="preserve">Uso de arma mixta: </v>
      </c>
      <c r="AM13" s="4000"/>
      <c r="AN13" s="4000"/>
      <c r="AO13" s="4000"/>
      <c r="AP13" s="4000"/>
      <c r="AQ13" s="4000"/>
      <c r="AR13" s="2976"/>
      <c r="AS13" s="2809"/>
      <c r="AT13" s="2974"/>
      <c r="AU13" s="2974"/>
      <c r="AV13" s="2977" t="s">
        <v>8839</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c r="A14" s="45"/>
      <c r="B14" s="2850">
        <f>IF(E14=0,0,VLOOKUP($E14,Tabla_Armaduras,8,FALSE))</f>
        <v>0</v>
      </c>
      <c r="E14" s="4021"/>
      <c r="F14" s="4022"/>
      <c r="G14" s="4022"/>
      <c r="H14" s="4023" t="str">
        <f>IF(E14=0,"",VLOOKUP(E14,Tabla_Armaduras,7,FALSE))</f>
        <v/>
      </c>
      <c r="I14" s="4023"/>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3990"/>
      <c r="AC14" s="3999" t="s">
        <v>1874</v>
      </c>
      <c r="AD14" s="3999"/>
      <c r="AE14" s="3999"/>
      <c r="AF14" s="199"/>
      <c r="AG14" s="67"/>
      <c r="AH14" s="3987" t="str">
        <f>IF(PDs!$E43=0,"",PDs!$E43)</f>
        <v/>
      </c>
      <c r="AI14" s="3987"/>
      <c r="AJ14" s="3987"/>
      <c r="AK14" s="3987"/>
      <c r="AL14" s="4000" t="str">
        <f>IF(PDs!$AD43=0,"",PDs!$V43&amp;" ")&amp;IF(PDs!$AD43=0,"",IF(PDs!$Y43=0,"",PDs!$Y43))</f>
        <v xml:space="preserve"> </v>
      </c>
      <c r="AM14" s="4000"/>
      <c r="AN14" s="4000"/>
      <c r="AO14" s="4000"/>
      <c r="AP14" s="4000"/>
      <c r="AQ14" s="4000"/>
      <c r="AR14" s="2976"/>
      <c r="AS14" s="2809"/>
      <c r="AT14" s="2974"/>
      <c r="AU14" s="2974"/>
      <c r="AV14" s="2977" t="s">
        <v>8840</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c r="A15" s="45"/>
      <c r="B15" s="2849"/>
      <c r="E15" s="4009"/>
      <c r="F15" s="4010"/>
      <c r="G15" s="3326"/>
      <c r="H15" s="4011" t="s">
        <v>1875</v>
      </c>
      <c r="I15" s="4011"/>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3990"/>
      <c r="AC15" s="4025" t="s">
        <v>1658</v>
      </c>
      <c r="AD15" s="4025"/>
      <c r="AE15" s="4025"/>
      <c r="AF15" s="4028">
        <f>SUM(AF10:AF14)+U16</f>
        <v>0</v>
      </c>
      <c r="AG15" s="67"/>
      <c r="AH15" s="3987" t="str">
        <f>IF(PDs!$E44=0,"",PDs!$E44)</f>
        <v/>
      </c>
      <c r="AI15" s="3987"/>
      <c r="AJ15" s="3987"/>
      <c r="AK15" s="3987"/>
      <c r="AL15" s="4000" t="str">
        <f>IF(PDs!$AD44=0,"",PDs!$V44&amp;" ")&amp;IF(PDs!$AD44=0,"",IF(PDs!$Y44=0,"",PDs!$Y44))</f>
        <v xml:space="preserve"> </v>
      </c>
      <c r="AM15" s="4000"/>
      <c r="AN15" s="4000"/>
      <c r="AO15" s="4000"/>
      <c r="AP15" s="4000"/>
      <c r="AQ15" s="4000"/>
      <c r="AR15" s="2976"/>
      <c r="AS15" s="2809"/>
      <c r="AT15" s="2974"/>
      <c r="AU15" s="2974"/>
      <c r="AV15" s="2974"/>
      <c r="AW15" s="2974"/>
      <c r="AX15" s="2974"/>
      <c r="AY15" s="2974"/>
      <c r="AZ15" s="2974"/>
      <c r="BA15" s="2974"/>
      <c r="BB15" s="2974"/>
      <c r="BC15" s="2974"/>
      <c r="BD15" s="2974"/>
    </row>
    <row r="16" spans="1:56" ht="12" customHeight="1" thickBot="1">
      <c r="A16" s="45"/>
      <c r="B16" s="2849"/>
      <c r="E16" s="4012" t="s">
        <v>1876</v>
      </c>
      <c r="F16" s="4013"/>
      <c r="G16" s="4016">
        <f>MAX(0,T12+T13+T14-MAX(0,TRUNC((LlevarArmadura_final-J16)/50,0)))</f>
        <v>0</v>
      </c>
      <c r="H16" s="4018" t="s">
        <v>1877</v>
      </c>
      <c r="I16" s="4018"/>
      <c r="J16" s="2687">
        <f>IF(E12="",0,MAX(0,VLOOKUP(E12,Tabla_Armaduras,2,FALSE)-J12)+IF(E13="",0,VLOOKUP(E13,Tabla_Armaduras,2,FALSE)-J13)+IF(E14="",0,VLOOKUP(E14,Tabla_Armaduras,2,FALSE)-J14)+IF(E15="",0,MAX(VLOOKUP(E15,Tabla_Yelmos,2,FALSE)-J15,0)))</f>
        <v>0</v>
      </c>
      <c r="K16" s="4019">
        <f t="shared" ref="K16:Q16" si="4">AX$10</f>
        <v>0</v>
      </c>
      <c r="L16" s="4024">
        <f t="shared" si="4"/>
        <v>0</v>
      </c>
      <c r="M16" s="4024">
        <f t="shared" si="4"/>
        <v>0</v>
      </c>
      <c r="N16" s="4024">
        <f t="shared" si="4"/>
        <v>0</v>
      </c>
      <c r="O16" s="4024">
        <f t="shared" si="4"/>
        <v>0</v>
      </c>
      <c r="P16" s="4024">
        <f t="shared" si="4"/>
        <v>0</v>
      </c>
      <c r="Q16" s="4029">
        <f t="shared" si="4"/>
        <v>0</v>
      </c>
      <c r="R16" s="4006" t="s">
        <v>10049</v>
      </c>
      <c r="S16" s="4007"/>
      <c r="T16" s="4007"/>
      <c r="U16" s="2852">
        <f>IF(J16=0,0,MIN(LlevarArmadura_final-J16,0))</f>
        <v>0</v>
      </c>
      <c r="X16" s="2714"/>
      <c r="Y16" s="45"/>
      <c r="Z16" s="45"/>
      <c r="AA16" s="2713"/>
      <c r="AB16" s="3990"/>
      <c r="AC16" s="4025"/>
      <c r="AD16" s="4025"/>
      <c r="AE16" s="4025"/>
      <c r="AF16" s="4028"/>
      <c r="AG16" s="67"/>
      <c r="AH16" s="4026" t="str">
        <f>IF(PDs!$E45=0,"",PDs!$E45)</f>
        <v/>
      </c>
      <c r="AI16" s="4026"/>
      <c r="AJ16" s="4026"/>
      <c r="AK16" s="4026"/>
      <c r="AL16" s="4027" t="str">
        <f>IF(PDs!$AD45=0,"",PDs!$V45&amp;" ")&amp;IF(PDs!$AD45=0,"",IF(PDs!$Y45=0,"",PDs!$Y45))</f>
        <v xml:space="preserve"> </v>
      </c>
      <c r="AM16" s="4027"/>
      <c r="AN16" s="4027"/>
      <c r="AO16" s="4027"/>
      <c r="AP16" s="4027"/>
      <c r="AQ16" s="4027"/>
      <c r="AR16" s="2976"/>
      <c r="AS16" s="2809"/>
      <c r="AT16" s="2974"/>
      <c r="AU16" s="2974"/>
      <c r="AV16" s="2978" t="s">
        <v>8843</v>
      </c>
      <c r="AW16" s="2974"/>
      <c r="AX16" s="2978"/>
      <c r="AY16" s="2974"/>
      <c r="AZ16" s="2974"/>
      <c r="BA16" s="2974"/>
      <c r="BB16" s="2974"/>
      <c r="BC16" s="2974"/>
      <c r="BD16" s="2974"/>
    </row>
    <row r="17" spans="1:56" ht="12" customHeight="1" thickBot="1">
      <c r="A17" s="45"/>
      <c r="B17" s="2849"/>
      <c r="E17" s="4014"/>
      <c r="F17" s="4015"/>
      <c r="G17" s="4017"/>
      <c r="H17" s="4008" t="s">
        <v>1878</v>
      </c>
      <c r="I17" s="4008"/>
      <c r="J17" s="1262">
        <f>IF(E12="",0,MIN(VLOOKUP(E12,Tabla_Armaduras,3,FALSE)+J12,0))+IF(E13="",0,MIN(VLOOKUP(E13,Tabla_Armaduras,3,FALSE)+J13,0))+IF(E14="",0,MIN(VLOOKUP(E14,Tabla_Armaduras,3,FALSE)+J14,0))</f>
        <v>0</v>
      </c>
      <c r="K17" s="4020"/>
      <c r="L17" s="3952"/>
      <c r="M17" s="3952"/>
      <c r="N17" s="3952"/>
      <c r="O17" s="3952"/>
      <c r="P17" s="3952"/>
      <c r="Q17" s="4030"/>
      <c r="R17" s="4031" t="s">
        <v>10041</v>
      </c>
      <c r="S17" s="4032"/>
      <c r="T17" s="4032"/>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81" t="s">
        <v>1814</v>
      </c>
      <c r="AC18" s="3281"/>
      <c r="AD18" s="3281"/>
      <c r="AE18" s="3281"/>
      <c r="AF18" s="3281"/>
      <c r="AG18" s="3281"/>
      <c r="AH18" s="3992" t="s">
        <v>1861</v>
      </c>
      <c r="AI18" s="3992"/>
      <c r="AJ18" s="3992"/>
      <c r="AK18" s="3992"/>
      <c r="AL18" s="3992"/>
      <c r="AM18" s="3992"/>
      <c r="AN18" s="3992"/>
      <c r="AO18" s="3992"/>
      <c r="AP18" s="3992"/>
      <c r="AQ18" s="3992"/>
      <c r="AR18" s="2976"/>
      <c r="AS18" s="2809"/>
      <c r="AT18" s="2974"/>
      <c r="AU18" s="2974"/>
      <c r="AV18" s="2974" t="s">
        <v>8821</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c r="A19" s="45"/>
      <c r="B19" s="2849"/>
      <c r="C19" s="4038" t="s">
        <v>1879</v>
      </c>
      <c r="D19" s="4039"/>
      <c r="E19" s="4040" t="str">
        <f>IF(COUNTA(PDs!$E$56:$E$74)&gt;0,"Artes Marciales","Desarmado")</f>
        <v>Desarmado</v>
      </c>
      <c r="F19" s="4040"/>
      <c r="G19" s="4040"/>
      <c r="H19" s="1258" t="s">
        <v>1702</v>
      </c>
      <c r="I19" s="2729" t="s">
        <v>1880</v>
      </c>
      <c r="J19" s="4041" t="s">
        <v>1881</v>
      </c>
      <c r="K19" s="4041"/>
      <c r="L19" s="2706" t="s">
        <v>1882</v>
      </c>
      <c r="P19" s="4038" t="s">
        <v>10003</v>
      </c>
      <c r="Q19" s="4042"/>
      <c r="R19" s="4042"/>
      <c r="S19" s="4042"/>
      <c r="T19" s="4042"/>
      <c r="U19" s="4043"/>
      <c r="X19" s="1679"/>
      <c r="Y19" s="45"/>
      <c r="Z19" s="45"/>
      <c r="AA19" s="2713"/>
      <c r="AB19" s="3980" t="str">
        <f>IF(PDs!$E46="","",PDs!$E46)</f>
        <v/>
      </c>
      <c r="AC19" s="3980"/>
      <c r="AD19" s="3980"/>
      <c r="AE19" s="3980"/>
      <c r="AF19" s="3980"/>
      <c r="AG19" s="3980"/>
      <c r="AH19" s="3981" t="str">
        <f>IF(PDs!$V46=0,"",PDs!$V46)</f>
        <v/>
      </c>
      <c r="AI19" s="3981"/>
      <c r="AJ19" s="3981"/>
      <c r="AK19" s="3981"/>
      <c r="AL19" s="3981"/>
      <c r="AM19" s="3981"/>
      <c r="AN19" s="3981"/>
      <c r="AO19" s="3981"/>
      <c r="AP19" s="3981"/>
      <c r="AQ19" s="3981"/>
      <c r="AR19" s="2976"/>
      <c r="AS19" s="2809"/>
      <c r="AT19" s="2974" t="s">
        <v>9958</v>
      </c>
      <c r="AU19" s="2974"/>
      <c r="AV19" s="2974" t="s">
        <v>8822</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c r="A20" s="45"/>
      <c r="B20" s="2849"/>
      <c r="C20" s="4033" t="str">
        <f>IF(E19="Artes Marciales","Conocida",VLOOKUP(E19,Tabla_ArmasyEscudos,9,FALSE))</f>
        <v>Distinta</v>
      </c>
      <c r="D20" s="4034"/>
      <c r="E20" s="4035"/>
      <c r="F20" s="4035"/>
      <c r="G20" s="4035"/>
      <c r="H20" s="4036">
        <f>Turno_Nat_final+Combate!D23+Personalización!Y7</f>
        <v>45</v>
      </c>
      <c r="I20" s="4036">
        <f>IF(E19="Desarmado",MAX(HA_final-IF(C20="Conocida",0,60),0),HA_final-PDs!$X$22+MIN(PDs!$X$22+F23,50)+BonoMaestro_HA)-IF(Tablas!$H$519&lt;0,IF(Arma_Desarrollada="Desarmado",0,30),0)+Personalización!Y8</f>
        <v>0</v>
      </c>
      <c r="J20" s="4053">
        <f>MAX(HP_SinArmas,HE_SinArmas)+Personalización!Y9</f>
        <v>0</v>
      </c>
      <c r="K20" s="4029" t="str">
        <f>IF(HP_SinArmas&gt;HE_SinArmas,"Par","Esq")</f>
        <v>Esq</v>
      </c>
      <c r="L20" s="4054">
        <f>IF(E19="Desarmado",IF(Raza="Criatura",IF(E20="Armas Naturales",VLOOKUP(Tamaño,Tabla_CreaciónSeres,8),VLOOKUP(Tamaño,Tabla_CreaciónSeres,7)),IF(E20="Armas Naturales",ArmasNaturales_Daño,10)+Bono_Fue),ArtesM_Daño)+L23+Personalización!Y10</f>
        <v>10</v>
      </c>
      <c r="P20" s="4056" t="s">
        <v>1725</v>
      </c>
      <c r="Q20" s="4057"/>
      <c r="R20" s="2768" t="s">
        <v>1882</v>
      </c>
      <c r="S20" s="2768" t="s">
        <v>1883</v>
      </c>
      <c r="T20" s="4060" t="s">
        <v>10004</v>
      </c>
      <c r="U20" s="4061"/>
      <c r="X20" s="1679"/>
      <c r="Y20" s="45"/>
      <c r="Z20" s="45"/>
      <c r="AA20" s="2713"/>
      <c r="AB20" s="3980" t="str">
        <f>IF(PDs!$E47="","",PDs!$E47)</f>
        <v/>
      </c>
      <c r="AC20" s="3980"/>
      <c r="AD20" s="3980"/>
      <c r="AE20" s="3980"/>
      <c r="AF20" s="3980"/>
      <c r="AG20" s="3980"/>
      <c r="AH20" s="3981" t="str">
        <f>IF(PDs!$V47=0,"",PDs!$V47)</f>
        <v/>
      </c>
      <c r="AI20" s="3981"/>
      <c r="AJ20" s="3981"/>
      <c r="AK20" s="3981"/>
      <c r="AL20" s="3981"/>
      <c r="AM20" s="3981"/>
      <c r="AN20" s="3981"/>
      <c r="AO20" s="3981"/>
      <c r="AP20" s="3981"/>
      <c r="AQ20" s="3981"/>
      <c r="AR20" s="2976"/>
      <c r="AS20" s="2809"/>
      <c r="AT20" s="2974">
        <f>HP_final-PDs!$X$23-IF(E19="Desarmado",IF(C20="Conocida",0,60),0)+MIN(PDs!$X$23+H23,50)-IF(Tablas!$H$519&lt;0,IF(Arma_Desarrollada="Desarmado",0,30),0)</f>
        <v>-55</v>
      </c>
      <c r="AU20" s="2974"/>
      <c r="AV20" s="2974" t="s">
        <v>8823</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c r="A21" s="45"/>
      <c r="B21" s="2849"/>
      <c r="C21" s="1260" t="s">
        <v>1884</v>
      </c>
      <c r="D21" s="182" t="s">
        <v>1885</v>
      </c>
      <c r="E21" s="182" t="s">
        <v>1869</v>
      </c>
      <c r="F21" s="182" t="s">
        <v>1886</v>
      </c>
      <c r="G21" s="182" t="s">
        <v>1870</v>
      </c>
      <c r="H21" s="4037"/>
      <c r="I21" s="4037"/>
      <c r="J21" s="4053"/>
      <c r="K21" s="4029"/>
      <c r="L21" s="4055"/>
      <c r="P21" s="4044"/>
      <c r="Q21" s="4045"/>
      <c r="R21" s="4058"/>
      <c r="S21" s="4059"/>
      <c r="T21" s="4049">
        <f>R21/100*S21</f>
        <v>0</v>
      </c>
      <c r="U21" s="4050"/>
      <c r="X21" s="1679"/>
      <c r="Y21" s="45"/>
      <c r="Z21" s="45"/>
      <c r="AA21" s="2713"/>
      <c r="AB21" s="3980" t="str">
        <f>IF(PDs!$E48="","",PDs!$E48)</f>
        <v/>
      </c>
      <c r="AC21" s="3980"/>
      <c r="AD21" s="3980"/>
      <c r="AE21" s="3980"/>
      <c r="AF21" s="3980"/>
      <c r="AG21" s="3980"/>
      <c r="AH21" s="3981" t="str">
        <f>IF(PDs!$V48=0,"",PDs!$V48)</f>
        <v/>
      </c>
      <c r="AI21" s="3981"/>
      <c r="AJ21" s="3981"/>
      <c r="AK21" s="3981"/>
      <c r="AL21" s="3981"/>
      <c r="AM21" s="3981"/>
      <c r="AN21" s="3981"/>
      <c r="AO21" s="3981"/>
      <c r="AP21" s="3981"/>
      <c r="AQ21" s="3981"/>
      <c r="AR21" s="2976"/>
      <c r="AS21" s="2809"/>
      <c r="AT21" s="2974" t="s">
        <v>9959</v>
      </c>
      <c r="AU21" s="2974"/>
      <c r="AV21" s="2974" t="s">
        <v>8824</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046"/>
      <c r="I22" s="4047"/>
      <c r="J22" s="4047"/>
      <c r="K22" s="4047"/>
      <c r="L22" s="4048"/>
      <c r="P22" s="4044"/>
      <c r="Q22" s="4045"/>
      <c r="R22" s="4058"/>
      <c r="S22" s="4059"/>
      <c r="T22" s="4051"/>
      <c r="U22" s="4052"/>
      <c r="X22" s="1679"/>
      <c r="Y22" s="45"/>
      <c r="Z22" s="45"/>
      <c r="AA22" s="2713"/>
      <c r="AB22" s="3980" t="str">
        <f>IF(PDs!$E49="","",PDs!$E49)</f>
        <v/>
      </c>
      <c r="AC22" s="3980"/>
      <c r="AD22" s="3980"/>
      <c r="AE22" s="3980"/>
      <c r="AF22" s="3980"/>
      <c r="AG22" s="3980"/>
      <c r="AH22" s="3981" t="str">
        <f>IF(PDs!$V49=0,"",PDs!$V49)</f>
        <v/>
      </c>
      <c r="AI22" s="3981"/>
      <c r="AJ22" s="3981"/>
      <c r="AK22" s="3981"/>
      <c r="AL22" s="3981"/>
      <c r="AM22" s="3981"/>
      <c r="AN22" s="3981"/>
      <c r="AO22" s="3981"/>
      <c r="AP22" s="3981"/>
      <c r="AQ22" s="3981"/>
      <c r="AR22" s="2976"/>
      <c r="AS22" s="2809"/>
      <c r="AT22" s="2974">
        <f>HE_final-PDs!$X$24+MIN(PDs!$X$24+J23,50)</f>
        <v>0</v>
      </c>
      <c r="AU22" s="2974"/>
      <c r="AV22" s="2974" t="s">
        <v>8825</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c r="A23" s="45"/>
      <c r="B23" s="2849"/>
      <c r="C23" s="4064" t="s">
        <v>1887</v>
      </c>
      <c r="D23" s="4066">
        <f>Tablas!$K$896</f>
        <v>0</v>
      </c>
      <c r="E23" s="4068" t="s">
        <v>1888</v>
      </c>
      <c r="F23" s="4066">
        <f>MIN(Tablas!$H$896,50)</f>
        <v>0</v>
      </c>
      <c r="G23" s="4068" t="s">
        <v>1889</v>
      </c>
      <c r="H23" s="4069">
        <f>MIN(Tablas!$J$896,50)</f>
        <v>0</v>
      </c>
      <c r="I23" s="4062" t="s">
        <v>1890</v>
      </c>
      <c r="J23" s="4069">
        <f>MIN(Tablas!$I$896,50)</f>
        <v>0</v>
      </c>
      <c r="K23" s="4062" t="s">
        <v>1891</v>
      </c>
      <c r="L23" s="4072">
        <f>IF(Extensióndelauraalarma,10,0)+IF(DañoIncrementado,10,0)+IF($E$19="Artes Marciales",Tablas!F896,0)+Tablas!$K$1717</f>
        <v>0</v>
      </c>
      <c r="P23" s="4044"/>
      <c r="Q23" s="4045"/>
      <c r="R23" s="4058"/>
      <c r="S23" s="4059"/>
      <c r="T23" s="4049">
        <f>R23/100*S23</f>
        <v>0</v>
      </c>
      <c r="U23" s="4050"/>
      <c r="X23" s="1679"/>
      <c r="Y23" s="45"/>
      <c r="Z23" s="45"/>
      <c r="AA23" s="2713"/>
      <c r="AB23" s="3980" t="str">
        <f>IF(PDs!$E50="","",PDs!$E50)</f>
        <v/>
      </c>
      <c r="AC23" s="3980"/>
      <c r="AD23" s="3980"/>
      <c r="AE23" s="3980"/>
      <c r="AF23" s="3980"/>
      <c r="AG23" s="3980"/>
      <c r="AH23" s="3981" t="str">
        <f>IF(PDs!$V50=0,"",PDs!$V50)</f>
        <v/>
      </c>
      <c r="AI23" s="3981"/>
      <c r="AJ23" s="3981"/>
      <c r="AK23" s="3981"/>
      <c r="AL23" s="3981"/>
      <c r="AM23" s="3981"/>
      <c r="AN23" s="3981"/>
      <c r="AO23" s="3981"/>
      <c r="AP23" s="3981"/>
      <c r="AQ23" s="3981"/>
      <c r="AR23" s="2976"/>
      <c r="AS23" s="2809"/>
      <c r="AT23" s="2974"/>
      <c r="AU23" s="2974"/>
      <c r="AV23" s="2974" t="s">
        <v>8826</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c r="A24" s="45"/>
      <c r="B24" s="2849"/>
      <c r="C24" s="4065"/>
      <c r="D24" s="4067"/>
      <c r="E24" s="4063"/>
      <c r="F24" s="4067"/>
      <c r="G24" s="4063"/>
      <c r="H24" s="4067"/>
      <c r="I24" s="4063"/>
      <c r="J24" s="4070"/>
      <c r="K24" s="4071"/>
      <c r="L24" s="4073"/>
      <c r="M24" s="2707"/>
      <c r="P24" s="4074"/>
      <c r="Q24" s="4075"/>
      <c r="R24" s="4076"/>
      <c r="S24" s="4077"/>
      <c r="T24" s="4051"/>
      <c r="U24" s="4052"/>
      <c r="X24" s="1679"/>
      <c r="Y24" s="45"/>
      <c r="Z24" s="45"/>
      <c r="AA24" s="2713"/>
      <c r="AB24" s="3980" t="str">
        <f>IF(PDs!$E51="","",PDs!$E51)</f>
        <v/>
      </c>
      <c r="AC24" s="3980"/>
      <c r="AD24" s="3980"/>
      <c r="AE24" s="3980"/>
      <c r="AF24" s="3980"/>
      <c r="AG24" s="3980"/>
      <c r="AH24" s="3981" t="str">
        <f>IF(PDs!$V51=0,"",PDs!$V51)</f>
        <v/>
      </c>
      <c r="AI24" s="3981"/>
      <c r="AJ24" s="3981"/>
      <c r="AK24" s="3981"/>
      <c r="AL24" s="3981"/>
      <c r="AM24" s="3981"/>
      <c r="AN24" s="3981"/>
      <c r="AO24" s="3981"/>
      <c r="AP24" s="3981"/>
      <c r="AQ24" s="3981"/>
      <c r="AR24" s="2976"/>
      <c r="AS24" s="2809"/>
      <c r="AT24" s="2974"/>
      <c r="AU24" s="2974"/>
      <c r="AV24" s="2978" t="s">
        <v>8827</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c r="A25" s="45"/>
      <c r="B25" s="2849"/>
      <c r="C25" s="2009"/>
      <c r="D25" s="2009"/>
      <c r="E25" s="2009"/>
      <c r="F25" s="2009"/>
      <c r="G25" s="2009"/>
      <c r="H25" s="2009"/>
      <c r="I25" s="2009"/>
      <c r="J25" s="2009"/>
      <c r="K25" s="2009"/>
      <c r="L25" s="2009"/>
      <c r="M25" s="2675"/>
      <c r="N25" s="2675"/>
      <c r="O25" s="2675"/>
      <c r="X25" s="2715"/>
      <c r="Y25" s="45"/>
      <c r="Z25" s="45"/>
      <c r="AA25" s="2713"/>
      <c r="AB25" s="3980" t="str">
        <f>IF(PDs!$E52="","",PDs!$E52)</f>
        <v/>
      </c>
      <c r="AC25" s="3980"/>
      <c r="AD25" s="3980"/>
      <c r="AE25" s="3980"/>
      <c r="AF25" s="3980"/>
      <c r="AG25" s="3980"/>
      <c r="AH25" s="3981" t="str">
        <f>IF(PDs!$V52=0,"",PDs!$V52)</f>
        <v/>
      </c>
      <c r="AI25" s="3981"/>
      <c r="AJ25" s="3981"/>
      <c r="AK25" s="3981"/>
      <c r="AL25" s="3981"/>
      <c r="AM25" s="3981"/>
      <c r="AN25" s="3981"/>
      <c r="AO25" s="3981"/>
      <c r="AP25" s="3981"/>
      <c r="AQ25" s="3981"/>
      <c r="AR25" s="2976"/>
      <c r="AS25" s="2809"/>
      <c r="AT25" s="2974"/>
      <c r="AU25" s="2974"/>
      <c r="AV25" s="2978" t="s">
        <v>8815</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c r="A26" s="45"/>
      <c r="B26" s="2849"/>
      <c r="C26" s="3377" t="s">
        <v>1725</v>
      </c>
      <c r="D26" s="4083"/>
      <c r="E26" s="4084"/>
      <c r="F26" s="4085"/>
      <c r="G26" s="4086"/>
      <c r="H26" s="1258" t="s">
        <v>1702</v>
      </c>
      <c r="I26" s="2729" t="s">
        <v>1880</v>
      </c>
      <c r="J26" s="4041" t="s">
        <v>1881</v>
      </c>
      <c r="K26" s="4041"/>
      <c r="L26" s="2706" t="s">
        <v>1882</v>
      </c>
      <c r="N26" s="3377" t="s">
        <v>1725</v>
      </c>
      <c r="O26" s="3378"/>
      <c r="P26" s="4084"/>
      <c r="Q26" s="4085"/>
      <c r="R26" s="4086"/>
      <c r="S26" s="2729" t="s">
        <v>1702</v>
      </c>
      <c r="T26" s="2729" t="s">
        <v>1880</v>
      </c>
      <c r="U26" s="4041" t="s">
        <v>1881</v>
      </c>
      <c r="V26" s="4041"/>
      <c r="W26" s="2706" t="s">
        <v>1882</v>
      </c>
      <c r="X26" s="1679"/>
      <c r="Y26" s="45"/>
      <c r="Z26" s="45"/>
      <c r="AA26" s="2713"/>
      <c r="AB26" s="3980" t="str">
        <f>IF(PDs!$E53="","",PDs!$E53)</f>
        <v/>
      </c>
      <c r="AC26" s="3980"/>
      <c r="AD26" s="3980"/>
      <c r="AE26" s="3980"/>
      <c r="AF26" s="3980"/>
      <c r="AG26" s="3980"/>
      <c r="AH26" s="3981" t="str">
        <f>IF(PDs!$V53=0,"",PDs!$V53)</f>
        <v/>
      </c>
      <c r="AI26" s="3981"/>
      <c r="AJ26" s="3981"/>
      <c r="AK26" s="3981"/>
      <c r="AL26" s="3981"/>
      <c r="AM26" s="3981"/>
      <c r="AN26" s="3981"/>
      <c r="AO26" s="3981"/>
      <c r="AP26" s="3981"/>
      <c r="AQ26" s="3981"/>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c r="A27" s="45"/>
      <c r="B27" s="2849"/>
      <c r="C27" s="4078" t="str">
        <f>IF(E26=0,"",VLOOKUP(E26,Tabla_ArmasyEscudos,9,FALSE))</f>
        <v/>
      </c>
      <c r="D27" s="4079"/>
      <c r="E27" s="2725" t="s">
        <v>1892</v>
      </c>
      <c r="F27" s="4080"/>
      <c r="G27" s="4080"/>
      <c r="H27" s="408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36">
        <f>IF(E26=0,HA_final,HA_final+VLOOKUP(C27,Tabla_ArmaDistinta,2)+I29+MIN(0,10*(FUE-VLOOKUP(E26,Tabla_ArmasyEscudos,4,FALSE)-IF(F27=0,0,VLOOKUP(F27,Tabla_ArmasEnormes,4,FALSE))))-IF(Tablas!$H$519&lt;0,IF(E26=Arma_Desarrollada,0,30),0))+SUMPRODUCT(--ISNUMBER(SEARCH(E26,ArmasAM)),ArmasAM_HA)+Personalización!AA8</f>
        <v>55</v>
      </c>
      <c r="J27" s="408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7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54">
        <f>IF(E26=0,0,FLOOR(VLOOKUP(E26,Tabla_ArmasyEscudos,2,FALSE)*IF(F27=0,1,VLOOKUP(F27,Tabla_ArmasEnormes,5,FALSE)),5)+Bono_Fue+2*I29+IF(DañoIncrementado,10,0)+IF(Extensióndelauraalarma,10,0)+Tablas!$K$1717)+Personalización!AA10</f>
        <v>0</v>
      </c>
      <c r="N27" s="4078" t="str">
        <f>IF(P26=0,"",VLOOKUP(P26,Tabla_ArmasyEscudos,9,FALSE))</f>
        <v/>
      </c>
      <c r="O27" s="4079"/>
      <c r="P27" s="2725" t="s">
        <v>1892</v>
      </c>
      <c r="Q27" s="4091"/>
      <c r="R27" s="4091"/>
      <c r="S27" s="408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36">
        <f>IF(P26=0,HA_final,HA_final+VLOOKUP(N27,Tabla_ArmaDistinta,2)+T29+MIN(0,10*(FUE-VLOOKUP(P26,Tabla_ArmasyEscudos,4,FALSE)-IF(Q27=0,0,VLOOKUP(Q27,Tabla_ArmasEnormes,4,FALSE))))-IF(Tablas!$H$519&lt;0,IF(P26=Arma_Desarrollada,0,30),0))+SUMPRODUCT(--ISNUMBER(SEARCH(P26,ArmasAM)),ArmasAM_HA)+Personalización!AA13</f>
        <v>55</v>
      </c>
      <c r="U27" s="408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7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54">
        <f>IF(P26=0,0,FLOOR(VLOOKUP(P26,Tabla_ArmasyEscudos,2,FALSE)*IF(Q27=0,1,VLOOKUP(Q27,Tabla_ArmasEnormes,5,FALSE)),5)+Bono_Fue+2*T29+IF(DañoIncrementado,10,0)+IF(Extensióndelauraalarma,10,0)+Tablas!$K$1717)+Personalización!AA15</f>
        <v>0</v>
      </c>
      <c r="X27" s="1679"/>
      <c r="Y27" s="45"/>
      <c r="Z27" s="45"/>
      <c r="AA27" s="2713"/>
      <c r="AB27" s="3980" t="str">
        <f>IF(PDs!$E54="","",PDs!$E54)</f>
        <v/>
      </c>
      <c r="AC27" s="3980"/>
      <c r="AD27" s="3980"/>
      <c r="AE27" s="3980"/>
      <c r="AF27" s="3980"/>
      <c r="AG27" s="3980"/>
      <c r="AH27" s="3981" t="str">
        <f>IF(PDs!$V54=0,"",PDs!$V54)</f>
        <v/>
      </c>
      <c r="AI27" s="3981"/>
      <c r="AJ27" s="3981"/>
      <c r="AK27" s="3981"/>
      <c r="AL27" s="3981"/>
      <c r="AM27" s="3981"/>
      <c r="AN27" s="3981"/>
      <c r="AO27" s="3981"/>
      <c r="AP27" s="3981"/>
      <c r="AQ27" s="3981"/>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c r="A28" s="45"/>
      <c r="B28" s="2849"/>
      <c r="C28" s="2596" t="s">
        <v>1884</v>
      </c>
      <c r="D28" s="2597" t="s">
        <v>1885</v>
      </c>
      <c r="E28" s="2597" t="s">
        <v>1869</v>
      </c>
      <c r="F28" s="2597" t="s">
        <v>1886</v>
      </c>
      <c r="G28" s="515" t="s">
        <v>1870</v>
      </c>
      <c r="H28" s="3373"/>
      <c r="I28" s="4036"/>
      <c r="J28" s="4082"/>
      <c r="K28" s="3373"/>
      <c r="L28" s="4054"/>
      <c r="N28" s="2596" t="s">
        <v>1884</v>
      </c>
      <c r="O28" s="2597" t="s">
        <v>1885</v>
      </c>
      <c r="P28" s="2597" t="s">
        <v>1869</v>
      </c>
      <c r="Q28" s="2597" t="s">
        <v>1886</v>
      </c>
      <c r="R28" s="515" t="s">
        <v>1870</v>
      </c>
      <c r="S28" s="3373"/>
      <c r="T28" s="4036"/>
      <c r="U28" s="4082"/>
      <c r="V28" s="3373"/>
      <c r="W28" s="4054"/>
      <c r="X28" s="1679"/>
      <c r="Y28" s="45"/>
      <c r="Z28" s="45"/>
      <c r="AA28" s="2713"/>
      <c r="AB28" s="3982" t="str">
        <f>IF(PDs!$E55="","",PDs!$E55)</f>
        <v/>
      </c>
      <c r="AC28" s="3982"/>
      <c r="AD28" s="3982"/>
      <c r="AE28" s="3982"/>
      <c r="AF28" s="3982"/>
      <c r="AG28" s="3982"/>
      <c r="AH28" s="3983" t="str">
        <f>IF(PDs!$V55=0,"",PDs!$V55)</f>
        <v/>
      </c>
      <c r="AI28" s="3983"/>
      <c r="AJ28" s="3983"/>
      <c r="AK28" s="3983"/>
      <c r="AL28" s="3983"/>
      <c r="AM28" s="3983"/>
      <c r="AN28" s="3983"/>
      <c r="AO28" s="3983"/>
      <c r="AP28" s="3983"/>
      <c r="AQ28" s="3983"/>
      <c r="AR28" s="2976"/>
      <c r="AS28" s="2809"/>
    </row>
    <row r="29" spans="1:56" ht="12" customHeight="1" thickBot="1">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089" t="str">
        <f>IF(F27=0,IF(I29=0,"","TA defensor:"),IF(Tamaño&lt;VLOOKUP(F27,Tabla_ArmasEnormes,2,FALSE),"Tam. excesivo",IF(I29=0,"","TA defensor:")))</f>
        <v/>
      </c>
      <c r="K29" s="4089"/>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89" t="str">
        <f>IF(Q27=0,IF(T29=0,"","TA defensor:"),IF(Tamaño&lt;VLOOKUP(Q27,Tabla_ArmasEnormes,2,FALSE),"Tam. excesivo",IF(T29=0,"","TA defensor:")))</f>
        <v/>
      </c>
      <c r="V29" s="4089"/>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10007</v>
      </c>
    </row>
    <row r="30" spans="1:56" ht="12" customHeight="1" thickBot="1">
      <c r="A30" s="45"/>
      <c r="B30" s="2849"/>
      <c r="C30" s="4087" t="str">
        <f>IF(E26=0,"",VLOOKUP(E26,Tabla_ArmasyEscudos,19,FALSE))</f>
        <v/>
      </c>
      <c r="D30" s="4088"/>
      <c r="E30" s="4088"/>
      <c r="F30" s="4088"/>
      <c r="G30" s="4088"/>
      <c r="H30" s="4088"/>
      <c r="I30" s="4088"/>
      <c r="J30" s="4090" t="s">
        <v>10002</v>
      </c>
      <c r="K30" s="4090"/>
      <c r="L30" s="2763"/>
      <c r="N30" s="4087" t="str">
        <f>IF(P26=0,"",VLOOKUP(P26,Tabla_ArmasyEscudos,19,FALSE))</f>
        <v/>
      </c>
      <c r="O30" s="4088"/>
      <c r="P30" s="4088"/>
      <c r="Q30" s="4088"/>
      <c r="R30" s="4088"/>
      <c r="S30" s="4088"/>
      <c r="T30" s="4088"/>
      <c r="U30" s="4090" t="s">
        <v>10002</v>
      </c>
      <c r="V30" s="4090"/>
      <c r="W30" s="2763"/>
      <c r="X30" s="1679"/>
      <c r="Y30" s="45"/>
      <c r="Z30" s="45"/>
      <c r="AA30" s="2713"/>
      <c r="AB30" s="3281" t="s">
        <v>1815</v>
      </c>
      <c r="AC30" s="3281"/>
      <c r="AD30" s="3281"/>
      <c r="AE30" s="3281"/>
      <c r="AF30" s="3281"/>
      <c r="AG30" s="3281"/>
      <c r="AH30" s="3303" t="s">
        <v>1861</v>
      </c>
      <c r="AI30" s="3303"/>
      <c r="AJ30" s="3303"/>
      <c r="AK30" s="3303"/>
      <c r="AL30" s="3303"/>
      <c r="AM30" s="3303"/>
      <c r="AN30" s="3303"/>
      <c r="AO30" s="3303"/>
      <c r="AP30" s="3303"/>
      <c r="AQ30" s="2685" t="s">
        <v>1811</v>
      </c>
      <c r="AR30" s="2976"/>
      <c r="AS30" s="2809"/>
      <c r="AW30" s="1676" t="s">
        <v>1751</v>
      </c>
      <c r="AX30" s="1676" t="s">
        <v>1702</v>
      </c>
      <c r="AY30" s="1676" t="s">
        <v>8845</v>
      </c>
      <c r="AZ30" s="1676" t="s">
        <v>9994</v>
      </c>
      <c r="BA30" s="1676" t="s">
        <v>10019</v>
      </c>
    </row>
    <row r="31" spans="1:56" ht="12" customHeight="1" thickBot="1">
      <c r="A31" s="45"/>
      <c r="B31" s="2849"/>
      <c r="C31" s="4104" t="s">
        <v>1895</v>
      </c>
      <c r="D31" s="4105"/>
      <c r="E31" s="4106"/>
      <c r="F31" s="4107"/>
      <c r="G31" s="4108"/>
      <c r="H31" s="2761" t="s">
        <v>1702</v>
      </c>
      <c r="I31" s="2761" t="s">
        <v>1880</v>
      </c>
      <c r="J31" s="4109" t="s">
        <v>1881</v>
      </c>
      <c r="K31" s="4109"/>
      <c r="L31" s="2766" t="s">
        <v>1882</v>
      </c>
      <c r="N31" s="4099" t="s">
        <v>1895</v>
      </c>
      <c r="O31" s="3281"/>
      <c r="P31" s="4100"/>
      <c r="Q31" s="4101"/>
      <c r="R31" s="4102"/>
      <c r="S31" s="2730" t="s">
        <v>1702</v>
      </c>
      <c r="T31" s="2730" t="s">
        <v>1880</v>
      </c>
      <c r="U31" s="4103" t="s">
        <v>1881</v>
      </c>
      <c r="V31" s="4103"/>
      <c r="W31" s="2764" t="s">
        <v>1882</v>
      </c>
      <c r="X31" s="1679"/>
      <c r="Y31" s="45"/>
      <c r="Z31" s="45"/>
      <c r="AA31" s="2713"/>
      <c r="AB31" s="3987" t="str">
        <f>IF(PDs!$AD56=0,"",PDs!$AD56)</f>
        <v/>
      </c>
      <c r="AC31" s="3987"/>
      <c r="AD31" s="3987"/>
      <c r="AE31" s="3987"/>
      <c r="AF31" s="3987"/>
      <c r="AG31" s="3987"/>
      <c r="AH31" s="3984" t="str">
        <f>IF(PDs!$V56=0,"",PDs!$V56)</f>
        <v/>
      </c>
      <c r="AI31" s="3984"/>
      <c r="AJ31" s="3984"/>
      <c r="AK31" s="3984"/>
      <c r="AL31" s="3984"/>
      <c r="AM31" s="3984"/>
      <c r="AN31" s="3984"/>
      <c r="AO31" s="3984"/>
      <c r="AP31" s="3984"/>
      <c r="AQ31" s="202">
        <f>IF(AB31="",0,VLOOKUP(AB31,Tablas!$D$806:$G$895,4,FALSE))</f>
        <v>0</v>
      </c>
      <c r="AR31" s="2976"/>
      <c r="AS31" s="2809"/>
      <c r="AV31" s="1676" t="s">
        <v>10008</v>
      </c>
    </row>
    <row r="32" spans="1:56" ht="12" customHeight="1">
      <c r="A32" s="45"/>
      <c r="B32" s="2849"/>
      <c r="C32" s="4093" t="str">
        <f>IF(E31=0,"",VLOOKUP(E31,Tabla_ArmasyEscudos,9,FALSE))</f>
        <v/>
      </c>
      <c r="D32" s="4094"/>
      <c r="E32" s="1365" t="s">
        <v>1892</v>
      </c>
      <c r="F32" s="4110"/>
      <c r="G32" s="4110"/>
      <c r="H32" s="4036" t="s">
        <v>1896</v>
      </c>
      <c r="I32" s="403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8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7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54">
        <f>IF(E31=0,0,FLOOR(VLOOKUP(E31,Tabla_ArmasyEscudos,2,FALSE)*IF(F32=0,1,VLOOKUP(F32,Tabla_ArmasEnormes,5,FALSE)),5)+Bono_Fue+2*I34+IF(DañoIncrementado,10,0)+IF(Extensióndelauraalarma,10,0)+Tablas!$K$1717)+Personalización!AC10</f>
        <v>0</v>
      </c>
      <c r="N32" s="4093" t="str">
        <f>IF(P31=0,"",VLOOKUP(P31,Tabla_ArmasyEscudos,9,FALSE))</f>
        <v/>
      </c>
      <c r="O32" s="4094"/>
      <c r="P32" s="1365" t="s">
        <v>1892</v>
      </c>
      <c r="Q32" s="4095"/>
      <c r="R32" s="4096"/>
      <c r="S32" s="3373" t="s">
        <v>1896</v>
      </c>
      <c r="T32" s="403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8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7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54">
        <f>IF(P31=0,0,FLOOR(VLOOKUP(P31,Tabla_ArmasyEscudos,2,FALSE)*IF(Q32=0,1,VLOOKUP(Q32,Tabla_ArmasEnormes,5,FALSE)),5)+Bono_Fue+2*T34+IF(DañoIncrementado,10,0)+IF(Extensióndelauraalarma,10,0)+Tablas!$K$1717)+Personalización!AC15</f>
        <v>0</v>
      </c>
      <c r="X32" s="1679"/>
      <c r="Y32" s="45"/>
      <c r="Z32" s="45"/>
      <c r="AA32" s="2713"/>
      <c r="AB32" s="3987" t="str">
        <f>IF(PDs!$AD57=0,"",PDs!$AD57)</f>
        <v/>
      </c>
      <c r="AC32" s="3987"/>
      <c r="AD32" s="3987"/>
      <c r="AE32" s="3987"/>
      <c r="AF32" s="3987"/>
      <c r="AG32" s="3987"/>
      <c r="AH32" s="3477" t="str">
        <f>IF(PDs!$V57=0,"",PDs!$V57)</f>
        <v/>
      </c>
      <c r="AI32" s="3477"/>
      <c r="AJ32" s="3477"/>
      <c r="AK32" s="3477"/>
      <c r="AL32" s="3477"/>
      <c r="AM32" s="3477"/>
      <c r="AN32" s="3477"/>
      <c r="AO32" s="3477"/>
      <c r="AP32" s="3477"/>
      <c r="AQ32" s="203">
        <f>IF(AB32="",0,VLOOKUP(AB32,Tablas!$D$806:$G$895,4,FALSE))</f>
        <v>0</v>
      </c>
      <c r="AR32" s="2976"/>
      <c r="AS32" s="2809"/>
      <c r="AV32" s="1676" t="s">
        <v>10013</v>
      </c>
      <c r="AW32" s="1676" t="str">
        <f>IF(Combate!$E$26=0,"",Combate!$E$26&amp;IF(Combate!$I$29=0,""," +"&amp;Combate!$I$29))</f>
        <v/>
      </c>
    </row>
    <row r="33" spans="1:67" ht="12" customHeight="1">
      <c r="A33" s="45"/>
      <c r="B33" s="2849"/>
      <c r="C33" s="2598" t="s">
        <v>1884</v>
      </c>
      <c r="D33" s="2726" t="s">
        <v>1885</v>
      </c>
      <c r="E33" s="2726" t="s">
        <v>1869</v>
      </c>
      <c r="F33" s="2767" t="s">
        <v>1886</v>
      </c>
      <c r="G33" s="2726" t="s">
        <v>1870</v>
      </c>
      <c r="H33" s="4036"/>
      <c r="I33" s="4036"/>
      <c r="J33" s="4082"/>
      <c r="K33" s="3373"/>
      <c r="L33" s="4054"/>
      <c r="N33" s="2598" t="s">
        <v>1884</v>
      </c>
      <c r="O33" s="2726" t="s">
        <v>1885</v>
      </c>
      <c r="P33" s="2726" t="s">
        <v>1869</v>
      </c>
      <c r="Q33" s="2726" t="s">
        <v>1886</v>
      </c>
      <c r="R33" s="2726" t="s">
        <v>1870</v>
      </c>
      <c r="S33" s="4036"/>
      <c r="T33" s="4036"/>
      <c r="U33" s="4082"/>
      <c r="V33" s="3373"/>
      <c r="W33" s="4054"/>
      <c r="X33" s="1679"/>
      <c r="Y33" s="45"/>
      <c r="Z33" s="45"/>
      <c r="AA33" s="2713"/>
      <c r="AB33" s="3987" t="str">
        <f>IF(PDs!$AD58=0,"",PDs!$AD58)</f>
        <v/>
      </c>
      <c r="AC33" s="3987"/>
      <c r="AD33" s="3987"/>
      <c r="AE33" s="3987"/>
      <c r="AF33" s="3987"/>
      <c r="AG33" s="3987"/>
      <c r="AH33" s="3477" t="str">
        <f>IF(PDs!$V58=0,"",PDs!$V58)</f>
        <v/>
      </c>
      <c r="AI33" s="3477"/>
      <c r="AJ33" s="3477"/>
      <c r="AK33" s="3477"/>
      <c r="AL33" s="3477"/>
      <c r="AM33" s="3477"/>
      <c r="AN33" s="3477"/>
      <c r="AO33" s="3477"/>
      <c r="AP33" s="3477"/>
      <c r="AQ33" s="203">
        <f>IF(AB33="",0,VLOOKUP(AB33,Tablas!$D$806:$G$895,4,FALSE))</f>
        <v>0</v>
      </c>
      <c r="AR33" s="2976"/>
      <c r="AS33" s="2809"/>
      <c r="AV33" s="1676" t="s">
        <v>10009</v>
      </c>
      <c r="AW33" s="1676" t="str">
        <f>IF(Combate!$E$31=0,"",Combate!$E$31&amp;IF(Combate!$I$34=0,""," +"&amp;Combate!$I$34))</f>
        <v/>
      </c>
    </row>
    <row r="34" spans="1:67" ht="12" customHeight="1">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089" t="str">
        <f>IF(F32=0,IF(I34=0,"","TA defensor:"),IF(Tamaño&lt;VLOOKUP(F32,Tabla_ArmasEnormes,2,FALSE),"Tam. excesivo",IF(I34=0,"","TA defensor:")))</f>
        <v/>
      </c>
      <c r="K34" s="4089"/>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089" t="str">
        <f>IF(Q32=0,IF(T34=0,"","TA defensor:"),IF(Tamaño&lt;VLOOKUP(Q32,Tabla_ArmasEnormes,2,FALSE),"Tam. excesivo",IF(T34=0,"","TA defensor:")))</f>
        <v/>
      </c>
      <c r="V34" s="4089"/>
      <c r="W34" s="2732" t="str">
        <f>IF(U34="TA defensor:",T34/(-5),"")</f>
        <v/>
      </c>
      <c r="X34" s="1679"/>
      <c r="Y34" s="45"/>
      <c r="Z34" s="45"/>
      <c r="AA34" s="2713"/>
      <c r="AB34" s="3987" t="str">
        <f>IF(PDs!$AD59=0,"",PDs!$AD59)</f>
        <v/>
      </c>
      <c r="AC34" s="3987"/>
      <c r="AD34" s="3987"/>
      <c r="AE34" s="3987"/>
      <c r="AF34" s="3987"/>
      <c r="AG34" s="3987"/>
      <c r="AH34" s="3477" t="str">
        <f>IF(PDs!$V59=0,"",PDs!$V59)</f>
        <v/>
      </c>
      <c r="AI34" s="3477"/>
      <c r="AJ34" s="3477"/>
      <c r="AK34" s="3477"/>
      <c r="AL34" s="3477"/>
      <c r="AM34" s="3477"/>
      <c r="AN34" s="3477"/>
      <c r="AO34" s="3477"/>
      <c r="AP34" s="3477"/>
      <c r="AQ34" s="203">
        <f>IF(AB34="",0,VLOOKUP(AB34,Tablas!$D$806:$G$895,4,FALSE))</f>
        <v>0</v>
      </c>
      <c r="AR34" s="2976"/>
      <c r="AS34" s="2809"/>
      <c r="AV34" s="1676" t="s">
        <v>10010</v>
      </c>
      <c r="AW34" s="1676" t="str">
        <f>IF(Combate!$E$37=0,"",Combate!$E$37&amp;IF(Combate!$I$40=0,""," +"&amp;Combate!$I$40))</f>
        <v/>
      </c>
      <c r="AZ34" s="2974"/>
      <c r="BH34" s="2974"/>
      <c r="BI34" s="2974"/>
      <c r="BJ34" s="2974"/>
      <c r="BK34" s="2974"/>
      <c r="BL34" s="2974"/>
      <c r="BM34" s="2974"/>
      <c r="BN34" s="2974"/>
      <c r="BO34" s="2974"/>
    </row>
    <row r="35" spans="1:67" ht="12" customHeight="1" thickBot="1">
      <c r="A35" s="45"/>
      <c r="B35" s="2849"/>
      <c r="C35" s="4097" t="str">
        <f>IF(E31=0,"",VLOOKUP(E31,Tabla_ArmasyEscudos,19,FALSE))</f>
        <v/>
      </c>
      <c r="D35" s="4098"/>
      <c r="E35" s="4098"/>
      <c r="F35" s="4098"/>
      <c r="G35" s="4098"/>
      <c r="H35" s="4098"/>
      <c r="I35" s="4098"/>
      <c r="J35" s="4092" t="s">
        <v>10002</v>
      </c>
      <c r="K35" s="4092"/>
      <c r="L35" s="2765"/>
      <c r="N35" s="4097" t="str">
        <f>IF(P31=0,"",VLOOKUP(P31,Tabla_ArmasyEscudos,19,FALSE))</f>
        <v/>
      </c>
      <c r="O35" s="4098"/>
      <c r="P35" s="4098"/>
      <c r="Q35" s="4098"/>
      <c r="R35" s="4098"/>
      <c r="S35" s="4098"/>
      <c r="T35" s="4098"/>
      <c r="U35" s="4092" t="s">
        <v>10002</v>
      </c>
      <c r="V35" s="4092"/>
      <c r="W35" s="2765"/>
      <c r="X35" s="1679"/>
      <c r="Y35" s="45"/>
      <c r="Z35" s="45"/>
      <c r="AA35" s="2713"/>
      <c r="AB35" s="3987" t="str">
        <f>IF(PDs!$AD60=0,"",PDs!$AD60)</f>
        <v/>
      </c>
      <c r="AC35" s="3987"/>
      <c r="AD35" s="3987"/>
      <c r="AE35" s="3987"/>
      <c r="AF35" s="3987"/>
      <c r="AG35" s="3987"/>
      <c r="AH35" s="3477" t="str">
        <f>IF(PDs!$V60=0,"",PDs!$V60)</f>
        <v/>
      </c>
      <c r="AI35" s="3477"/>
      <c r="AJ35" s="3477"/>
      <c r="AK35" s="3477"/>
      <c r="AL35" s="3477"/>
      <c r="AM35" s="3477"/>
      <c r="AN35" s="3477"/>
      <c r="AO35" s="3477"/>
      <c r="AP35" s="3477"/>
      <c r="AQ35" s="203">
        <f>IF(AB35="",0,VLOOKUP(AB35,Tablas!$D$806:$G$895,4,FALSE))</f>
        <v>0</v>
      </c>
      <c r="AR35" s="2976"/>
      <c r="AS35" s="2809"/>
      <c r="AV35" s="1676" t="s">
        <v>10011</v>
      </c>
      <c r="AW35" s="1676" t="str">
        <f>IF(Combate!$E$43=0,"",Combate!$E$43&amp;IF(Combate!$I$46=0,""," +"&amp;Combate!$I$46))</f>
        <v/>
      </c>
      <c r="AZ35" s="2974"/>
      <c r="BH35" s="2974"/>
      <c r="BI35" s="2974"/>
      <c r="BJ35" s="2974"/>
      <c r="BK35" s="2974"/>
      <c r="BL35" s="2974"/>
      <c r="BM35" s="2974"/>
      <c r="BN35" s="2974"/>
      <c r="BO35" s="2974"/>
    </row>
    <row r="36" spans="1:67" ht="12" customHeight="1" thickBot="1">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87" t="str">
        <f>IF(PDs!$AD61=0,"",PDs!$AD61)</f>
        <v/>
      </c>
      <c r="AC36" s="3987"/>
      <c r="AD36" s="3987"/>
      <c r="AE36" s="3987"/>
      <c r="AF36" s="3987"/>
      <c r="AG36" s="3987"/>
      <c r="AH36" s="3477" t="str">
        <f>IF(PDs!$V61=0,"",PDs!$V61)</f>
        <v/>
      </c>
      <c r="AI36" s="3477"/>
      <c r="AJ36" s="3477"/>
      <c r="AK36" s="3477"/>
      <c r="AL36" s="3477"/>
      <c r="AM36" s="3477"/>
      <c r="AN36" s="3477"/>
      <c r="AO36" s="3477"/>
      <c r="AP36" s="3477"/>
      <c r="AQ36" s="203">
        <f>IF(AB36="",0,VLOOKUP(AB36,Tablas!$D$806:$G$895,4,FALSE))</f>
        <v>0</v>
      </c>
      <c r="AR36" s="2976"/>
      <c r="AS36" s="2809"/>
      <c r="AV36" s="1676" t="s">
        <v>10012</v>
      </c>
      <c r="AW36" s="1676" t="str">
        <f>IF(Combate!$E$51=0,"",Combate!$E$51&amp;IF(Combate!$I$54=0,""," +"&amp;Combate!$I$54))</f>
        <v/>
      </c>
      <c r="AZ36" s="2974"/>
      <c r="BH36" s="2974"/>
      <c r="BI36" s="2974"/>
      <c r="BJ36" s="2974"/>
      <c r="BK36" s="2974"/>
      <c r="BL36" s="2974"/>
      <c r="BM36" s="2974"/>
      <c r="BN36" s="2974"/>
      <c r="BO36" s="2974"/>
    </row>
    <row r="37" spans="1:67" ht="12" customHeight="1" thickBot="1">
      <c r="A37" s="45"/>
      <c r="B37" s="2849"/>
      <c r="C37" s="3377" t="s">
        <v>1897</v>
      </c>
      <c r="D37" s="3378"/>
      <c r="E37" s="4084"/>
      <c r="F37" s="4085"/>
      <c r="G37" s="4086"/>
      <c r="H37" s="2729" t="s">
        <v>1702</v>
      </c>
      <c r="I37" s="2729" t="s">
        <v>1880</v>
      </c>
      <c r="J37" s="4041" t="s">
        <v>1881</v>
      </c>
      <c r="K37" s="4041"/>
      <c r="L37" s="2769" t="s">
        <v>1882</v>
      </c>
      <c r="N37" s="3377" t="s">
        <v>1897</v>
      </c>
      <c r="O37" s="3378"/>
      <c r="P37" s="4084"/>
      <c r="Q37" s="4085"/>
      <c r="R37" s="4086"/>
      <c r="S37" s="2729" t="s">
        <v>1702</v>
      </c>
      <c r="T37" s="2729" t="s">
        <v>1880</v>
      </c>
      <c r="U37" s="4041" t="s">
        <v>1881</v>
      </c>
      <c r="V37" s="4041"/>
      <c r="W37" s="2769" t="s">
        <v>1882</v>
      </c>
      <c r="X37" s="1679"/>
      <c r="Y37" s="45"/>
      <c r="Z37" s="45"/>
      <c r="AA37" s="2713"/>
      <c r="AB37" s="3985" t="str">
        <f>IF(PDs!$AD62=0,"",PDs!$AD62)</f>
        <v/>
      </c>
      <c r="AC37" s="3985"/>
      <c r="AD37" s="3985"/>
      <c r="AE37" s="3985"/>
      <c r="AF37" s="3985"/>
      <c r="AG37" s="3985"/>
      <c r="AH37" s="3477" t="str">
        <f>IF(PDs!$V62=0,"",PDs!$V62)</f>
        <v/>
      </c>
      <c r="AI37" s="3477"/>
      <c r="AJ37" s="3477"/>
      <c r="AK37" s="3477"/>
      <c r="AL37" s="3477"/>
      <c r="AM37" s="3477"/>
      <c r="AN37" s="3477"/>
      <c r="AO37" s="3477"/>
      <c r="AP37" s="3477"/>
      <c r="AQ37" s="203">
        <f>IF(AB37="",0,VLOOKUP(AB37,Tablas!$D$806:$G$895,4,FALSE))</f>
        <v>0</v>
      </c>
      <c r="AR37" s="2976"/>
      <c r="AS37" s="2809"/>
      <c r="AV37" s="1676" t="s">
        <v>10014</v>
      </c>
      <c r="AW37" s="1676" t="str">
        <f>IF(Combate!$P$26=0,"",Combate!$P$26&amp;IF(Combate!$T$29=0,""," +"&amp;Combate!$T$29))</f>
        <v/>
      </c>
      <c r="AZ37" s="2974"/>
      <c r="BH37" s="2974"/>
      <c r="BI37" s="2974"/>
      <c r="BJ37" s="2974"/>
      <c r="BK37" s="2974"/>
      <c r="BL37" s="2974"/>
      <c r="BM37" s="2974"/>
      <c r="BN37" s="2974"/>
      <c r="BO37" s="2974"/>
    </row>
    <row r="38" spans="1:67" ht="12" customHeight="1">
      <c r="A38" s="45"/>
      <c r="B38" s="2849"/>
      <c r="C38" s="4093" t="str">
        <f>IF(E37=0,"",VLOOKUP(E37,Tabla_ArmasyEscudos,9,FALSE))</f>
        <v/>
      </c>
      <c r="D38" s="4094"/>
      <c r="E38" s="1365" t="s">
        <v>1892</v>
      </c>
      <c r="F38" s="4110"/>
      <c r="G38" s="4117"/>
      <c r="H38" s="4111">
        <f>IF(E37=0,0,Turno_Nat_final-20+I40+VLOOKUP(E37,Tabla_ArmasyEscudos,3,FALSE)+IF(F38=0,0,IF(Tamaño&lt;VLOOKUP(F38,Tabla_ArmasEnormes,3,FALSE),-40,0)))+Personalización!AE7</f>
        <v>0</v>
      </c>
      <c r="I38" s="4036">
        <f>HA_final+IF(E37=0,0,VLOOKUP(C38,Tabla_ArmaDistinta,2)+I40+MIN(0,10*(FUE-VLOOKUP(E37,Tabla_ArmasyEscudos,5,FALSE)-IF(F38=0,0,VLOOKUP(F38,Tabla_ArmasEnormes,4,FALSE))))+IF(Tablas!$H$519&gt;0,IF(E37=Arma_Desarrollada,0,-30),0))+SUMPRODUCT(--ISNUMBER(SEARCH(E37,Tablas!I903:I933)),ArmasAM_HA)+Personalización!AE8</f>
        <v>55</v>
      </c>
      <c r="J38" s="408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73"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54">
        <f>IF(E37=0,0,FLOOR(VLOOKUP(E37,Tabla_ArmasyEscudos,2,FALSE)*IF(F38=0,1,VLOOKUP(F38,Tabla_ArmasEnormes,5,FALSE)),5)+2*Bono_Fue+2*I40+IF(DañoIncrementado,10,0)+IF(Extensióndelauraalarma,10,0)+Tablas!$K$1717)+Personalización!AE10</f>
        <v>0</v>
      </c>
      <c r="M38" s="2927"/>
      <c r="N38" s="4093" t="str">
        <f>IF(P37=0,"",VLOOKUP(P37,Tabla_ArmasyEscudos,9,FALSE))</f>
        <v/>
      </c>
      <c r="O38" s="4094"/>
      <c r="P38" s="1365" t="s">
        <v>1892</v>
      </c>
      <c r="Q38" s="4110"/>
      <c r="R38" s="4117"/>
      <c r="S38" s="4111">
        <f>IF(P37=0,0,Turno_Nat_final-20+T40+VLOOKUP(P37,Tabla_ArmasyEscudos,3,FALSE)+IF(Q38=0,0,IF(Tamaño&lt;VLOOKUP(Q38,Tabla_ArmasEnormes,3,FALSE),-40,0)))+Personalización!AE12</f>
        <v>0</v>
      </c>
      <c r="T38" s="4036">
        <f>IF(P37=0,HA_final,HA_final+VLOOKUP(N38,Tabla_ArmaDistinta,2)+T40+MIN(0,10*(FUE-VLOOKUP(P37,Tabla_ArmasyEscudos,5,FALSE)-IF(Q38=0,0,VLOOKUP(Q38,Tablas!AC614:AI616,4,FALSE))))-IF(Tablas!$H$519&lt;0,IF(P37=Arma_Desarrollada,0,30),0))+SUMPRODUCT(--ISNUMBER(SEARCH(P37,ArmasAM)),ArmasAM_HA)+Personalización!AE13</f>
        <v>55</v>
      </c>
      <c r="U38" s="408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73"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54">
        <f>IF(P37=0,0,_xlfn.FLOOR.MATH(VLOOKUP(P37,Tabla_ArmasyEscudos,2,FALSE)*IF(Q38=0,1,VLOOKUP(Q38,Tabla_ArmasEnormes,5,FALSE)),5)+2*Bono_Fue+2*T40+IF(DañoIncrementado,10,0)+IF(Extensióndelauraalarma,10,0)+Tablas!$K$1717)+Personalización!AE15</f>
        <v>0</v>
      </c>
      <c r="X38" s="1679"/>
      <c r="Y38" s="45"/>
      <c r="Z38" s="45"/>
      <c r="AA38" s="2713"/>
      <c r="AB38" s="3985" t="str">
        <f>IF(PDs!$AD63=0,"",PDs!$AD63)</f>
        <v/>
      </c>
      <c r="AC38" s="3985"/>
      <c r="AD38" s="3985"/>
      <c r="AE38" s="3985"/>
      <c r="AF38" s="3985"/>
      <c r="AG38" s="3985"/>
      <c r="AH38" s="3478" t="str">
        <f>IF(PDs!$V63=0,"",PDs!$V63)</f>
        <v/>
      </c>
      <c r="AI38" s="3478"/>
      <c r="AJ38" s="3478"/>
      <c r="AK38" s="3478"/>
      <c r="AL38" s="3478"/>
      <c r="AM38" s="3478"/>
      <c r="AN38" s="3478"/>
      <c r="AO38" s="3478"/>
      <c r="AP38" s="3478"/>
      <c r="AQ38" s="203">
        <f>IF(AB38="",0,VLOOKUP(AB38,Tablas!$D$806:$G$895,4,FALSE))</f>
        <v>0</v>
      </c>
      <c r="AR38" s="2976"/>
      <c r="AS38" s="2809"/>
      <c r="AV38" s="1676" t="s">
        <v>10015</v>
      </c>
      <c r="AW38" s="1676" t="str">
        <f>IF(Combate!$P$31=0,"",Combate!$P$31&amp;IF(Combate!$T$34=0,""," +"&amp;Combate!$T$34))</f>
        <v/>
      </c>
      <c r="AZ38" s="2974"/>
      <c r="BH38" s="2974"/>
      <c r="BI38" s="2974"/>
      <c r="BJ38" s="2974"/>
      <c r="BK38" s="2974"/>
      <c r="BL38" s="2974"/>
      <c r="BM38" s="2974"/>
      <c r="BN38" s="2974"/>
      <c r="BO38" s="2974"/>
    </row>
    <row r="39" spans="1:67" ht="12" customHeight="1">
      <c r="A39" s="45"/>
      <c r="B39" s="2849"/>
      <c r="C39" s="2598" t="s">
        <v>1884</v>
      </c>
      <c r="D39" s="2726" t="s">
        <v>1885</v>
      </c>
      <c r="E39" s="2726" t="s">
        <v>1869</v>
      </c>
      <c r="F39" s="2726" t="s">
        <v>1886</v>
      </c>
      <c r="G39" s="2726" t="s">
        <v>1870</v>
      </c>
      <c r="H39" s="4111"/>
      <c r="I39" s="4036"/>
      <c r="J39" s="4082"/>
      <c r="K39" s="3373"/>
      <c r="L39" s="4054"/>
      <c r="N39" s="2598" t="s">
        <v>1884</v>
      </c>
      <c r="O39" s="2726" t="s">
        <v>1885</v>
      </c>
      <c r="P39" s="2726" t="s">
        <v>1869</v>
      </c>
      <c r="Q39" s="2726" t="s">
        <v>1886</v>
      </c>
      <c r="R39" s="2726" t="s">
        <v>1870</v>
      </c>
      <c r="S39" s="4111"/>
      <c r="T39" s="4036"/>
      <c r="U39" s="4082"/>
      <c r="V39" s="3373"/>
      <c r="W39" s="4054"/>
      <c r="X39" s="1679"/>
      <c r="Y39" s="45"/>
      <c r="Z39" s="45"/>
      <c r="AA39" s="2713"/>
      <c r="AB39" s="3985" t="str">
        <f>IF(PDs!$AD64=0,"",PDs!$AD64)</f>
        <v/>
      </c>
      <c r="AC39" s="3985"/>
      <c r="AD39" s="3985"/>
      <c r="AE39" s="3985"/>
      <c r="AF39" s="3985"/>
      <c r="AG39" s="3985"/>
      <c r="AH39" s="3477" t="str">
        <f>IF(PDs!$V64=0,"",PDs!$V64)</f>
        <v/>
      </c>
      <c r="AI39" s="3477"/>
      <c r="AJ39" s="3477"/>
      <c r="AK39" s="3477"/>
      <c r="AL39" s="3477"/>
      <c r="AM39" s="3477"/>
      <c r="AN39" s="3477"/>
      <c r="AO39" s="3477"/>
      <c r="AP39" s="3477"/>
      <c r="AQ39" s="203">
        <f>IF(AB39="",0,VLOOKUP(AB39,Tablas!$D$806:$G$895,4,FALSE))</f>
        <v>0</v>
      </c>
      <c r="AR39" s="2976"/>
      <c r="AS39" s="2809"/>
      <c r="AV39" s="1676" t="s">
        <v>10016</v>
      </c>
      <c r="AW39" s="1676" t="str">
        <f>IF(Combate!$P$37=0,"",Combate!$P$37&amp;IF(Combate!$T$40=0,""," +"&amp;Combate!$T$40))</f>
        <v/>
      </c>
      <c r="AZ39" s="2974"/>
      <c r="BH39" s="2974"/>
      <c r="BI39" s="2974"/>
      <c r="BJ39" s="2974"/>
      <c r="BK39" s="2974"/>
      <c r="BL39" s="2974"/>
      <c r="BM39" s="2974"/>
      <c r="BN39" s="2974"/>
      <c r="BO39" s="2974"/>
    </row>
    <row r="40" spans="1:67" ht="12" customHeight="1">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089" t="str">
        <f>IF(F38=0,IF(I40=0,"","TA defensor:"),IF(Tamaño&lt;VLOOKUP(F38,Tabla_ArmasEnormes,2,FALSE),"Tam. excesivo",IF(I40=0,"","TA defensor:")))</f>
        <v/>
      </c>
      <c r="K40" s="4089"/>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089" t="str">
        <f>IF(Q38=0,IF(T40=0,"","TA defensor:"),IF(Tamaño&lt;VLOOKUP(Q38,Tabla_ArmasEnormes,2,FALSE),"Tam. excesivo",IF(T40=0,"","TA defensor:")))</f>
        <v/>
      </c>
      <c r="V40" s="4089"/>
      <c r="W40" s="2732" t="str">
        <f>IF(U40="TA defensor:",T40/(-5),"")</f>
        <v/>
      </c>
      <c r="X40" s="1679"/>
      <c r="Y40" s="45"/>
      <c r="Z40" s="45"/>
      <c r="AA40" s="2713"/>
      <c r="AB40" s="3985" t="str">
        <f>IF(PDs!$AD65=0,"",PDs!$AD65)</f>
        <v/>
      </c>
      <c r="AC40" s="3985"/>
      <c r="AD40" s="3985"/>
      <c r="AE40" s="3985"/>
      <c r="AF40" s="3985"/>
      <c r="AG40" s="3985"/>
      <c r="AH40" s="3986" t="str">
        <f>IF(PDs!$V65=0,"",PDs!$V65)</f>
        <v/>
      </c>
      <c r="AI40" s="3986"/>
      <c r="AJ40" s="3986"/>
      <c r="AK40" s="3986"/>
      <c r="AL40" s="3986"/>
      <c r="AM40" s="3986"/>
      <c r="AN40" s="3986"/>
      <c r="AO40" s="3986"/>
      <c r="AP40" s="3986"/>
      <c r="AQ40" s="2689">
        <f>IF(AB40="",0,VLOOKUP(AB40,Tablas!$D$806:$G$895,4,FALSE))</f>
        <v>0</v>
      </c>
      <c r="AR40" s="2976"/>
      <c r="AS40" s="2809"/>
      <c r="AV40" s="1676" t="s">
        <v>10017</v>
      </c>
      <c r="AW40" s="1676" t="str">
        <f>IF(Combate!$P$43=0,"",Combate!$P$43&amp;IF(Combate!$T$46=0,""," +"&amp;Combate!$T$46))</f>
        <v/>
      </c>
      <c r="AZ40" s="2974"/>
      <c r="BH40" s="2974"/>
      <c r="BI40" s="2974"/>
      <c r="BJ40" s="2974"/>
      <c r="BK40" s="2974"/>
      <c r="BL40" s="2974"/>
      <c r="BM40" s="2974"/>
      <c r="BN40" s="2974"/>
      <c r="BO40" s="2974"/>
    </row>
    <row r="41" spans="1:67" ht="12" customHeight="1" thickBot="1">
      <c r="A41" s="45"/>
      <c r="B41" s="2849"/>
      <c r="C41" s="4097" t="str">
        <f>IF(E37=0,"",VLOOKUP(E37,Tabla_ArmasyEscudos,19,FALSE))</f>
        <v/>
      </c>
      <c r="D41" s="4098"/>
      <c r="E41" s="4098"/>
      <c r="F41" s="4098"/>
      <c r="G41" s="4098"/>
      <c r="H41" s="4098"/>
      <c r="I41" s="4098"/>
      <c r="J41" s="4092" t="s">
        <v>10002</v>
      </c>
      <c r="K41" s="4092"/>
      <c r="L41" s="2765"/>
      <c r="N41" s="4097" t="str">
        <f>IF(P37=0,"",VLOOKUP(P37,Tabla_ArmasyEscudos,19,FALSE))</f>
        <v/>
      </c>
      <c r="O41" s="4098"/>
      <c r="P41" s="4098"/>
      <c r="Q41" s="4098"/>
      <c r="R41" s="4098"/>
      <c r="S41" s="4098"/>
      <c r="T41" s="4098"/>
      <c r="U41" s="4092" t="s">
        <v>10002</v>
      </c>
      <c r="V41" s="4092"/>
      <c r="W41" s="2765"/>
      <c r="X41" s="1679"/>
      <c r="Y41" s="45"/>
      <c r="Z41" s="45"/>
      <c r="AA41" s="2713"/>
      <c r="AB41" s="3985" t="str">
        <f>IF(PDs!$AD66=0,"",PDs!$AD66)</f>
        <v/>
      </c>
      <c r="AC41" s="3985"/>
      <c r="AD41" s="3985"/>
      <c r="AE41" s="3985"/>
      <c r="AF41" s="3985"/>
      <c r="AG41" s="3985"/>
      <c r="AH41" s="3986" t="str">
        <f>IF(PDs!$V66=0,"",PDs!$V66)</f>
        <v/>
      </c>
      <c r="AI41" s="3986"/>
      <c r="AJ41" s="3986"/>
      <c r="AK41" s="3986"/>
      <c r="AL41" s="3986"/>
      <c r="AM41" s="3986"/>
      <c r="AN41" s="3986"/>
      <c r="AO41" s="3986"/>
      <c r="AP41" s="3986"/>
      <c r="AQ41" s="2689">
        <f>IF(AB41="",0,VLOOKUP(AB41,Tablas!$D$806:$G$895,4,FALSE))</f>
        <v>0</v>
      </c>
      <c r="AR41" s="2976"/>
      <c r="AS41" s="2809"/>
      <c r="AV41" s="1676" t="s">
        <v>10018</v>
      </c>
      <c r="AW41" s="1676" t="str">
        <f>IF(Combate!$P$51=0,"",Combate!$P$51&amp;IF(Combate!$T$54=0,""," +"&amp;Combate!$T$54))</f>
        <v/>
      </c>
      <c r="AZ41" s="2974"/>
      <c r="BH41" s="2974"/>
      <c r="BI41" s="2974"/>
      <c r="BJ41" s="2974"/>
      <c r="BK41" s="2974"/>
      <c r="BL41" s="2974"/>
      <c r="BM41" s="2974"/>
      <c r="BN41" s="2974"/>
      <c r="BO41" s="2974"/>
    </row>
    <row r="42" spans="1:67" ht="12" customHeight="1" thickBot="1">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3985" t="str">
        <f>IF(PDs!$AD67=0,"",PDs!$AD67)</f>
        <v/>
      </c>
      <c r="AC42" s="3985"/>
      <c r="AD42" s="3985"/>
      <c r="AE42" s="3985"/>
      <c r="AF42" s="3985"/>
      <c r="AG42" s="3985"/>
      <c r="AH42" s="3986" t="str">
        <f>IF(PDs!$V67=0,"",PDs!$V67)</f>
        <v/>
      </c>
      <c r="AI42" s="3986"/>
      <c r="AJ42" s="3986"/>
      <c r="AK42" s="3986"/>
      <c r="AL42" s="3986"/>
      <c r="AM42" s="3986"/>
      <c r="AN42" s="3986"/>
      <c r="AO42" s="3986"/>
      <c r="AP42" s="3986"/>
      <c r="AQ42" s="2689">
        <f>IF(AB42="",0,VLOOKUP(AB42,Tablas!$D$806:$G$895,4,FALSE))</f>
        <v>0</v>
      </c>
      <c r="AR42" s="2976"/>
      <c r="AS42" s="2809"/>
      <c r="AU42" s="1676" t="s">
        <v>10021</v>
      </c>
      <c r="AZ42" s="2974"/>
      <c r="BH42" s="2974"/>
      <c r="BI42" s="2974"/>
      <c r="BJ42" s="2974"/>
      <c r="BK42" s="2974"/>
      <c r="BL42" s="2974"/>
      <c r="BM42" s="2974"/>
      <c r="BN42" s="2974"/>
      <c r="BO42" s="2974"/>
    </row>
    <row r="43" spans="1:67" ht="12" customHeight="1" thickBot="1">
      <c r="A43" s="45"/>
      <c r="B43" s="2849"/>
      <c r="C43" s="3377" t="s">
        <v>1898</v>
      </c>
      <c r="D43" s="4083"/>
      <c r="E43" s="4118"/>
      <c r="F43" s="4119"/>
      <c r="G43" s="4120"/>
      <c r="H43" s="1258" t="s">
        <v>1702</v>
      </c>
      <c r="I43" s="2729" t="s">
        <v>1880</v>
      </c>
      <c r="J43" s="4041" t="s">
        <v>1881</v>
      </c>
      <c r="K43" s="4041"/>
      <c r="L43" s="2706" t="s">
        <v>1882</v>
      </c>
      <c r="N43" s="3377" t="s">
        <v>1898</v>
      </c>
      <c r="O43" s="4083"/>
      <c r="P43" s="4118"/>
      <c r="Q43" s="4119"/>
      <c r="R43" s="4120"/>
      <c r="S43" s="1258" t="s">
        <v>1702</v>
      </c>
      <c r="T43" s="2729" t="s">
        <v>1880</v>
      </c>
      <c r="U43" s="4041" t="s">
        <v>1881</v>
      </c>
      <c r="V43" s="4041"/>
      <c r="W43" s="2706" t="s">
        <v>1882</v>
      </c>
      <c r="X43" s="1679"/>
      <c r="Y43" s="45"/>
      <c r="Z43" s="45"/>
      <c r="AA43" s="2713"/>
      <c r="AB43" s="3985" t="str">
        <f>IF(PDs!$AD68=0,"",PDs!$AD68)</f>
        <v/>
      </c>
      <c r="AC43" s="3985"/>
      <c r="AD43" s="3985"/>
      <c r="AE43" s="3985"/>
      <c r="AF43" s="3985"/>
      <c r="AG43" s="3985"/>
      <c r="AH43" s="3986" t="str">
        <f>IF(PDs!$V68=0,"",PDs!$V68)</f>
        <v/>
      </c>
      <c r="AI43" s="3986"/>
      <c r="AJ43" s="3986"/>
      <c r="AK43" s="3986"/>
      <c r="AL43" s="3986"/>
      <c r="AM43" s="3986"/>
      <c r="AN43" s="3986"/>
      <c r="AO43" s="3986"/>
      <c r="AP43" s="3986"/>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74"/>
      <c r="BH43" s="2974"/>
      <c r="BI43" s="2974"/>
      <c r="BJ43" s="2974"/>
      <c r="BK43" s="2974"/>
      <c r="BL43" s="2974"/>
      <c r="BM43" s="2974"/>
      <c r="BN43" s="2974"/>
      <c r="BO43" s="2974"/>
    </row>
    <row r="44" spans="1:67" ht="12" customHeight="1">
      <c r="A44" s="45"/>
      <c r="B44" s="2849"/>
      <c r="C44" s="4078" t="str">
        <f>IF(E43=0,"",VLOOKUP(E43,Tabla_ArmasyEscudos,9,FALSE))</f>
        <v/>
      </c>
      <c r="D44" s="4079"/>
      <c r="E44" s="1365" t="s">
        <v>1892</v>
      </c>
      <c r="F44" s="4080"/>
      <c r="G44" s="4080"/>
      <c r="H44" s="4029">
        <f>IF(E43=0,0,Turno_Nat_final-20+IF(E43=E51,-10,0)+MIN(I46+VLOOKUP(E43,Tabla_ArmasyEscudos,3,FALSE)+IF(F44=0,0,IF(Tamaño&lt;VLOOKUP(F44,Tabla_ArmasEnormes,3,FALSE),-40,0)),IF(E51="",99999,I54+VLOOKUP(E51,Tabla_ArmasyEscudos,3,FALSE)+IF(F52=0,0,IF(Tamaño&lt;VLOOKUP(F52,Tabla_ArmasEnormes,3,FALSE),-40,0)))))+Personalización!AG7</f>
        <v>0</v>
      </c>
      <c r="I44" s="4037">
        <f>IF(E43=0,HA_final,HA_final+VLOOKUP(C44,Tabla_ArmaDistinta,2)+I46+MIN(0,10*(FUE-VLOOKUP(E43,Tabla_ArmasyEscudos,4,FALSE)-IF(F44=0,0,VLOOKUP(F44,Tabla_ArmasEnormes,4,FALSE))))-IF(Tablas!$H$519&lt;0,IF(E43=Arma_Desarrollada,0,30),0))+SUMPRODUCT(--ISNUMBER(SEARCH(E43,ArmasAM)),ArmasAM_HA)+Personalización!AG8</f>
        <v>55</v>
      </c>
      <c r="J44" s="405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2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5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78" t="str">
        <f>IF(P43=0,"",VLOOKUP(P43,Tabla_ArmasyEscudos,9,FALSE))</f>
        <v/>
      </c>
      <c r="O44" s="4079"/>
      <c r="P44" s="1365" t="s">
        <v>1892</v>
      </c>
      <c r="Q44" s="4080"/>
      <c r="R44" s="4080"/>
      <c r="S44" s="4029">
        <f>IF(P43=0,0,Turno_Nat_final-20+IF(P43=P51,-10,0)+MIN(T46+VLOOKUP(P43,Tabla_ArmasyEscudos,3,FALSE)+IF(Q44=0,0,IF(Tamaño&lt;VLOOKUP(Q44,Tabla_ArmasEnormes,3,FALSE),-40,0)),IF(P51="",99999,T54+VLOOKUP(P51,Tabla_ArmasyEscudos,3,FALSE)+IF(Q52=0,0,IF(Tamaño&lt;VLOOKUP(Q52,Tabla_ArmasEnormes,3,FALSE),-40,0)))))+Personalización!AG12</f>
        <v>0</v>
      </c>
      <c r="T44" s="4037">
        <f>IF(P43=0,HA_final,HA_final+VLOOKUP(N44,Tabla_ArmaDistinta,2)+T46+MIN(0,10*(FUE-VLOOKUP(P43,Tabla_ArmasyEscudos,4,FALSE)-IF(Q44=0,0,VLOOKUP(Q44,Tabla_ArmasEnormes,4,FALSE))))-IF(Tablas!$H$519&lt;0,IF(P43=Arma_Desarrollada,0,30),0))+SUMPRODUCT(--ISNUMBER(SEARCH(P43,ArmasAM)),ArmasAM_HA)+Personalización!AG13</f>
        <v>55</v>
      </c>
      <c r="U44" s="405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4029"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5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3985" t="str">
        <f>IF(PDs!$AD69=0,"",PDs!$AD69)</f>
        <v/>
      </c>
      <c r="AC44" s="3985"/>
      <c r="AD44" s="3985"/>
      <c r="AE44" s="3985"/>
      <c r="AF44" s="3985"/>
      <c r="AG44" s="3985"/>
      <c r="AH44" s="3986" t="str">
        <f>IF(PDs!$V69=0,"",PDs!$V69)</f>
        <v/>
      </c>
      <c r="AI44" s="3986"/>
      <c r="AJ44" s="3986"/>
      <c r="AK44" s="3986"/>
      <c r="AL44" s="3986"/>
      <c r="AM44" s="3986"/>
      <c r="AN44" s="3986"/>
      <c r="AO44" s="3986"/>
      <c r="AP44" s="3986"/>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c r="A45" s="45"/>
      <c r="B45" s="2849"/>
      <c r="C45" s="2596" t="s">
        <v>1884</v>
      </c>
      <c r="D45" s="2597" t="s">
        <v>1885</v>
      </c>
      <c r="E45" s="2597" t="s">
        <v>1869</v>
      </c>
      <c r="F45" s="2597" t="s">
        <v>1886</v>
      </c>
      <c r="G45" s="515" t="s">
        <v>1870</v>
      </c>
      <c r="H45" s="3347"/>
      <c r="I45" s="4136"/>
      <c r="J45" s="4123"/>
      <c r="K45" s="3347"/>
      <c r="L45" s="4112"/>
      <c r="N45" s="2596" t="s">
        <v>1884</v>
      </c>
      <c r="O45" s="2597" t="s">
        <v>1885</v>
      </c>
      <c r="P45" s="2597" t="s">
        <v>1869</v>
      </c>
      <c r="Q45" s="2597" t="s">
        <v>1886</v>
      </c>
      <c r="R45" s="515" t="s">
        <v>1870</v>
      </c>
      <c r="S45" s="3347"/>
      <c r="T45" s="4136"/>
      <c r="U45" s="4123"/>
      <c r="V45" s="3347"/>
      <c r="W45" s="4112"/>
      <c r="X45" s="1679"/>
      <c r="Y45" s="45"/>
      <c r="Z45" s="45"/>
      <c r="AA45" s="2713"/>
      <c r="AB45" s="3985" t="str">
        <f>IF(PDs!$AD70=0,"",PDs!$AD70)</f>
        <v/>
      </c>
      <c r="AC45" s="3985"/>
      <c r="AD45" s="3985"/>
      <c r="AE45" s="3985"/>
      <c r="AF45" s="3985"/>
      <c r="AG45" s="3985"/>
      <c r="AH45" s="3986" t="str">
        <f>IF(PDs!$V70=0,"",PDs!$V70)</f>
        <v/>
      </c>
      <c r="AI45" s="3986"/>
      <c r="AJ45" s="3986"/>
      <c r="AK45" s="3986"/>
      <c r="AL45" s="3986"/>
      <c r="AM45" s="3986"/>
      <c r="AN45" s="3986"/>
      <c r="AO45" s="3986"/>
      <c r="AP45" s="3986"/>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4113" t="str">
        <f>IF(Tablas!$G$500&gt;0,"-50 a puntería","")</f>
        <v/>
      </c>
      <c r="K46" s="4113"/>
      <c r="L46" s="4114"/>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4113" t="str">
        <f>IF(Tablas!$G$500&gt;0,"-50 a puntería","")</f>
        <v/>
      </c>
      <c r="V46" s="4113"/>
      <c r="W46" s="4114"/>
      <c r="X46" s="1679"/>
      <c r="Y46" s="45"/>
      <c r="Z46" s="45"/>
      <c r="AA46" s="2713"/>
      <c r="AB46" s="3985" t="str">
        <f>IF(PDs!$AD71=0,"",PDs!$AD71)</f>
        <v/>
      </c>
      <c r="AC46" s="3985"/>
      <c r="AD46" s="3985"/>
      <c r="AE46" s="3985"/>
      <c r="AF46" s="3985"/>
      <c r="AG46" s="3985"/>
      <c r="AH46" s="3477" t="str">
        <f>IF(PDs!$V71=0,"",PDs!$V71)</f>
        <v/>
      </c>
      <c r="AI46" s="3477"/>
      <c r="AJ46" s="3477"/>
      <c r="AK46" s="3477"/>
      <c r="AL46" s="3477"/>
      <c r="AM46" s="3477"/>
      <c r="AN46" s="3477"/>
      <c r="AO46" s="3477"/>
      <c r="AP46" s="3477"/>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c r="A47" s="45"/>
      <c r="B47" s="2849"/>
      <c r="C47" s="4115" t="s">
        <v>1899</v>
      </c>
      <c r="D47" s="4116"/>
      <c r="E47" s="4129"/>
      <c r="F47" s="4130"/>
      <c r="G47" s="4131"/>
      <c r="H47" s="150" t="s">
        <v>1894</v>
      </c>
      <c r="I47" s="109"/>
      <c r="J47" s="4132" t="str">
        <f>IF(F44=0,IF(I47=0,"","TA defensor:"),IF(Tamaño&lt;VLOOKUP(F44,Tabla_ArmasEnormes,2,FALSE),"Tam. excesivo",IF(I47=0,"","TA defensor:")))</f>
        <v/>
      </c>
      <c r="K47" s="4133"/>
      <c r="L47" s="2732" t="str">
        <f>IF(J47="TA defensor:",I47/(-5),"")</f>
        <v/>
      </c>
      <c r="M47" s="2707"/>
      <c r="N47" s="4115" t="s">
        <v>1899</v>
      </c>
      <c r="O47" s="4116"/>
      <c r="P47" s="4129"/>
      <c r="Q47" s="4130"/>
      <c r="R47" s="4131"/>
      <c r="S47" s="150" t="s">
        <v>1894</v>
      </c>
      <c r="T47" s="109"/>
      <c r="U47" s="4132" t="str">
        <f>IF(Q44=0,IF(T47=0,"","TA defensor:"),IF(Tamaño&lt;VLOOKUP(Q44,Tabla_ArmasEnormes,2,FALSE),"Tam. excesivo",IF(T47=0,"","TA defensor:")))</f>
        <v/>
      </c>
      <c r="V47" s="4133"/>
      <c r="W47" s="2732" t="str">
        <f>IF(U47="TA defensor:",T47/(-5),"")</f>
        <v/>
      </c>
      <c r="X47" s="2714"/>
      <c r="Y47" s="45"/>
      <c r="Z47" s="45"/>
      <c r="AA47" s="2713"/>
      <c r="AB47" s="3985" t="str">
        <f>IF(PDs!$AD72=0,"",PDs!$AD72)</f>
        <v/>
      </c>
      <c r="AC47" s="3985"/>
      <c r="AD47" s="3985"/>
      <c r="AE47" s="3985"/>
      <c r="AF47" s="3985"/>
      <c r="AG47" s="3985"/>
      <c r="AH47" s="3477" t="str">
        <f>IF(PDs!$V72=0,"",PDs!$V72)</f>
        <v/>
      </c>
      <c r="AI47" s="3477"/>
      <c r="AJ47" s="3477"/>
      <c r="AK47" s="3477"/>
      <c r="AL47" s="3477"/>
      <c r="AM47" s="3477"/>
      <c r="AN47" s="3477"/>
      <c r="AO47" s="3477"/>
      <c r="AP47" s="3477"/>
      <c r="AQ47" s="203">
        <f>IF(AB47="",0,VLOOKUP(AB47,Tablas!$D$806:$G$895,4,FALSE))</f>
        <v>0</v>
      </c>
      <c r="AR47" s="2976"/>
      <c r="AS47" s="2809"/>
      <c r="AZ47" s="2974"/>
      <c r="BH47" s="2974"/>
      <c r="BI47" s="2974"/>
      <c r="BJ47" s="2974"/>
      <c r="BK47" s="2974"/>
      <c r="BL47" s="2974"/>
      <c r="BM47" s="2974"/>
      <c r="BN47" s="2974"/>
      <c r="BO47" s="2974"/>
    </row>
    <row r="48" spans="1:67" ht="12" customHeight="1">
      <c r="A48" s="45"/>
      <c r="B48" s="2849"/>
      <c r="C48" s="1260" t="s">
        <v>1884</v>
      </c>
      <c r="D48" s="182" t="s">
        <v>1885</v>
      </c>
      <c r="E48" s="2724" t="s">
        <v>1869</v>
      </c>
      <c r="F48" s="2724" t="s">
        <v>1886</v>
      </c>
      <c r="G48" s="2724" t="s">
        <v>1870</v>
      </c>
      <c r="H48" s="1254" t="s">
        <v>1658</v>
      </c>
      <c r="I48" s="127" t="s">
        <v>1900</v>
      </c>
      <c r="J48" s="2726" t="s">
        <v>1901</v>
      </c>
      <c r="K48" s="3307" t="s">
        <v>9995</v>
      </c>
      <c r="L48" s="4126"/>
      <c r="N48" s="1260" t="s">
        <v>1884</v>
      </c>
      <c r="O48" s="182" t="s">
        <v>1885</v>
      </c>
      <c r="P48" s="2724" t="s">
        <v>1869</v>
      </c>
      <c r="Q48" s="2724" t="s">
        <v>1886</v>
      </c>
      <c r="R48" s="2724" t="s">
        <v>1870</v>
      </c>
      <c r="S48" s="1254" t="s">
        <v>1658</v>
      </c>
      <c r="T48" s="127" t="s">
        <v>1900</v>
      </c>
      <c r="U48" s="2726" t="s">
        <v>1901</v>
      </c>
      <c r="V48" s="3307" t="s">
        <v>9995</v>
      </c>
      <c r="W48" s="4126"/>
      <c r="X48" s="1679"/>
      <c r="Y48" s="45"/>
      <c r="Z48" s="45"/>
      <c r="AA48" s="2713"/>
      <c r="AB48" s="3985" t="str">
        <f>IF(PDs!$AD73=0,"",PDs!$AD73)</f>
        <v/>
      </c>
      <c r="AC48" s="3985"/>
      <c r="AD48" s="3985"/>
      <c r="AE48" s="3985"/>
      <c r="AF48" s="3985"/>
      <c r="AG48" s="3985"/>
      <c r="AH48" s="3477" t="str">
        <f>IF(PDs!$V73=0,"",PDs!$V73)</f>
        <v/>
      </c>
      <c r="AI48" s="3477"/>
      <c r="AJ48" s="3477"/>
      <c r="AK48" s="3477"/>
      <c r="AL48" s="3477"/>
      <c r="AM48" s="3477"/>
      <c r="AN48" s="3477"/>
      <c r="AO48" s="3477"/>
      <c r="AP48" s="3477"/>
      <c r="AQ48" s="203">
        <f>IF(AB48="",0,VLOOKUP(AB48,Tablas!$D$806:$G$895,4,FALSE))</f>
        <v>0</v>
      </c>
      <c r="AR48" s="2976"/>
      <c r="AS48" s="2809"/>
      <c r="AZ48" s="2974"/>
      <c r="BH48" s="2974"/>
      <c r="BI48" s="2974"/>
      <c r="BJ48" s="2974"/>
      <c r="BK48" s="2974"/>
      <c r="BL48" s="2974"/>
      <c r="BM48" s="2974"/>
      <c r="BN48" s="2974"/>
      <c r="BO48" s="2974"/>
    </row>
    <row r="49" spans="1:67" ht="12" customHeight="1" thickBot="1">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4134"/>
      <c r="L49" s="4135"/>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4134"/>
      <c r="W49" s="4135"/>
      <c r="X49" s="1679"/>
      <c r="Y49" s="45"/>
      <c r="Z49" s="45"/>
      <c r="AA49" s="2713"/>
      <c r="AB49" s="3985" t="str">
        <f>IF(PDs!$AD74=0,"",PDs!$AD74)</f>
        <v/>
      </c>
      <c r="AC49" s="3985"/>
      <c r="AD49" s="3985"/>
      <c r="AE49" s="3985"/>
      <c r="AF49" s="3985"/>
      <c r="AG49" s="3985"/>
      <c r="AH49" s="3477" t="str">
        <f>IF(PDs!$V74=0,"",PDs!$V74)</f>
        <v/>
      </c>
      <c r="AI49" s="3477"/>
      <c r="AJ49" s="3477"/>
      <c r="AK49" s="3477"/>
      <c r="AL49" s="3477"/>
      <c r="AM49" s="3477"/>
      <c r="AN49" s="3477"/>
      <c r="AO49" s="3477"/>
      <c r="AP49" s="3477"/>
      <c r="AQ49" s="203">
        <f>IF(AB49="",0,VLOOKUP(AB49,Tablas!$D$806:$G$895,4,FALSE))</f>
        <v>0</v>
      </c>
      <c r="AR49" s="2976"/>
      <c r="AS49" s="2809"/>
      <c r="AZ49" s="2974"/>
      <c r="BH49" s="2974"/>
      <c r="BI49" s="2974"/>
      <c r="BJ49" s="2974"/>
      <c r="BK49" s="2974"/>
      <c r="BL49" s="2974"/>
      <c r="BM49" s="2974"/>
      <c r="BN49" s="2974"/>
      <c r="BO49" s="2974"/>
    </row>
    <row r="50" spans="1:67" ht="12" customHeight="1" thickBot="1">
      <c r="A50" s="45"/>
      <c r="B50" s="2849"/>
      <c r="C50" s="4127" t="str">
        <f>IF(E43=0,"",VLOOKUP(E43,Tabla_ArmasyEscudos,19,FALSE))</f>
        <v/>
      </c>
      <c r="D50" s="4141"/>
      <c r="E50" s="4141"/>
      <c r="F50" s="4141"/>
      <c r="G50" s="4141"/>
      <c r="H50" s="4124" t="str">
        <f>IF(E47=0,"",VLOOKUP(E47,Tabla_ArmasyEscudos,19,FALSE))</f>
        <v/>
      </c>
      <c r="I50" s="4124"/>
      <c r="J50" s="4124"/>
      <c r="K50" s="4124"/>
      <c r="L50" s="4125"/>
      <c r="N50" s="4127" t="str">
        <f>IF(P43=0,"",VLOOKUP(P43,Tabla_ArmasyEscudos,19,FALSE))</f>
        <v/>
      </c>
      <c r="O50" s="4141"/>
      <c r="P50" s="4141"/>
      <c r="Q50" s="4141"/>
      <c r="R50" s="4141"/>
      <c r="S50" s="4124" t="str">
        <f>IF(P47=0,"",VLOOKUP(P47,Tabla_ArmasyEscudos,19,FALSE))</f>
        <v/>
      </c>
      <c r="T50" s="4124"/>
      <c r="U50" s="4124"/>
      <c r="V50" s="4124"/>
      <c r="W50" s="4125"/>
      <c r="X50" s="1679"/>
      <c r="Y50" s="45"/>
      <c r="Z50" s="45"/>
      <c r="AA50" s="2713"/>
      <c r="AB50" s="4121" t="str">
        <f>IF(PDs!$E75=0,"",PDs!$E75)</f>
        <v/>
      </c>
      <c r="AC50" s="4121"/>
      <c r="AD50" s="4121"/>
      <c r="AE50" s="4121"/>
      <c r="AF50" s="4121"/>
      <c r="AG50" s="4121"/>
      <c r="AH50" s="4139" t="str">
        <f>IF($AB50="","",IF(PDs!$V75="FALTAN REQUISITOS",PDs!$V75,VLOOKUP(AB50,Tabla_AM_Armas,5,FALSE)))</f>
        <v/>
      </c>
      <c r="AI50" s="4139"/>
      <c r="AJ50" s="4139"/>
      <c r="AK50" s="4139"/>
      <c r="AL50" s="4139"/>
      <c r="AM50" s="4139"/>
      <c r="AN50" s="4139"/>
      <c r="AO50" s="4139"/>
      <c r="AP50" s="4139"/>
      <c r="AQ50" s="4139"/>
      <c r="AR50" s="2976"/>
      <c r="AS50" s="2809"/>
      <c r="AZ50" s="2974"/>
      <c r="BH50" s="2974"/>
      <c r="BI50" s="2974"/>
      <c r="BJ50" s="2974"/>
      <c r="BK50" s="2974"/>
      <c r="BL50" s="2974"/>
      <c r="BM50" s="2974"/>
      <c r="BN50" s="2974"/>
      <c r="BO50" s="2974"/>
    </row>
    <row r="51" spans="1:67" ht="12" customHeight="1" thickBot="1">
      <c r="A51" s="45"/>
      <c r="B51" s="2849"/>
      <c r="C51" s="3377" t="s">
        <v>9993</v>
      </c>
      <c r="D51" s="4083"/>
      <c r="E51" s="4118"/>
      <c r="F51" s="4119"/>
      <c r="G51" s="4120"/>
      <c r="H51" s="1258" t="s">
        <v>1702</v>
      </c>
      <c r="I51" s="2729" t="s">
        <v>1880</v>
      </c>
      <c r="J51" s="4041" t="s">
        <v>1881</v>
      </c>
      <c r="K51" s="4041"/>
      <c r="L51" s="2706" t="s">
        <v>1882</v>
      </c>
      <c r="N51" s="3377" t="s">
        <v>9993</v>
      </c>
      <c r="O51" s="4083"/>
      <c r="P51" s="4118"/>
      <c r="Q51" s="4119"/>
      <c r="R51" s="4120"/>
      <c r="S51" s="1258" t="s">
        <v>1702</v>
      </c>
      <c r="T51" s="2729" t="s">
        <v>1880</v>
      </c>
      <c r="U51" s="4041" t="s">
        <v>1881</v>
      </c>
      <c r="V51" s="4041"/>
      <c r="W51" s="2706" t="s">
        <v>1882</v>
      </c>
      <c r="X51" s="1679"/>
      <c r="Y51" s="45"/>
      <c r="Z51" s="45"/>
      <c r="AA51" s="2713"/>
      <c r="AB51" s="4122" t="str">
        <f>IF(PDs!$E76=0,"",PDs!$E76)</f>
        <v/>
      </c>
      <c r="AC51" s="4122"/>
      <c r="AD51" s="4122"/>
      <c r="AE51" s="4122"/>
      <c r="AF51" s="4122"/>
      <c r="AG51" s="4122"/>
      <c r="AH51" s="3981" t="str">
        <f>IF($AB51="","",IF(PDs!$V76="FALTAN REQUISITOS",PDs!$V76,VLOOKUP(AB51,Tabla_AM_Armas,5,FALSE)))</f>
        <v/>
      </c>
      <c r="AI51" s="3981"/>
      <c r="AJ51" s="3981"/>
      <c r="AK51" s="3981"/>
      <c r="AL51" s="3981"/>
      <c r="AM51" s="3981"/>
      <c r="AN51" s="3981"/>
      <c r="AO51" s="3981"/>
      <c r="AP51" s="3981"/>
      <c r="AQ51" s="3981"/>
      <c r="AR51" s="2976"/>
      <c r="AS51" s="2809"/>
      <c r="AZ51" s="2974"/>
      <c r="BH51" s="2974"/>
      <c r="BI51" s="2974"/>
      <c r="BJ51" s="2974"/>
      <c r="BK51" s="2974"/>
      <c r="BL51" s="2974"/>
      <c r="BM51" s="2974"/>
      <c r="BN51" s="2974"/>
      <c r="BO51" s="2974"/>
    </row>
    <row r="52" spans="1:67" ht="12" customHeight="1" thickBot="1">
      <c r="A52" s="45"/>
      <c r="B52" s="2849"/>
      <c r="C52" s="4078" t="str">
        <f>IF(E51=0,"",VLOOKUP(E51,Tabla_ArmasyEscudos,9,FALSE))</f>
        <v/>
      </c>
      <c r="D52" s="4079"/>
      <c r="E52" s="1365" t="s">
        <v>1892</v>
      </c>
      <c r="F52" s="4080"/>
      <c r="G52" s="4080"/>
      <c r="H52" s="3373" t="s">
        <v>1896</v>
      </c>
      <c r="I52" s="4036">
        <f>IF(E51=0,HA_final,HA_final+VLOOKUP(C52,Tabla_ArmaDistinta,2)+I54+MIN(0,10*(FUE-VLOOKUP(E51,Tabla_ArmasyEscudos,4,FALSE)-IF(F52=0,0,VLOOKUP(F52,Tabla_ArmasEnormes,4,FALSE))))-IF(Tablas!$H$519&lt;0,IF(E51=Arma_Desarrollada,0,30),0))+SUMPRODUCT(--ISNUMBER(SEARCH(E51,ArmasAM)),ArmasAM_HA)+Personalización!AI8</f>
        <v>55</v>
      </c>
      <c r="J52" s="408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7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5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78" t="str">
        <f>IF(P51=0,"",VLOOKUP(P51,Tabla_ArmasyEscudos,9,FALSE))</f>
        <v/>
      </c>
      <c r="O52" s="4079"/>
      <c r="P52" s="1365" t="s">
        <v>1892</v>
      </c>
      <c r="Q52" s="4080"/>
      <c r="R52" s="4080"/>
      <c r="S52" s="3373" t="s">
        <v>1896</v>
      </c>
      <c r="T52" s="4036">
        <f>IF(P51=0,HA_final,HA_final+VLOOKUP(N52,Tabla_ArmaDistinta,2)+T54+MIN(0,10*(FUE-VLOOKUP(P51,Tabla_ArmasyEscudos,4,FALSE)-IF(Q52=0,0,VLOOKUP(Q52,Tabla_ArmasEnormes,4,FALSE))))-IF(Tablas!$H$519&lt;0,IF(P51=Arma_Desarrollada,0,30),0))+SUMPRODUCT(--ISNUMBER(SEARCH(P51,ArmasAM)),ArmasAM_HA)+Personalización!AI13</f>
        <v>55</v>
      </c>
      <c r="U52" s="4082">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37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5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4140" t="str">
        <f>IF(PDs!$E77=0,"",PDs!$E77)</f>
        <v/>
      </c>
      <c r="AC52" s="4140"/>
      <c r="AD52" s="4140"/>
      <c r="AE52" s="4140"/>
      <c r="AF52" s="4140"/>
      <c r="AG52" s="4140"/>
      <c r="AH52" s="3983" t="str">
        <f>IF($AB52="","",IF(PDs!$V77="FALTAN REQUISITOS",PDs!$V77,VLOOKUP(AB52,Tabla_AM_Armas,5,FALSE)))</f>
        <v/>
      </c>
      <c r="AI52" s="3983"/>
      <c r="AJ52" s="3983"/>
      <c r="AK52" s="3983"/>
      <c r="AL52" s="3983"/>
      <c r="AM52" s="3983"/>
      <c r="AN52" s="3983"/>
      <c r="AO52" s="3983"/>
      <c r="AP52" s="3983"/>
      <c r="AQ52" s="3983"/>
      <c r="AR52" s="2976"/>
      <c r="AS52" s="2809"/>
      <c r="AZ52" s="2974"/>
      <c r="BH52" s="2974"/>
      <c r="BI52" s="2974"/>
      <c r="BJ52" s="2974"/>
      <c r="BK52" s="2974"/>
      <c r="BL52" s="2974"/>
      <c r="BM52" s="2974"/>
      <c r="BN52" s="2974"/>
      <c r="BO52" s="2974"/>
    </row>
    <row r="53" spans="1:67" ht="12" customHeight="1" thickBot="1">
      <c r="A53" s="45"/>
      <c r="B53" s="2849"/>
      <c r="C53" s="2596" t="s">
        <v>1884</v>
      </c>
      <c r="D53" s="2597" t="s">
        <v>1885</v>
      </c>
      <c r="E53" s="2597" t="s">
        <v>1869</v>
      </c>
      <c r="F53" s="2597" t="s">
        <v>1886</v>
      </c>
      <c r="G53" s="515" t="s">
        <v>1870</v>
      </c>
      <c r="H53" s="4036"/>
      <c r="I53" s="4036"/>
      <c r="J53" s="4082"/>
      <c r="K53" s="3373"/>
      <c r="L53" s="4054"/>
      <c r="M53" s="2707"/>
      <c r="N53" s="2596" t="s">
        <v>1884</v>
      </c>
      <c r="O53" s="2597" t="s">
        <v>1885</v>
      </c>
      <c r="P53" s="2597" t="s">
        <v>1869</v>
      </c>
      <c r="Q53" s="2597" t="s">
        <v>1886</v>
      </c>
      <c r="R53" s="515" t="s">
        <v>1870</v>
      </c>
      <c r="S53" s="4036"/>
      <c r="T53" s="4036"/>
      <c r="U53" s="4082"/>
      <c r="V53" s="3373"/>
      <c r="W53" s="4054"/>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4113" t="str">
        <f>IF(Tablas!$G$500&gt;0,"-50 a puntería","")</f>
        <v/>
      </c>
      <c r="K54" s="4113"/>
      <c r="L54" s="4114"/>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4113" t="str">
        <f>IF(Tablas!$G$500&gt;0,"-50 a puntería","")</f>
        <v/>
      </c>
      <c r="V54" s="4113"/>
      <c r="W54" s="4114"/>
      <c r="X54" s="1679"/>
      <c r="Y54" s="45"/>
      <c r="Z54" s="45"/>
      <c r="AA54" s="2713"/>
      <c r="AB54" s="3281" t="s">
        <v>1816</v>
      </c>
      <c r="AC54" s="3281"/>
      <c r="AD54" s="3281"/>
      <c r="AE54" s="3281"/>
      <c r="AF54" s="3281"/>
      <c r="AG54" s="3281"/>
      <c r="AH54" s="4138" t="s">
        <v>1861</v>
      </c>
      <c r="AI54" s="4138"/>
      <c r="AJ54" s="4138"/>
      <c r="AK54" s="4138"/>
      <c r="AL54" s="4138"/>
      <c r="AM54" s="4138"/>
      <c r="AN54" s="4138"/>
      <c r="AO54" s="4138"/>
      <c r="AP54" s="4138"/>
      <c r="AQ54" s="4138"/>
      <c r="AR54" s="2976"/>
      <c r="AS54" s="2809"/>
      <c r="AZ54" s="2974"/>
      <c r="BH54" s="2974"/>
      <c r="BI54" s="2974"/>
      <c r="BJ54" s="2974"/>
      <c r="BK54" s="2974"/>
      <c r="BL54" s="2974"/>
      <c r="BM54" s="2974"/>
      <c r="BN54" s="2974"/>
      <c r="BO54" s="2974"/>
    </row>
    <row r="55" spans="1:67" ht="12" customHeight="1" thickBot="1">
      <c r="A55" s="45"/>
      <c r="B55" s="2849"/>
      <c r="C55" s="4115" t="s">
        <v>1899</v>
      </c>
      <c r="D55" s="4116"/>
      <c r="E55" s="4129"/>
      <c r="F55" s="4130"/>
      <c r="G55" s="4131"/>
      <c r="H55" s="150" t="s">
        <v>1894</v>
      </c>
      <c r="I55" s="109"/>
      <c r="J55" s="4132" t="str">
        <f>IF(F52=0,IF(I55=0,"","TA defensor:"),IF(Tamaño&lt;VLOOKUP(F52,Tabla_ArmasEnormes,2,FALSE),"Tam. excesivo",IF(I55=0,"","TA defensor:")))</f>
        <v/>
      </c>
      <c r="K55" s="4133"/>
      <c r="L55" s="2732" t="str">
        <f>IF(J55="TA defensor:",I55/(-5),"")</f>
        <v/>
      </c>
      <c r="N55" s="4115" t="s">
        <v>1899</v>
      </c>
      <c r="O55" s="4116"/>
      <c r="P55" s="4129"/>
      <c r="Q55" s="4130"/>
      <c r="R55" s="4131"/>
      <c r="S55" s="150" t="s">
        <v>1894</v>
      </c>
      <c r="T55" s="109"/>
      <c r="U55" s="4132" t="str">
        <f>IF(Q52=0,IF(T55=0,"","TA defensor:"),IF(Tamaño&lt;VLOOKUP(Q52,Tabla_ArmasEnormes,2,FALSE),"Tam. excesivo",IF(T55=0,"","TA defensor:")))</f>
        <v/>
      </c>
      <c r="V55" s="4133"/>
      <c r="W55" s="2732" t="str">
        <f>IF(U55="TA defensor:",T55/(-5),"")</f>
        <v/>
      </c>
      <c r="X55" s="1679"/>
      <c r="Y55" s="45"/>
      <c r="Z55" s="45"/>
      <c r="AA55" s="2713"/>
      <c r="AB55" s="3997" t="str">
        <f>IF(PDs!E78=0,"",PDs!E78)</f>
        <v/>
      </c>
      <c r="AC55" s="3997"/>
      <c r="AD55" s="3997"/>
      <c r="AE55" s="3997"/>
      <c r="AF55" s="3997"/>
      <c r="AG55" s="3997"/>
      <c r="AH55" s="4137" t="str">
        <f>IF(AB55="","",VLOOKUP(AB55,Tabla_ArsMagnus,6,FALSE))</f>
        <v/>
      </c>
      <c r="AI55" s="4137"/>
      <c r="AJ55" s="4137"/>
      <c r="AK55" s="4137"/>
      <c r="AL55" s="4137"/>
      <c r="AM55" s="4137"/>
      <c r="AN55" s="4137"/>
      <c r="AO55" s="4137"/>
      <c r="AP55" s="4137"/>
      <c r="AQ55" s="4137"/>
      <c r="AR55" s="2976"/>
      <c r="AS55" s="2809"/>
      <c r="AZ55" s="2974"/>
      <c r="BH55" s="2974"/>
      <c r="BI55" s="2974"/>
      <c r="BJ55" s="2974"/>
      <c r="BK55" s="2974"/>
      <c r="BL55" s="2974"/>
      <c r="BM55" s="2974"/>
      <c r="BN55" s="2974"/>
      <c r="BO55" s="2974"/>
    </row>
    <row r="56" spans="1:67" ht="12" customHeight="1">
      <c r="A56" s="45"/>
      <c r="B56" s="2849"/>
      <c r="C56" s="1260" t="s">
        <v>1884</v>
      </c>
      <c r="D56" s="182" t="s">
        <v>1885</v>
      </c>
      <c r="E56" s="2724" t="s">
        <v>1869</v>
      </c>
      <c r="F56" s="2724" t="s">
        <v>1886</v>
      </c>
      <c r="G56" s="2724" t="s">
        <v>1870</v>
      </c>
      <c r="H56" s="1254" t="s">
        <v>1658</v>
      </c>
      <c r="I56" s="127" t="s">
        <v>1900</v>
      </c>
      <c r="J56" s="2726" t="s">
        <v>1901</v>
      </c>
      <c r="K56" s="3307" t="s">
        <v>9995</v>
      </c>
      <c r="L56" s="4126"/>
      <c r="N56" s="1260" t="s">
        <v>1884</v>
      </c>
      <c r="O56" s="182" t="s">
        <v>1885</v>
      </c>
      <c r="P56" s="2724" t="s">
        <v>1869</v>
      </c>
      <c r="Q56" s="2724" t="s">
        <v>1886</v>
      </c>
      <c r="R56" s="2724" t="s">
        <v>1870</v>
      </c>
      <c r="S56" s="1254" t="s">
        <v>1658</v>
      </c>
      <c r="T56" s="127" t="s">
        <v>1900</v>
      </c>
      <c r="U56" s="2726" t="s">
        <v>1901</v>
      </c>
      <c r="V56" s="3307" t="s">
        <v>9995</v>
      </c>
      <c r="W56" s="4126"/>
      <c r="X56" s="1679"/>
      <c r="Y56" s="45"/>
      <c r="Z56" s="45"/>
      <c r="AA56" s="2713"/>
      <c r="AB56" s="3997"/>
      <c r="AC56" s="3997"/>
      <c r="AD56" s="3997"/>
      <c r="AE56" s="3997"/>
      <c r="AF56" s="3997"/>
      <c r="AG56" s="3997"/>
      <c r="AH56" s="4137"/>
      <c r="AI56" s="4137"/>
      <c r="AJ56" s="4137"/>
      <c r="AK56" s="4137"/>
      <c r="AL56" s="4137"/>
      <c r="AM56" s="4137"/>
      <c r="AN56" s="4137"/>
      <c r="AO56" s="4137"/>
      <c r="AP56" s="4137"/>
      <c r="AQ56" s="4137"/>
      <c r="AR56" s="2976"/>
      <c r="AS56" s="2809"/>
      <c r="AZ56" s="2974"/>
      <c r="BH56" s="2974"/>
      <c r="BI56" s="2974"/>
      <c r="BJ56" s="2974"/>
      <c r="BK56" s="2974"/>
      <c r="BL56" s="2974"/>
      <c r="BM56" s="2974"/>
      <c r="BN56" s="2974"/>
      <c r="BO56" s="2974"/>
    </row>
    <row r="57" spans="1:67" ht="12" customHeight="1" thickBot="1">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4134"/>
      <c r="L57" s="4135"/>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4134"/>
      <c r="W57" s="4135"/>
      <c r="X57" s="1679"/>
      <c r="Y57" s="45"/>
      <c r="Z57" s="45"/>
      <c r="AA57" s="2713"/>
      <c r="AB57" s="3987" t="str">
        <f>IF(PDs!E79=0,"",PDs!E79)</f>
        <v/>
      </c>
      <c r="AC57" s="3987"/>
      <c r="AD57" s="3987"/>
      <c r="AE57" s="3987"/>
      <c r="AF57" s="3987"/>
      <c r="AG57" s="3987"/>
      <c r="AH57" s="3479" t="str">
        <f>IF(AB57="","",VLOOKUP(AB57,Tabla_ArsMagnus,6,FALSE))</f>
        <v/>
      </c>
      <c r="AI57" s="3479"/>
      <c r="AJ57" s="3479"/>
      <c r="AK57" s="3479"/>
      <c r="AL57" s="3479"/>
      <c r="AM57" s="3479"/>
      <c r="AN57" s="3479"/>
      <c r="AO57" s="3479"/>
      <c r="AP57" s="3479"/>
      <c r="AQ57" s="3479"/>
      <c r="AR57" s="2976"/>
      <c r="AS57" s="2809"/>
      <c r="AZ57" s="2974"/>
      <c r="BH57" s="2974"/>
      <c r="BI57" s="2974"/>
      <c r="BJ57" s="2974"/>
      <c r="BK57" s="2974"/>
      <c r="BL57" s="2974"/>
      <c r="BM57" s="2974"/>
      <c r="BN57" s="2974"/>
      <c r="BO57" s="2974"/>
    </row>
    <row r="58" spans="1:67" ht="12" customHeight="1" thickBot="1">
      <c r="A58" s="45"/>
      <c r="B58" s="2849"/>
      <c r="C58" s="4127" t="str">
        <f>IF(E51=0,"",VLOOKUP(E51,Tabla_ArmasyEscudos,19,FALSE))</f>
        <v/>
      </c>
      <c r="D58" s="4128"/>
      <c r="E58" s="4128"/>
      <c r="F58" s="4128"/>
      <c r="G58" s="4128"/>
      <c r="H58" s="4124" t="str">
        <f>IF(E55=0,"",VLOOKUP(E55,Tabla_ArmasyEscudos,19,FALSE))</f>
        <v/>
      </c>
      <c r="I58" s="4124"/>
      <c r="J58" s="4124"/>
      <c r="K58" s="4124"/>
      <c r="L58" s="4125"/>
      <c r="N58" s="4127" t="str">
        <f>IF(P51=0,"",VLOOKUP(P51,Tabla_ArmasyEscudos,19,FALSE))</f>
        <v/>
      </c>
      <c r="O58" s="4128"/>
      <c r="P58" s="4128"/>
      <c r="Q58" s="4128"/>
      <c r="R58" s="4128"/>
      <c r="S58" s="4124" t="str">
        <f>IF(P55=0,"",VLOOKUP(P55,Tabla_ArmasyEscudos,19,FALSE))</f>
        <v/>
      </c>
      <c r="T58" s="4124"/>
      <c r="U58" s="4124"/>
      <c r="V58" s="4124"/>
      <c r="W58" s="4125"/>
      <c r="X58" s="1679"/>
      <c r="Y58" s="45"/>
      <c r="Z58" s="45"/>
      <c r="AA58" s="2713"/>
      <c r="AB58" s="3987"/>
      <c r="AC58" s="3987"/>
      <c r="AD58" s="3987"/>
      <c r="AE58" s="3987"/>
      <c r="AF58" s="3987"/>
      <c r="AG58" s="3987"/>
      <c r="AH58" s="3479"/>
      <c r="AI58" s="3479"/>
      <c r="AJ58" s="3479"/>
      <c r="AK58" s="3479"/>
      <c r="AL58" s="3479"/>
      <c r="AM58" s="3479"/>
      <c r="AN58" s="3479"/>
      <c r="AO58" s="3479"/>
      <c r="AP58" s="3479"/>
      <c r="AQ58" s="3479"/>
      <c r="AR58" s="2976"/>
      <c r="AS58" s="2809"/>
      <c r="AZ58" s="2974"/>
      <c r="BH58" s="2974"/>
      <c r="BI58" s="2974"/>
      <c r="BJ58" s="2974"/>
      <c r="BK58" s="2974"/>
      <c r="BL58" s="2974"/>
      <c r="BM58" s="2974"/>
      <c r="BN58" s="2974"/>
      <c r="BO58" s="2974"/>
    </row>
    <row r="59" spans="1:67" ht="12" customHeight="1" thickBot="1">
      <c r="A59" s="45"/>
      <c r="B59" s="2849"/>
      <c r="H59" s="64"/>
      <c r="S59" s="2707"/>
      <c r="T59" s="2707"/>
      <c r="U59" s="2707"/>
      <c r="X59" s="2714"/>
      <c r="Y59" s="45"/>
      <c r="Z59" s="45"/>
      <c r="AA59" s="2713"/>
      <c r="AB59" s="3987" t="str">
        <f>IF(PDs!E80=0,"",PDs!E80)</f>
        <v/>
      </c>
      <c r="AC59" s="3987"/>
      <c r="AD59" s="3987"/>
      <c r="AE59" s="3987"/>
      <c r="AF59" s="3987"/>
      <c r="AG59" s="3987"/>
      <c r="AH59" s="3479" t="str">
        <f>IF(AB59="","",VLOOKUP(AB59,Tabla_ArsMagnus,6,FALSE))</f>
        <v/>
      </c>
      <c r="AI59" s="3479"/>
      <c r="AJ59" s="3479"/>
      <c r="AK59" s="3479"/>
      <c r="AL59" s="3479"/>
      <c r="AM59" s="3479"/>
      <c r="AN59" s="3479"/>
      <c r="AO59" s="3479"/>
      <c r="AP59" s="3479"/>
      <c r="AQ59" s="3479"/>
      <c r="AR59" s="2976"/>
      <c r="AS59" s="2809"/>
      <c r="AZ59" s="2974"/>
      <c r="BH59" s="2974"/>
      <c r="BI59" s="2974"/>
      <c r="BJ59" s="2974"/>
      <c r="BK59" s="2974"/>
      <c r="BL59" s="2974"/>
      <c r="BM59" s="2974"/>
      <c r="BN59" s="2974"/>
      <c r="BO59" s="2974"/>
    </row>
    <row r="60" spans="1:67" ht="12" customHeight="1">
      <c r="A60" s="45"/>
      <c r="B60" s="2849"/>
      <c r="C60" s="3248" t="s">
        <v>1711</v>
      </c>
      <c r="D60" s="3249"/>
      <c r="E60" s="3249"/>
      <c r="F60" s="3249"/>
      <c r="G60" s="3249"/>
      <c r="H60" s="3249"/>
      <c r="I60" s="3249"/>
      <c r="J60" s="3249"/>
      <c r="K60" s="3249"/>
      <c r="L60" s="3250"/>
      <c r="N60" s="3248" t="s">
        <v>1711</v>
      </c>
      <c r="O60" s="3249"/>
      <c r="P60" s="3249"/>
      <c r="Q60" s="3249"/>
      <c r="R60" s="3249"/>
      <c r="S60" s="3249"/>
      <c r="T60" s="3249"/>
      <c r="U60" s="3249"/>
      <c r="V60" s="3249"/>
      <c r="W60" s="3250"/>
      <c r="X60" s="2714"/>
      <c r="Y60" s="45"/>
      <c r="Z60" s="45"/>
      <c r="AA60" s="2713"/>
      <c r="AB60" s="3987"/>
      <c r="AC60" s="3987"/>
      <c r="AD60" s="3987"/>
      <c r="AE60" s="3987"/>
      <c r="AF60" s="3987"/>
      <c r="AG60" s="3987"/>
      <c r="AH60" s="3479"/>
      <c r="AI60" s="3479"/>
      <c r="AJ60" s="3479"/>
      <c r="AK60" s="3479"/>
      <c r="AL60" s="3479"/>
      <c r="AM60" s="3479"/>
      <c r="AN60" s="3479"/>
      <c r="AO60" s="3479"/>
      <c r="AP60" s="3479"/>
      <c r="AQ60" s="3479"/>
      <c r="AR60" s="2976"/>
      <c r="AS60" s="2809"/>
      <c r="AZ60" s="2974"/>
      <c r="BH60" s="2974"/>
      <c r="BI60" s="2974"/>
      <c r="BJ60" s="2974"/>
      <c r="BK60" s="2974"/>
      <c r="BL60" s="2974"/>
      <c r="BM60" s="2974"/>
      <c r="BN60" s="2974"/>
      <c r="BO60" s="2974"/>
    </row>
    <row r="61" spans="1:67" ht="12" customHeight="1">
      <c r="A61" s="45"/>
      <c r="B61" s="2849"/>
      <c r="C61" s="4142"/>
      <c r="D61" s="4143"/>
      <c r="E61" s="4143"/>
      <c r="F61" s="4143"/>
      <c r="G61" s="4143"/>
      <c r="H61" s="4143"/>
      <c r="I61" s="4143"/>
      <c r="J61" s="4143"/>
      <c r="K61" s="4143"/>
      <c r="L61" s="4144"/>
      <c r="N61" s="4142"/>
      <c r="O61" s="4143"/>
      <c r="P61" s="4143"/>
      <c r="Q61" s="4143"/>
      <c r="R61" s="4143"/>
      <c r="S61" s="4143"/>
      <c r="T61" s="4143"/>
      <c r="U61" s="4143"/>
      <c r="V61" s="4143"/>
      <c r="W61" s="4144"/>
      <c r="X61" s="2714"/>
      <c r="Y61" s="45"/>
      <c r="Z61" s="45"/>
      <c r="AA61" s="2713"/>
      <c r="AB61" s="3987" t="str">
        <f>IF(PDs!E81=0,"",PDs!E81)</f>
        <v/>
      </c>
      <c r="AC61" s="3987"/>
      <c r="AD61" s="3987"/>
      <c r="AE61" s="3987"/>
      <c r="AF61" s="3987"/>
      <c r="AG61" s="3987"/>
      <c r="AH61" s="3479" t="str">
        <f>IF(AB61="","",VLOOKUP(AB61,Tabla_ArsMagnus,6,FALSE))</f>
        <v/>
      </c>
      <c r="AI61" s="3479"/>
      <c r="AJ61" s="3479"/>
      <c r="AK61" s="3479"/>
      <c r="AL61" s="3479"/>
      <c r="AM61" s="3479"/>
      <c r="AN61" s="3479"/>
      <c r="AO61" s="3479"/>
      <c r="AP61" s="3479"/>
      <c r="AQ61" s="3479"/>
      <c r="AR61" s="2976"/>
      <c r="AS61" s="2809"/>
      <c r="AZ61" s="2974"/>
      <c r="BH61" s="2974"/>
      <c r="BI61" s="2974"/>
      <c r="BJ61" s="2974"/>
      <c r="BK61" s="2974"/>
      <c r="BL61" s="2974"/>
      <c r="BM61" s="2974"/>
      <c r="BN61" s="2974"/>
      <c r="BO61" s="2974"/>
    </row>
    <row r="62" spans="1:67" ht="12" customHeight="1">
      <c r="A62" s="45"/>
      <c r="B62" s="2849"/>
      <c r="C62" s="4142"/>
      <c r="D62" s="4143"/>
      <c r="E62" s="4143"/>
      <c r="F62" s="4143"/>
      <c r="G62" s="4143"/>
      <c r="H62" s="4143"/>
      <c r="I62" s="4143"/>
      <c r="J62" s="4143"/>
      <c r="K62" s="4143"/>
      <c r="L62" s="4144"/>
      <c r="N62" s="4142"/>
      <c r="O62" s="4143"/>
      <c r="P62" s="4143"/>
      <c r="Q62" s="4143"/>
      <c r="R62" s="4143"/>
      <c r="S62" s="4143"/>
      <c r="T62" s="4143"/>
      <c r="U62" s="4143"/>
      <c r="V62" s="4143"/>
      <c r="W62" s="4144"/>
      <c r="X62" s="1679"/>
      <c r="Y62" s="45"/>
      <c r="Z62" s="45"/>
      <c r="AA62" s="2713"/>
      <c r="AB62" s="3987"/>
      <c r="AC62" s="3987"/>
      <c r="AD62" s="3987"/>
      <c r="AE62" s="3987"/>
      <c r="AF62" s="3987"/>
      <c r="AG62" s="3987"/>
      <c r="AH62" s="3479"/>
      <c r="AI62" s="3479"/>
      <c r="AJ62" s="3479"/>
      <c r="AK62" s="3479"/>
      <c r="AL62" s="3479"/>
      <c r="AM62" s="3479"/>
      <c r="AN62" s="3479"/>
      <c r="AO62" s="3479"/>
      <c r="AP62" s="3479"/>
      <c r="AQ62" s="3479"/>
      <c r="AR62" s="2976"/>
      <c r="AS62" s="2809"/>
      <c r="AZ62" s="2974"/>
      <c r="BH62" s="2974"/>
      <c r="BI62" s="2974"/>
      <c r="BJ62" s="2974"/>
      <c r="BK62" s="2974"/>
      <c r="BL62" s="2974"/>
      <c r="BM62" s="2974"/>
      <c r="BN62" s="2974"/>
      <c r="BO62" s="2974"/>
    </row>
    <row r="63" spans="1:67" ht="12" customHeight="1" thickBot="1">
      <c r="A63" s="45"/>
      <c r="B63" s="2849"/>
      <c r="C63" s="4142"/>
      <c r="D63" s="4143"/>
      <c r="E63" s="4143"/>
      <c r="F63" s="4143"/>
      <c r="G63" s="4143"/>
      <c r="H63" s="4143"/>
      <c r="I63" s="4143"/>
      <c r="J63" s="4143"/>
      <c r="K63" s="4143"/>
      <c r="L63" s="4144"/>
      <c r="N63" s="4142"/>
      <c r="O63" s="4143"/>
      <c r="P63" s="4143"/>
      <c r="Q63" s="4143"/>
      <c r="R63" s="4143"/>
      <c r="S63" s="4143"/>
      <c r="T63" s="4143"/>
      <c r="U63" s="4143"/>
      <c r="V63" s="4143"/>
      <c r="W63" s="4144"/>
      <c r="X63" s="1679"/>
      <c r="Y63" s="45"/>
      <c r="Z63" s="45"/>
      <c r="AA63" s="2713"/>
      <c r="AB63" s="4026" t="str">
        <f>IF(PDs!E82=0,"",PDs!E82)</f>
        <v/>
      </c>
      <c r="AC63" s="4026"/>
      <c r="AD63" s="4026"/>
      <c r="AE63" s="4026"/>
      <c r="AF63" s="4026"/>
      <c r="AG63" s="4026"/>
      <c r="AH63" s="4148" t="str">
        <f>IF(AB63="","",VLOOKUP(AB63,Tabla_ArsMagnus,6,FALSE))</f>
        <v/>
      </c>
      <c r="AI63" s="4148"/>
      <c r="AJ63" s="4148"/>
      <c r="AK63" s="4148"/>
      <c r="AL63" s="4148"/>
      <c r="AM63" s="4148"/>
      <c r="AN63" s="4148"/>
      <c r="AO63" s="4148"/>
      <c r="AP63" s="4148"/>
      <c r="AQ63" s="4148"/>
      <c r="AR63" s="2976"/>
      <c r="AS63" s="2809"/>
      <c r="AZ63" s="2974"/>
      <c r="BH63" s="2974"/>
      <c r="BI63" s="2974"/>
      <c r="BJ63" s="2974"/>
      <c r="BK63" s="2974"/>
      <c r="BL63" s="2974"/>
      <c r="BM63" s="2974"/>
      <c r="BN63" s="2974"/>
      <c r="BO63" s="2974"/>
    </row>
    <row r="64" spans="1:67" ht="12" customHeight="1" thickBot="1">
      <c r="A64" s="45"/>
      <c r="B64" s="2849"/>
      <c r="C64" s="4145"/>
      <c r="D64" s="4146"/>
      <c r="E64" s="4146"/>
      <c r="F64" s="4146"/>
      <c r="G64" s="4146"/>
      <c r="H64" s="4146"/>
      <c r="I64" s="4146"/>
      <c r="J64" s="4146"/>
      <c r="K64" s="4146"/>
      <c r="L64" s="4147"/>
      <c r="N64" s="4145"/>
      <c r="O64" s="4146"/>
      <c r="P64" s="4146"/>
      <c r="Q64" s="4146"/>
      <c r="R64" s="4146"/>
      <c r="S64" s="4146"/>
      <c r="T64" s="4146"/>
      <c r="U64" s="4146"/>
      <c r="V64" s="4146"/>
      <c r="W64" s="4147"/>
      <c r="X64" s="1679"/>
      <c r="Y64" s="45"/>
      <c r="Z64" s="45"/>
      <c r="AA64" s="2713"/>
      <c r="AB64" s="4026"/>
      <c r="AC64" s="4026"/>
      <c r="AD64" s="4026"/>
      <c r="AE64" s="4026"/>
      <c r="AF64" s="4026"/>
      <c r="AG64" s="4026"/>
      <c r="AH64" s="4148"/>
      <c r="AI64" s="4148"/>
      <c r="AJ64" s="4148"/>
      <c r="AK64" s="4148"/>
      <c r="AL64" s="4148"/>
      <c r="AM64" s="4148"/>
      <c r="AN64" s="4148"/>
      <c r="AO64" s="4148"/>
      <c r="AP64" s="4148"/>
      <c r="AQ64" s="4148"/>
      <c r="AR64" s="2976"/>
      <c r="AS64" s="2809"/>
      <c r="AZ64" s="2974"/>
      <c r="BH64" s="2974"/>
      <c r="BI64" s="2974"/>
      <c r="BJ64" s="2974"/>
      <c r="BK64" s="2974"/>
      <c r="BL64" s="2974"/>
      <c r="BM64" s="2974"/>
      <c r="BN64" s="2974"/>
      <c r="BO64" s="2974"/>
    </row>
    <row r="65" spans="1:67" ht="12" customHeight="1" thickBot="1">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c r="AZ67" s="2974"/>
      <c r="BH67" s="2974"/>
      <c r="BI67" s="2974"/>
      <c r="BJ67" s="2974"/>
      <c r="BK67" s="2974"/>
      <c r="BL67" s="2974"/>
      <c r="BM67" s="2974"/>
      <c r="BN67" s="2974"/>
      <c r="BO67" s="2974"/>
    </row>
    <row r="68" spans="1:67" ht="12" customHeight="1">
      <c r="AZ68" s="2974"/>
      <c r="BH68" s="2974"/>
      <c r="BI68" s="2974"/>
      <c r="BJ68" s="2974"/>
      <c r="BK68" s="2974"/>
      <c r="BL68" s="2974"/>
      <c r="BM68" s="2974"/>
      <c r="BN68" s="2974"/>
      <c r="BO68" s="2974"/>
    </row>
    <row r="69" spans="1:67" ht="12" customHeight="1">
      <c r="AZ69" s="2974"/>
      <c r="BH69" s="2974"/>
      <c r="BI69" s="2974"/>
      <c r="BJ69" s="2974"/>
      <c r="BK69" s="2974"/>
      <c r="BL69" s="2974"/>
      <c r="BM69" s="2974"/>
      <c r="BN69" s="2974"/>
      <c r="BO69" s="2974"/>
    </row>
    <row r="70" spans="1:67" ht="12" customHeight="1">
      <c r="AZ70" s="2974"/>
      <c r="BH70" s="2974"/>
      <c r="BI70" s="2974"/>
      <c r="BJ70" s="2974"/>
      <c r="BK70" s="2974"/>
      <c r="BL70" s="2974"/>
      <c r="BM70" s="2974"/>
      <c r="BN70" s="2974"/>
      <c r="BO70" s="2974"/>
    </row>
    <row r="71" spans="1:67" ht="12" customHeight="1">
      <c r="AZ71" s="2974"/>
      <c r="BH71" s="2974"/>
      <c r="BI71" s="2974"/>
      <c r="BJ71" s="2974"/>
      <c r="BK71" s="2974"/>
      <c r="BL71" s="2974"/>
      <c r="BM71" s="2974"/>
      <c r="BN71" s="2974"/>
      <c r="BO71" s="2974"/>
    </row>
    <row r="72" spans="1:67" ht="12" customHeight="1">
      <c r="AZ72" s="2974"/>
      <c r="BH72" s="2974"/>
      <c r="BI72" s="2974"/>
      <c r="BJ72" s="2974"/>
      <c r="BK72" s="2974"/>
      <c r="BL72" s="2974"/>
      <c r="BM72" s="2974"/>
      <c r="BN72" s="2974"/>
      <c r="BO72" s="2974"/>
    </row>
    <row r="73" spans="1:67" ht="12" customHeight="1">
      <c r="AZ73" s="2974"/>
      <c r="BH73" s="2974"/>
      <c r="BI73" s="2974"/>
      <c r="BJ73" s="2974"/>
      <c r="BK73" s="2974"/>
      <c r="BL73" s="2974"/>
      <c r="BM73" s="2974"/>
      <c r="BN73" s="2974"/>
      <c r="BO73" s="2974"/>
    </row>
    <row r="74" spans="1:67" ht="12" customHeight="1">
      <c r="AZ74" s="2974"/>
      <c r="BH74" s="2974"/>
      <c r="BI74" s="2974"/>
      <c r="BJ74" s="2974"/>
      <c r="BK74" s="2974"/>
      <c r="BL74" s="2974"/>
      <c r="BM74" s="2974"/>
      <c r="BN74" s="2974"/>
      <c r="BO74" s="2974"/>
    </row>
    <row r="75" spans="1:67" ht="12" customHeight="1">
      <c r="AZ75" s="2974"/>
      <c r="BH75" s="2974"/>
      <c r="BI75" s="2974"/>
      <c r="BJ75" s="2974"/>
      <c r="BK75" s="2974"/>
      <c r="BL75" s="2974"/>
      <c r="BM75" s="2974"/>
      <c r="BN75" s="2974"/>
      <c r="BO75" s="2974"/>
    </row>
    <row r="76" spans="1:67" ht="12" customHeight="1">
      <c r="AZ76" s="2974"/>
      <c r="BH76" s="2974"/>
      <c r="BI76" s="2974"/>
      <c r="BJ76" s="2974"/>
      <c r="BK76" s="2974"/>
      <c r="BL76" s="2974"/>
      <c r="BM76" s="2974"/>
      <c r="BN76" s="2974"/>
      <c r="BO76" s="2974"/>
    </row>
    <row r="77" spans="1:67" ht="12" customHeight="1">
      <c r="AZ77" s="2974"/>
      <c r="BH77" s="2974"/>
      <c r="BI77" s="2974"/>
      <c r="BJ77" s="2974"/>
      <c r="BK77" s="2974"/>
      <c r="BL77" s="2974"/>
      <c r="BM77" s="2974"/>
      <c r="BN77" s="2974"/>
      <c r="BO77" s="297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553" priority="3" stopIfTrue="1" operator="equal">
      <formula>0</formula>
    </cfRule>
  </conditionalFormatting>
  <conditionalFormatting sqref="AH40:AP45">
    <cfRule type="cellIs" dxfId="552" priority="4" stopIfTrue="1" operator="equal">
      <formula>0</formula>
    </cfRule>
  </conditionalFormatting>
  <conditionalFormatting sqref="AF10:AF14">
    <cfRule type="cellIs" dxfId="551" priority="7" stopIfTrue="1" operator="lessThan">
      <formula>0</formula>
    </cfRule>
  </conditionalFormatting>
  <conditionalFormatting sqref="AF15:AF16">
    <cfRule type="cellIs" dxfId="550" priority="8" stopIfTrue="1" operator="equal">
      <formula>0</formula>
    </cfRule>
    <cfRule type="cellIs" dxfId="549" priority="9" stopIfTrue="1" operator="lessThan">
      <formula>0</formula>
    </cfRule>
  </conditionalFormatting>
  <conditionalFormatting sqref="E13:G13">
    <cfRule type="expression" dxfId="548" priority="10" stopIfTrue="1">
      <formula>AND($B$13="Dura",$B$12="Dura")</formula>
    </cfRule>
    <cfRule type="expression" dxfId="547" priority="11" stopIfTrue="1">
      <formula>AND($B$13="Natural",$B$12="Natural")</formula>
    </cfRule>
  </conditionalFormatting>
  <conditionalFormatting sqref="E14:G14">
    <cfRule type="expression" dxfId="546" priority="12" stopIfTrue="1">
      <formula>AND($B$14="Dura",OR($B$13="Dura",$B$12="Dura"))</formula>
    </cfRule>
    <cfRule type="expression" dxfId="545"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8">
        <v>15</v>
      </c>
      <c r="B3" s="243"/>
      <c r="C3" s="3304"/>
      <c r="D3" s="3304"/>
      <c r="E3" s="3304"/>
      <c r="F3" s="3304"/>
      <c r="G3" s="3304"/>
      <c r="H3" s="3304"/>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8">
        <v>20</v>
      </c>
      <c r="B4" s="243"/>
      <c r="C4" s="3304"/>
      <c r="D4" s="3304"/>
      <c r="E4" s="3304"/>
      <c r="F4" s="3304"/>
      <c r="G4" s="3304"/>
      <c r="H4" s="3304"/>
      <c r="I4" s="12"/>
      <c r="J4" s="245"/>
      <c r="K4" s="245"/>
      <c r="L4" s="245"/>
      <c r="M4" s="245"/>
      <c r="N4" s="245"/>
      <c r="O4" s="245"/>
      <c r="P4" s="245"/>
      <c r="Q4" s="245"/>
      <c r="R4" s="245"/>
      <c r="S4" s="245"/>
      <c r="T4" s="245"/>
      <c r="U4" s="245"/>
      <c r="V4" s="56"/>
      <c r="W4" s="56"/>
      <c r="X4" s="56"/>
      <c r="Y4" s="56"/>
      <c r="Z4" s="56"/>
      <c r="AA4" s="3223" t="s">
        <v>1625</v>
      </c>
      <c r="AB4" s="3223"/>
      <c r="AC4" s="3224" t="str">
        <f>IF(OR(General!$G$22="",General!$G$22=0),"",General!$G$22)</f>
        <v/>
      </c>
      <c r="AD4" s="3224"/>
      <c r="AE4" s="3224"/>
      <c r="AF4" s="3224"/>
      <c r="AG4" s="3224"/>
      <c r="AH4" s="13"/>
      <c r="AI4" s="68"/>
      <c r="AJ4" s="173"/>
    </row>
    <row r="5" spans="1:36" ht="12" customHeight="1">
      <c r="A5" s="1468">
        <v>25</v>
      </c>
      <c r="B5" s="243"/>
      <c r="C5" s="3304"/>
      <c r="D5" s="3304"/>
      <c r="E5" s="3304"/>
      <c r="F5" s="3304"/>
      <c r="G5" s="3304"/>
      <c r="H5" s="3304"/>
      <c r="I5" s="12"/>
      <c r="J5" s="245"/>
      <c r="K5" s="245"/>
      <c r="L5" s="245"/>
      <c r="M5" s="245"/>
      <c r="N5" s="245"/>
      <c r="O5" s="245"/>
      <c r="P5" s="245"/>
      <c r="Q5" s="245"/>
      <c r="R5" s="245"/>
      <c r="S5" s="245"/>
      <c r="T5" s="245"/>
      <c r="U5" s="245"/>
      <c r="V5" s="56"/>
      <c r="W5" s="56"/>
      <c r="X5" s="56"/>
      <c r="Y5" s="56"/>
      <c r="Z5" s="56"/>
      <c r="AA5" s="3300" t="s">
        <v>1626</v>
      </c>
      <c r="AB5" s="3300"/>
      <c r="AC5" s="3301" t="str">
        <f>Principal!$L$5</f>
        <v>Guerrero</v>
      </c>
      <c r="AD5" s="3301"/>
      <c r="AE5" s="3301"/>
      <c r="AF5" s="14" t="s">
        <v>1627</v>
      </c>
      <c r="AG5" s="15" t="str">
        <f>Principal!$P$5</f>
        <v>1 + 2</v>
      </c>
      <c r="AH5" s="16"/>
      <c r="AI5" s="68"/>
      <c r="AJ5" s="173"/>
    </row>
    <row r="6" spans="1:36" ht="12" customHeight="1">
      <c r="A6" s="1610"/>
      <c r="B6" s="246"/>
      <c r="C6" s="3304"/>
      <c r="D6" s="3304"/>
      <c r="E6" s="3304"/>
      <c r="F6" s="3304"/>
      <c r="G6" s="3304"/>
      <c r="H6" s="3304"/>
      <c r="I6" s="12"/>
      <c r="J6" s="245"/>
      <c r="K6" s="245"/>
      <c r="L6" s="245"/>
      <c r="M6" s="245"/>
      <c r="N6" s="245"/>
      <c r="O6" s="245"/>
      <c r="P6" s="245"/>
      <c r="Q6" s="245"/>
      <c r="R6" s="245"/>
      <c r="S6" s="245"/>
      <c r="T6" s="245"/>
      <c r="U6" s="245"/>
      <c r="V6" s="56"/>
      <c r="W6" s="56"/>
      <c r="X6" s="56"/>
      <c r="Y6" s="56"/>
      <c r="Z6" s="56"/>
      <c r="AA6" s="3302" t="s">
        <v>2072</v>
      </c>
      <c r="AB6" s="3302"/>
      <c r="AC6" s="3302"/>
      <c r="AD6" s="3302"/>
      <c r="AE6" s="3302"/>
      <c r="AF6" s="3302"/>
      <c r="AG6" s="3302"/>
      <c r="AH6" s="16"/>
      <c r="AI6" s="68"/>
      <c r="AJ6" s="173"/>
    </row>
    <row r="7" spans="1:36" ht="12" customHeight="1">
      <c r="A7" s="1611"/>
      <c r="B7" s="247"/>
      <c r="C7" s="3304"/>
      <c r="D7" s="3304"/>
      <c r="E7" s="3304"/>
      <c r="F7" s="3304"/>
      <c r="G7" s="3304"/>
      <c r="H7" s="3304"/>
      <c r="I7" s="12"/>
      <c r="J7" s="245"/>
      <c r="K7" s="245"/>
      <c r="L7" s="245"/>
      <c r="M7" s="245"/>
      <c r="N7" s="245"/>
      <c r="O7" s="245"/>
      <c r="P7" s="245"/>
      <c r="Q7" s="245"/>
      <c r="R7" s="245"/>
      <c r="S7" s="245"/>
      <c r="T7" s="245"/>
      <c r="U7" s="245"/>
      <c r="V7" s="56"/>
      <c r="W7" s="56"/>
      <c r="X7" s="56"/>
      <c r="Y7" s="56"/>
      <c r="Z7" s="56"/>
      <c r="AA7" s="3302"/>
      <c r="AB7" s="3302"/>
      <c r="AC7" s="3302"/>
      <c r="AD7" s="3302"/>
      <c r="AE7" s="3302"/>
      <c r="AF7" s="3302"/>
      <c r="AG7" s="3302"/>
      <c r="AH7" s="16"/>
      <c r="AI7" s="68"/>
      <c r="AJ7" s="173"/>
    </row>
    <row r="8" spans="1:36" ht="12" customHeight="1">
      <c r="A8" s="1611"/>
      <c r="B8" s="247"/>
      <c r="C8" s="3304"/>
      <c r="D8" s="3304"/>
      <c r="E8" s="3304"/>
      <c r="F8" s="3304"/>
      <c r="G8" s="3304"/>
      <c r="H8" s="3304"/>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3"/>
      <c r="B10" s="243"/>
      <c r="C10" s="250"/>
      <c r="D10" s="250"/>
      <c r="E10" s="250"/>
      <c r="F10" s="250"/>
      <c r="G10" s="250"/>
      <c r="H10" s="252"/>
      <c r="I10" s="4149" t="s">
        <v>2073</v>
      </c>
      <c r="J10" s="4149"/>
      <c r="K10" s="253"/>
      <c r="L10" s="250"/>
      <c r="M10" s="250"/>
      <c r="N10" s="250"/>
      <c r="O10" s="251"/>
      <c r="P10" s="251"/>
      <c r="Q10" s="251"/>
      <c r="R10" s="251"/>
      <c r="S10" s="251"/>
      <c r="T10" s="251"/>
      <c r="U10" s="251"/>
      <c r="V10" s="251"/>
      <c r="W10" s="251"/>
      <c r="X10" s="250"/>
      <c r="Y10" s="250"/>
      <c r="Z10" s="252"/>
      <c r="AA10" s="4149" t="s">
        <v>2074</v>
      </c>
      <c r="AB10" s="4149"/>
      <c r="AC10" s="253"/>
      <c r="AD10" s="250"/>
      <c r="AE10" s="250"/>
      <c r="AF10" s="67"/>
      <c r="AG10" s="67"/>
      <c r="AH10" s="67"/>
      <c r="AI10" s="68"/>
      <c r="AJ10" s="173"/>
    </row>
    <row r="11" spans="1:36" ht="12" customHeight="1">
      <c r="A11" s="1613"/>
      <c r="B11" s="243"/>
      <c r="C11" s="250"/>
      <c r="D11" s="250"/>
      <c r="E11" s="250"/>
      <c r="F11" s="4149" t="s">
        <v>2075</v>
      </c>
      <c r="G11" s="4149"/>
      <c r="H11" s="254"/>
      <c r="I11" s="4149"/>
      <c r="J11" s="4149"/>
      <c r="K11" s="255"/>
      <c r="L11" s="4149" t="s">
        <v>2076</v>
      </c>
      <c r="M11" s="4149"/>
      <c r="N11" s="252"/>
      <c r="O11" s="251"/>
      <c r="P11" s="251"/>
      <c r="Q11" s="251"/>
      <c r="R11" s="251"/>
      <c r="S11" s="251"/>
      <c r="T11" s="251"/>
      <c r="U11" s="251"/>
      <c r="V11" s="251"/>
      <c r="W11" s="251"/>
      <c r="X11" s="4149" t="s">
        <v>2077</v>
      </c>
      <c r="Y11" s="4149"/>
      <c r="Z11" s="254"/>
      <c r="AA11" s="4149"/>
      <c r="AB11" s="4149"/>
      <c r="AC11" s="256"/>
      <c r="AD11" s="4149" t="s">
        <v>2077</v>
      </c>
      <c r="AE11" s="4149"/>
      <c r="AF11" s="253"/>
      <c r="AG11" s="67"/>
      <c r="AH11" s="67"/>
      <c r="AI11" s="68"/>
      <c r="AJ11" s="173"/>
    </row>
    <row r="12" spans="1:36" ht="12" customHeight="1">
      <c r="A12" s="1468"/>
      <c r="B12" s="243"/>
      <c r="C12" s="250"/>
      <c r="D12" s="250"/>
      <c r="E12" s="252"/>
      <c r="F12" s="4149"/>
      <c r="G12" s="4149"/>
      <c r="H12" s="257"/>
      <c r="I12" s="4149"/>
      <c r="J12" s="4149"/>
      <c r="K12" s="257"/>
      <c r="L12" s="4149"/>
      <c r="M12" s="4149"/>
      <c r="N12" s="252"/>
      <c r="O12" s="251"/>
      <c r="P12" s="251"/>
      <c r="Q12" s="251"/>
      <c r="R12" s="251"/>
      <c r="S12" s="251"/>
      <c r="T12" s="251"/>
      <c r="U12" s="251"/>
      <c r="V12" s="251"/>
      <c r="W12" s="251"/>
      <c r="X12" s="4149"/>
      <c r="Y12" s="4149"/>
      <c r="Z12" s="257"/>
      <c r="AA12" s="4149"/>
      <c r="AB12" s="4149"/>
      <c r="AC12" s="257"/>
      <c r="AD12" s="4149"/>
      <c r="AE12" s="4149"/>
      <c r="AF12" s="257"/>
      <c r="AG12" s="67"/>
      <c r="AH12" s="67"/>
      <c r="AI12" s="68"/>
      <c r="AJ12" s="173"/>
    </row>
    <row r="13" spans="1:36" ht="12" customHeight="1">
      <c r="A13" s="1468"/>
      <c r="B13" s="243"/>
      <c r="C13" s="250"/>
      <c r="D13" s="250"/>
      <c r="E13" s="252"/>
      <c r="F13" s="4149"/>
      <c r="G13" s="4149"/>
      <c r="H13" s="257"/>
      <c r="I13" s="258" t="str">
        <f>IF(PDs!$R$15&lt;Metamagia!K10,"Nv "&amp;Metamagia!K10,"")</f>
        <v/>
      </c>
      <c r="J13" s="259"/>
      <c r="K13" s="257">
        <v>10</v>
      </c>
      <c r="L13" s="4149"/>
      <c r="M13" s="4149"/>
      <c r="N13" s="257"/>
      <c r="O13" s="251"/>
      <c r="P13" s="251"/>
      <c r="Q13" s="251"/>
      <c r="R13" s="251"/>
      <c r="S13" s="251"/>
      <c r="T13" s="251"/>
      <c r="U13" s="251"/>
      <c r="V13" s="251"/>
      <c r="W13" s="251"/>
      <c r="X13" s="4149"/>
      <c r="Y13" s="4149"/>
      <c r="Z13" s="257"/>
      <c r="AA13" s="258" t="str">
        <f>IF(PDs!$R$15&lt;Metamagia!AC10,"Nv "&amp;Metamagia!AC10,"")</f>
        <v/>
      </c>
      <c r="AB13" s="259"/>
      <c r="AC13" s="257">
        <v>5</v>
      </c>
      <c r="AD13" s="4149"/>
      <c r="AE13" s="4149"/>
      <c r="AF13" s="257"/>
      <c r="AG13" s="67"/>
      <c r="AH13" s="67"/>
      <c r="AI13" s="68"/>
      <c r="AJ13" s="173"/>
    </row>
    <row r="14" spans="1:36" ht="12" customHeight="1">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8"/>
      <c r="B15" s="243"/>
      <c r="C15" s="251"/>
      <c r="D15" s="251"/>
      <c r="E15" s="251"/>
      <c r="F15" s="217">
        <f>IF(G14&gt;0,1,0)</f>
        <v>0</v>
      </c>
      <c r="G15" s="241"/>
      <c r="H15" s="257"/>
      <c r="I15" s="4149" t="s">
        <v>2078</v>
      </c>
      <c r="J15" s="4149"/>
      <c r="K15" s="257"/>
      <c r="L15" s="262">
        <f>IF(M14&gt;0,1,0)</f>
        <v>0</v>
      </c>
      <c r="M15" s="250"/>
      <c r="N15" s="257"/>
      <c r="O15" s="250"/>
      <c r="P15" s="250"/>
      <c r="Q15" s="252"/>
      <c r="R15" s="4149" t="s">
        <v>2076</v>
      </c>
      <c r="S15" s="4149"/>
      <c r="T15" s="250"/>
      <c r="U15" s="67"/>
      <c r="V15" s="67"/>
      <c r="W15" s="253"/>
      <c r="X15" s="217">
        <f>IF(Y14&gt;0,1,0)</f>
        <v>0</v>
      </c>
      <c r="Y15" s="241"/>
      <c r="Z15" s="257"/>
      <c r="AA15" s="4149" t="s">
        <v>2079</v>
      </c>
      <c r="AB15" s="4149"/>
      <c r="AC15" s="257"/>
      <c r="AD15" s="262">
        <f>IF(AE14&gt;0,1,0)</f>
        <v>0</v>
      </c>
      <c r="AE15" s="250"/>
      <c r="AF15" s="257"/>
      <c r="AG15" s="251"/>
      <c r="AH15" s="251"/>
      <c r="AI15" s="261"/>
      <c r="AJ15" s="173"/>
    </row>
    <row r="16" spans="1:36" ht="12" customHeight="1">
      <c r="A16" s="1468"/>
      <c r="B16" s="243"/>
      <c r="C16" s="251"/>
      <c r="D16" s="251"/>
      <c r="E16" s="251"/>
      <c r="F16" s="250"/>
      <c r="G16" s="263"/>
      <c r="H16" s="255"/>
      <c r="I16" s="4149"/>
      <c r="J16" s="4149"/>
      <c r="K16" s="264"/>
      <c r="L16" s="265"/>
      <c r="M16" s="250"/>
      <c r="N16" s="257"/>
      <c r="O16" s="250"/>
      <c r="P16" s="266"/>
      <c r="Q16" s="267"/>
      <c r="R16" s="4149"/>
      <c r="S16" s="4149"/>
      <c r="T16" s="252"/>
      <c r="U16" s="67"/>
      <c r="V16" s="67"/>
      <c r="W16" s="253"/>
      <c r="X16" s="250"/>
      <c r="Y16" s="263"/>
      <c r="Z16" s="255"/>
      <c r="AA16" s="4149"/>
      <c r="AB16" s="4149"/>
      <c r="AC16" s="264"/>
      <c r="AD16" s="265"/>
      <c r="AE16" s="250"/>
      <c r="AF16" s="257"/>
      <c r="AG16" s="251"/>
      <c r="AH16" s="251"/>
      <c r="AI16" s="261"/>
      <c r="AJ16" s="173"/>
    </row>
    <row r="17" spans="1:36" ht="12" customHeight="1">
      <c r="A17" s="1468"/>
      <c r="B17" s="243"/>
      <c r="C17" s="251"/>
      <c r="D17" s="251"/>
      <c r="E17" s="251"/>
      <c r="F17" s="250"/>
      <c r="G17" s="243"/>
      <c r="H17" s="257"/>
      <c r="I17" s="4149"/>
      <c r="J17" s="4149"/>
      <c r="K17" s="257"/>
      <c r="L17" s="268"/>
      <c r="M17" s="250"/>
      <c r="N17" s="257"/>
      <c r="O17" s="268"/>
      <c r="P17" s="250"/>
      <c r="Q17" s="252"/>
      <c r="R17" s="4149"/>
      <c r="S17" s="4149"/>
      <c r="T17" s="257"/>
      <c r="U17" s="67"/>
      <c r="V17" s="67"/>
      <c r="W17" s="253"/>
      <c r="X17" s="250"/>
      <c r="Y17" s="243"/>
      <c r="Z17" s="257"/>
      <c r="AA17" s="4149"/>
      <c r="AB17" s="4149"/>
      <c r="AC17" s="257"/>
      <c r="AD17" s="268"/>
      <c r="AE17" s="250"/>
      <c r="AF17" s="257"/>
      <c r="AG17" s="251"/>
      <c r="AH17" s="251"/>
      <c r="AI17" s="261"/>
      <c r="AJ17" s="173"/>
    </row>
    <row r="18" spans="1:36" ht="12" customHeight="1">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8"/>
      <c r="B20" s="243"/>
      <c r="C20" s="4149" t="s">
        <v>2076</v>
      </c>
      <c r="D20" s="4149"/>
      <c r="E20" s="257"/>
      <c r="F20" s="4149" t="s">
        <v>2080</v>
      </c>
      <c r="G20" s="4149"/>
      <c r="H20" s="257">
        <v>3</v>
      </c>
      <c r="I20" s="4149" t="s">
        <v>2081</v>
      </c>
      <c r="J20" s="4149"/>
      <c r="K20" s="257">
        <v>4</v>
      </c>
      <c r="L20" s="4149" t="s">
        <v>2082</v>
      </c>
      <c r="M20" s="4149"/>
      <c r="N20" s="257">
        <v>2</v>
      </c>
      <c r="O20" s="4149" t="s">
        <v>2073</v>
      </c>
      <c r="P20" s="4149"/>
      <c r="Q20" s="257">
        <v>4</v>
      </c>
      <c r="R20" s="4149" t="s">
        <v>2081</v>
      </c>
      <c r="S20" s="4149"/>
      <c r="T20" s="257">
        <v>5</v>
      </c>
      <c r="U20" s="4149" t="s">
        <v>2079</v>
      </c>
      <c r="V20" s="4149"/>
      <c r="W20" s="253"/>
      <c r="X20" s="4149" t="s">
        <v>2083</v>
      </c>
      <c r="Y20" s="4149"/>
      <c r="Z20" s="257">
        <v>3</v>
      </c>
      <c r="AA20" s="4149" t="s">
        <v>2084</v>
      </c>
      <c r="AB20" s="4149"/>
      <c r="AC20" s="257">
        <v>5</v>
      </c>
      <c r="AD20" s="4149" t="s">
        <v>2085</v>
      </c>
      <c r="AE20" s="4149"/>
      <c r="AF20" s="257">
        <v>2</v>
      </c>
      <c r="AG20" s="4149" t="s">
        <v>2083</v>
      </c>
      <c r="AH20" s="4149"/>
      <c r="AI20" s="270">
        <v>3</v>
      </c>
      <c r="AJ20" s="173"/>
    </row>
    <row r="21" spans="1:36" ht="12" customHeight="1">
      <c r="A21" s="1468"/>
      <c r="B21" s="243"/>
      <c r="C21" s="4149"/>
      <c r="D21" s="4149"/>
      <c r="E21" s="254"/>
      <c r="F21" s="4149"/>
      <c r="G21" s="4149"/>
      <c r="H21" s="254"/>
      <c r="I21" s="4149"/>
      <c r="J21" s="4149"/>
      <c r="K21" s="254"/>
      <c r="L21" s="4149"/>
      <c r="M21" s="4149"/>
      <c r="N21" s="254"/>
      <c r="O21" s="4149"/>
      <c r="P21" s="4149"/>
      <c r="Q21" s="257"/>
      <c r="R21" s="4149"/>
      <c r="S21" s="4149"/>
      <c r="T21" s="257"/>
      <c r="U21" s="4149"/>
      <c r="V21" s="4149"/>
      <c r="W21" s="256"/>
      <c r="X21" s="4149"/>
      <c r="Y21" s="4149"/>
      <c r="Z21" s="254"/>
      <c r="AA21" s="4149"/>
      <c r="AB21" s="4149"/>
      <c r="AC21" s="254"/>
      <c r="AD21" s="4149"/>
      <c r="AE21" s="4149"/>
      <c r="AF21" s="254"/>
      <c r="AG21" s="4149"/>
      <c r="AH21" s="4149"/>
      <c r="AI21" s="270"/>
      <c r="AJ21" s="173"/>
    </row>
    <row r="22" spans="1:36" ht="12" customHeight="1">
      <c r="A22" s="1468"/>
      <c r="B22" s="243"/>
      <c r="C22" s="4149"/>
      <c r="D22" s="4149"/>
      <c r="E22" s="257"/>
      <c r="F22" s="4149"/>
      <c r="G22" s="4149"/>
      <c r="H22" s="257"/>
      <c r="I22" s="4149"/>
      <c r="J22" s="4149"/>
      <c r="K22" s="257"/>
      <c r="L22" s="4149"/>
      <c r="M22" s="4149"/>
      <c r="N22" s="257"/>
      <c r="O22" s="4149"/>
      <c r="P22" s="4149"/>
      <c r="Q22" s="257"/>
      <c r="R22" s="4149"/>
      <c r="S22" s="4149"/>
      <c r="T22" s="257"/>
      <c r="U22" s="4149"/>
      <c r="V22" s="4149"/>
      <c r="W22" s="253"/>
      <c r="X22" s="4149"/>
      <c r="Y22" s="4149"/>
      <c r="Z22" s="257"/>
      <c r="AA22" s="4149"/>
      <c r="AB22" s="4149"/>
      <c r="AC22" s="257"/>
      <c r="AD22" s="4149"/>
      <c r="AE22" s="4149"/>
      <c r="AF22" s="257"/>
      <c r="AG22" s="4149"/>
      <c r="AH22" s="4149"/>
      <c r="AI22" s="270"/>
      <c r="AJ22" s="173"/>
    </row>
    <row r="23" spans="1:36" ht="12" customHeight="1">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8"/>
      <c r="B25" s="243"/>
      <c r="C25" s="251"/>
      <c r="D25" s="272"/>
      <c r="E25" s="273"/>
      <c r="F25" s="265"/>
      <c r="G25" s="250"/>
      <c r="H25" s="257"/>
      <c r="I25" s="4149" t="s">
        <v>2082</v>
      </c>
      <c r="J25" s="4149"/>
      <c r="K25" s="257">
        <v>6</v>
      </c>
      <c r="L25" s="265"/>
      <c r="M25" s="250"/>
      <c r="N25" s="257"/>
      <c r="O25" s="250"/>
      <c r="P25" s="250"/>
      <c r="Q25" s="257"/>
      <c r="R25" s="4149" t="s">
        <v>2086</v>
      </c>
      <c r="S25" s="4149"/>
      <c r="T25" s="257">
        <v>2</v>
      </c>
      <c r="U25" s="68"/>
      <c r="V25" s="67"/>
      <c r="W25" s="253"/>
      <c r="X25" s="265"/>
      <c r="Y25" s="250"/>
      <c r="Z25" s="257"/>
      <c r="AA25" s="4149" t="s">
        <v>2087</v>
      </c>
      <c r="AB25" s="4149"/>
      <c r="AC25" s="257">
        <v>8</v>
      </c>
      <c r="AD25" s="265"/>
      <c r="AE25" s="250"/>
      <c r="AF25" s="257"/>
      <c r="AG25" s="67"/>
      <c r="AH25" s="243"/>
      <c r="AI25" s="270"/>
      <c r="AJ25" s="173"/>
    </row>
    <row r="26" spans="1:36" ht="12" customHeight="1">
      <c r="A26" s="1468"/>
      <c r="B26" s="243"/>
      <c r="C26" s="251"/>
      <c r="D26" s="272"/>
      <c r="E26" s="273"/>
      <c r="F26" s="4149" t="s">
        <v>2078</v>
      </c>
      <c r="G26" s="4149"/>
      <c r="H26" s="257">
        <v>6</v>
      </c>
      <c r="I26" s="4149"/>
      <c r="J26" s="4149"/>
      <c r="K26" s="257"/>
      <c r="L26" s="4149" t="s">
        <v>2080</v>
      </c>
      <c r="M26" s="4149"/>
      <c r="N26" s="257">
        <v>6</v>
      </c>
      <c r="O26" s="250"/>
      <c r="P26" s="250"/>
      <c r="Q26" s="257"/>
      <c r="R26" s="4149"/>
      <c r="S26" s="4149"/>
      <c r="T26" s="264"/>
      <c r="U26" s="180"/>
      <c r="V26" s="67"/>
      <c r="W26" s="253"/>
      <c r="X26" s="4149" t="s">
        <v>2088</v>
      </c>
      <c r="Y26" s="4149"/>
      <c r="Z26" s="257">
        <v>7</v>
      </c>
      <c r="AA26" s="4149"/>
      <c r="AB26" s="4149"/>
      <c r="AC26" s="257"/>
      <c r="AD26" s="4149" t="s">
        <v>2089</v>
      </c>
      <c r="AE26" s="4149"/>
      <c r="AF26" s="257">
        <v>8</v>
      </c>
      <c r="AG26" s="251"/>
      <c r="AH26" s="272"/>
      <c r="AI26" s="274"/>
      <c r="AJ26" s="173"/>
    </row>
    <row r="27" spans="1:36" ht="12" customHeight="1">
      <c r="A27" s="1468"/>
      <c r="B27" s="243"/>
      <c r="C27" s="251"/>
      <c r="D27" s="275"/>
      <c r="E27" s="273"/>
      <c r="F27" s="4149"/>
      <c r="G27" s="4149"/>
      <c r="H27" s="257"/>
      <c r="I27" s="4149"/>
      <c r="J27" s="4149"/>
      <c r="K27" s="257"/>
      <c r="L27" s="4149"/>
      <c r="M27" s="4149"/>
      <c r="N27" s="257"/>
      <c r="O27" s="250"/>
      <c r="P27" s="250"/>
      <c r="Q27" s="252"/>
      <c r="R27" s="4149"/>
      <c r="S27" s="4149"/>
      <c r="T27" s="257"/>
      <c r="U27" s="67"/>
      <c r="V27" s="67"/>
      <c r="W27" s="253"/>
      <c r="X27" s="4149"/>
      <c r="Y27" s="4149"/>
      <c r="Z27" s="257"/>
      <c r="AA27" s="4149"/>
      <c r="AB27" s="4149"/>
      <c r="AC27" s="257"/>
      <c r="AD27" s="4149"/>
      <c r="AE27" s="4149"/>
      <c r="AF27" s="257"/>
      <c r="AG27" s="251"/>
      <c r="AH27" s="275"/>
      <c r="AI27" s="274"/>
      <c r="AJ27" s="173"/>
    </row>
    <row r="28" spans="1:36" ht="12" customHeight="1">
      <c r="A28" s="1468"/>
      <c r="B28" s="243"/>
      <c r="C28" s="4149" t="s">
        <v>2075</v>
      </c>
      <c r="D28" s="4149"/>
      <c r="E28" s="257">
        <v>4</v>
      </c>
      <c r="F28" s="4149"/>
      <c r="G28" s="4149"/>
      <c r="H28" s="257"/>
      <c r="I28" s="258" t="str">
        <f>IF(PDs!$R$15&lt;Metamagia!K25,"Nv "&amp;Metamagia!K25,"")</f>
        <v>Nv 6</v>
      </c>
      <c r="J28" s="259"/>
      <c r="K28" s="257">
        <v>10</v>
      </c>
      <c r="L28" s="4149"/>
      <c r="M28" s="4149"/>
      <c r="N28" s="257"/>
      <c r="O28" s="250"/>
      <c r="P28" s="250"/>
      <c r="Q28" s="252"/>
      <c r="R28" s="258" t="str">
        <f>IF(PDs!$R$15&lt;Metamagia!T25,"Nv "&amp;Metamagia!T25,"")</f>
        <v>Nv 2</v>
      </c>
      <c r="S28" s="259"/>
      <c r="T28" s="257">
        <v>5</v>
      </c>
      <c r="U28" s="67"/>
      <c r="V28" s="67"/>
      <c r="W28" s="253"/>
      <c r="X28" s="4149"/>
      <c r="Y28" s="4149"/>
      <c r="Z28" s="257"/>
      <c r="AA28" s="258" t="str">
        <f>IF(PDs!$R$15&lt;Metamagia!AC25,"Nv "&amp;Metamagia!AC25,"")</f>
        <v>Nv 8</v>
      </c>
      <c r="AB28" s="259"/>
      <c r="AC28" s="257">
        <v>5</v>
      </c>
      <c r="AD28" s="4149"/>
      <c r="AE28" s="4149"/>
      <c r="AF28" s="257"/>
      <c r="AG28" s="4149" t="s">
        <v>2085</v>
      </c>
      <c r="AH28" s="4149"/>
      <c r="AI28" s="270">
        <v>4</v>
      </c>
      <c r="AJ28" s="173"/>
    </row>
    <row r="29" spans="1:36" ht="12" customHeight="1">
      <c r="A29" s="1468"/>
      <c r="B29" s="243"/>
      <c r="C29" s="4149"/>
      <c r="D29" s="4149"/>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49"/>
      <c r="AH29" s="4149"/>
      <c r="AI29" s="270"/>
      <c r="AJ29" s="173"/>
    </row>
    <row r="30" spans="1:36" ht="12" customHeight="1">
      <c r="A30" s="1468"/>
      <c r="B30" s="243"/>
      <c r="C30" s="4149"/>
      <c r="D30" s="4149"/>
      <c r="E30" s="257"/>
      <c r="F30" s="262">
        <f>IF(G29&gt;0,1,0)</f>
        <v>0</v>
      </c>
      <c r="G30" s="266"/>
      <c r="H30" s="255"/>
      <c r="I30" s="4149" t="s">
        <v>2081</v>
      </c>
      <c r="J30" s="4149"/>
      <c r="K30" s="277">
        <v>7</v>
      </c>
      <c r="L30" s="269">
        <f>IF(M29&gt;0,1,0)</f>
        <v>0</v>
      </c>
      <c r="M30" s="250"/>
      <c r="N30" s="257"/>
      <c r="O30" s="251"/>
      <c r="P30" s="251"/>
      <c r="Q30" s="251"/>
      <c r="R30" s="251"/>
      <c r="S30" s="251"/>
      <c r="T30" s="251"/>
      <c r="U30" s="251"/>
      <c r="V30" s="251"/>
      <c r="W30" s="253"/>
      <c r="X30" s="262">
        <f>IF(Y29&gt;0,1,0)</f>
        <v>0</v>
      </c>
      <c r="Y30" s="266"/>
      <c r="Z30" s="255"/>
      <c r="AA30" s="4149" t="s">
        <v>2090</v>
      </c>
      <c r="AB30" s="4149"/>
      <c r="AC30" s="277">
        <v>9</v>
      </c>
      <c r="AD30" s="269">
        <f>IF(AE29&gt;0,1,0)</f>
        <v>0</v>
      </c>
      <c r="AE30" s="250"/>
      <c r="AF30" s="257"/>
      <c r="AG30" s="4149"/>
      <c r="AH30" s="4149"/>
      <c r="AI30" s="270"/>
      <c r="AJ30" s="173"/>
    </row>
    <row r="31" spans="1:36" ht="12" customHeight="1">
      <c r="A31" s="1468"/>
      <c r="B31" s="243"/>
      <c r="C31" s="258" t="str">
        <f>IF(PDs!$R$15&lt;Metamagia!E28,"Nv "&amp;Metamagia!E28,"")</f>
        <v>Nv 4</v>
      </c>
      <c r="D31" s="259"/>
      <c r="E31" s="257">
        <v>5</v>
      </c>
      <c r="F31" s="278"/>
      <c r="G31" s="50"/>
      <c r="H31" s="257"/>
      <c r="I31" s="4149"/>
      <c r="J31" s="4149"/>
      <c r="K31" s="279"/>
      <c r="L31" s="250"/>
      <c r="M31" s="250"/>
      <c r="N31" s="257"/>
      <c r="O31" s="251"/>
      <c r="P31" s="251"/>
      <c r="Q31" s="251"/>
      <c r="R31" s="251"/>
      <c r="S31" s="251"/>
      <c r="T31" s="251"/>
      <c r="U31" s="251"/>
      <c r="V31" s="251"/>
      <c r="W31" s="253"/>
      <c r="X31" s="278"/>
      <c r="Y31" s="50"/>
      <c r="Z31" s="257"/>
      <c r="AA31" s="4149"/>
      <c r="AB31" s="4149"/>
      <c r="AC31" s="279"/>
      <c r="AD31" s="250"/>
      <c r="AE31" s="250"/>
      <c r="AF31" s="257"/>
      <c r="AG31" s="258" t="str">
        <f>IF(PDs!$R$15&lt;Metamagia!AI28,"Nv "&amp;Metamagia!AI28,"")</f>
        <v>Nv 4</v>
      </c>
      <c r="AH31" s="259"/>
      <c r="AI31" s="270">
        <v>5</v>
      </c>
      <c r="AJ31" s="173"/>
    </row>
    <row r="32" spans="1:36" ht="12" customHeight="1">
      <c r="A32" s="1468"/>
      <c r="B32" s="243"/>
      <c r="C32" s="271">
        <f>IF(D31&gt;0,1,0)</f>
        <v>0</v>
      </c>
      <c r="D32" s="280"/>
      <c r="E32" s="281"/>
      <c r="F32" s="282"/>
      <c r="G32" s="50"/>
      <c r="H32" s="257"/>
      <c r="I32" s="4149"/>
      <c r="J32" s="4149"/>
      <c r="K32" s="279"/>
      <c r="L32" s="250"/>
      <c r="M32" s="250"/>
      <c r="N32" s="257"/>
      <c r="O32" s="251"/>
      <c r="P32" s="251"/>
      <c r="Q32" s="251"/>
      <c r="R32" s="251"/>
      <c r="S32" s="251"/>
      <c r="T32" s="251"/>
      <c r="U32" s="251"/>
      <c r="V32" s="251"/>
      <c r="W32" s="253"/>
      <c r="X32" s="282"/>
      <c r="Y32" s="50"/>
      <c r="Z32" s="257"/>
      <c r="AA32" s="4149"/>
      <c r="AB32" s="4149"/>
      <c r="AC32" s="279"/>
      <c r="AD32" s="250"/>
      <c r="AE32" s="250"/>
      <c r="AF32" s="257"/>
      <c r="AG32" s="271">
        <f>IF(AH31&gt;0,1,0)</f>
        <v>0</v>
      </c>
      <c r="AH32" s="280"/>
      <c r="AI32" s="270"/>
      <c r="AJ32" s="173"/>
    </row>
    <row r="33" spans="1:36" ht="12" customHeight="1">
      <c r="A33" s="1468"/>
      <c r="B33" s="243"/>
      <c r="C33" s="251"/>
      <c r="D33" s="272"/>
      <c r="E33" s="273"/>
      <c r="F33" s="4149" t="s">
        <v>2091</v>
      </c>
      <c r="G33" s="4149"/>
      <c r="H33" s="257">
        <v>10</v>
      </c>
      <c r="I33" s="258" t="str">
        <f>IF(PDs!$R$15&lt;Metamagia!K30,"Nv "&amp;Metamagia!K30,"")</f>
        <v>Nv 7</v>
      </c>
      <c r="J33" s="259"/>
      <c r="K33" s="279">
        <v>10</v>
      </c>
      <c r="L33" s="250"/>
      <c r="M33" s="250"/>
      <c r="N33" s="257"/>
      <c r="O33" s="251"/>
      <c r="V33" s="251"/>
      <c r="W33" s="253"/>
      <c r="X33" s="4149" t="s">
        <v>2092</v>
      </c>
      <c r="Y33" s="4149"/>
      <c r="Z33" s="257">
        <v>10</v>
      </c>
      <c r="AA33" s="258" t="str">
        <f>IF(PDs!$R$15&lt;Metamagia!AC30,"Nv "&amp;Metamagia!AC30,"")</f>
        <v>Nv 9</v>
      </c>
      <c r="AB33" s="259"/>
      <c r="AC33" s="279">
        <v>20</v>
      </c>
      <c r="AD33" s="250"/>
      <c r="AE33" s="250"/>
      <c r="AF33" s="257"/>
      <c r="AG33" s="251"/>
      <c r="AH33" s="272"/>
      <c r="AI33" s="274"/>
      <c r="AJ33" s="173"/>
    </row>
    <row r="34" spans="1:36" ht="12" customHeight="1">
      <c r="A34" s="1468"/>
      <c r="B34" s="243"/>
      <c r="C34" s="251"/>
      <c r="D34" s="275"/>
      <c r="E34" s="273"/>
      <c r="F34" s="4149"/>
      <c r="G34" s="4149"/>
      <c r="H34" s="264"/>
      <c r="I34" s="262">
        <f>IF(J33&gt;0,1,0)</f>
        <v>0</v>
      </c>
      <c r="J34" s="250"/>
      <c r="K34" s="257"/>
      <c r="L34" s="251"/>
      <c r="M34" s="251"/>
      <c r="N34" s="273"/>
      <c r="O34" s="251"/>
      <c r="V34" s="251"/>
      <c r="W34" s="251"/>
      <c r="X34" s="4149"/>
      <c r="Y34" s="4149"/>
      <c r="Z34" s="264"/>
      <c r="AA34" s="269">
        <f>IF(AB33&gt;0,1,0)</f>
        <v>0</v>
      </c>
      <c r="AB34" s="241"/>
      <c r="AC34" s="257"/>
      <c r="AD34" s="251"/>
      <c r="AE34" s="251"/>
      <c r="AF34" s="273"/>
      <c r="AG34" s="251"/>
      <c r="AH34" s="275"/>
      <c r="AI34" s="274"/>
      <c r="AJ34" s="173"/>
    </row>
    <row r="35" spans="1:36" ht="12" customHeight="1">
      <c r="A35" s="1468"/>
      <c r="B35" s="243"/>
      <c r="C35" s="4149" t="s">
        <v>2078</v>
      </c>
      <c r="D35" s="4149"/>
      <c r="E35" s="257">
        <v>5</v>
      </c>
      <c r="F35" s="4149"/>
      <c r="G35" s="4149"/>
      <c r="H35" s="257"/>
      <c r="I35" s="242"/>
      <c r="J35" s="250"/>
      <c r="K35" s="257"/>
      <c r="L35" s="251"/>
      <c r="M35" s="251"/>
      <c r="N35" s="273"/>
      <c r="O35" s="251"/>
      <c r="P35" s="3281" t="s">
        <v>1824</v>
      </c>
      <c r="Q35" s="3281"/>
      <c r="R35" s="3281"/>
      <c r="S35" s="3281"/>
      <c r="T35" s="3281"/>
      <c r="U35" s="3281"/>
      <c r="V35" s="251"/>
      <c r="W35" s="251"/>
      <c r="X35" s="4149"/>
      <c r="Y35" s="4149"/>
      <c r="Z35" s="257"/>
      <c r="AA35" s="250"/>
      <c r="AB35" s="250"/>
      <c r="AC35" s="257"/>
      <c r="AD35" s="251"/>
      <c r="AE35" s="251"/>
      <c r="AF35" s="273"/>
      <c r="AG35" s="4149" t="s">
        <v>2093</v>
      </c>
      <c r="AH35" s="4149"/>
      <c r="AI35" s="270">
        <v>5</v>
      </c>
      <c r="AJ35" s="173"/>
    </row>
    <row r="36" spans="1:36" ht="12" customHeight="1">
      <c r="A36" s="1468"/>
      <c r="B36" s="243"/>
      <c r="C36" s="4149"/>
      <c r="D36" s="4149"/>
      <c r="E36" s="257"/>
      <c r="F36" s="258" t="str">
        <f>IF(PDs!$R$15&lt;Metamagia!H33,"Nv "&amp;Metamagia!H33,"")</f>
        <v>Nv 10</v>
      </c>
      <c r="G36" s="259"/>
      <c r="H36" s="257">
        <v>20</v>
      </c>
      <c r="I36" s="250"/>
      <c r="J36" s="250"/>
      <c r="K36" s="257"/>
      <c r="L36" s="251"/>
      <c r="M36" s="251"/>
      <c r="N36" s="273"/>
      <c r="O36" s="251"/>
      <c r="P36" s="4150" t="s">
        <v>2008</v>
      </c>
      <c r="Q36" s="4150"/>
      <c r="R36" s="4151" t="s">
        <v>2009</v>
      </c>
      <c r="S36" s="4151"/>
      <c r="T36" s="4152" t="s">
        <v>2010</v>
      </c>
      <c r="U36" s="4152"/>
      <c r="V36" s="251"/>
      <c r="W36" s="251"/>
      <c r="X36" s="258" t="str">
        <f>IF(PDs!$R$15&lt;Metamagia!Z33,"Nv "&amp;Metamagia!Z33,"")</f>
        <v>Nv 10</v>
      </c>
      <c r="Y36" s="259"/>
      <c r="Z36" s="257">
        <v>20</v>
      </c>
      <c r="AA36" s="250"/>
      <c r="AB36" s="250"/>
      <c r="AC36" s="257"/>
      <c r="AD36" s="251"/>
      <c r="AE36" s="251"/>
      <c r="AF36" s="273"/>
      <c r="AG36" s="4149"/>
      <c r="AH36" s="4149"/>
      <c r="AI36" s="270"/>
      <c r="AJ36" s="173"/>
    </row>
    <row r="37" spans="1:36" ht="12" customHeight="1">
      <c r="A37" s="1468"/>
      <c r="B37" s="243"/>
      <c r="C37" s="4149"/>
      <c r="D37" s="4149"/>
      <c r="E37" s="257"/>
      <c r="F37" s="276">
        <f>IF(G36&gt;0,1,0)</f>
        <v>0</v>
      </c>
      <c r="G37" s="251"/>
      <c r="H37" s="273"/>
      <c r="I37" s="250"/>
      <c r="J37" s="250"/>
      <c r="K37" s="257"/>
      <c r="L37" s="4149" t="s">
        <v>2094</v>
      </c>
      <c r="M37" s="4149"/>
      <c r="N37" s="257">
        <v>10</v>
      </c>
      <c r="O37" s="251"/>
      <c r="P37" s="4153">
        <f>Místicos!$C$12</f>
        <v>0</v>
      </c>
      <c r="Q37" s="4153"/>
      <c r="R37" s="4154">
        <f>Místicos!$E$12</f>
        <v>0</v>
      </c>
      <c r="S37" s="4154"/>
      <c r="T37" s="4155">
        <f>D23+D31+D38+D45+D53+G14+G23+G29+G36+G47+G53+G62+J13+J18+J23+J28+J33+J43+J48+J53+J58+J63+M14+M23+M29+M40+M47+M53+M62+P23+P53+S18+S23+S28+S48+S53+S58+V23+V53+Y14+Y23+Y29+Y36+Y47+Y53+Y62+AB13+AB18+AB23+AB28+AB33+AB43+AB48+AB53+AB58+AB63+AE14+AE23+AE29+AE40+AE47+AE53+AE62+AH23+AH31+AH38+AH45+AH53</f>
        <v>0</v>
      </c>
      <c r="U37" s="4155"/>
      <c r="V37" s="251"/>
      <c r="W37" s="251"/>
      <c r="X37" s="276">
        <f>IF(Y36&gt;0,1,0)</f>
        <v>0</v>
      </c>
      <c r="Y37" s="251"/>
      <c r="Z37" s="273"/>
      <c r="AA37" s="250"/>
      <c r="AB37" s="250"/>
      <c r="AC37" s="270"/>
      <c r="AD37" s="4149" t="s">
        <v>2095</v>
      </c>
      <c r="AE37" s="4149"/>
      <c r="AF37" s="257">
        <v>10</v>
      </c>
      <c r="AG37" s="4149"/>
      <c r="AH37" s="4149"/>
      <c r="AI37" s="270"/>
      <c r="AJ37" s="173"/>
    </row>
    <row r="38" spans="1:36" ht="12" customHeight="1">
      <c r="A38" s="1468"/>
      <c r="B38" s="243"/>
      <c r="C38" s="258" t="str">
        <f>IF(PDs!$R$15&lt;Metamagia!E35,"Nv "&amp;Metamagia!E35,"")</f>
        <v>Nv 5</v>
      </c>
      <c r="D38" s="259"/>
      <c r="E38" s="257">
        <v>10</v>
      </c>
      <c r="F38" s="251"/>
      <c r="G38" s="251"/>
      <c r="H38" s="273"/>
      <c r="I38" s="250"/>
      <c r="J38" s="283"/>
      <c r="K38" s="284"/>
      <c r="L38" s="4149"/>
      <c r="M38" s="4149"/>
      <c r="N38" s="285"/>
      <c r="O38" s="251"/>
      <c r="P38" s="4153"/>
      <c r="Q38" s="4153"/>
      <c r="R38" s="4154"/>
      <c r="S38" s="4154"/>
      <c r="T38" s="4155"/>
      <c r="U38" s="4155"/>
      <c r="V38" s="251"/>
      <c r="W38" s="253"/>
      <c r="X38" s="251"/>
      <c r="Y38" s="251"/>
      <c r="Z38" s="273"/>
      <c r="AA38" s="250"/>
      <c r="AB38" s="266"/>
      <c r="AC38" s="255"/>
      <c r="AD38" s="4149"/>
      <c r="AE38" s="4149"/>
      <c r="AF38" s="257"/>
      <c r="AG38" s="258" t="str">
        <f>IF(PDs!$R$15&lt;Metamagia!AI35,"Nv "&amp;Metamagia!AI35,"")</f>
        <v>Nv 5</v>
      </c>
      <c r="AH38" s="259"/>
      <c r="AI38" s="270">
        <v>5</v>
      </c>
      <c r="AJ38" s="173"/>
    </row>
    <row r="39" spans="1:36" ht="12" customHeight="1">
      <c r="A39" s="1468"/>
      <c r="B39" s="243"/>
      <c r="C39" s="271">
        <f>IF(D38&gt;0,1,0)</f>
        <v>0</v>
      </c>
      <c r="D39" s="241"/>
      <c r="E39" s="257"/>
      <c r="F39" s="251"/>
      <c r="G39" s="251"/>
      <c r="H39" s="273"/>
      <c r="I39" s="265"/>
      <c r="J39" s="250"/>
      <c r="K39" s="257"/>
      <c r="L39" s="4149"/>
      <c r="M39" s="4149"/>
      <c r="N39" s="257"/>
      <c r="O39" s="251"/>
      <c r="P39" s="251"/>
      <c r="Q39" s="251"/>
      <c r="R39" s="251"/>
      <c r="S39" s="251"/>
      <c r="T39" s="251"/>
      <c r="U39" s="251"/>
      <c r="V39" s="251"/>
      <c r="W39" s="253"/>
      <c r="X39" s="251"/>
      <c r="Y39" s="251"/>
      <c r="Z39" s="273"/>
      <c r="AA39" s="250"/>
      <c r="AB39" s="263"/>
      <c r="AC39" s="270"/>
      <c r="AD39" s="4149"/>
      <c r="AE39" s="4149"/>
      <c r="AF39" s="257"/>
      <c r="AG39" s="217">
        <f>IF(AH38&gt;0,1,0)</f>
        <v>0</v>
      </c>
      <c r="AH39" s="243"/>
      <c r="AI39" s="270"/>
      <c r="AJ39" s="173"/>
    </row>
    <row r="40" spans="1:36" ht="12" customHeight="1">
      <c r="A40" s="1468"/>
      <c r="B40" s="243"/>
      <c r="C40" s="250"/>
      <c r="D40" s="243"/>
      <c r="E40" s="257"/>
      <c r="F40" s="286"/>
      <c r="G40" s="50"/>
      <c r="H40" s="257"/>
      <c r="I40" s="4149" t="s">
        <v>2096</v>
      </c>
      <c r="J40" s="4149"/>
      <c r="K40" s="257">
        <v>7</v>
      </c>
      <c r="L40" s="258" t="str">
        <f>IF(PDs!$R$15&lt;Metamagia!N37,"Nv "&amp;Metamagia!N37,"")</f>
        <v>Nv 10</v>
      </c>
      <c r="M40" s="259"/>
      <c r="N40" s="257">
        <v>20</v>
      </c>
      <c r="O40" s="251"/>
      <c r="P40" s="251"/>
      <c r="Q40" s="251"/>
      <c r="R40" s="251"/>
      <c r="S40" s="251"/>
      <c r="T40" s="251"/>
      <c r="U40" s="251"/>
      <c r="V40" s="251"/>
      <c r="W40" s="253"/>
      <c r="X40" s="251"/>
      <c r="Y40" s="251"/>
      <c r="Z40" s="273"/>
      <c r="AA40" s="4149" t="s">
        <v>2097</v>
      </c>
      <c r="AB40" s="4149"/>
      <c r="AC40" s="257">
        <v>9</v>
      </c>
      <c r="AD40" s="258" t="str">
        <f>IF(PDs!$R$15&lt;Metamagia!AF37,"Nv "&amp;Metamagia!AF37,"")</f>
        <v>Nv 10</v>
      </c>
      <c r="AE40" s="259"/>
      <c r="AF40" s="257">
        <v>20</v>
      </c>
      <c r="AG40" s="250"/>
      <c r="AH40" s="243"/>
      <c r="AI40" s="270"/>
      <c r="AJ40" s="173"/>
    </row>
    <row r="41" spans="1:36" ht="12" customHeight="1">
      <c r="A41" s="1468"/>
      <c r="B41" s="243"/>
      <c r="C41" s="251"/>
      <c r="D41" s="275"/>
      <c r="E41" s="273"/>
      <c r="F41" s="286"/>
      <c r="G41" s="50"/>
      <c r="H41" s="257"/>
      <c r="I41" s="4149"/>
      <c r="J41" s="4149"/>
      <c r="K41" s="257"/>
      <c r="L41" s="217">
        <f>IF(M40&gt;0,1,0)</f>
        <v>0</v>
      </c>
      <c r="M41" s="250"/>
      <c r="N41" s="257"/>
      <c r="O41" s="251"/>
      <c r="V41" s="251"/>
      <c r="W41" s="253"/>
      <c r="X41" s="286"/>
      <c r="Y41" s="50"/>
      <c r="Z41" s="257"/>
      <c r="AA41" s="4149"/>
      <c r="AB41" s="4149"/>
      <c r="AC41" s="257"/>
      <c r="AD41" s="217">
        <f>IF(AE40&gt;0,1,0)</f>
        <v>0</v>
      </c>
      <c r="AE41" s="250"/>
      <c r="AF41" s="257"/>
      <c r="AG41" s="251"/>
      <c r="AH41" s="275"/>
      <c r="AI41" s="274"/>
      <c r="AJ41" s="173"/>
    </row>
    <row r="42" spans="1:36" ht="12" customHeight="1">
      <c r="A42" s="1468"/>
      <c r="B42" s="243"/>
      <c r="C42" s="4149" t="s">
        <v>2098</v>
      </c>
      <c r="D42" s="4149"/>
      <c r="E42" s="287">
        <v>2</v>
      </c>
      <c r="F42" s="50"/>
      <c r="G42" s="241"/>
      <c r="H42" s="288"/>
      <c r="I42" s="4149"/>
      <c r="J42" s="4149"/>
      <c r="K42" s="289"/>
      <c r="L42" s="290"/>
      <c r="M42" s="250"/>
      <c r="N42" s="257"/>
      <c r="O42" s="251"/>
      <c r="V42" s="251"/>
      <c r="W42" s="253"/>
      <c r="X42" s="50"/>
      <c r="Y42" s="241"/>
      <c r="Z42" s="288"/>
      <c r="AA42" s="4149"/>
      <c r="AB42" s="4149"/>
      <c r="AC42" s="291"/>
      <c r="AD42" s="290"/>
      <c r="AE42" s="250"/>
      <c r="AF42" s="257"/>
      <c r="AG42" s="4149" t="s">
        <v>2099</v>
      </c>
      <c r="AH42" s="4149"/>
      <c r="AI42" s="270">
        <v>3</v>
      </c>
      <c r="AJ42" s="173"/>
    </row>
    <row r="43" spans="1:36" ht="12" customHeight="1">
      <c r="A43" s="1468"/>
      <c r="B43" s="243"/>
      <c r="C43" s="4149"/>
      <c r="D43" s="4149"/>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49"/>
      <c r="AH43" s="4149"/>
      <c r="AI43" s="270"/>
      <c r="AJ43" s="173"/>
    </row>
    <row r="44" spans="1:36" ht="12" customHeight="1">
      <c r="A44" s="1468"/>
      <c r="B44" s="243"/>
      <c r="C44" s="4149"/>
      <c r="D44" s="4149"/>
      <c r="E44" s="257"/>
      <c r="F44" s="4149" t="s">
        <v>2100</v>
      </c>
      <c r="G44" s="4149"/>
      <c r="H44" s="257">
        <v>6</v>
      </c>
      <c r="I44" s="217">
        <f>IF(J43&gt;0,1,0)</f>
        <v>0</v>
      </c>
      <c r="J44" s="250"/>
      <c r="K44" s="257"/>
      <c r="L44" s="4149" t="s">
        <v>2101</v>
      </c>
      <c r="M44" s="4149"/>
      <c r="N44" s="257">
        <v>9</v>
      </c>
      <c r="O44" s="250"/>
      <c r="V44" s="67"/>
      <c r="W44" s="253"/>
      <c r="X44" s="4149" t="s">
        <v>2102</v>
      </c>
      <c r="Y44" s="4149"/>
      <c r="Z44" s="257">
        <v>8</v>
      </c>
      <c r="AA44" s="217">
        <f>IF(AB43&gt;0,1,0)</f>
        <v>0</v>
      </c>
      <c r="AB44" s="250"/>
      <c r="AC44" s="257"/>
      <c r="AD44" s="4149" t="s">
        <v>2099</v>
      </c>
      <c r="AE44" s="4149"/>
      <c r="AF44" s="257">
        <v>10</v>
      </c>
      <c r="AG44" s="4149"/>
      <c r="AH44" s="4149"/>
      <c r="AI44" s="270"/>
      <c r="AJ44" s="173"/>
    </row>
    <row r="45" spans="1:36" ht="12" customHeight="1">
      <c r="A45" s="1468"/>
      <c r="B45" s="243"/>
      <c r="C45" s="258" t="str">
        <f>IF(PDs!$R$15&lt;Metamagia!E42,"Nv "&amp;Metamagia!E42,"")</f>
        <v>Nv 2</v>
      </c>
      <c r="D45" s="259"/>
      <c r="E45" s="257">
        <v>5</v>
      </c>
      <c r="F45" s="4149"/>
      <c r="G45" s="4149"/>
      <c r="H45" s="257"/>
      <c r="I45" s="4149" t="s">
        <v>2101</v>
      </c>
      <c r="J45" s="4149"/>
      <c r="K45" s="257">
        <v>6</v>
      </c>
      <c r="L45" s="4149"/>
      <c r="M45" s="4149"/>
      <c r="N45" s="257"/>
      <c r="O45" s="250"/>
      <c r="P45" s="250"/>
      <c r="Q45" s="252"/>
      <c r="R45" s="4149" t="s">
        <v>2098</v>
      </c>
      <c r="S45" s="4149"/>
      <c r="T45" s="257">
        <v>2</v>
      </c>
      <c r="U45" s="67"/>
      <c r="V45" s="67"/>
      <c r="W45" s="253"/>
      <c r="X45" s="4149"/>
      <c r="Y45" s="4149"/>
      <c r="Z45" s="257"/>
      <c r="AA45" s="4149" t="s">
        <v>2103</v>
      </c>
      <c r="AB45" s="4149"/>
      <c r="AC45" s="257">
        <v>6</v>
      </c>
      <c r="AD45" s="4149"/>
      <c r="AE45" s="4149"/>
      <c r="AF45" s="257"/>
      <c r="AG45" s="258" t="str">
        <f>IF(PDs!$R$15&lt;Metamagia!AI42,"Nv "&amp;Metamagia!AI42,"")</f>
        <v>Nv 3</v>
      </c>
      <c r="AH45" s="259"/>
      <c r="AI45" s="270">
        <v>5</v>
      </c>
      <c r="AJ45" s="173"/>
    </row>
    <row r="46" spans="1:36" ht="12" customHeight="1">
      <c r="A46" s="1468"/>
      <c r="B46" s="243"/>
      <c r="C46" s="262">
        <f>IF(D45&gt;0,1,0)</f>
        <v>0</v>
      </c>
      <c r="D46" s="250"/>
      <c r="E46" s="257"/>
      <c r="F46" s="4149"/>
      <c r="G46" s="4149"/>
      <c r="H46" s="257"/>
      <c r="I46" s="4149"/>
      <c r="J46" s="4149"/>
      <c r="K46" s="257"/>
      <c r="L46" s="4149"/>
      <c r="M46" s="4149"/>
      <c r="N46" s="257"/>
      <c r="O46" s="250"/>
      <c r="P46" s="266"/>
      <c r="Q46" s="267"/>
      <c r="R46" s="4149"/>
      <c r="S46" s="4149"/>
      <c r="T46" s="257"/>
      <c r="U46" s="67"/>
      <c r="V46" s="67"/>
      <c r="W46" s="253"/>
      <c r="X46" s="4149"/>
      <c r="Y46" s="4149"/>
      <c r="Z46" s="257"/>
      <c r="AA46" s="4149"/>
      <c r="AB46" s="4149"/>
      <c r="AC46" s="257"/>
      <c r="AD46" s="4149"/>
      <c r="AE46" s="4149"/>
      <c r="AF46" s="257"/>
      <c r="AG46" s="271">
        <f>IF(AH45&gt;0,1,0)</f>
        <v>0</v>
      </c>
      <c r="AH46" s="241"/>
      <c r="AI46" s="270"/>
      <c r="AJ46" s="173"/>
    </row>
    <row r="47" spans="1:36" ht="12" customHeight="1">
      <c r="A47" s="1468"/>
      <c r="B47" s="243"/>
      <c r="C47" s="268"/>
      <c r="D47" s="250"/>
      <c r="E47" s="257"/>
      <c r="F47" s="258" t="str">
        <f>IF(PDs!$R$15&lt;Metamagia!H44,"Nv "&amp;Metamagia!H44,"")</f>
        <v>Nv 6</v>
      </c>
      <c r="G47" s="259"/>
      <c r="H47" s="257">
        <v>10</v>
      </c>
      <c r="I47" s="4149"/>
      <c r="J47" s="4149"/>
      <c r="K47" s="257"/>
      <c r="L47" s="258" t="str">
        <f>IF(PDs!$R$15&lt;Metamagia!N44,"Nv "&amp;Metamagia!N44,"")</f>
        <v>Nv 9</v>
      </c>
      <c r="M47" s="259"/>
      <c r="N47" s="257">
        <v>25</v>
      </c>
      <c r="O47" s="268"/>
      <c r="P47" s="250"/>
      <c r="Q47" s="252"/>
      <c r="R47" s="4149"/>
      <c r="S47" s="4149"/>
      <c r="T47" s="257"/>
      <c r="U47" s="67"/>
      <c r="V47" s="67"/>
      <c r="W47" s="292"/>
      <c r="X47" s="258" t="str">
        <f>IF(PDs!$R$15&lt;Metamagia!Z44,"Nv "&amp;Metamagia!Z44,"")</f>
        <v>Nv 8</v>
      </c>
      <c r="Y47" s="259"/>
      <c r="Z47" s="257">
        <v>5</v>
      </c>
      <c r="AA47" s="4149"/>
      <c r="AB47" s="4149"/>
      <c r="AC47" s="257"/>
      <c r="AD47" s="258" t="str">
        <f>IF(PDs!$R$15&lt;Metamagia!AF44,"Nv "&amp;Metamagia!AF44,"")</f>
        <v>Nv 10</v>
      </c>
      <c r="AE47" s="259"/>
      <c r="AF47" s="257">
        <v>5</v>
      </c>
      <c r="AG47" s="250"/>
      <c r="AH47" s="243"/>
      <c r="AI47" s="270"/>
      <c r="AJ47" s="173"/>
    </row>
    <row r="48" spans="1:36" ht="12" customHeight="1">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8"/>
      <c r="B50" s="243"/>
      <c r="C50" s="4149" t="s">
        <v>2104</v>
      </c>
      <c r="D50" s="4149"/>
      <c r="E50" s="257"/>
      <c r="F50" s="4149" t="s">
        <v>2105</v>
      </c>
      <c r="G50" s="4149"/>
      <c r="H50" s="257">
        <v>3</v>
      </c>
      <c r="I50" s="4149" t="s">
        <v>2106</v>
      </c>
      <c r="J50" s="4149"/>
      <c r="K50" s="257">
        <v>3</v>
      </c>
      <c r="L50" s="4149" t="s">
        <v>2107</v>
      </c>
      <c r="M50" s="4149"/>
      <c r="N50" s="257">
        <v>3</v>
      </c>
      <c r="O50" s="4149" t="s">
        <v>2108</v>
      </c>
      <c r="P50" s="4149"/>
      <c r="Q50" s="252"/>
      <c r="R50" s="4149" t="s">
        <v>2099</v>
      </c>
      <c r="S50" s="4149"/>
      <c r="T50" s="257">
        <v>5</v>
      </c>
      <c r="U50" s="4149" t="s">
        <v>2099</v>
      </c>
      <c r="V50" s="4149"/>
      <c r="W50" s="257">
        <v>4</v>
      </c>
      <c r="X50" s="4149" t="s">
        <v>2109</v>
      </c>
      <c r="Y50" s="4149"/>
      <c r="Z50" s="257">
        <v>3</v>
      </c>
      <c r="AA50" s="4149" t="s">
        <v>2099</v>
      </c>
      <c r="AB50" s="4149"/>
      <c r="AC50" s="257">
        <v>6</v>
      </c>
      <c r="AD50" s="4149" t="s">
        <v>2110</v>
      </c>
      <c r="AE50" s="4149"/>
      <c r="AF50" s="257">
        <v>3</v>
      </c>
      <c r="AG50" s="4149" t="s">
        <v>2111</v>
      </c>
      <c r="AH50" s="4149"/>
      <c r="AI50" s="270">
        <v>3</v>
      </c>
      <c r="AJ50" s="173"/>
    </row>
    <row r="51" spans="1:36" ht="12" customHeight="1">
      <c r="A51" s="1468"/>
      <c r="B51" s="243"/>
      <c r="C51" s="4149"/>
      <c r="D51" s="4149"/>
      <c r="E51" s="254"/>
      <c r="F51" s="4149"/>
      <c r="G51" s="4149"/>
      <c r="H51" s="254"/>
      <c r="I51" s="4149"/>
      <c r="J51" s="4149"/>
      <c r="K51" s="254"/>
      <c r="L51" s="4149"/>
      <c r="M51" s="4149"/>
      <c r="N51" s="254"/>
      <c r="O51" s="4149"/>
      <c r="P51" s="4149"/>
      <c r="Q51" s="252"/>
      <c r="R51" s="4149"/>
      <c r="S51" s="4149"/>
      <c r="T51" s="257"/>
      <c r="U51" s="4149"/>
      <c r="V51" s="4149"/>
      <c r="W51" s="254"/>
      <c r="X51" s="4149"/>
      <c r="Y51" s="4149"/>
      <c r="Z51" s="254"/>
      <c r="AA51" s="4149"/>
      <c r="AB51" s="4149"/>
      <c r="AC51" s="254"/>
      <c r="AD51" s="4149"/>
      <c r="AE51" s="4149"/>
      <c r="AF51" s="254"/>
      <c r="AG51" s="4149"/>
      <c r="AH51" s="4149"/>
      <c r="AI51" s="270"/>
      <c r="AJ51" s="173"/>
    </row>
    <row r="52" spans="1:36" ht="12" customHeight="1">
      <c r="A52" s="1468"/>
      <c r="B52" s="243"/>
      <c r="C52" s="4149"/>
      <c r="D52" s="4149"/>
      <c r="E52" s="257"/>
      <c r="F52" s="4149"/>
      <c r="G52" s="4149"/>
      <c r="H52" s="257"/>
      <c r="I52" s="4149"/>
      <c r="J52" s="4149"/>
      <c r="K52" s="257"/>
      <c r="L52" s="4149"/>
      <c r="M52" s="4149"/>
      <c r="N52" s="257"/>
      <c r="O52" s="4149"/>
      <c r="P52" s="4149"/>
      <c r="Q52" s="252"/>
      <c r="R52" s="4149"/>
      <c r="S52" s="4149"/>
      <c r="T52" s="257"/>
      <c r="U52" s="4149"/>
      <c r="V52" s="4149"/>
      <c r="W52" s="257"/>
      <c r="X52" s="4149"/>
      <c r="Y52" s="4149"/>
      <c r="Z52" s="257"/>
      <c r="AA52" s="4149"/>
      <c r="AB52" s="4149"/>
      <c r="AC52" s="257"/>
      <c r="AD52" s="4149"/>
      <c r="AE52" s="4149"/>
      <c r="AF52" s="257"/>
      <c r="AG52" s="4149"/>
      <c r="AH52" s="4149"/>
      <c r="AI52" s="270"/>
      <c r="AJ52" s="173"/>
    </row>
    <row r="53" spans="1:36" ht="12" customHeight="1">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8"/>
      <c r="B55" s="243"/>
      <c r="C55" s="294"/>
      <c r="D55" s="294"/>
      <c r="E55" s="252"/>
      <c r="F55" s="295"/>
      <c r="G55" s="296"/>
      <c r="H55" s="297"/>
      <c r="I55" s="4149" t="s">
        <v>2112</v>
      </c>
      <c r="J55" s="4149"/>
      <c r="K55" s="257"/>
      <c r="L55" s="250"/>
      <c r="M55" s="243"/>
      <c r="N55" s="257"/>
      <c r="O55" s="250"/>
      <c r="P55" s="250"/>
      <c r="Q55" s="252"/>
      <c r="R55" s="4149" t="s">
        <v>2102</v>
      </c>
      <c r="S55" s="4149"/>
      <c r="T55" s="257">
        <v>5</v>
      </c>
      <c r="U55" s="68"/>
      <c r="V55" s="67"/>
      <c r="W55" s="253"/>
      <c r="X55" s="295"/>
      <c r="Y55" s="296"/>
      <c r="Z55" s="297"/>
      <c r="AA55" s="4149" t="s">
        <v>2099</v>
      </c>
      <c r="AB55" s="4149"/>
      <c r="AC55" s="257"/>
      <c r="AD55" s="250"/>
      <c r="AE55" s="243"/>
      <c r="AF55" s="257"/>
      <c r="AG55" s="67"/>
      <c r="AH55" s="67"/>
      <c r="AI55" s="293"/>
      <c r="AJ55" s="173"/>
    </row>
    <row r="56" spans="1:36" ht="12" customHeight="1">
      <c r="A56" s="1468"/>
      <c r="B56" s="65"/>
      <c r="C56" s="103"/>
      <c r="D56" s="103"/>
      <c r="E56" s="119"/>
      <c r="F56" s="298"/>
      <c r="G56" s="299"/>
      <c r="H56" s="300"/>
      <c r="I56" s="4149"/>
      <c r="J56" s="4149"/>
      <c r="K56" s="264"/>
      <c r="L56" s="180"/>
      <c r="M56" s="65"/>
      <c r="N56" s="257"/>
      <c r="O56" s="250"/>
      <c r="P56" s="250"/>
      <c r="Q56" s="252"/>
      <c r="R56" s="4149"/>
      <c r="S56" s="4149"/>
      <c r="T56" s="264"/>
      <c r="U56" s="180"/>
      <c r="V56" s="67"/>
      <c r="W56" s="253"/>
      <c r="X56" s="298"/>
      <c r="Y56" s="299"/>
      <c r="Z56" s="300"/>
      <c r="AA56" s="4149"/>
      <c r="AB56" s="4149"/>
      <c r="AC56" s="264"/>
      <c r="AD56" s="180"/>
      <c r="AE56" s="65"/>
      <c r="AF56" s="257"/>
      <c r="AG56" s="67"/>
      <c r="AH56" s="67"/>
      <c r="AI56" s="68"/>
      <c r="AJ56" s="173"/>
    </row>
    <row r="57" spans="1:36" ht="12" customHeight="1">
      <c r="A57" s="1468"/>
      <c r="B57" s="65"/>
      <c r="C57" s="103"/>
      <c r="D57" s="103"/>
      <c r="E57" s="119"/>
      <c r="F57" s="301"/>
      <c r="G57" s="302"/>
      <c r="H57" s="257"/>
      <c r="I57" s="4149"/>
      <c r="J57" s="4149"/>
      <c r="K57" s="257"/>
      <c r="L57" s="67"/>
      <c r="M57" s="65"/>
      <c r="N57" s="257"/>
      <c r="O57" s="250"/>
      <c r="P57" s="250"/>
      <c r="Q57" s="252"/>
      <c r="R57" s="4149"/>
      <c r="S57" s="4149"/>
      <c r="T57" s="257"/>
      <c r="U57" s="67"/>
      <c r="V57" s="67"/>
      <c r="W57" s="253"/>
      <c r="X57" s="301"/>
      <c r="Y57" s="302"/>
      <c r="Z57" s="257"/>
      <c r="AA57" s="4149"/>
      <c r="AB57" s="4149"/>
      <c r="AC57" s="257"/>
      <c r="AD57" s="67"/>
      <c r="AE57" s="65"/>
      <c r="AF57" s="257"/>
      <c r="AG57" s="67"/>
      <c r="AH57" s="67"/>
      <c r="AI57" s="68"/>
      <c r="AJ57" s="173"/>
    </row>
    <row r="58" spans="1:36" ht="12" customHeight="1">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8"/>
      <c r="B59" s="65"/>
      <c r="C59" s="103"/>
      <c r="D59" s="103"/>
      <c r="E59" s="303"/>
      <c r="F59" s="4149" t="s">
        <v>2113</v>
      </c>
      <c r="G59" s="4149"/>
      <c r="H59" s="257"/>
      <c r="I59" s="269">
        <f>IF(J58&gt;0,1,0)</f>
        <v>0</v>
      </c>
      <c r="J59" s="67"/>
      <c r="K59" s="257"/>
      <c r="L59" s="4149" t="s">
        <v>2098</v>
      </c>
      <c r="M59" s="4149"/>
      <c r="N59" s="257"/>
      <c r="O59" s="67"/>
      <c r="P59" s="67"/>
      <c r="Q59" s="253"/>
      <c r="R59" s="217">
        <f>IF(S58&gt;0,1,0)</f>
        <v>0</v>
      </c>
      <c r="S59" s="67"/>
      <c r="T59" s="253"/>
      <c r="U59" s="67"/>
      <c r="V59" s="67"/>
      <c r="W59" s="253"/>
      <c r="X59" s="4149" t="s">
        <v>2102</v>
      </c>
      <c r="Y59" s="4149"/>
      <c r="Z59" s="257"/>
      <c r="AA59" s="269">
        <f>IF(AB58&gt;0,1,0)</f>
        <v>0</v>
      </c>
      <c r="AB59" s="67"/>
      <c r="AC59" s="257"/>
      <c r="AD59" s="4149" t="s">
        <v>2111</v>
      </c>
      <c r="AE59" s="4149"/>
      <c r="AF59" s="257"/>
      <c r="AG59" s="67"/>
      <c r="AH59" s="67"/>
      <c r="AI59" s="68"/>
      <c r="AJ59" s="173"/>
    </row>
    <row r="60" spans="1:36" ht="12" customHeight="1">
      <c r="A60" s="1614"/>
      <c r="B60" s="305"/>
      <c r="C60" s="103"/>
      <c r="D60" s="103"/>
      <c r="E60" s="303"/>
      <c r="F60" s="4149"/>
      <c r="G60" s="4149"/>
      <c r="H60" s="254"/>
      <c r="I60" s="4149" t="s">
        <v>2106</v>
      </c>
      <c r="J60" s="4149"/>
      <c r="K60" s="256"/>
      <c r="L60" s="4149"/>
      <c r="M60" s="4149"/>
      <c r="N60" s="257"/>
      <c r="O60" s="67"/>
      <c r="P60" s="67"/>
      <c r="Q60" s="67"/>
      <c r="R60" s="67"/>
      <c r="S60" s="67"/>
      <c r="T60" s="253"/>
      <c r="U60" s="67"/>
      <c r="V60" s="67"/>
      <c r="W60" s="253"/>
      <c r="X60" s="4149"/>
      <c r="Y60" s="4149"/>
      <c r="Z60" s="254"/>
      <c r="AA60" s="4149" t="s">
        <v>2099</v>
      </c>
      <c r="AB60" s="4149"/>
      <c r="AC60" s="254"/>
      <c r="AD60" s="4149"/>
      <c r="AE60" s="4149"/>
      <c r="AF60" s="257"/>
      <c r="AG60" s="67"/>
      <c r="AH60" s="67"/>
      <c r="AI60" s="68"/>
      <c r="AJ60" s="173"/>
    </row>
    <row r="61" spans="1:36" ht="12" customHeight="1">
      <c r="A61" s="1614"/>
      <c r="B61" s="305"/>
      <c r="C61" s="103"/>
      <c r="D61" s="103"/>
      <c r="E61" s="303"/>
      <c r="F61" s="4149"/>
      <c r="G61" s="4149"/>
      <c r="H61" s="257"/>
      <c r="I61" s="4149"/>
      <c r="J61" s="4149"/>
      <c r="K61" s="253"/>
      <c r="L61" s="4149"/>
      <c r="M61" s="4149"/>
      <c r="N61" s="257"/>
      <c r="O61" s="67"/>
      <c r="P61" s="67"/>
      <c r="Q61" s="67"/>
      <c r="R61" s="67"/>
      <c r="S61" s="67"/>
      <c r="T61" s="253"/>
      <c r="U61" s="67"/>
      <c r="V61" s="67"/>
      <c r="W61" s="253"/>
      <c r="X61" s="4149"/>
      <c r="Y61" s="4149"/>
      <c r="Z61" s="257"/>
      <c r="AA61" s="4149"/>
      <c r="AB61" s="4149"/>
      <c r="AC61" s="257"/>
      <c r="AD61" s="4149"/>
      <c r="AE61" s="4149"/>
      <c r="AF61" s="257"/>
      <c r="AG61" s="67"/>
      <c r="AH61" s="67"/>
      <c r="AI61" s="68"/>
      <c r="AJ61" s="173"/>
    </row>
    <row r="62" spans="1:36" ht="12" customHeight="1">
      <c r="A62" s="1614"/>
      <c r="B62" s="305"/>
      <c r="C62" s="103"/>
      <c r="D62" s="103"/>
      <c r="E62" s="157"/>
      <c r="F62" s="258" t="str">
        <f>IF(PDs!$R$15&lt;Metamagia!H59,"Nv "&amp;Metamagia!H59,"")</f>
        <v/>
      </c>
      <c r="G62" s="259"/>
      <c r="H62" s="257">
        <v>5</v>
      </c>
      <c r="I62" s="4149"/>
      <c r="J62" s="4149"/>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49"/>
      <c r="AB62" s="4149"/>
      <c r="AC62" s="257"/>
      <c r="AD62" s="258" t="str">
        <f>IF(PDs!$R$15&lt;Metamagia!AF59,"Nv "&amp;Metamagia!AF59,"")</f>
        <v/>
      </c>
      <c r="AE62" s="259"/>
      <c r="AF62" s="257">
        <v>5</v>
      </c>
      <c r="AG62" s="67"/>
      <c r="AH62" s="67"/>
      <c r="AI62" s="68"/>
      <c r="AJ62" s="173"/>
    </row>
    <row r="63" spans="1:36" ht="12" customHeight="1">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5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43" priority="71" stopIfTrue="1" operator="greaterThan">
      <formula>0</formula>
    </cfRule>
  </conditionalFormatting>
  <conditionalFormatting sqref="F11:G13">
    <cfRule type="expression" dxfId="542" priority="69" stopIfTrue="1">
      <formula>$G$14&gt;0</formula>
    </cfRule>
  </conditionalFormatting>
  <conditionalFormatting sqref="AA60:AB62">
    <cfRule type="expression" dxfId="541" priority="68" stopIfTrue="1">
      <formula>$AB$63&gt;0</formula>
    </cfRule>
  </conditionalFormatting>
  <conditionalFormatting sqref="AD59:AE61">
    <cfRule type="expression" dxfId="540" priority="67" stopIfTrue="1">
      <formula>$AE$62&gt;0</formula>
    </cfRule>
  </conditionalFormatting>
  <conditionalFormatting sqref="X59:Y61">
    <cfRule type="expression" dxfId="539" priority="66" stopIfTrue="1">
      <formula>$Y$62&gt;0</formula>
    </cfRule>
  </conditionalFormatting>
  <conditionalFormatting sqref="AA55:AB57">
    <cfRule type="expression" dxfId="538" priority="65" stopIfTrue="1">
      <formula>$AB$58&gt;0</formula>
    </cfRule>
  </conditionalFormatting>
  <conditionalFormatting sqref="AD50:AE52">
    <cfRule type="expression" dxfId="537" priority="64" stopIfTrue="1">
      <formula>$AE$53&gt;0</formula>
    </cfRule>
  </conditionalFormatting>
  <conditionalFormatting sqref="AG50:AH52">
    <cfRule type="expression" dxfId="536" priority="63" stopIfTrue="1">
      <formula>$AH$53&gt;0</formula>
    </cfRule>
  </conditionalFormatting>
  <conditionalFormatting sqref="AG42:AH44">
    <cfRule type="expression" dxfId="535" priority="62" stopIfTrue="1">
      <formula>$AH$45&gt;0</formula>
    </cfRule>
  </conditionalFormatting>
  <conditionalFormatting sqref="AD44:AE46">
    <cfRule type="expression" dxfId="534" priority="61" stopIfTrue="1">
      <formula>$AE$47&gt;0</formula>
    </cfRule>
  </conditionalFormatting>
  <conditionalFormatting sqref="AA50:AB52">
    <cfRule type="expression" dxfId="533" priority="60" stopIfTrue="1">
      <formula>$AB$53&gt;0</formula>
    </cfRule>
  </conditionalFormatting>
  <conditionalFormatting sqref="X50:Y52">
    <cfRule type="expression" dxfId="532" priority="59" stopIfTrue="1">
      <formula>$Y$53&gt;0</formula>
    </cfRule>
  </conditionalFormatting>
  <conditionalFormatting sqref="AA45:AB47">
    <cfRule type="expression" dxfId="531" priority="58" stopIfTrue="1">
      <formula>$AB$48&gt;0</formula>
    </cfRule>
  </conditionalFormatting>
  <conditionalFormatting sqref="U50:V52">
    <cfRule type="expression" dxfId="530" priority="57" stopIfTrue="1">
      <formula>$V$53&gt;0</formula>
    </cfRule>
  </conditionalFormatting>
  <conditionalFormatting sqref="X44:Y46">
    <cfRule type="expression" dxfId="529" priority="56" stopIfTrue="1">
      <formula>$Y$47&gt;0</formula>
    </cfRule>
  </conditionalFormatting>
  <conditionalFormatting sqref="AA40:AB42">
    <cfRule type="expression" dxfId="528" priority="55" stopIfTrue="1">
      <formula>$AB$43&gt;0</formula>
    </cfRule>
  </conditionalFormatting>
  <conditionalFormatting sqref="AD37:AE39">
    <cfRule type="expression" dxfId="527" priority="54" stopIfTrue="1">
      <formula>$AE$40&gt;0</formula>
    </cfRule>
  </conditionalFormatting>
  <conditionalFormatting sqref="AG35:AH37">
    <cfRule type="expression" dxfId="526" priority="53" stopIfTrue="1">
      <formula>$AH$38&gt;0</formula>
    </cfRule>
  </conditionalFormatting>
  <conditionalFormatting sqref="R45:S47">
    <cfRule type="expression" dxfId="525" priority="52" stopIfTrue="1">
      <formula>$S$48&gt;0</formula>
    </cfRule>
  </conditionalFormatting>
  <conditionalFormatting sqref="R50:S52">
    <cfRule type="expression" dxfId="524" priority="51" stopIfTrue="1">
      <formula>$S$53&gt;0</formula>
    </cfRule>
  </conditionalFormatting>
  <conditionalFormatting sqref="R55:S57">
    <cfRule type="expression" dxfId="523" priority="50" stopIfTrue="1">
      <formula>$S$58&gt;0</formula>
    </cfRule>
  </conditionalFormatting>
  <conditionalFormatting sqref="O50:P52">
    <cfRule type="expression" dxfId="522" priority="49" stopIfTrue="1">
      <formula>$P$53&gt;0</formula>
    </cfRule>
  </conditionalFormatting>
  <conditionalFormatting sqref="L59:M61">
    <cfRule type="expression" dxfId="521" priority="48" stopIfTrue="1">
      <formula>$M$62&gt;0</formula>
    </cfRule>
  </conditionalFormatting>
  <conditionalFormatting sqref="I60:J62">
    <cfRule type="expression" dxfId="520" priority="47" stopIfTrue="1">
      <formula>$J$63&gt;0</formula>
    </cfRule>
  </conditionalFormatting>
  <conditionalFormatting sqref="F59:G61">
    <cfRule type="expression" dxfId="519" priority="46" stopIfTrue="1">
      <formula>$G$62&gt;0</formula>
    </cfRule>
  </conditionalFormatting>
  <conditionalFormatting sqref="I55:J57">
    <cfRule type="expression" dxfId="518" priority="45" stopIfTrue="1">
      <formula>$J$58&gt;0</formula>
    </cfRule>
  </conditionalFormatting>
  <conditionalFormatting sqref="L50:M52">
    <cfRule type="expression" dxfId="517" priority="44" stopIfTrue="1">
      <formula>$M$53&gt;0</formula>
    </cfRule>
  </conditionalFormatting>
  <conditionalFormatting sqref="I50:J52">
    <cfRule type="expression" dxfId="516" priority="43" stopIfTrue="1">
      <formula>$J$53&gt;0</formula>
    </cfRule>
  </conditionalFormatting>
  <conditionalFormatting sqref="F50:G52">
    <cfRule type="expression" dxfId="515" priority="42" stopIfTrue="1">
      <formula>$G$53&gt;0</formula>
    </cfRule>
  </conditionalFormatting>
  <conditionalFormatting sqref="C50:D52">
    <cfRule type="expression" dxfId="514" priority="41" stopIfTrue="1">
      <formula>$D$53&gt;0</formula>
    </cfRule>
  </conditionalFormatting>
  <conditionalFormatting sqref="L44:M46">
    <cfRule type="expression" dxfId="513" priority="40" stopIfTrue="1">
      <formula>$M$47&gt;0</formula>
    </cfRule>
  </conditionalFormatting>
  <conditionalFormatting sqref="I45:J47">
    <cfRule type="expression" dxfId="512" priority="39" stopIfTrue="1">
      <formula>$J$48&gt;0</formula>
    </cfRule>
  </conditionalFormatting>
  <conditionalFormatting sqref="F44:G46">
    <cfRule type="expression" dxfId="511" priority="38" stopIfTrue="1">
      <formula>$G$47&gt;0</formula>
    </cfRule>
  </conditionalFormatting>
  <conditionalFormatting sqref="C42:D44">
    <cfRule type="expression" dxfId="510" priority="34" stopIfTrue="1">
      <formula>$D$45&gt;0</formula>
    </cfRule>
    <cfRule type="expression" dxfId="509" priority="37" stopIfTrue="1">
      <formula>$D$45&gt;0</formula>
    </cfRule>
  </conditionalFormatting>
  <conditionalFormatting sqref="I40:J42">
    <cfRule type="expression" dxfId="508" priority="36" stopIfTrue="1">
      <formula>$J$43&gt;0</formula>
    </cfRule>
  </conditionalFormatting>
  <conditionalFormatting sqref="L37:M39">
    <cfRule type="expression" dxfId="507" priority="35" stopIfTrue="1">
      <formula>$M$40&gt;0</formula>
    </cfRule>
  </conditionalFormatting>
  <conditionalFormatting sqref="C35:D37">
    <cfRule type="expression" dxfId="506" priority="33" stopIfTrue="1">
      <formula>$D$38&gt;0</formula>
    </cfRule>
  </conditionalFormatting>
  <conditionalFormatting sqref="F33:G35">
    <cfRule type="expression" dxfId="505" priority="32" stopIfTrue="1">
      <formula>$G$36&gt;0</formula>
    </cfRule>
  </conditionalFormatting>
  <conditionalFormatting sqref="I30:J32">
    <cfRule type="expression" dxfId="504" priority="31" stopIfTrue="1">
      <formula>$J$33&gt;0</formula>
    </cfRule>
  </conditionalFormatting>
  <conditionalFormatting sqref="C28:D30">
    <cfRule type="expression" dxfId="503" priority="30" stopIfTrue="1">
      <formula>$D$31&gt;0</formula>
    </cfRule>
  </conditionalFormatting>
  <conditionalFormatting sqref="F26:G28">
    <cfRule type="expression" dxfId="502" priority="29" stopIfTrue="1">
      <formula>$G$29&gt;0</formula>
    </cfRule>
  </conditionalFormatting>
  <conditionalFormatting sqref="I25:J27">
    <cfRule type="expression" dxfId="501" priority="28" stopIfTrue="1">
      <formula>$J$28&gt;0</formula>
    </cfRule>
  </conditionalFormatting>
  <conditionalFormatting sqref="L26:M28">
    <cfRule type="expression" dxfId="500" priority="27" stopIfTrue="1">
      <formula>$M$29&gt;0</formula>
    </cfRule>
  </conditionalFormatting>
  <conditionalFormatting sqref="C20:D22">
    <cfRule type="expression" dxfId="499" priority="26" stopIfTrue="1">
      <formula>$D$23&gt;0</formula>
    </cfRule>
  </conditionalFormatting>
  <conditionalFormatting sqref="F20:G22">
    <cfRule type="expression" dxfId="498" priority="25" stopIfTrue="1">
      <formula>$G$23&gt;0</formula>
    </cfRule>
  </conditionalFormatting>
  <conditionalFormatting sqref="I20:J22">
    <cfRule type="expression" dxfId="497" priority="24" stopIfTrue="1">
      <formula>$J$23&gt;0</formula>
    </cfRule>
  </conditionalFormatting>
  <conditionalFormatting sqref="I10:J12">
    <cfRule type="expression" dxfId="496" priority="23" stopIfTrue="1">
      <formula>$J$13&gt;0</formula>
    </cfRule>
  </conditionalFormatting>
  <conditionalFormatting sqref="I15:J17">
    <cfRule type="expression" dxfId="495" priority="22" stopIfTrue="1">
      <formula>$J$18&gt;0</formula>
    </cfRule>
  </conditionalFormatting>
  <conditionalFormatting sqref="L11:M13">
    <cfRule type="expression" dxfId="494" priority="21" stopIfTrue="1">
      <formula>$M$14&gt;0</formula>
    </cfRule>
  </conditionalFormatting>
  <conditionalFormatting sqref="L20:M22">
    <cfRule type="expression" dxfId="493" priority="20" stopIfTrue="1">
      <formula>$M$23&gt;0</formula>
    </cfRule>
  </conditionalFormatting>
  <conditionalFormatting sqref="O20:P22">
    <cfRule type="expression" dxfId="492" priority="19" stopIfTrue="1">
      <formula>$P$23&gt;0</formula>
    </cfRule>
  </conditionalFormatting>
  <conditionalFormatting sqref="R15:S17">
    <cfRule type="expression" dxfId="491" priority="18" stopIfTrue="1">
      <formula>$S$18&gt;0</formula>
    </cfRule>
  </conditionalFormatting>
  <conditionalFormatting sqref="R20:S22">
    <cfRule type="expression" dxfId="490" priority="17" stopIfTrue="1">
      <formula>$S$23&gt;0</formula>
    </cfRule>
  </conditionalFormatting>
  <conditionalFormatting sqref="R25:S27">
    <cfRule type="expression" dxfId="489" priority="16" stopIfTrue="1">
      <formula>$S$28&gt;0</formula>
    </cfRule>
  </conditionalFormatting>
  <conditionalFormatting sqref="U20:V22">
    <cfRule type="expression" dxfId="488" priority="15" stopIfTrue="1">
      <formula>$V$23&gt;0</formula>
    </cfRule>
  </conditionalFormatting>
  <conditionalFormatting sqref="X11:Y13">
    <cfRule type="expression" dxfId="487" priority="14" stopIfTrue="1">
      <formula>$Y$14&gt;0</formula>
    </cfRule>
  </conditionalFormatting>
  <conditionalFormatting sqref="X20:Y22">
    <cfRule type="expression" dxfId="486" priority="13" stopIfTrue="1">
      <formula>$Y$23&gt;0</formula>
    </cfRule>
  </conditionalFormatting>
  <conditionalFormatting sqref="X26:Y28">
    <cfRule type="expression" dxfId="485" priority="12" stopIfTrue="1">
      <formula>$Y$29&gt;0</formula>
    </cfRule>
  </conditionalFormatting>
  <conditionalFormatting sqref="X33:Y35">
    <cfRule type="expression" dxfId="484" priority="11" stopIfTrue="1">
      <formula>$Y$36&gt;0</formula>
    </cfRule>
  </conditionalFormatting>
  <conditionalFormatting sqref="AA10:AB12">
    <cfRule type="expression" dxfId="483" priority="10" stopIfTrue="1">
      <formula>$AB$13&gt;0</formula>
    </cfRule>
  </conditionalFormatting>
  <conditionalFormatting sqref="AA15:AB17">
    <cfRule type="expression" dxfId="482" priority="9" stopIfTrue="1">
      <formula>$AB$18&gt;0</formula>
    </cfRule>
  </conditionalFormatting>
  <conditionalFormatting sqref="AA20:AB22">
    <cfRule type="expression" dxfId="481" priority="8" stopIfTrue="1">
      <formula>$AB$23&gt;0</formula>
    </cfRule>
  </conditionalFormatting>
  <conditionalFormatting sqref="AA25:AB27">
    <cfRule type="expression" dxfId="480" priority="7" stopIfTrue="1">
      <formula>$AB$28&gt;0</formula>
    </cfRule>
  </conditionalFormatting>
  <conditionalFormatting sqref="AA30:AB32">
    <cfRule type="expression" dxfId="479" priority="6" stopIfTrue="1">
      <formula>$AB$33&gt;0</formula>
    </cfRule>
  </conditionalFormatting>
  <conditionalFormatting sqref="AD11:AE13">
    <cfRule type="expression" dxfId="478" priority="5" stopIfTrue="1">
      <formula>$AE$14&gt;0</formula>
    </cfRule>
  </conditionalFormatting>
  <conditionalFormatting sqref="AD20:AE22">
    <cfRule type="expression" dxfId="477" priority="4" stopIfTrue="1">
      <formula>$AE$23&gt;0</formula>
    </cfRule>
  </conditionalFormatting>
  <conditionalFormatting sqref="AD26:AE28">
    <cfRule type="expression" dxfId="476" priority="3" stopIfTrue="1">
      <formula>$AE$29&gt;0</formula>
    </cfRule>
  </conditionalFormatting>
  <conditionalFormatting sqref="AG20:AH22">
    <cfRule type="expression" dxfId="475" priority="2" stopIfTrue="1">
      <formula>$AH$23&gt;0</formula>
    </cfRule>
  </conditionalFormatting>
  <conditionalFormatting sqref="AG28:AH30">
    <cfRule type="expression" dxfId="4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0" sqref="C10:H10"/>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c r="A3" s="173"/>
      <c r="B3" s="1672"/>
      <c r="C3" s="3304"/>
      <c r="D3" s="3304"/>
      <c r="E3" s="3304"/>
      <c r="F3" s="3304"/>
      <c r="G3" s="3304"/>
      <c r="H3" s="3304"/>
      <c r="I3" s="9"/>
      <c r="J3" s="9"/>
      <c r="K3" s="9"/>
      <c r="L3" s="9"/>
      <c r="M3" s="9"/>
      <c r="N3" s="9"/>
      <c r="O3" s="9"/>
      <c r="P3" s="9"/>
      <c r="Q3" s="10"/>
      <c r="R3" s="67"/>
      <c r="S3" s="1679"/>
      <c r="T3" s="1468"/>
      <c r="U3" s="173"/>
      <c r="V3" s="1672"/>
      <c r="W3" s="3304"/>
      <c r="X3" s="3304"/>
      <c r="Y3" s="3304"/>
      <c r="Z3" s="3304"/>
      <c r="AA3" s="3304"/>
      <c r="AB3" s="3304"/>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c r="A4" s="173"/>
      <c r="B4" s="1672"/>
      <c r="C4" s="3304"/>
      <c r="D4" s="3304"/>
      <c r="E4" s="3304"/>
      <c r="F4" s="3304"/>
      <c r="G4" s="3304"/>
      <c r="H4" s="3304"/>
      <c r="I4" s="12"/>
      <c r="J4" s="3223" t="s">
        <v>1625</v>
      </c>
      <c r="K4" s="3223"/>
      <c r="L4" s="3224" t="str">
        <f>IF(OR(General!$G$22="",General!$G$22=0),"",General!$G$22)</f>
        <v/>
      </c>
      <c r="M4" s="3224"/>
      <c r="N4" s="3224"/>
      <c r="O4" s="3224"/>
      <c r="P4" s="3224"/>
      <c r="Q4" s="13"/>
      <c r="R4" s="67"/>
      <c r="S4" s="1679"/>
      <c r="T4" s="1468"/>
      <c r="U4" s="173"/>
      <c r="V4" s="1672"/>
      <c r="W4" s="3304"/>
      <c r="X4" s="3304"/>
      <c r="Y4" s="3304"/>
      <c r="Z4" s="3304"/>
      <c r="AA4" s="3304"/>
      <c r="AB4" s="3304"/>
      <c r="AC4" s="12"/>
      <c r="AD4" s="3223" t="s">
        <v>1625</v>
      </c>
      <c r="AE4" s="3223"/>
      <c r="AF4" s="3224" t="str">
        <f>IF(OR(General!$G$22="",General!$G$22=0),"",General!$G$22)</f>
        <v/>
      </c>
      <c r="AG4" s="3224"/>
      <c r="AH4" s="3224"/>
      <c r="AI4" s="3224"/>
      <c r="AJ4" s="3224"/>
      <c r="AK4" s="13"/>
      <c r="AL4" s="2862"/>
      <c r="AM4" s="173"/>
      <c r="AN4" s="1945"/>
      <c r="AO4" s="1912"/>
      <c r="AP4" s="1851"/>
      <c r="AQ4" s="354"/>
      <c r="AR4" s="354"/>
      <c r="AS4" s="354"/>
      <c r="AT4" s="354"/>
      <c r="AU4" s="354"/>
      <c r="AV4" s="1905"/>
      <c r="AW4" s="1962"/>
      <c r="AX4" s="1675"/>
    </row>
    <row r="5" spans="1:52" ht="12" customHeight="1" thickBot="1">
      <c r="A5" s="173"/>
      <c r="B5" s="1672"/>
      <c r="C5" s="3304"/>
      <c r="D5" s="3304"/>
      <c r="E5" s="3304"/>
      <c r="F5" s="3304"/>
      <c r="G5" s="3304"/>
      <c r="H5" s="3304"/>
      <c r="I5" s="12"/>
      <c r="J5" s="3300" t="s">
        <v>1626</v>
      </c>
      <c r="K5" s="3300"/>
      <c r="L5" s="3301" t="str">
        <f>Principal!$L$5</f>
        <v>Guerrero</v>
      </c>
      <c r="M5" s="3301"/>
      <c r="N5" s="3301"/>
      <c r="O5" s="14" t="s">
        <v>1627</v>
      </c>
      <c r="P5" s="15" t="str">
        <f>Principal!$P$5</f>
        <v>1 + 2</v>
      </c>
      <c r="Q5" s="16"/>
      <c r="R5" s="67"/>
      <c r="S5" s="1679"/>
      <c r="T5" s="1468"/>
      <c r="U5" s="173"/>
      <c r="V5" s="1672"/>
      <c r="W5" s="3304"/>
      <c r="X5" s="3304"/>
      <c r="Y5" s="3304"/>
      <c r="Z5" s="3304"/>
      <c r="AA5" s="3304"/>
      <c r="AB5" s="3304"/>
      <c r="AC5" s="12"/>
      <c r="AD5" s="3300" t="s">
        <v>1626</v>
      </c>
      <c r="AE5" s="3300"/>
      <c r="AF5" s="3301" t="str">
        <f>Principal!$L$5</f>
        <v>Guerrero</v>
      </c>
      <c r="AG5" s="3301"/>
      <c r="AH5" s="3301"/>
      <c r="AI5" s="14" t="s">
        <v>1627</v>
      </c>
      <c r="AJ5" s="15" t="str">
        <f>Principal!$P$5</f>
        <v>1 + 2</v>
      </c>
      <c r="AK5" s="16"/>
      <c r="AL5" s="2862"/>
      <c r="AM5" s="173"/>
      <c r="AN5" s="1945"/>
      <c r="AO5" s="1911"/>
      <c r="AP5" s="1852"/>
      <c r="AQ5" s="1555"/>
      <c r="AR5" s="3302" t="s">
        <v>8420</v>
      </c>
      <c r="AS5" s="3302"/>
      <c r="AT5" s="3302"/>
      <c r="AU5" s="3302"/>
      <c r="AV5" s="1906"/>
      <c r="AW5" s="1962"/>
      <c r="AX5" s="1675"/>
    </row>
    <row r="6" spans="1:52" ht="12" customHeight="1" thickBot="1">
      <c r="A6" s="173"/>
      <c r="B6" s="1672"/>
      <c r="C6" s="3304"/>
      <c r="D6" s="3304"/>
      <c r="E6" s="3304"/>
      <c r="F6" s="3304"/>
      <c r="G6" s="3304"/>
      <c r="H6" s="3304"/>
      <c r="I6" s="12"/>
      <c r="J6" s="3302" t="s">
        <v>2003</v>
      </c>
      <c r="K6" s="3302"/>
      <c r="L6" s="3302"/>
      <c r="M6" s="3302"/>
      <c r="N6" s="3302"/>
      <c r="O6" s="3302"/>
      <c r="P6" s="3302"/>
      <c r="Q6" s="16"/>
      <c r="R6" s="67"/>
      <c r="S6" s="1679"/>
      <c r="T6" s="1468"/>
      <c r="U6" s="173"/>
      <c r="V6" s="1672"/>
      <c r="W6" s="3304"/>
      <c r="X6" s="3304"/>
      <c r="Y6" s="3304"/>
      <c r="Z6" s="3304"/>
      <c r="AA6" s="3304"/>
      <c r="AB6" s="3304"/>
      <c r="AC6" s="12"/>
      <c r="AD6" s="3302" t="s">
        <v>2004</v>
      </c>
      <c r="AE6" s="3302"/>
      <c r="AF6" s="3302"/>
      <c r="AG6" s="3302"/>
      <c r="AH6" s="3302"/>
      <c r="AI6" s="3302"/>
      <c r="AJ6" s="3302"/>
      <c r="AK6" s="16"/>
      <c r="AL6" s="2862"/>
      <c r="AM6" s="173"/>
      <c r="AN6" s="1945"/>
      <c r="AO6" s="1907"/>
      <c r="AQ6" s="1895"/>
      <c r="AR6" s="3302"/>
      <c r="AS6" s="3302"/>
      <c r="AT6" s="3302"/>
      <c r="AU6" s="3302"/>
      <c r="AV6" s="1906"/>
      <c r="AW6" s="1962"/>
      <c r="AX6" s="1675"/>
    </row>
    <row r="7" spans="1:52" ht="12" customHeight="1" thickBot="1">
      <c r="A7" s="173"/>
      <c r="B7" s="1672"/>
      <c r="C7" s="3304"/>
      <c r="D7" s="3304"/>
      <c r="E7" s="3304"/>
      <c r="F7" s="3304"/>
      <c r="G7" s="3304"/>
      <c r="H7" s="3304"/>
      <c r="I7" s="12"/>
      <c r="J7" s="3302"/>
      <c r="K7" s="3302"/>
      <c r="L7" s="3302"/>
      <c r="M7" s="3302"/>
      <c r="N7" s="3302"/>
      <c r="O7" s="3302"/>
      <c r="P7" s="3302"/>
      <c r="Q7" s="16"/>
      <c r="R7" s="67"/>
      <c r="S7" s="1679"/>
      <c r="T7" s="1468"/>
      <c r="U7" s="173"/>
      <c r="V7" s="1672"/>
      <c r="W7" s="3304"/>
      <c r="X7" s="3304"/>
      <c r="Y7" s="3304"/>
      <c r="Z7" s="3304"/>
      <c r="AA7" s="3304"/>
      <c r="AB7" s="3304"/>
      <c r="AC7" s="12"/>
      <c r="AD7" s="3302"/>
      <c r="AE7" s="3302"/>
      <c r="AF7" s="3302"/>
      <c r="AG7" s="3302"/>
      <c r="AH7" s="3302"/>
      <c r="AI7" s="3302"/>
      <c r="AJ7" s="3302"/>
      <c r="AK7" s="16"/>
      <c r="AL7" s="2862"/>
      <c r="AM7" s="173"/>
      <c r="AN7" s="1945"/>
      <c r="AO7" s="1907"/>
      <c r="AP7" s="1895"/>
      <c r="AQ7" s="1895"/>
      <c r="AR7" s="1895"/>
      <c r="AS7" s="1895"/>
      <c r="AT7" s="1895"/>
      <c r="AU7" s="1895"/>
      <c r="AV7" s="1906"/>
      <c r="AW7" s="1962"/>
      <c r="AX7" s="1675"/>
    </row>
    <row r="8" spans="1:52" ht="12" customHeight="1" thickBot="1">
      <c r="A8" s="173"/>
      <c r="B8" s="1672"/>
      <c r="C8" s="3304"/>
      <c r="D8" s="3304"/>
      <c r="E8" s="3304"/>
      <c r="F8" s="3304"/>
      <c r="G8" s="3304"/>
      <c r="H8" s="3304"/>
      <c r="I8" s="17"/>
      <c r="J8" s="17"/>
      <c r="K8" s="17"/>
      <c r="L8" s="17"/>
      <c r="M8" s="17"/>
      <c r="N8" s="17"/>
      <c r="O8" s="17"/>
      <c r="P8" s="17"/>
      <c r="Q8" s="18"/>
      <c r="R8" s="67"/>
      <c r="S8" s="1679"/>
      <c r="T8" s="1468"/>
      <c r="U8" s="173"/>
      <c r="V8" s="1672"/>
      <c r="W8" s="3304"/>
      <c r="X8" s="3304"/>
      <c r="Y8" s="3304"/>
      <c r="Z8" s="3304"/>
      <c r="AA8" s="3304"/>
      <c r="AB8" s="3304"/>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c r="A10" s="173"/>
      <c r="B10" s="1469"/>
      <c r="C10" s="3248" t="s">
        <v>1824</v>
      </c>
      <c r="D10" s="3249"/>
      <c r="E10" s="3249"/>
      <c r="F10" s="3249"/>
      <c r="G10" s="3249"/>
      <c r="H10" s="3250"/>
      <c r="I10" s="96"/>
      <c r="R10" s="67"/>
      <c r="S10" s="1679"/>
      <c r="T10" s="1468"/>
      <c r="U10" s="173"/>
      <c r="V10" s="1672"/>
      <c r="W10" s="3395" t="s">
        <v>2006</v>
      </c>
      <c r="X10" s="3396"/>
      <c r="Y10" s="3396"/>
      <c r="Z10" s="3396"/>
      <c r="AA10" s="3396"/>
      <c r="AB10" s="3396"/>
      <c r="AC10" s="3398"/>
      <c r="AD10" s="2867"/>
      <c r="AE10" s="4219" t="s">
        <v>2007</v>
      </c>
      <c r="AF10" s="4220"/>
      <c r="AG10" s="4220"/>
      <c r="AH10" s="4220"/>
      <c r="AI10" s="4220"/>
      <c r="AJ10" s="4220"/>
      <c r="AK10" s="2150">
        <f>IF(Tablas!G543&gt;0,0,SUM(I15:I25))-COUNTA(Místicos!AG12:AJ50)</f>
        <v>0</v>
      </c>
      <c r="AL10" s="2862"/>
      <c r="AM10" s="173"/>
      <c r="AN10" s="1945"/>
      <c r="AP10" s="4323" t="s">
        <v>8425</v>
      </c>
      <c r="AQ10" s="4324"/>
      <c r="AR10" s="4325"/>
      <c r="AS10" s="4326" t="s">
        <v>8426</v>
      </c>
      <c r="AT10" s="4327"/>
      <c r="AU10" s="4328"/>
      <c r="AW10" s="1962"/>
      <c r="AX10" s="1675"/>
      <c r="AZ10" s="1676" t="s">
        <v>10048</v>
      </c>
    </row>
    <row r="11" spans="1:52" ht="12" customHeight="1" thickBot="1">
      <c r="A11" s="173"/>
      <c r="B11" s="1469"/>
      <c r="C11" s="4253" t="s">
        <v>2008</v>
      </c>
      <c r="D11" s="4226"/>
      <c r="E11" s="4225" t="s">
        <v>2009</v>
      </c>
      <c r="F11" s="4226"/>
      <c r="G11" s="3323" t="s">
        <v>2010</v>
      </c>
      <c r="H11" s="4216"/>
      <c r="I11" s="96"/>
      <c r="J11" s="4218" t="s">
        <v>2005</v>
      </c>
      <c r="K11" s="4218"/>
      <c r="L11" s="4218"/>
      <c r="M11" s="4218"/>
      <c r="N11" s="67"/>
      <c r="O11" s="3281" t="s">
        <v>1823</v>
      </c>
      <c r="P11" s="3281"/>
      <c r="Q11" s="3281"/>
      <c r="R11" s="67"/>
      <c r="S11" s="1679"/>
      <c r="T11" s="1468"/>
      <c r="U11" s="173"/>
      <c r="V11" s="1672"/>
      <c r="W11" s="3308" t="s">
        <v>2014</v>
      </c>
      <c r="X11" s="3309"/>
      <c r="Y11" s="3309" t="s">
        <v>2013</v>
      </c>
      <c r="Z11" s="3309"/>
      <c r="AA11" s="3309"/>
      <c r="AB11" s="3309"/>
      <c r="AC11" s="2149" t="s">
        <v>1712</v>
      </c>
      <c r="AD11" s="1753" t="s">
        <v>8661</v>
      </c>
      <c r="AE11" s="3308" t="s">
        <v>2015</v>
      </c>
      <c r="AF11" s="3309"/>
      <c r="AG11" s="3309" t="s">
        <v>2013</v>
      </c>
      <c r="AH11" s="3309"/>
      <c r="AI11" s="3309"/>
      <c r="AJ11" s="3309"/>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c r="A12" s="173"/>
      <c r="B12" s="1469"/>
      <c r="C12" s="4232">
        <f>NiveldeMagia_final</f>
        <v>0</v>
      </c>
      <c r="D12" s="4233"/>
      <c r="E12" s="4221">
        <f>SUM(G15:G26)+G12</f>
        <v>0</v>
      </c>
      <c r="F12" s="4222"/>
      <c r="G12" s="4236">
        <f>Metamagia!$T$37</f>
        <v>0</v>
      </c>
      <c r="H12" s="4237"/>
      <c r="I12" s="96"/>
      <c r="J12" s="4217" t="s">
        <v>2011</v>
      </c>
      <c r="K12" s="4217"/>
      <c r="L12" s="4200" t="s">
        <v>1821</v>
      </c>
      <c r="M12" s="4200"/>
      <c r="N12" s="67"/>
      <c r="O12" s="1790" t="s">
        <v>1702</v>
      </c>
      <c r="P12" s="216" t="s">
        <v>1880</v>
      </c>
      <c r="Q12" s="1791" t="s">
        <v>2012</v>
      </c>
      <c r="R12" s="67"/>
      <c r="S12" s="1679"/>
      <c r="T12" s="1468" t="str">
        <f>"Conjuros"&amp;IF(W12="","","_"&amp;W12)</f>
        <v>Conjuros</v>
      </c>
      <c r="U12" s="173"/>
      <c r="V12" s="1838">
        <f>IF(AC12="",0,VLOOKUP(AC12,Tablas!$M$1024:$N$1033,2))</f>
        <v>0</v>
      </c>
      <c r="W12" s="4156"/>
      <c r="X12" s="3798"/>
      <c r="Y12" s="4195"/>
      <c r="Z12" s="4195"/>
      <c r="AA12" s="4195"/>
      <c r="AB12" s="4195"/>
      <c r="AC12" s="2131" t="str">
        <f>IF(Místicos!Y12=0,"",VLOOKUP(Místicos!Y12,Tabla_Conjuros,3,FALSE))</f>
        <v/>
      </c>
      <c r="AD12" s="1847" t="str">
        <f t="shared" ref="AD12:AD50" si="0">AE12&amp;AK12</f>
        <v/>
      </c>
      <c r="AE12" s="4156"/>
      <c r="AF12" s="3798"/>
      <c r="AG12" s="4195"/>
      <c r="AH12" s="4195"/>
      <c r="AI12" s="4195"/>
      <c r="AJ12" s="4195"/>
      <c r="AK12" s="2129"/>
      <c r="AL12" s="2868">
        <f>IF(Místicos!AG12=0,0,VLOOKUP(Místicos!AG12,Tabla_Conjuros,3,FALSE)-10)</f>
        <v>0</v>
      </c>
      <c r="AM12" s="173"/>
      <c r="AN12" s="1945"/>
      <c r="AO12" s="4320" t="s">
        <v>8466</v>
      </c>
      <c r="AP12" s="4321"/>
      <c r="AQ12" s="4321"/>
      <c r="AR12" s="4321"/>
      <c r="AS12" s="4321"/>
      <c r="AT12" s="4321"/>
      <c r="AU12" s="4321"/>
      <c r="AV12" s="4322"/>
      <c r="AW12" s="1963">
        <f>IF(AP12=0,0,VLOOKUP(AP12,Tablas!#REF!,2,FALSE)-10)</f>
        <v>0</v>
      </c>
      <c r="AX12" s="1675"/>
      <c r="AY12" s="1847">
        <f>IF(AC12="",0,VLOOKUP(AC12,Tablas!$M$1024:$N$1033,2)*VLOOKUP(W12,Tabla_CosteConjuros,3))</f>
        <v>0</v>
      </c>
    </row>
    <row r="13" spans="1:52" ht="12" customHeight="1" thickBot="1">
      <c r="A13" s="173"/>
      <c r="B13" s="1469"/>
      <c r="C13" s="4234"/>
      <c r="D13" s="4235"/>
      <c r="E13" s="4223"/>
      <c r="F13" s="4224"/>
      <c r="G13" s="4236"/>
      <c r="H13" s="4237"/>
      <c r="I13" s="1753"/>
      <c r="J13" s="423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38"/>
      <c r="L13" s="4239">
        <f>ACT_final+L21</f>
        <v>0</v>
      </c>
      <c r="M13" s="4239"/>
      <c r="N13" s="67"/>
      <c r="O13" s="4240">
        <f>Turno_Nat_final</f>
        <v>45</v>
      </c>
      <c r="P13" s="4241">
        <f>IF(OR(PDs!E99="Proyección Mágica como ataque",PDs!E100="Proyección Mágica como ataque"),PDs!V22+ProyecciónMágica_final-PDs!V93,ProyecciónMágica_final+Q15)</f>
        <v>0</v>
      </c>
      <c r="Q13" s="4250">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182"/>
      <c r="X13" s="3801"/>
      <c r="Y13" s="4196"/>
      <c r="Z13" s="4196"/>
      <c r="AA13" s="4196"/>
      <c r="AB13" s="4196"/>
      <c r="AC13" s="1597" t="str">
        <f>IF(Místicos!Y13=0,"",VLOOKUP(Místicos!Y13,Tabla_Conjuros,3,FALSE))</f>
        <v/>
      </c>
      <c r="AD13" s="1847" t="str">
        <f t="shared" si="0"/>
        <v/>
      </c>
      <c r="AE13" s="4182"/>
      <c r="AF13" s="3801"/>
      <c r="AG13" s="4196"/>
      <c r="AH13" s="4196"/>
      <c r="AI13" s="4196"/>
      <c r="AJ13" s="4196"/>
      <c r="AK13" s="2151"/>
      <c r="AL13" s="2868">
        <f>IF(Místicos!AG13=0,0,VLOOKUP(Místicos!AG13,Tablas!#REF!,2,FALSE)-10)</f>
        <v>0</v>
      </c>
      <c r="AM13" s="173"/>
      <c r="AN13" s="1945"/>
      <c r="AW13" s="1963"/>
      <c r="AX13" s="1675"/>
      <c r="AY13" s="1847">
        <f>IF(AC13="",0,VLOOKUP(AC13,Tablas!$M$1024:$N$1033,2)*VLOOKUP(W13,Tabla_CosteConjuros,3))</f>
        <v>0</v>
      </c>
    </row>
    <row r="14" spans="1:52" ht="12" customHeight="1">
      <c r="A14" s="173"/>
      <c r="B14" s="1469"/>
      <c r="C14" s="4246" t="s">
        <v>2014</v>
      </c>
      <c r="D14" s="4247"/>
      <c r="E14" s="4248" t="s">
        <v>2016</v>
      </c>
      <c r="F14" s="4249"/>
      <c r="G14" s="3134" t="s">
        <v>2017</v>
      </c>
      <c r="H14" s="1828" t="s">
        <v>1712</v>
      </c>
      <c r="I14" s="1753"/>
      <c r="J14" s="4238"/>
      <c r="K14" s="4238"/>
      <c r="L14" s="4239"/>
      <c r="M14" s="4239"/>
      <c r="N14" s="67"/>
      <c r="O14" s="4240"/>
      <c r="P14" s="4241"/>
      <c r="Q14" s="4250"/>
      <c r="R14" s="67"/>
      <c r="S14" s="1679"/>
      <c r="T14" s="1468" t="str">
        <f t="shared" si="1"/>
        <v>Conjuros</v>
      </c>
      <c r="U14" s="173"/>
      <c r="V14" s="1838">
        <f>IF(AC14="",0,VLOOKUP(AC14,Tablas!$M$1024:$N$1033,2))</f>
        <v>0</v>
      </c>
      <c r="W14" s="4156"/>
      <c r="X14" s="3798"/>
      <c r="Y14" s="4195"/>
      <c r="Z14" s="4195"/>
      <c r="AA14" s="4195"/>
      <c r="AB14" s="4195"/>
      <c r="AC14" s="2131" t="str">
        <f>IF(Místicos!Y14=0,"",VLOOKUP(Místicos!Y14,Tabla_Conjuros,3,FALSE))</f>
        <v/>
      </c>
      <c r="AD14" s="1847" t="str">
        <f t="shared" si="0"/>
        <v/>
      </c>
      <c r="AE14" s="4156"/>
      <c r="AF14" s="3798"/>
      <c r="AG14" s="4195"/>
      <c r="AH14" s="4195"/>
      <c r="AI14" s="4195"/>
      <c r="AJ14" s="4195"/>
      <c r="AK14" s="2129"/>
      <c r="AL14" s="2868">
        <f>IF(Místicos!AG14=0,0,VLOOKUP(Místicos!AG14,Tablas!#REF!,2,FALSE)-10)</f>
        <v>0</v>
      </c>
      <c r="AM14" s="173"/>
      <c r="AN14" s="1945"/>
      <c r="AO14" s="4341" t="s">
        <v>8458</v>
      </c>
      <c r="AP14" s="4192"/>
      <c r="AQ14" s="4192"/>
      <c r="AR14" s="4336" t="s">
        <v>8483</v>
      </c>
      <c r="AS14" s="4192"/>
      <c r="AT14" s="4192"/>
      <c r="AU14" s="4192"/>
      <c r="AV14" s="4337"/>
      <c r="AW14" s="1963"/>
      <c r="AX14" s="1675"/>
      <c r="AY14" s="1847">
        <f>IF(AC14="",0,VLOOKUP(AC14,Tablas!$M$1024:$N$1033,2)*VLOOKUP(W14,Tabla_CosteConjuros,3))</f>
        <v>0</v>
      </c>
    </row>
    <row r="15" spans="1:52" ht="12" customHeight="1" thickBot="1">
      <c r="A15" s="173"/>
      <c r="B15" s="2244"/>
      <c r="C15" s="4242"/>
      <c r="D15" s="4243"/>
      <c r="E15" s="4244"/>
      <c r="F15" s="4245"/>
      <c r="G15" s="219"/>
      <c r="H15" s="1829">
        <f t="shared" ref="H15:H25" si="2">IF(C15="",0,G15/VLOOKUP(C15,Tabla_VíasOpuestas,7,FALSE)+VLOOKUP(C15,Tabla_VíasOpuestas,5,FALSE))</f>
        <v>0</v>
      </c>
      <c r="I15" s="1847">
        <f>IF(H15&gt;3,VLOOKUP(H15,Tabla_NumeroConjurosLA,2)-IF(Místicos!E15=0,0,VLOOKUP(H15,Tabla_NumeroConjurosLA,2)),0)</f>
        <v>0</v>
      </c>
      <c r="J15" s="421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10"/>
      <c r="L15" s="4210"/>
      <c r="M15" s="4210"/>
      <c r="N15" s="67"/>
      <c r="O15" s="4211" t="s">
        <v>2018</v>
      </c>
      <c r="P15" s="4211"/>
      <c r="Q15" s="213"/>
      <c r="R15" s="67"/>
      <c r="S15" s="1679"/>
      <c r="T15" s="1468" t="str">
        <f t="shared" si="1"/>
        <v>Conjuros</v>
      </c>
      <c r="U15" s="173"/>
      <c r="V15" s="1838">
        <f>IF(AC15="",0,VLOOKUP(AC15,Tablas!$M$1024:$N$1033,2))</f>
        <v>0</v>
      </c>
      <c r="W15" s="4182"/>
      <c r="X15" s="3801"/>
      <c r="Y15" s="4196"/>
      <c r="Z15" s="4196"/>
      <c r="AA15" s="4196"/>
      <c r="AB15" s="4196"/>
      <c r="AC15" s="1597" t="str">
        <f>IF(Místicos!Y15=0,"",VLOOKUP(Místicos!Y15,Tabla_Conjuros,3,FALSE))</f>
        <v/>
      </c>
      <c r="AD15" s="1847" t="str">
        <f t="shared" si="0"/>
        <v/>
      </c>
      <c r="AE15" s="4182"/>
      <c r="AF15" s="3801"/>
      <c r="AG15" s="4196"/>
      <c r="AH15" s="4196"/>
      <c r="AI15" s="4196"/>
      <c r="AJ15" s="4196"/>
      <c r="AK15" s="2151"/>
      <c r="AL15" s="2868">
        <f>IF(Místicos!AG15=0,0,VLOOKUP(Místicos!AG15,Tablas!#REF!,2,FALSE)-10)</f>
        <v>0</v>
      </c>
      <c r="AM15" s="173"/>
      <c r="AN15" s="1945"/>
      <c r="AO15" s="1917" t="s">
        <v>1712</v>
      </c>
      <c r="AP15" s="4166" t="s">
        <v>8429</v>
      </c>
      <c r="AQ15" s="4166"/>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c r="A16" s="173"/>
      <c r="B16" s="2244"/>
      <c r="C16" s="4161"/>
      <c r="D16" s="4162"/>
      <c r="E16" s="4176"/>
      <c r="F16" s="4177"/>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156"/>
      <c r="X16" s="3798"/>
      <c r="Y16" s="4195"/>
      <c r="Z16" s="4195"/>
      <c r="AA16" s="4195"/>
      <c r="AB16" s="4195"/>
      <c r="AC16" s="2131" t="str">
        <f>IF(Místicos!Y16=0,"",VLOOKUP(Místicos!Y16,Tabla_Conjuros,3,FALSE))</f>
        <v/>
      </c>
      <c r="AD16" s="1847" t="str">
        <f t="shared" si="0"/>
        <v/>
      </c>
      <c r="AE16" s="4156"/>
      <c r="AF16" s="3798"/>
      <c r="AG16" s="4195"/>
      <c r="AH16" s="4195"/>
      <c r="AI16" s="4195"/>
      <c r="AJ16" s="4195"/>
      <c r="AK16" s="2129"/>
      <c r="AL16" s="2868">
        <f>IF(Místicos!AG16=0,0,VLOOKUP(Místicos!AG16,Tablas!#REF!,2,FALSE)-10)</f>
        <v>0</v>
      </c>
      <c r="AM16" s="173"/>
      <c r="AN16" s="1945"/>
      <c r="AO16" s="1932">
        <v>1</v>
      </c>
      <c r="AP16" s="4342">
        <f>VLOOKUP(AO16,Tabla_MagiaNatural_DifBase,2,FALSE)+IF(NOT($AS$10="Magia Natural"),4,0)+IF($AR$32="",0,IF(ISNUMBER(SEARCH("(",$AR$32)),-4,-2))</f>
        <v>18</v>
      </c>
      <c r="AQ16" s="4342"/>
      <c r="AR16" s="1930">
        <v>20</v>
      </c>
      <c r="AS16" s="1931" t="s">
        <v>1690</v>
      </c>
      <c r="AT16" s="1931">
        <v>40</v>
      </c>
      <c r="AU16" s="1931">
        <v>80</v>
      </c>
      <c r="AV16" s="1933">
        <v>4</v>
      </c>
      <c r="AW16" s="1963"/>
      <c r="AX16" s="1675"/>
      <c r="AY16" s="1847">
        <f>IF(AC16="",0,VLOOKUP(AC16,Tablas!$M$1024:$N$1033,2)*VLOOKUP(W16,Tabla_CosteConjuros,3))</f>
        <v>0</v>
      </c>
    </row>
    <row r="17" spans="1:51" ht="12" customHeight="1" thickBot="1">
      <c r="A17" s="173"/>
      <c r="B17" s="2244"/>
      <c r="C17" s="4159"/>
      <c r="D17" s="4160"/>
      <c r="E17" s="3799"/>
      <c r="F17" s="4178"/>
      <c r="G17" s="3137"/>
      <c r="H17" s="1829">
        <f t="shared" si="2"/>
        <v>0</v>
      </c>
      <c r="I17" s="1847">
        <f>IF(H17&gt;3,VLOOKUP(H17,Tabla_NumeroConjurosLA,3)-IF(Místicos!E17=0,0,VLOOKUP(H17,Tabla_NumeroConjurosLA,2)),0)</f>
        <v>0</v>
      </c>
      <c r="J17" s="4227" t="s">
        <v>1820</v>
      </c>
      <c r="K17" s="4228"/>
      <c r="L17" s="4228"/>
      <c r="M17" s="4229"/>
      <c r="N17" s="4230" t="s">
        <v>2021</v>
      </c>
      <c r="O17" s="4231"/>
      <c r="P17" s="4231"/>
      <c r="Q17" s="220">
        <f>VLOOKUP($L$13,Tabla_MagiaInnata,2)</f>
        <v>0</v>
      </c>
      <c r="R17" s="67"/>
      <c r="S17" s="1679"/>
      <c r="T17" s="1468" t="str">
        <f t="shared" si="1"/>
        <v>Conjuros</v>
      </c>
      <c r="U17" s="173"/>
      <c r="V17" s="1838">
        <f>IF(AC17="",0,VLOOKUP(AC17,Tablas!$M$1024:$N$1033,2))</f>
        <v>0</v>
      </c>
      <c r="W17" s="4182"/>
      <c r="X17" s="3801"/>
      <c r="Y17" s="4196"/>
      <c r="Z17" s="4196"/>
      <c r="AA17" s="4196"/>
      <c r="AB17" s="4196"/>
      <c r="AC17" s="1597" t="str">
        <f>IF(Místicos!Y17=0,"",VLOOKUP(Místicos!Y17,Tabla_Conjuros,3,FALSE))</f>
        <v/>
      </c>
      <c r="AD17" s="1847" t="str">
        <f t="shared" si="0"/>
        <v/>
      </c>
      <c r="AE17" s="4182"/>
      <c r="AF17" s="3801"/>
      <c r="AG17" s="4196"/>
      <c r="AH17" s="4196"/>
      <c r="AI17" s="4196"/>
      <c r="AJ17" s="4196"/>
      <c r="AK17" s="2151"/>
      <c r="AL17" s="2868">
        <f>IF(Místicos!AG17=0,0,VLOOKUP(Místicos!AG17,Tablas!#REF!,2,FALSE)-10)</f>
        <v>0</v>
      </c>
      <c r="AM17" s="173"/>
      <c r="AN17" s="1945"/>
      <c r="AO17" s="1932">
        <v>2</v>
      </c>
      <c r="AP17" s="4342">
        <f>VLOOKUP(AO17,Tabla_MagiaNatural_DifBase,2,FALSE)+IF(NOT($AS$10="Magia Natural"),4,0)+IF($AR$32="",0,IF(ISNUMBER(SEARCH("(",$AR$32)),-4,-2))</f>
        <v>22</v>
      </c>
      <c r="AQ17" s="4342"/>
      <c r="AR17" s="1930">
        <v>50</v>
      </c>
      <c r="AS17" s="1931" t="s">
        <v>7021</v>
      </c>
      <c r="AT17" s="1931">
        <v>150</v>
      </c>
      <c r="AU17" s="1931">
        <v>100</v>
      </c>
      <c r="AV17" s="1933">
        <v>6</v>
      </c>
      <c r="AW17" s="1963"/>
      <c r="AX17" s="1675"/>
      <c r="AY17" s="1847">
        <f>IF(AC17="",0,VLOOKUP(AC17,Tablas!$M$1024:$N$1033,2)*VLOOKUP(W17,Tabla_CosteConjuros,3))</f>
        <v>0</v>
      </c>
    </row>
    <row r="18" spans="1:51" ht="12" customHeight="1">
      <c r="A18" s="173"/>
      <c r="B18" s="2244"/>
      <c r="C18" s="4157"/>
      <c r="D18" s="4158"/>
      <c r="E18" s="4176"/>
      <c r="F18" s="4177"/>
      <c r="G18" s="1830"/>
      <c r="H18" s="1831">
        <f t="shared" si="2"/>
        <v>0</v>
      </c>
      <c r="I18" s="1847">
        <f>IF(H18&gt;3,VLOOKUP(H18,Tabla_NumeroConjurosLA,3)-IF(Místicos!E18=0,0,VLOOKUP(H18,Tabla_NumeroConjurosLA,2)),0)</f>
        <v>0</v>
      </c>
      <c r="J18" s="4214" t="s">
        <v>2022</v>
      </c>
      <c r="K18" s="4215">
        <f>Zeón_final+L20-IF(AS10="Onmyodo",SUM($AV$62:$AV$72),0)</f>
        <v>0</v>
      </c>
      <c r="L18" s="4215"/>
      <c r="M18" s="4201"/>
      <c r="N18" s="4202"/>
      <c r="O18" s="4202"/>
      <c r="P18" s="4202"/>
      <c r="Q18" s="4203"/>
      <c r="R18" s="67"/>
      <c r="S18" s="1679"/>
      <c r="T18" s="1468" t="str">
        <f t="shared" si="1"/>
        <v>Conjuros</v>
      </c>
      <c r="U18" s="173"/>
      <c r="V18" s="1838">
        <f>IF(AC18="",0,VLOOKUP(AC18,Tablas!$M$1024:$N$1033,2))</f>
        <v>0</v>
      </c>
      <c r="W18" s="4156"/>
      <c r="X18" s="3798"/>
      <c r="Y18" s="4195"/>
      <c r="Z18" s="4195"/>
      <c r="AA18" s="4195"/>
      <c r="AB18" s="4195"/>
      <c r="AC18" s="2131" t="str">
        <f>IF(Místicos!Y18=0,"",VLOOKUP(Místicos!Y18,Tabla_Conjuros,3,FALSE))</f>
        <v/>
      </c>
      <c r="AD18" s="1847" t="str">
        <f t="shared" si="0"/>
        <v/>
      </c>
      <c r="AE18" s="4156"/>
      <c r="AF18" s="3798"/>
      <c r="AG18" s="4195"/>
      <c r="AH18" s="4195"/>
      <c r="AI18" s="4195"/>
      <c r="AJ18" s="4195"/>
      <c r="AK18" s="2129"/>
      <c r="AL18" s="2868">
        <f>IF(Místicos!AG18=0,0,VLOOKUP(Místicos!AG18,Tablas!#REF!,2,FALSE)-10)</f>
        <v>0</v>
      </c>
      <c r="AM18" s="173"/>
      <c r="AN18" s="1945"/>
      <c r="AO18" s="1932">
        <v>3</v>
      </c>
      <c r="AP18" s="4342">
        <f>VLOOKUP(AO18,Tabla_MagiaNatural_DifBase,2,FALSE)+IF(NOT($AS$10="Magia Natural"),4,0)+IF($AR$32="",0,IF(ISNUMBER(SEARCH("(",$AR$32)),-4,-2))</f>
        <v>28</v>
      </c>
      <c r="AQ18" s="4342"/>
      <c r="AR18" s="1930">
        <v>100</v>
      </c>
      <c r="AS18" s="1931" t="s">
        <v>8472</v>
      </c>
      <c r="AT18" s="1931">
        <v>500</v>
      </c>
      <c r="AU18" s="1931">
        <v>120</v>
      </c>
      <c r="AV18" s="1933">
        <v>9</v>
      </c>
      <c r="AW18" s="1963"/>
      <c r="AX18" s="1675"/>
      <c r="AY18" s="1847">
        <f>IF(AC18="",0,VLOOKUP(AC18,Tablas!$M$1024:$N$1033,2)*VLOOKUP(W18,Tabla_CosteConjuros,3))</f>
        <v>0</v>
      </c>
    </row>
    <row r="19" spans="1:51" ht="12" customHeight="1">
      <c r="A19" s="173"/>
      <c r="B19" s="2244"/>
      <c r="C19" s="4159"/>
      <c r="D19" s="4160"/>
      <c r="E19" s="3799"/>
      <c r="F19" s="4178"/>
      <c r="G19" s="3137"/>
      <c r="H19" s="1829">
        <f t="shared" si="2"/>
        <v>0</v>
      </c>
      <c r="I19" s="1847">
        <f>IF(H19&gt;3,VLOOKUP(H19,Tabla_NumeroConjurosLA,3)-IF(Místicos!E19=0,0,VLOOKUP(H19,Tabla_NumeroConjurosLA,2)),0)</f>
        <v>0</v>
      </c>
      <c r="J19" s="4214"/>
      <c r="K19" s="4215"/>
      <c r="L19" s="4215"/>
      <c r="M19" s="4204"/>
      <c r="N19" s="4205"/>
      <c r="O19" s="4205"/>
      <c r="P19" s="4205"/>
      <c r="Q19" s="4206"/>
      <c r="R19" s="67"/>
      <c r="S19" s="1679"/>
      <c r="T19" s="1468" t="str">
        <f t="shared" si="1"/>
        <v>Conjuros</v>
      </c>
      <c r="U19" s="173"/>
      <c r="V19" s="1838">
        <f>IF(AC19="",0,VLOOKUP(AC19,Tablas!$M$1024:$N$1033,2))</f>
        <v>0</v>
      </c>
      <c r="W19" s="4182"/>
      <c r="X19" s="3801"/>
      <c r="Y19" s="4196"/>
      <c r="Z19" s="4196"/>
      <c r="AA19" s="4196"/>
      <c r="AB19" s="4196"/>
      <c r="AC19" s="1597" t="str">
        <f>IF(Místicos!Y19=0,"",VLOOKUP(Místicos!Y19,Tabla_Conjuros,3,FALSE))</f>
        <v/>
      </c>
      <c r="AD19" s="1847" t="str">
        <f t="shared" si="0"/>
        <v/>
      </c>
      <c r="AE19" s="4182"/>
      <c r="AF19" s="3801"/>
      <c r="AG19" s="4196"/>
      <c r="AH19" s="4196"/>
      <c r="AI19" s="4196"/>
      <c r="AJ19" s="4196"/>
      <c r="AK19" s="2151"/>
      <c r="AL19" s="2868">
        <f>IF(Místicos!AG19=0,0,VLOOKUP(Místicos!AG19,Tablas!#REF!,2,FALSE)-10)</f>
        <v>0</v>
      </c>
      <c r="AM19" s="173"/>
      <c r="AN19" s="1945"/>
      <c r="AO19" s="1932">
        <v>4</v>
      </c>
      <c r="AP19" s="4342">
        <f>VLOOKUP(AO19,Tabla_MagiaNatural_DifBase,2,FALSE)+IF(NOT($AS$10="Magia Natural"),4,0)+IF($AR$32="",0,IF(ISNUMBER(SEARCH("(",$AR$32)),-4,-2))</f>
        <v>34</v>
      </c>
      <c r="AQ19" s="4342"/>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c r="A20" s="173"/>
      <c r="B20" s="2244"/>
      <c r="C20" s="4161"/>
      <c r="D20" s="4162"/>
      <c r="E20" s="4176"/>
      <c r="F20" s="4177"/>
      <c r="G20" s="1830"/>
      <c r="H20" s="1831">
        <f t="shared" si="2"/>
        <v>0</v>
      </c>
      <c r="I20" s="1847">
        <f>IF(H20&gt;3,VLOOKUP(H20,Tabla_NumeroConjurosLA,3)-IF(Místicos!E20=0,0,VLOOKUP(H20,Tabla_NumeroConjurosLA,2)),0)</f>
        <v>0</v>
      </c>
      <c r="J20" s="4179" t="s">
        <v>2023</v>
      </c>
      <c r="K20" s="4179"/>
      <c r="L20" s="221"/>
      <c r="M20" s="4204"/>
      <c r="N20" s="4205"/>
      <c r="O20" s="4205"/>
      <c r="P20" s="4205"/>
      <c r="Q20" s="4206"/>
      <c r="R20" s="67"/>
      <c r="S20" s="1679"/>
      <c r="T20" s="1468" t="str">
        <f t="shared" si="1"/>
        <v>Conjuros</v>
      </c>
      <c r="U20" s="173"/>
      <c r="V20" s="1838">
        <f>IF(AC20="",0,VLOOKUP(AC20,Tablas!$M$1024:$N$1033,2))</f>
        <v>0</v>
      </c>
      <c r="W20" s="4156"/>
      <c r="X20" s="3798"/>
      <c r="Y20" s="4195"/>
      <c r="Z20" s="4195"/>
      <c r="AA20" s="4195"/>
      <c r="AB20" s="4195"/>
      <c r="AC20" s="2131" t="str">
        <f>IF(Místicos!Y20=0,"",VLOOKUP(Místicos!Y20,Tabla_Conjuros,3,FALSE))</f>
        <v/>
      </c>
      <c r="AD20" s="1847" t="str">
        <f t="shared" si="0"/>
        <v/>
      </c>
      <c r="AE20" s="4156"/>
      <c r="AF20" s="3798"/>
      <c r="AG20" s="4195"/>
      <c r="AH20" s="4195"/>
      <c r="AI20" s="4195"/>
      <c r="AJ20" s="4195"/>
      <c r="AK20" s="2129"/>
      <c r="AL20" s="2868">
        <f>IF(Místicos!AG20=0,0,VLOOKUP(Místicos!AG20,Tablas!#REF!,2,FALSE)-10)</f>
        <v>0</v>
      </c>
      <c r="AM20" s="173"/>
      <c r="AN20" s="1945"/>
      <c r="AO20" s="1934">
        <v>5</v>
      </c>
      <c r="AP20" s="4381">
        <f>VLOOKUP(AO20,Tabla_MagiaNatural_DifBase,2,FALSE)+IF(NOT($AS$10="Magia Natural"),4,0)+IF($AR$32="",0,IF(ISNUMBER(SEARCH("(",$AR$32)),-4,-2))</f>
        <v>40</v>
      </c>
      <c r="AQ20" s="4381"/>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c r="A21" s="173"/>
      <c r="B21" s="2244"/>
      <c r="C21" s="4251"/>
      <c r="D21" s="4252"/>
      <c r="E21" s="3799"/>
      <c r="F21" s="4178"/>
      <c r="G21" s="3137"/>
      <c r="H21" s="1829">
        <f t="shared" si="2"/>
        <v>0</v>
      </c>
      <c r="I21" s="1847">
        <f>IF(H21&gt;3,VLOOKUP(H21,Tabla_NumeroConjurosLA,2)-IF(Místicos!E21=0,0,VLOOKUP(H21,Tabla_NumeroConjurosLA,2)),0)</f>
        <v>0</v>
      </c>
      <c r="J21" s="4180" t="s">
        <v>2025</v>
      </c>
      <c r="K21" s="4180"/>
      <c r="L21" s="222"/>
      <c r="M21" s="4207"/>
      <c r="N21" s="4208"/>
      <c r="O21" s="4208"/>
      <c r="P21" s="4208"/>
      <c r="Q21" s="4209"/>
      <c r="R21" s="67"/>
      <c r="S21" s="1679"/>
      <c r="T21" s="1468" t="str">
        <f t="shared" si="1"/>
        <v>Conjuros</v>
      </c>
      <c r="U21" s="173"/>
      <c r="V21" s="1838">
        <f>IF(AC21="",0,VLOOKUP(AC21,Tablas!$M$1024:$N$1033,2))</f>
        <v>0</v>
      </c>
      <c r="W21" s="4182"/>
      <c r="X21" s="3801"/>
      <c r="Y21" s="4196"/>
      <c r="Z21" s="4196"/>
      <c r="AA21" s="4196"/>
      <c r="AB21" s="4196"/>
      <c r="AC21" s="1597" t="str">
        <f>IF(Místicos!Y21=0,"",VLOOKUP(Místicos!Y21,Tabla_Conjuros,3,FALSE))</f>
        <v/>
      </c>
      <c r="AD21" s="1847" t="str">
        <f t="shared" si="0"/>
        <v/>
      </c>
      <c r="AE21" s="4182"/>
      <c r="AF21" s="3801"/>
      <c r="AG21" s="4196"/>
      <c r="AH21" s="4196"/>
      <c r="AI21" s="4196"/>
      <c r="AJ21" s="4196"/>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c r="A22" s="173"/>
      <c r="B22" s="2244"/>
      <c r="C22" s="4161"/>
      <c r="D22" s="4162"/>
      <c r="E22" s="4176"/>
      <c r="F22" s="4177"/>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156"/>
      <c r="X22" s="3798"/>
      <c r="Y22" s="4195"/>
      <c r="Z22" s="4195"/>
      <c r="AA22" s="4195"/>
      <c r="AB22" s="4195"/>
      <c r="AC22" s="2131" t="str">
        <f>IF(Místicos!Y22=0,"",VLOOKUP(Místicos!Y22,Tabla_Conjuros,3,FALSE))</f>
        <v/>
      </c>
      <c r="AD22" s="1847" t="str">
        <f t="shared" si="0"/>
        <v/>
      </c>
      <c r="AE22" s="4156"/>
      <c r="AF22" s="3798"/>
      <c r="AG22" s="4195"/>
      <c r="AH22" s="4195"/>
      <c r="AI22" s="4195"/>
      <c r="AJ22" s="4195"/>
      <c r="AK22" s="2129"/>
      <c r="AL22" s="2868">
        <f>IF(Místicos!AG22=0,0,VLOOKUP(Místicos!AG22,Tablas!#REF!,2,FALSE)-10)</f>
        <v>0</v>
      </c>
      <c r="AM22" s="173"/>
      <c r="AN22" s="1945"/>
      <c r="AO22" s="4338" t="s">
        <v>8479</v>
      </c>
      <c r="AP22" s="4339"/>
      <c r="AQ22" s="4339"/>
      <c r="AR22" s="4339"/>
      <c r="AS22" s="4339"/>
      <c r="AT22" s="4339"/>
      <c r="AU22" s="4339"/>
      <c r="AV22" s="4340"/>
      <c r="AW22" s="1963"/>
      <c r="AX22" s="1675"/>
      <c r="AY22" s="1847">
        <f>IF(AC22="",0,VLOOKUP(AC22,Tablas!$M$1024:$N$1033,2)*VLOOKUP(W22,Tabla_CosteConjuros,3))</f>
        <v>0</v>
      </c>
    </row>
    <row r="23" spans="1:51" ht="12" customHeight="1" thickBot="1">
      <c r="A23" s="173"/>
      <c r="B23" s="2244"/>
      <c r="C23" s="4251"/>
      <c r="D23" s="4252"/>
      <c r="E23" s="3799"/>
      <c r="F23" s="4178"/>
      <c r="G23" s="3137"/>
      <c r="H23" s="1829">
        <f t="shared" si="2"/>
        <v>0</v>
      </c>
      <c r="I23" s="1847">
        <f>IF(H23&gt;3,VLOOKUP(H23,Tabla_NumeroConjurosLA,3)-IF(Místicos!E23=0,0,VLOOKUP(H23,Tabla_NumeroConjurosLA,2)),0)</f>
        <v>0</v>
      </c>
      <c r="J23" s="3281" t="s">
        <v>2028</v>
      </c>
      <c r="K23" s="3281"/>
      <c r="L23" s="3281"/>
      <c r="M23" s="3281"/>
      <c r="N23" s="3281"/>
      <c r="O23" s="3281"/>
      <c r="P23" s="3281"/>
      <c r="Q23" s="3281"/>
      <c r="R23" s="67"/>
      <c r="S23" s="1679"/>
      <c r="T23" s="1468" t="str">
        <f t="shared" si="1"/>
        <v>Conjuros</v>
      </c>
      <c r="U23" s="173"/>
      <c r="V23" s="1838">
        <f>IF(AC23="",0,VLOOKUP(AC23,Tablas!$M$1024:$N$1033,2))</f>
        <v>0</v>
      </c>
      <c r="W23" s="4182"/>
      <c r="X23" s="3801"/>
      <c r="Y23" s="4196"/>
      <c r="Z23" s="4196"/>
      <c r="AA23" s="4196"/>
      <c r="AB23" s="4196"/>
      <c r="AC23" s="1597" t="str">
        <f>IF(Místicos!Y23=0,"",VLOOKUP(Místicos!Y23,Tabla_Conjuros,3,FALSE))</f>
        <v/>
      </c>
      <c r="AD23" s="1847" t="str">
        <f t="shared" si="0"/>
        <v/>
      </c>
      <c r="AE23" s="4182"/>
      <c r="AF23" s="3801"/>
      <c r="AG23" s="4196"/>
      <c r="AH23" s="4196"/>
      <c r="AI23" s="4196"/>
      <c r="AJ23" s="4196"/>
      <c r="AK23" s="2151"/>
      <c r="AL23" s="2868">
        <f>IF(Místicos!AG23=0,0,VLOOKUP(Místicos!AG23,Tablas!#REF!,2,FALSE)-10)</f>
        <v>0</v>
      </c>
      <c r="AM23" s="173"/>
      <c r="AN23" s="1945"/>
      <c r="AO23" s="4333" t="s">
        <v>8430</v>
      </c>
      <c r="AP23" s="4166"/>
      <c r="AQ23" s="1854" t="s">
        <v>8480</v>
      </c>
      <c r="AR23" s="4166" t="s">
        <v>8432</v>
      </c>
      <c r="AS23" s="4166"/>
      <c r="AT23" s="1854" t="s">
        <v>8480</v>
      </c>
      <c r="AU23" s="1854" t="s">
        <v>3099</v>
      </c>
      <c r="AV23" s="1923" t="s">
        <v>8480</v>
      </c>
      <c r="AW23" s="1963"/>
      <c r="AX23" s="1675"/>
      <c r="AY23" s="1847">
        <f>IF(AC23="",0,VLOOKUP(AC23,Tablas!$M$1024:$N$1033,2)*VLOOKUP(W23,Tabla_CosteConjuros,3))</f>
        <v>0</v>
      </c>
    </row>
    <row r="24" spans="1:51" ht="12" customHeight="1">
      <c r="A24" s="173"/>
      <c r="B24" s="2244"/>
      <c r="C24" s="4161"/>
      <c r="D24" s="4162"/>
      <c r="E24" s="4176"/>
      <c r="F24" s="4177"/>
      <c r="G24" s="1830"/>
      <c r="H24" s="1831">
        <f t="shared" si="2"/>
        <v>0</v>
      </c>
      <c r="I24" s="1847">
        <f>IF(H24&gt;3,VLOOKUP(H24,Tabla_NumeroConjurosLA,3)-IF(Místicos!E24=0,0,VLOOKUP(H24,Tabla_NumeroConjurosLA,2)),0)</f>
        <v>0</v>
      </c>
      <c r="J24" s="3573" t="s">
        <v>1684</v>
      </c>
      <c r="K24" s="3573"/>
      <c r="L24" s="1837" t="s">
        <v>1728</v>
      </c>
      <c r="M24" s="224" t="s">
        <v>1658</v>
      </c>
      <c r="N24" s="4181" t="s">
        <v>2030</v>
      </c>
      <c r="O24" s="4181"/>
      <c r="P24" s="4181"/>
      <c r="Q24" s="225" t="str">
        <f>IF(P25="Invocador","No","Nv. "&amp;PDs!R15+Tablas!G388+2*Tablas!G389+3*Tablas!G390)</f>
        <v>Nv. 1</v>
      </c>
      <c r="R24" s="67"/>
      <c r="S24" s="1679"/>
      <c r="T24" s="1468" t="str">
        <f t="shared" si="1"/>
        <v>Conjuros</v>
      </c>
      <c r="U24" s="173"/>
      <c r="V24" s="1838">
        <f>IF(AC24="",0,VLOOKUP(AC24,Tablas!$M$1024:$N$1033,2))</f>
        <v>0</v>
      </c>
      <c r="W24" s="4156"/>
      <c r="X24" s="3798"/>
      <c r="Y24" s="4195"/>
      <c r="Z24" s="4195"/>
      <c r="AA24" s="4195"/>
      <c r="AB24" s="4195"/>
      <c r="AC24" s="2131" t="str">
        <f>IF(Místicos!Y24=0,"",VLOOKUP(Místicos!Y24,Tabla_Conjuros,3,FALSE))</f>
        <v/>
      </c>
      <c r="AD24" s="1847" t="str">
        <f t="shared" si="0"/>
        <v/>
      </c>
      <c r="AE24" s="4156"/>
      <c r="AF24" s="3798"/>
      <c r="AG24" s="4195"/>
      <c r="AH24" s="4195"/>
      <c r="AI24" s="4195"/>
      <c r="AJ24" s="4195"/>
      <c r="AK24" s="2129"/>
      <c r="AL24" s="2868">
        <f>IF(Místicos!AG24=0,0,VLOOKUP(Místicos!AG24,Tablas!#REF!,2,FALSE)-10)</f>
        <v>0</v>
      </c>
      <c r="AM24" s="173"/>
      <c r="AN24" s="1945"/>
      <c r="AO24" s="4334" t="s">
        <v>8431</v>
      </c>
      <c r="AP24" s="4335"/>
      <c r="AQ24" s="1929" t="s">
        <v>8449</v>
      </c>
      <c r="AR24" s="4334" t="s">
        <v>8433</v>
      </c>
      <c r="AS24" s="4335"/>
      <c r="AT24" s="1926" t="s">
        <v>8449</v>
      </c>
      <c r="AU24" s="1918" t="s">
        <v>8438</v>
      </c>
      <c r="AV24" s="1953" t="s">
        <v>8465</v>
      </c>
      <c r="AW24" s="1963"/>
      <c r="AX24" s="1675"/>
      <c r="AY24" s="1847">
        <f>IF(AC24="",0,VLOOKUP(AC24,Tablas!$M$1024:$N$1033,2)*VLOOKUP(W24,Tabla_CosteConjuros,3))</f>
        <v>0</v>
      </c>
    </row>
    <row r="25" spans="1:51" ht="12" customHeight="1">
      <c r="A25" s="173"/>
      <c r="B25" s="2244"/>
      <c r="C25" s="4184"/>
      <c r="D25" s="4185"/>
      <c r="E25" s="4186"/>
      <c r="F25" s="4187"/>
      <c r="G25" s="227"/>
      <c r="H25" s="1832">
        <f t="shared" si="2"/>
        <v>0</v>
      </c>
      <c r="I25" s="1847">
        <f>IF(H25&gt;3,VLOOKUP(H25,Tabla_NumeroConjurosLA,2)-IF(Místicos!E25=0,0,VLOOKUP(H25,Tabla_NumeroConjurosLA,2)),0)</f>
        <v>0</v>
      </c>
      <c r="J25" s="4197" t="s">
        <v>1826</v>
      </c>
      <c r="K25" s="4197"/>
      <c r="L25" s="186"/>
      <c r="M25" s="226">
        <f>Convocar_final+L25</f>
        <v>0</v>
      </c>
      <c r="N25" s="3676" t="s">
        <v>2032</v>
      </c>
      <c r="O25" s="3676"/>
      <c r="P25" s="3509"/>
      <c r="Q25" s="3509"/>
      <c r="R25" s="67"/>
      <c r="S25" s="1679"/>
      <c r="T25" s="1468" t="str">
        <f t="shared" si="1"/>
        <v>Conjuros</v>
      </c>
      <c r="U25" s="173"/>
      <c r="V25" s="1838">
        <f>IF(AC25="",0,VLOOKUP(AC25,Tablas!$M$1024:$N$1033,2))</f>
        <v>0</v>
      </c>
      <c r="W25" s="4182"/>
      <c r="X25" s="3801"/>
      <c r="Y25" s="4196"/>
      <c r="Z25" s="4196"/>
      <c r="AA25" s="4196"/>
      <c r="AB25" s="4196"/>
      <c r="AC25" s="1597" t="str">
        <f>IF(Místicos!Y25=0,"",VLOOKUP(Místicos!Y25,Tabla_Conjuros,3,FALSE))</f>
        <v/>
      </c>
      <c r="AD25" s="1847" t="str">
        <f t="shared" si="0"/>
        <v/>
      </c>
      <c r="AE25" s="4182"/>
      <c r="AF25" s="3801"/>
      <c r="AG25" s="4196"/>
      <c r="AH25" s="4196"/>
      <c r="AI25" s="4196"/>
      <c r="AJ25" s="4196"/>
      <c r="AK25" s="2151"/>
      <c r="AL25" s="2868">
        <f>IF(Místicos!AG25=0,0,VLOOKUP(Místicos!AG25,Tablas!#REF!,2,FALSE)-10)</f>
        <v>0</v>
      </c>
      <c r="AM25" s="173"/>
      <c r="AN25" s="1945"/>
      <c r="AO25" s="4329" t="s">
        <v>8427</v>
      </c>
      <c r="AP25" s="4330"/>
      <c r="AQ25" s="1924" t="s">
        <v>3440</v>
      </c>
      <c r="AR25" s="4329" t="s">
        <v>2057</v>
      </c>
      <c r="AS25" s="4330"/>
      <c r="AT25" s="1927" t="s">
        <v>3440</v>
      </c>
      <c r="AU25" s="1919" t="s">
        <v>8439</v>
      </c>
      <c r="AV25" s="1954" t="s">
        <v>4084</v>
      </c>
      <c r="AW25" s="1963"/>
      <c r="AX25" s="1675"/>
      <c r="AY25" s="1847">
        <f>IF(AC25="",0,VLOOKUP(AC25,Tablas!$M$1024:$N$1033,2)*VLOOKUP(W25,Tabla_CosteConjuros,3))</f>
        <v>0</v>
      </c>
    </row>
    <row r="26" spans="1:51" ht="12" customHeight="1" thickBot="1">
      <c r="A26" s="173"/>
      <c r="B26" s="1469"/>
      <c r="C26" s="4188" t="s">
        <v>2006</v>
      </c>
      <c r="D26" s="4189"/>
      <c r="E26" s="4190"/>
      <c r="F26" s="4191"/>
      <c r="G26" s="1900"/>
      <c r="H26" s="1901">
        <f>SUM(V12:V50)</f>
        <v>0</v>
      </c>
      <c r="I26" s="1753"/>
      <c r="J26" s="4212" t="s">
        <v>1827</v>
      </c>
      <c r="K26" s="4212"/>
      <c r="L26" s="107"/>
      <c r="M26" s="228">
        <f>Controlar_final+L26</f>
        <v>0</v>
      </c>
      <c r="N26" s="4213" t="str">
        <f>IF(P25=0,"",IF(P25="Invocador","Invocador: No puede convocar criaturas","Elementalismo: +30 sobre seres afines, -30 sobre el resto, -60 sobre opuestos"))</f>
        <v/>
      </c>
      <c r="O26" s="4213"/>
      <c r="P26" s="4213"/>
      <c r="Q26" s="4213"/>
      <c r="R26" s="67"/>
      <c r="S26" s="1679"/>
      <c r="T26" s="1468" t="str">
        <f t="shared" si="1"/>
        <v>Conjuros</v>
      </c>
      <c r="U26" s="173"/>
      <c r="V26" s="1838">
        <f>IF(AC26="",0,VLOOKUP(AC26,Tablas!$M$1024:$N$1033,2))</f>
        <v>0</v>
      </c>
      <c r="W26" s="4156"/>
      <c r="X26" s="3798"/>
      <c r="Y26" s="4195"/>
      <c r="Z26" s="4195"/>
      <c r="AA26" s="4195"/>
      <c r="AB26" s="4195"/>
      <c r="AC26" s="2131" t="str">
        <f>IF(Místicos!Y26=0,"",VLOOKUP(Místicos!Y26,Tabla_Conjuros,3,FALSE))</f>
        <v/>
      </c>
      <c r="AD26" s="1847" t="str">
        <f t="shared" si="0"/>
        <v/>
      </c>
      <c r="AE26" s="4156"/>
      <c r="AF26" s="3798"/>
      <c r="AG26" s="4195"/>
      <c r="AH26" s="4195"/>
      <c r="AI26" s="4195"/>
      <c r="AJ26" s="4195"/>
      <c r="AK26" s="2129"/>
      <c r="AL26" s="2868">
        <f>IF(Místicos!AG26=0,0,VLOOKUP(Místicos!AG26,Tablas!#REF!,2,FALSE)-10)</f>
        <v>0</v>
      </c>
      <c r="AM26" s="173"/>
      <c r="AN26" s="1945"/>
      <c r="AO26" s="4329" t="s">
        <v>8435</v>
      </c>
      <c r="AP26" s="4330"/>
      <c r="AQ26" s="1924" t="s">
        <v>3440</v>
      </c>
      <c r="AR26" s="4329" t="s">
        <v>2059</v>
      </c>
      <c r="AS26" s="4330"/>
      <c r="AT26" s="1927" t="s">
        <v>3349</v>
      </c>
      <c r="AU26" s="1919" t="s">
        <v>8440</v>
      </c>
      <c r="AV26" s="1955" t="s">
        <v>8449</v>
      </c>
      <c r="AW26" s="1963"/>
      <c r="AX26" s="1675"/>
      <c r="AY26" s="1847">
        <f>IF(AC26="",0,VLOOKUP(AC26,Tablas!$M$1024:$N$1033,2)*VLOOKUP(W26,Tabla_CosteConjuros,3))</f>
        <v>0</v>
      </c>
    </row>
    <row r="27" spans="1:51" ht="12" customHeight="1" thickBot="1">
      <c r="A27" s="173"/>
      <c r="B27" s="1469"/>
      <c r="C27" s="4256" t="s">
        <v>8419</v>
      </c>
      <c r="D27" s="4257"/>
      <c r="E27" s="3374" t="str">
        <f>Tablas!$L$1045</f>
        <v/>
      </c>
      <c r="F27" s="3374"/>
      <c r="G27" s="3374"/>
      <c r="H27" s="4260"/>
      <c r="I27" s="1753"/>
      <c r="J27" s="4212" t="s">
        <v>1828</v>
      </c>
      <c r="K27" s="4212"/>
      <c r="L27" s="107"/>
      <c r="M27" s="228">
        <f>Atar_final+L27</f>
        <v>0</v>
      </c>
      <c r="N27" s="4213"/>
      <c r="O27" s="4213"/>
      <c r="P27" s="4213"/>
      <c r="Q27" s="4213"/>
      <c r="R27" s="67"/>
      <c r="S27" s="1679"/>
      <c r="T27" s="1468" t="str">
        <f t="shared" si="1"/>
        <v>Conjuros</v>
      </c>
      <c r="U27" s="173"/>
      <c r="V27" s="1838">
        <f>IF(AC27="",0,VLOOKUP(AC27,Tablas!$M$1024:$N$1033,2))</f>
        <v>0</v>
      </c>
      <c r="W27" s="4182"/>
      <c r="X27" s="3801"/>
      <c r="Y27" s="4196"/>
      <c r="Z27" s="4196"/>
      <c r="AA27" s="4196"/>
      <c r="AB27" s="4196"/>
      <c r="AC27" s="1597" t="str">
        <f>IF(Místicos!Y27=0,"",VLOOKUP(Místicos!Y27,Tabla_Conjuros,3,FALSE))</f>
        <v/>
      </c>
      <c r="AD27" s="1847" t="str">
        <f t="shared" si="0"/>
        <v/>
      </c>
      <c r="AE27" s="4182"/>
      <c r="AF27" s="3801"/>
      <c r="AG27" s="4196"/>
      <c r="AH27" s="4196"/>
      <c r="AI27" s="4196"/>
      <c r="AJ27" s="4196"/>
      <c r="AK27" s="2151"/>
      <c r="AL27" s="2868">
        <f>IF(Místicos!AG27=0,0,VLOOKUP(Místicos!AG27,Tablas!#REF!,2,FALSE)-10)</f>
        <v>0</v>
      </c>
      <c r="AM27" s="173"/>
      <c r="AN27" s="1945"/>
      <c r="AO27" s="4329" t="s">
        <v>8436</v>
      </c>
      <c r="AP27" s="4330"/>
      <c r="AQ27" s="1924" t="s">
        <v>3349</v>
      </c>
      <c r="AR27" s="4329" t="s">
        <v>8434</v>
      </c>
      <c r="AS27" s="4330"/>
      <c r="AT27" s="1927" t="s">
        <v>3350</v>
      </c>
      <c r="AU27" s="1919" t="s">
        <v>8441</v>
      </c>
      <c r="AV27" s="1955">
        <v>-2</v>
      </c>
      <c r="AW27" s="1963"/>
      <c r="AX27" s="1675"/>
      <c r="AY27" s="1847">
        <f>IF(AC27="",0,VLOOKUP(AC27,Tablas!$M$1024:$N$1033,2)*VLOOKUP(W27,Tabla_CosteConjuros,3))</f>
        <v>0</v>
      </c>
    </row>
    <row r="28" spans="1:51" ht="12" customHeight="1" thickBot="1">
      <c r="A28" s="173"/>
      <c r="B28" s="1469"/>
      <c r="C28" s="4258"/>
      <c r="D28" s="4259"/>
      <c r="E28" s="3451"/>
      <c r="F28" s="3451"/>
      <c r="G28" s="3451"/>
      <c r="H28" s="4261"/>
      <c r="I28" s="96"/>
      <c r="J28" s="4268" t="s">
        <v>1829</v>
      </c>
      <c r="K28" s="4268"/>
      <c r="L28" s="86"/>
      <c r="M28" s="229">
        <f>Desconvocar_final+L28</f>
        <v>0</v>
      </c>
      <c r="N28" s="4213"/>
      <c r="O28" s="4213"/>
      <c r="P28" s="4213"/>
      <c r="Q28" s="4213"/>
      <c r="R28" s="67"/>
      <c r="S28" s="1679"/>
      <c r="T28" s="1468" t="str">
        <f t="shared" si="1"/>
        <v>Conjuros</v>
      </c>
      <c r="U28" s="173"/>
      <c r="V28" s="1838">
        <f>IF(AC28="",0,VLOOKUP(AC28,Tablas!$M$1024:$N$1033,2))</f>
        <v>0</v>
      </c>
      <c r="W28" s="4156"/>
      <c r="X28" s="3798"/>
      <c r="Y28" s="4195"/>
      <c r="Z28" s="4195"/>
      <c r="AA28" s="4195"/>
      <c r="AB28" s="4195"/>
      <c r="AC28" s="2131" t="str">
        <f>IF(Místicos!Y28=0,"",VLOOKUP(Místicos!Y28,Tabla_Conjuros,3,FALSE))</f>
        <v/>
      </c>
      <c r="AD28" s="1847" t="str">
        <f t="shared" si="0"/>
        <v/>
      </c>
      <c r="AE28" s="4156"/>
      <c r="AF28" s="3798"/>
      <c r="AG28" s="4195"/>
      <c r="AH28" s="4195"/>
      <c r="AI28" s="4195"/>
      <c r="AJ28" s="4195"/>
      <c r="AK28" s="2129"/>
      <c r="AL28" s="2868">
        <f>IF(Místicos!AG28=0,0,VLOOKUP(Místicos!AG28,Tablas!#REF!,2,FALSE)-10)</f>
        <v>0</v>
      </c>
      <c r="AM28" s="173"/>
      <c r="AN28" s="1945"/>
      <c r="AO28" s="4329" t="s">
        <v>8437</v>
      </c>
      <c r="AP28" s="4330"/>
      <c r="AQ28" s="1924" t="s">
        <v>3350</v>
      </c>
      <c r="AR28" s="4329" t="s">
        <v>2062</v>
      </c>
      <c r="AS28" s="4330"/>
      <c r="AT28" s="1927" t="s">
        <v>4084</v>
      </c>
      <c r="AU28" s="1919" t="s">
        <v>8442</v>
      </c>
      <c r="AV28" s="1955">
        <v>-4</v>
      </c>
      <c r="AW28" s="1963"/>
      <c r="AX28" s="1675"/>
      <c r="AY28" s="1847">
        <f>IF(AC28="",0,VLOOKUP(AC28,Tablas!$M$1024:$N$1033,2)*VLOOKUP(W28,Tabla_CosteConjuros,3))</f>
        <v>0</v>
      </c>
    </row>
    <row r="29" spans="1:51" ht="12" customHeight="1" thickBot="1">
      <c r="A29" s="173"/>
      <c r="B29" s="1469"/>
      <c r="C29" s="426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66"/>
      <c r="E29" s="4266"/>
      <c r="F29" s="4266"/>
      <c r="G29" s="4266"/>
      <c r="H29" s="4267"/>
      <c r="I29" s="96"/>
      <c r="R29" s="67"/>
      <c r="S29" s="1679"/>
      <c r="T29" s="1468" t="str">
        <f t="shared" si="1"/>
        <v>Conjuros</v>
      </c>
      <c r="U29" s="173"/>
      <c r="V29" s="1838">
        <f>IF(AC29="",0,VLOOKUP(AC29,Tablas!$M$1024:$N$1033,2))</f>
        <v>0</v>
      </c>
      <c r="W29" s="4182"/>
      <c r="X29" s="3801"/>
      <c r="Y29" s="4196"/>
      <c r="Z29" s="4196"/>
      <c r="AA29" s="4196"/>
      <c r="AB29" s="4196"/>
      <c r="AC29" s="1597" t="str">
        <f>IF(Místicos!Y29=0,"",VLOOKUP(Místicos!Y29,Tabla_Conjuros,3,FALSE))</f>
        <v/>
      </c>
      <c r="AD29" s="1847" t="str">
        <f t="shared" si="0"/>
        <v/>
      </c>
      <c r="AE29" s="4182"/>
      <c r="AF29" s="3801"/>
      <c r="AG29" s="4196"/>
      <c r="AH29" s="4196"/>
      <c r="AI29" s="4196"/>
      <c r="AJ29" s="4196"/>
      <c r="AK29" s="2151"/>
      <c r="AL29" s="2868">
        <f>IF(Místicos!AG29=0,0,VLOOKUP(Místicos!AG29,Tablas!#REF!,2,FALSE)-10)</f>
        <v>0</v>
      </c>
      <c r="AM29" s="173"/>
      <c r="AN29" s="1945"/>
      <c r="AO29" s="4331" t="s">
        <v>8473</v>
      </c>
      <c r="AP29" s="4332"/>
      <c r="AQ29" s="1925" t="s">
        <v>4084</v>
      </c>
      <c r="AR29" s="4331" t="s">
        <v>2067</v>
      </c>
      <c r="AS29" s="4332"/>
      <c r="AT29" s="1928" t="s">
        <v>8450</v>
      </c>
      <c r="AU29" s="1919" t="s">
        <v>8443</v>
      </c>
      <c r="AV29" s="1955">
        <v>-6</v>
      </c>
      <c r="AW29" s="1963"/>
      <c r="AX29" s="1675"/>
      <c r="AY29" s="1847">
        <f>IF(AC29="",0,VLOOKUP(AC29,Tablas!$M$1024:$N$1033,2)*VLOOKUP(W29,Tabla_CosteConjuros,3))</f>
        <v>0</v>
      </c>
    </row>
    <row r="30" spans="1:51" ht="12" customHeight="1" thickBot="1">
      <c r="A30" s="173"/>
      <c r="B30" s="1469"/>
      <c r="C30" s="67"/>
      <c r="D30" s="67"/>
      <c r="E30" s="67"/>
      <c r="F30" s="67"/>
      <c r="G30" s="67"/>
      <c r="H30" s="67"/>
      <c r="I30" s="96"/>
      <c r="R30" s="67"/>
      <c r="S30" s="1679"/>
      <c r="T30" s="1468" t="str">
        <f t="shared" si="1"/>
        <v>Conjuros</v>
      </c>
      <c r="U30" s="173"/>
      <c r="V30" s="1838">
        <f>IF(AC30="",0,VLOOKUP(AC30,Tablas!$M$1024:$N$1033,2))</f>
        <v>0</v>
      </c>
      <c r="W30" s="4156"/>
      <c r="X30" s="3798"/>
      <c r="Y30" s="4195"/>
      <c r="Z30" s="4195"/>
      <c r="AA30" s="4195"/>
      <c r="AB30" s="4195"/>
      <c r="AC30" s="2131" t="str">
        <f>IF(Místicos!Y30=0,"",VLOOKUP(Místicos!Y30,Tabla_Conjuros,3,FALSE))</f>
        <v/>
      </c>
      <c r="AD30" s="1847" t="str">
        <f t="shared" si="0"/>
        <v/>
      </c>
      <c r="AE30" s="4156"/>
      <c r="AF30" s="3798"/>
      <c r="AG30" s="4195"/>
      <c r="AH30" s="4195"/>
      <c r="AI30" s="4195"/>
      <c r="AJ30" s="4195"/>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c r="A31" s="173"/>
      <c r="B31" s="1469"/>
      <c r="C31" s="3331" t="s">
        <v>2034</v>
      </c>
      <c r="D31" s="3331"/>
      <c r="E31" s="3331"/>
      <c r="F31" s="3331"/>
      <c r="G31" s="3331"/>
      <c r="H31" s="3992" t="s">
        <v>2035</v>
      </c>
      <c r="I31" s="96"/>
      <c r="J31" s="3377" t="s">
        <v>2036</v>
      </c>
      <c r="K31" s="3378"/>
      <c r="L31" s="3378"/>
      <c r="M31" s="3378"/>
      <c r="N31" s="3378"/>
      <c r="O31" s="3378"/>
      <c r="P31" s="3378"/>
      <c r="Q31" s="3379"/>
      <c r="R31" s="67"/>
      <c r="S31" s="1679"/>
      <c r="T31" s="1468" t="str">
        <f t="shared" si="1"/>
        <v>Conjuros</v>
      </c>
      <c r="U31" s="173"/>
      <c r="V31" s="1838">
        <f>IF(AC31="",0,VLOOKUP(AC31,Tablas!$M$1024:$N$1033,2))</f>
        <v>0</v>
      </c>
      <c r="W31" s="4182"/>
      <c r="X31" s="3801"/>
      <c r="Y31" s="4196"/>
      <c r="Z31" s="4196"/>
      <c r="AA31" s="4196"/>
      <c r="AB31" s="4196"/>
      <c r="AC31" s="1597" t="str">
        <f>IF(Místicos!Y31=0,"",VLOOKUP(Místicos!Y31,Tabla_Conjuros,3,FALSE))</f>
        <v/>
      </c>
      <c r="AD31" s="1847" t="str">
        <f t="shared" si="0"/>
        <v/>
      </c>
      <c r="AE31" s="4182"/>
      <c r="AF31" s="3801"/>
      <c r="AG31" s="4196"/>
      <c r="AH31" s="4196"/>
      <c r="AI31" s="4196"/>
      <c r="AJ31" s="4196"/>
      <c r="AK31" s="2151"/>
      <c r="AL31" s="2868">
        <f>IF(Místicos!AG31=0,0,VLOOKUP(Místicos!AG31,Tablas!#REF!,2,FALSE)-10)</f>
        <v>0</v>
      </c>
      <c r="AM31" s="173"/>
      <c r="AN31" s="1945"/>
      <c r="AO31" s="1921"/>
      <c r="AP31" s="4193" t="s">
        <v>3100</v>
      </c>
      <c r="AQ31" s="4194"/>
      <c r="AR31" s="4194" t="s">
        <v>7757</v>
      </c>
      <c r="AS31" s="4361"/>
      <c r="AT31" s="1744"/>
      <c r="AU31" s="1919" t="s">
        <v>8445</v>
      </c>
      <c r="AV31" s="1955">
        <v>-10</v>
      </c>
      <c r="AW31" s="1963"/>
      <c r="AX31" s="1675"/>
      <c r="AY31" s="1847">
        <f>IF(AC31="",0,VLOOKUP(AC31,Tablas!$M$1024:$N$1033,2)*VLOOKUP(W31,Tabla_CosteConjuros,3))</f>
        <v>0</v>
      </c>
    </row>
    <row r="32" spans="1:51" ht="12" customHeight="1" thickBot="1">
      <c r="A32" s="173"/>
      <c r="B32" s="1672"/>
      <c r="C32" s="4105" t="s">
        <v>2037</v>
      </c>
      <c r="D32" s="4105"/>
      <c r="E32" s="4105"/>
      <c r="F32" s="4105"/>
      <c r="G32" s="4105"/>
      <c r="H32" s="3992"/>
      <c r="I32" s="96"/>
      <c r="J32" s="4254" t="s">
        <v>1751</v>
      </c>
      <c r="K32" s="4255"/>
      <c r="L32" s="4255"/>
      <c r="M32" s="4255"/>
      <c r="N32" s="4255"/>
      <c r="O32" s="4255"/>
      <c r="P32" s="1848" t="s">
        <v>2038</v>
      </c>
      <c r="Q32" s="1825" t="s">
        <v>1820</v>
      </c>
      <c r="R32" s="67"/>
      <c r="S32" s="1679"/>
      <c r="T32" s="1468" t="str">
        <f t="shared" si="1"/>
        <v>Conjuros</v>
      </c>
      <c r="U32" s="173"/>
      <c r="V32" s="1838">
        <f>IF(AC32="",0,VLOOKUP(AC32,Tablas!$M$1024:$N$1033,2))</f>
        <v>0</v>
      </c>
      <c r="W32" s="4156"/>
      <c r="X32" s="3798"/>
      <c r="Y32" s="4195"/>
      <c r="Z32" s="4195"/>
      <c r="AA32" s="4195"/>
      <c r="AB32" s="4195"/>
      <c r="AC32" s="2131" t="str">
        <f>IF(Místicos!Y32=0,"",VLOOKUP(Místicos!Y32,Tabla_Conjuros,3,FALSE))</f>
        <v/>
      </c>
      <c r="AD32" s="1847" t="str">
        <f t="shared" si="0"/>
        <v/>
      </c>
      <c r="AE32" s="4156"/>
      <c r="AF32" s="3798"/>
      <c r="AG32" s="4195"/>
      <c r="AH32" s="4195"/>
      <c r="AI32" s="4195"/>
      <c r="AJ32" s="4195"/>
      <c r="AK32" s="2129"/>
      <c r="AL32" s="2868">
        <f>IF(Místicos!AG32=0,0,VLOOKUP(Místicos!AG32,Tablas!#REF!,2,FALSE)-10)</f>
        <v>0</v>
      </c>
      <c r="AM32" s="173"/>
      <c r="AN32" s="1945"/>
      <c r="AO32" s="1921"/>
      <c r="AP32" s="4357">
        <f>Presencia_final*2+Bono_Des</f>
        <v>60</v>
      </c>
      <c r="AQ32" s="4358"/>
      <c r="AR32" s="4353"/>
      <c r="AS32" s="4354"/>
      <c r="AT32" s="1744"/>
      <c r="AU32" s="1919" t="s">
        <v>8446</v>
      </c>
      <c r="AV32" s="1955">
        <v>-12</v>
      </c>
      <c r="AW32" s="1963"/>
      <c r="AX32" s="1675"/>
      <c r="AY32" s="1847">
        <f>IF(AC32="",0,VLOOKUP(AC32,Tablas!$M$1024:$N$1033,2)*VLOOKUP(W32,Tabla_CosteConjuros,3))</f>
        <v>0</v>
      </c>
    </row>
    <row r="33" spans="1:60" ht="12" customHeight="1" thickBot="1">
      <c r="A33" s="173"/>
      <c r="B33" s="1672"/>
      <c r="C33" s="3314"/>
      <c r="D33" s="4263"/>
      <c r="E33" s="4263"/>
      <c r="F33" s="4263"/>
      <c r="G33" s="4264"/>
      <c r="H33" s="22"/>
      <c r="I33" s="67"/>
      <c r="J33" s="4315"/>
      <c r="K33" s="4316"/>
      <c r="L33" s="4316"/>
      <c r="M33" s="4316"/>
      <c r="N33" s="4316"/>
      <c r="O33" s="4316"/>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182"/>
      <c r="X33" s="3801"/>
      <c r="Y33" s="4196"/>
      <c r="Z33" s="4196"/>
      <c r="AA33" s="4196"/>
      <c r="AB33" s="4196"/>
      <c r="AC33" s="1597" t="str">
        <f>IF(Místicos!Y33=0,"",VLOOKUP(Místicos!Y33,Tabla_Conjuros,3,FALSE))</f>
        <v/>
      </c>
      <c r="AD33" s="1847" t="str">
        <f t="shared" si="0"/>
        <v/>
      </c>
      <c r="AE33" s="4182"/>
      <c r="AF33" s="3801"/>
      <c r="AG33" s="4196"/>
      <c r="AH33" s="4196"/>
      <c r="AI33" s="4196"/>
      <c r="AJ33" s="4196"/>
      <c r="AK33" s="2151"/>
      <c r="AL33" s="2868">
        <f>IF(Místicos!AG33=0,0,VLOOKUP(Místicos!AG33,Tablas!#REF!,2,FALSE)-10)</f>
        <v>0</v>
      </c>
      <c r="AM33" s="173"/>
      <c r="AN33" s="1945"/>
      <c r="AO33" s="1921"/>
      <c r="AP33" s="4359"/>
      <c r="AQ33" s="4360"/>
      <c r="AR33" s="4355"/>
      <c r="AS33" s="4356"/>
      <c r="AT33" s="1744"/>
      <c r="AU33" s="1919" t="s">
        <v>8447</v>
      </c>
      <c r="AV33" s="1955">
        <v>-14</v>
      </c>
      <c r="AW33" s="1963"/>
      <c r="AX33" s="1675"/>
      <c r="AY33" s="1847">
        <f>IF(AC33="",0,VLOOKUP(AC33,Tablas!$M$1024:$N$1033,2)*VLOOKUP(W33,Tabla_CosteConjuros,3))</f>
        <v>0</v>
      </c>
    </row>
    <row r="34" spans="1:60" ht="12" customHeight="1">
      <c r="A34" s="173"/>
      <c r="B34" s="1672"/>
      <c r="C34" s="4262"/>
      <c r="D34" s="4262"/>
      <c r="E34" s="4262"/>
      <c r="F34" s="4262"/>
      <c r="G34" s="4262"/>
      <c r="H34" s="230"/>
      <c r="I34" s="67"/>
      <c r="J34" s="4272"/>
      <c r="K34" s="4273"/>
      <c r="L34" s="4273"/>
      <c r="M34" s="4273"/>
      <c r="N34" s="4273"/>
      <c r="O34" s="4273"/>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156"/>
      <c r="X34" s="3798"/>
      <c r="Y34" s="4195"/>
      <c r="Z34" s="4195"/>
      <c r="AA34" s="4195"/>
      <c r="AB34" s="4195"/>
      <c r="AC34" s="2131" t="str">
        <f>IF(Místicos!Y34=0,"",VLOOKUP(Místicos!Y34,Tabla_Conjuros,3,FALSE))</f>
        <v/>
      </c>
      <c r="AD34" s="1847" t="str">
        <f t="shared" si="0"/>
        <v/>
      </c>
      <c r="AE34" s="4156"/>
      <c r="AF34" s="3798"/>
      <c r="AG34" s="4195"/>
      <c r="AH34" s="4195"/>
      <c r="AI34" s="4195"/>
      <c r="AJ34" s="4195"/>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c r="A35" s="173"/>
      <c r="B35" s="1672"/>
      <c r="C35" s="3310"/>
      <c r="D35" s="3310"/>
      <c r="E35" s="3310"/>
      <c r="F35" s="3310"/>
      <c r="G35" s="3310"/>
      <c r="H35" s="22"/>
      <c r="I35" s="67"/>
      <c r="J35" s="4274"/>
      <c r="K35" s="4275"/>
      <c r="L35" s="4275"/>
      <c r="M35" s="4275"/>
      <c r="N35" s="4275"/>
      <c r="O35" s="4275"/>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182"/>
      <c r="X35" s="3801"/>
      <c r="Y35" s="4196"/>
      <c r="Z35" s="4196"/>
      <c r="AA35" s="4196"/>
      <c r="AB35" s="4196"/>
      <c r="AC35" s="1597" t="str">
        <f>IF(Místicos!Y35=0,"",VLOOKUP(Místicos!Y35,Tabla_Conjuros,3,FALSE))</f>
        <v/>
      </c>
      <c r="AD35" s="1847" t="str">
        <f t="shared" si="0"/>
        <v/>
      </c>
      <c r="AE35" s="4182"/>
      <c r="AF35" s="3801"/>
      <c r="AG35" s="4196"/>
      <c r="AH35" s="4196"/>
      <c r="AI35" s="4196"/>
      <c r="AJ35" s="4196"/>
      <c r="AK35" s="2151"/>
      <c r="AL35" s="2868">
        <f>IF(Místicos!AG35=0,0,VLOOKUP(Místicos!AG35,Tablas!#REF!,2,FALSE)-10)</f>
        <v>0</v>
      </c>
      <c r="AM35" s="173"/>
      <c r="AN35" s="1945"/>
      <c r="AW35" s="1963"/>
      <c r="AX35" s="1675"/>
      <c r="AY35" s="1847">
        <f>IF(AC35="",0,VLOOKUP(AC35,Tablas!$M$1024:$N$1033,2)*VLOOKUP(W35,Tabla_CosteConjuros,3))</f>
        <v>0</v>
      </c>
    </row>
    <row r="36" spans="1:60" ht="12" customHeight="1">
      <c r="A36" s="173"/>
      <c r="B36" s="1672"/>
      <c r="C36" s="4262"/>
      <c r="D36" s="4262"/>
      <c r="E36" s="4262"/>
      <c r="F36" s="4262"/>
      <c r="G36" s="4262"/>
      <c r="H36" s="230"/>
      <c r="I36" s="67"/>
      <c r="J36" s="4272"/>
      <c r="K36" s="4273"/>
      <c r="L36" s="4273"/>
      <c r="M36" s="4273"/>
      <c r="N36" s="4273"/>
      <c r="O36" s="4273"/>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156"/>
      <c r="X36" s="3798"/>
      <c r="Y36" s="4195"/>
      <c r="Z36" s="4195"/>
      <c r="AA36" s="4195"/>
      <c r="AB36" s="4195"/>
      <c r="AC36" s="2131" t="str">
        <f>IF(Místicos!Y36=0,"",VLOOKUP(Místicos!Y36,Tabla_Conjuros,3,FALSE))</f>
        <v/>
      </c>
      <c r="AD36" s="1847" t="str">
        <f t="shared" si="0"/>
        <v/>
      </c>
      <c r="AE36" s="4156"/>
      <c r="AF36" s="3798"/>
      <c r="AG36" s="4195"/>
      <c r="AH36" s="4195"/>
      <c r="AI36" s="4195"/>
      <c r="AJ36" s="4195"/>
      <c r="AK36" s="2129"/>
      <c r="AL36" s="2868">
        <f>IF(Místicos!AG36=0,0,VLOOKUP(Místicos!AG36,Tablas!#REF!,2,FALSE)-10)</f>
        <v>0</v>
      </c>
      <c r="AM36" s="173"/>
      <c r="AN36" s="1945"/>
      <c r="AO36" s="4341" t="s">
        <v>8457</v>
      </c>
      <c r="AP36" s="4192"/>
      <c r="AQ36" s="4192"/>
      <c r="AR36" s="4192"/>
      <c r="AS36" s="4192"/>
      <c r="AT36" s="4192"/>
      <c r="AU36" s="4192"/>
      <c r="AV36" s="4337"/>
      <c r="AW36" s="1963"/>
      <c r="AX36" s="1675"/>
      <c r="AY36" s="1847">
        <f>IF(AC36="",0,VLOOKUP(AC36,Tablas!$M$1024:$N$1033,2)*VLOOKUP(W36,Tabla_CosteConjuros,3))</f>
        <v>0</v>
      </c>
    </row>
    <row r="37" spans="1:60" ht="12" customHeight="1">
      <c r="A37" s="173"/>
      <c r="B37" s="1672"/>
      <c r="C37" s="3310"/>
      <c r="D37" s="3310"/>
      <c r="E37" s="3310"/>
      <c r="F37" s="3310"/>
      <c r="G37" s="3310"/>
      <c r="H37" s="22"/>
      <c r="I37" s="67"/>
      <c r="J37" s="4274"/>
      <c r="K37" s="4275"/>
      <c r="L37" s="4275"/>
      <c r="M37" s="4275"/>
      <c r="N37" s="4275"/>
      <c r="O37" s="4275"/>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182"/>
      <c r="X37" s="3801"/>
      <c r="Y37" s="4196"/>
      <c r="Z37" s="4196"/>
      <c r="AA37" s="4196"/>
      <c r="AB37" s="4196"/>
      <c r="AC37" s="1597" t="str">
        <f>IF(Místicos!Y37=0,"",VLOOKUP(Místicos!Y37,Tabla_Conjuros,3,FALSE))</f>
        <v/>
      </c>
      <c r="AD37" s="1847" t="str">
        <f t="shared" si="0"/>
        <v/>
      </c>
      <c r="AE37" s="4182"/>
      <c r="AF37" s="3801"/>
      <c r="AG37" s="4196"/>
      <c r="AH37" s="4196"/>
      <c r="AI37" s="4196"/>
      <c r="AJ37" s="4196"/>
      <c r="AK37" s="2151"/>
      <c r="AL37" s="2868">
        <f>IF(Místicos!AG37=0,0,VLOOKUP(Místicos!AG37,Tablas!#REF!,2,FALSE)-10)</f>
        <v>0</v>
      </c>
      <c r="AM37" s="173"/>
      <c r="AN37" s="1946"/>
      <c r="AO37" s="1950" t="s">
        <v>8451</v>
      </c>
      <c r="AP37" s="4269" t="s">
        <v>8478</v>
      </c>
      <c r="AQ37" s="4270"/>
      <c r="AR37" s="4270"/>
      <c r="AS37" s="4270"/>
      <c r="AT37" s="4270"/>
      <c r="AU37" s="4270"/>
      <c r="AV37" s="4271"/>
      <c r="AW37" s="1963"/>
      <c r="AX37" s="1675"/>
      <c r="AY37" s="1847">
        <f>IF(AC37="",0,VLOOKUP(AC37,Tablas!$M$1024:$N$1033,2)*VLOOKUP(W37,Tabla_CosteConjuros,3))</f>
        <v>0</v>
      </c>
      <c r="BB37" s="1846"/>
    </row>
    <row r="38" spans="1:60" ht="12" customHeight="1">
      <c r="A38" s="173"/>
      <c r="B38" s="1672"/>
      <c r="C38" s="4262"/>
      <c r="D38" s="4262"/>
      <c r="E38" s="4262"/>
      <c r="F38" s="4262"/>
      <c r="G38" s="4262"/>
      <c r="H38" s="230"/>
      <c r="I38" s="67"/>
      <c r="J38" s="4272"/>
      <c r="K38" s="4273"/>
      <c r="L38" s="4273"/>
      <c r="M38" s="4273"/>
      <c r="N38" s="4273"/>
      <c r="O38" s="4273"/>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156"/>
      <c r="X38" s="3798"/>
      <c r="Y38" s="4195"/>
      <c r="Z38" s="4195"/>
      <c r="AA38" s="4195"/>
      <c r="AB38" s="4195"/>
      <c r="AC38" s="2131" t="str">
        <f>IF(Místicos!Y38=0,"",VLOOKUP(Místicos!Y38,Tabla_Conjuros,3,FALSE))</f>
        <v/>
      </c>
      <c r="AD38" s="1847" t="str">
        <f t="shared" si="0"/>
        <v/>
      </c>
      <c r="AE38" s="4156"/>
      <c r="AF38" s="3798"/>
      <c r="AG38" s="4195"/>
      <c r="AH38" s="4195"/>
      <c r="AI38" s="4195"/>
      <c r="AJ38" s="4195"/>
      <c r="AK38" s="2129"/>
      <c r="AL38" s="2868">
        <f>IF(Místicos!AG38=0,0,VLOOKUP(Místicos!AG38,Tablas!#REF!,2,FALSE)-10)</f>
        <v>0</v>
      </c>
      <c r="AM38" s="173"/>
      <c r="AN38" s="1946"/>
      <c r="AO38" s="1951" t="s">
        <v>8452</v>
      </c>
      <c r="AP38" s="4349" t="s">
        <v>8477</v>
      </c>
      <c r="AQ38" s="4350"/>
      <c r="AR38" s="4350"/>
      <c r="AS38" s="4350"/>
      <c r="AT38" s="4350"/>
      <c r="AU38" s="4350"/>
      <c r="AV38" s="4350"/>
      <c r="AW38" s="1963"/>
      <c r="AX38" s="1675"/>
      <c r="AY38" s="1847">
        <f>IF(AC38="",0,VLOOKUP(AC38,Tablas!$M$1024:$N$1033,2)*VLOOKUP(W38,Tabla_CosteConjuros,3))</f>
        <v>0</v>
      </c>
    </row>
    <row r="39" spans="1:60" ht="12" customHeight="1">
      <c r="A39" s="173"/>
      <c r="B39" s="1672"/>
      <c r="C39" s="3310"/>
      <c r="D39" s="3310"/>
      <c r="E39" s="3310"/>
      <c r="F39" s="3310"/>
      <c r="G39" s="3310"/>
      <c r="H39" s="22"/>
      <c r="I39" s="67"/>
      <c r="J39" s="4274"/>
      <c r="K39" s="4275"/>
      <c r="L39" s="4275"/>
      <c r="M39" s="4275"/>
      <c r="N39" s="4275"/>
      <c r="O39" s="4275"/>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182"/>
      <c r="X39" s="3801"/>
      <c r="Y39" s="4196"/>
      <c r="Z39" s="4196"/>
      <c r="AA39" s="4196"/>
      <c r="AB39" s="4196"/>
      <c r="AC39" s="1597" t="str">
        <f>IF(Místicos!Y39=0,"",VLOOKUP(Místicos!Y39,Tabla_Conjuros,3,FALSE))</f>
        <v/>
      </c>
      <c r="AD39" s="1847" t="str">
        <f t="shared" si="0"/>
        <v/>
      </c>
      <c r="AE39" s="4182"/>
      <c r="AF39" s="3801"/>
      <c r="AG39" s="4196"/>
      <c r="AH39" s="4196"/>
      <c r="AI39" s="4196"/>
      <c r="AJ39" s="4196"/>
      <c r="AK39" s="2151"/>
      <c r="AL39" s="2868">
        <f>IF(Místicos!AG39=0,0,VLOOKUP(Místicos!AG39,Tablas!#REF!,2,FALSE)-10)</f>
        <v>0</v>
      </c>
      <c r="AM39" s="173"/>
      <c r="AN39" s="1946"/>
      <c r="AO39" s="1951" t="s">
        <v>8453</v>
      </c>
      <c r="AP39" s="4349" t="s">
        <v>8476</v>
      </c>
      <c r="AQ39" s="4350"/>
      <c r="AR39" s="4350"/>
      <c r="AS39" s="4350"/>
      <c r="AT39" s="4350"/>
      <c r="AU39" s="4350"/>
      <c r="AV39" s="4350"/>
      <c r="AW39" s="1963"/>
      <c r="AX39" s="1675"/>
      <c r="AY39" s="1847">
        <f>IF(AC39="",0,VLOOKUP(AC39,Tablas!$M$1024:$N$1033,2)*VLOOKUP(W39,Tabla_CosteConjuros,3))</f>
        <v>0</v>
      </c>
    </row>
    <row r="40" spans="1:60" ht="12" customHeight="1">
      <c r="A40" s="173"/>
      <c r="B40" s="1672"/>
      <c r="C40" s="4262"/>
      <c r="D40" s="4262"/>
      <c r="E40" s="4262"/>
      <c r="F40" s="4262"/>
      <c r="G40" s="4262"/>
      <c r="H40" s="230"/>
      <c r="I40" s="67"/>
      <c r="J40" s="4272"/>
      <c r="K40" s="4273"/>
      <c r="L40" s="4273"/>
      <c r="M40" s="4273"/>
      <c r="N40" s="4273"/>
      <c r="O40" s="4273"/>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156"/>
      <c r="X40" s="3798"/>
      <c r="Y40" s="4195"/>
      <c r="Z40" s="4195"/>
      <c r="AA40" s="4195"/>
      <c r="AB40" s="4195"/>
      <c r="AC40" s="2131" t="str">
        <f>IF(Místicos!Y40=0,"",VLOOKUP(Místicos!Y40,Tabla_Conjuros,3,FALSE))</f>
        <v/>
      </c>
      <c r="AD40" s="1847" t="str">
        <f t="shared" si="0"/>
        <v/>
      </c>
      <c r="AE40" s="4156"/>
      <c r="AF40" s="3798"/>
      <c r="AG40" s="4195"/>
      <c r="AH40" s="4195"/>
      <c r="AI40" s="4195"/>
      <c r="AJ40" s="4195"/>
      <c r="AK40" s="2129"/>
      <c r="AL40" s="2868">
        <f>IF(Místicos!AG40=0,0,VLOOKUP(Místicos!AG40,Tablas!#REF!,2,FALSE)-10)</f>
        <v>0</v>
      </c>
      <c r="AM40" s="173"/>
      <c r="AN40" s="1946"/>
      <c r="AO40" s="1951" t="s">
        <v>8454</v>
      </c>
      <c r="AP40" s="4349" t="s">
        <v>8485</v>
      </c>
      <c r="AQ40" s="4350"/>
      <c r="AR40" s="4350"/>
      <c r="AS40" s="4350"/>
      <c r="AT40" s="4350"/>
      <c r="AU40" s="4350"/>
      <c r="AV40" s="4350"/>
      <c r="AW40" s="1963"/>
      <c r="AX40" s="1675"/>
      <c r="AY40" s="1847">
        <f>IF(AC40="",0,VLOOKUP(AC40,Tablas!$M$1024:$N$1033,2)*VLOOKUP(W40,Tabla_CosteConjuros,3))</f>
        <v>0</v>
      </c>
    </row>
    <row r="41" spans="1:60" ht="12" customHeight="1">
      <c r="A41" s="173"/>
      <c r="B41" s="1672"/>
      <c r="C41" s="3310"/>
      <c r="D41" s="3310"/>
      <c r="E41" s="3310"/>
      <c r="F41" s="3310"/>
      <c r="G41" s="3310"/>
      <c r="H41" s="22"/>
      <c r="I41" s="67"/>
      <c r="J41" s="4274"/>
      <c r="K41" s="4275"/>
      <c r="L41" s="4275"/>
      <c r="M41" s="4275"/>
      <c r="N41" s="4275"/>
      <c r="O41" s="4275"/>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182"/>
      <c r="X41" s="3801"/>
      <c r="Y41" s="4196"/>
      <c r="Z41" s="4196"/>
      <c r="AA41" s="4196"/>
      <c r="AB41" s="4196"/>
      <c r="AC41" s="1597" t="str">
        <f>IF(Místicos!Y41=0,"",VLOOKUP(Místicos!Y41,Tabla_Conjuros,3,FALSE))</f>
        <v/>
      </c>
      <c r="AD41" s="1847" t="str">
        <f t="shared" si="0"/>
        <v/>
      </c>
      <c r="AE41" s="4182"/>
      <c r="AF41" s="3801"/>
      <c r="AG41" s="4196"/>
      <c r="AH41" s="4196"/>
      <c r="AI41" s="4196"/>
      <c r="AJ41" s="4196"/>
      <c r="AK41" s="2151"/>
      <c r="AL41" s="2868">
        <f>IF(Místicos!AG41=0,0,VLOOKUP(Místicos!AG41,Tablas!#REF!,2,FALSE)-10)</f>
        <v>0</v>
      </c>
      <c r="AM41" s="173"/>
      <c r="AN41" s="1946"/>
      <c r="AO41" s="1951" t="s">
        <v>8455</v>
      </c>
      <c r="AP41" s="4349" t="s">
        <v>8475</v>
      </c>
      <c r="AQ41" s="4350"/>
      <c r="AR41" s="4350"/>
      <c r="AS41" s="4350"/>
      <c r="AT41" s="4350"/>
      <c r="AU41" s="4350"/>
      <c r="AV41" s="4350"/>
      <c r="AW41" s="1963"/>
      <c r="AX41" s="1675"/>
      <c r="AY41" s="1847">
        <f>IF(AC41="",0,VLOOKUP(AC41,Tablas!$M$1024:$N$1033,2)*VLOOKUP(W41,Tabla_CosteConjuros,3))</f>
        <v>0</v>
      </c>
    </row>
    <row r="42" spans="1:60" ht="12" customHeight="1" thickBot="1">
      <c r="A42" s="173"/>
      <c r="B42" s="1672"/>
      <c r="C42" s="4262"/>
      <c r="D42" s="4262"/>
      <c r="E42" s="4262"/>
      <c r="F42" s="4262"/>
      <c r="G42" s="4262"/>
      <c r="H42" s="230"/>
      <c r="I42" s="67"/>
      <c r="J42" s="4272"/>
      <c r="K42" s="4273"/>
      <c r="L42" s="4273"/>
      <c r="M42" s="4273"/>
      <c r="N42" s="4273"/>
      <c r="O42" s="4273"/>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156"/>
      <c r="X42" s="3798"/>
      <c r="Y42" s="4195"/>
      <c r="Z42" s="4195"/>
      <c r="AA42" s="4195"/>
      <c r="AB42" s="4195"/>
      <c r="AC42" s="2131" t="str">
        <f>IF(Místicos!Y42=0,"",VLOOKUP(Místicos!Y42,Tabla_Conjuros,3,FALSE))</f>
        <v/>
      </c>
      <c r="AD42" s="1847" t="str">
        <f t="shared" si="0"/>
        <v/>
      </c>
      <c r="AE42" s="4156"/>
      <c r="AF42" s="3798"/>
      <c r="AG42" s="4195"/>
      <c r="AH42" s="4195"/>
      <c r="AI42" s="4195"/>
      <c r="AJ42" s="4195"/>
      <c r="AK42" s="2129"/>
      <c r="AL42" s="2868">
        <f>IF(Místicos!AG42=0,0,VLOOKUP(Místicos!AG42,Tablas!#REF!,2,FALSE)-10)</f>
        <v>0</v>
      </c>
      <c r="AM42" s="173"/>
      <c r="AN42" s="1946"/>
      <c r="AO42" s="1952">
        <v>-9</v>
      </c>
      <c r="AP42" s="4351" t="s">
        <v>8474</v>
      </c>
      <c r="AQ42" s="4352"/>
      <c r="AR42" s="4352"/>
      <c r="AS42" s="4352"/>
      <c r="AT42" s="4352"/>
      <c r="AU42" s="4352"/>
      <c r="AV42" s="4352"/>
      <c r="AW42" s="1963"/>
      <c r="AX42" s="1675"/>
      <c r="AY42" s="1847">
        <f>IF(AC42="",0,VLOOKUP(AC42,Tablas!$M$1024:$N$1033,2)*VLOOKUP(W42,Tabla_CosteConjuros,3))</f>
        <v>0</v>
      </c>
    </row>
    <row r="43" spans="1:60" ht="12" customHeight="1" thickBot="1">
      <c r="A43" s="173"/>
      <c r="B43" s="1672"/>
      <c r="C43" s="3310"/>
      <c r="D43" s="3310"/>
      <c r="E43" s="3310"/>
      <c r="F43" s="3310"/>
      <c r="G43" s="3310"/>
      <c r="H43" s="22"/>
      <c r="I43" s="67"/>
      <c r="J43" s="4274"/>
      <c r="K43" s="4275"/>
      <c r="L43" s="4275"/>
      <c r="M43" s="4275"/>
      <c r="N43" s="4275"/>
      <c r="O43" s="4275"/>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182"/>
      <c r="X43" s="3801"/>
      <c r="Y43" s="4196"/>
      <c r="Z43" s="4196"/>
      <c r="AA43" s="4196"/>
      <c r="AB43" s="4196"/>
      <c r="AC43" s="1597" t="str">
        <f>IF(Místicos!Y43=0,"",VLOOKUP(Místicos!Y43,Tabla_Conjuros,3,FALSE))</f>
        <v/>
      </c>
      <c r="AD43" s="1847" t="str">
        <f t="shared" si="0"/>
        <v/>
      </c>
      <c r="AE43" s="4182"/>
      <c r="AF43" s="3801"/>
      <c r="AG43" s="4196"/>
      <c r="AH43" s="4196"/>
      <c r="AI43" s="4196"/>
      <c r="AJ43" s="4196"/>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c r="A44" s="173"/>
      <c r="B44" s="1672"/>
      <c r="C44" s="4262"/>
      <c r="D44" s="4262"/>
      <c r="E44" s="4262"/>
      <c r="F44" s="4262"/>
      <c r="G44" s="4262"/>
      <c r="H44" s="230"/>
      <c r="I44" s="67"/>
      <c r="J44" s="4272"/>
      <c r="K44" s="4273"/>
      <c r="L44" s="4273"/>
      <c r="M44" s="4273"/>
      <c r="N44" s="4273"/>
      <c r="O44" s="4273"/>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156"/>
      <c r="X44" s="3798"/>
      <c r="Y44" s="4195"/>
      <c r="Z44" s="4195"/>
      <c r="AA44" s="4195"/>
      <c r="AB44" s="4195"/>
      <c r="AC44" s="2131" t="str">
        <f>IF(Místicos!Y44=0,"",VLOOKUP(Místicos!Y44,Tabla_Conjuros,3,FALSE))</f>
        <v/>
      </c>
      <c r="AD44" s="1847" t="str">
        <f t="shared" si="0"/>
        <v/>
      </c>
      <c r="AE44" s="4156"/>
      <c r="AF44" s="3798"/>
      <c r="AG44" s="4195"/>
      <c r="AH44" s="4195"/>
      <c r="AI44" s="4195"/>
      <c r="AJ44" s="4195"/>
      <c r="AK44" s="2129"/>
      <c r="AL44" s="2868">
        <f>IF(Místicos!AG44=0,0,VLOOKUP(Místicos!AG44,Tablas!#REF!,2,FALSE)-10)</f>
        <v>0</v>
      </c>
      <c r="AM44" s="173"/>
      <c r="AN44" s="1946"/>
      <c r="AO44" s="4343" t="str">
        <f>IF(OR(AS10="General",AS10="Magia Natural"),"",AS10)</f>
        <v/>
      </c>
      <c r="AP44" s="4344"/>
      <c r="AQ44" s="4344"/>
      <c r="AR44" s="4344"/>
      <c r="AS44" s="4344"/>
      <c r="AT44" s="4344"/>
      <c r="AU44" s="4344"/>
      <c r="AV44" s="4345"/>
      <c r="AW44" s="1963"/>
      <c r="AX44" s="1675"/>
      <c r="AY44" s="1847">
        <f>IF(AC44="",0,VLOOKUP(AC44,Tablas!$M$1024:$N$1033,2)*VLOOKUP(W44,Tabla_CosteConjuros,3))</f>
        <v>0</v>
      </c>
      <c r="AZ44" s="3135" t="s">
        <v>8499</v>
      </c>
      <c r="BA44" s="3135" t="s">
        <v>8500</v>
      </c>
      <c r="BB44" s="3135" t="s">
        <v>8501</v>
      </c>
    </row>
    <row r="45" spans="1:60" ht="12" customHeight="1" thickBot="1">
      <c r="A45" s="173"/>
      <c r="B45" s="1672"/>
      <c r="C45" s="3310"/>
      <c r="D45" s="3310"/>
      <c r="E45" s="3310"/>
      <c r="F45" s="3310"/>
      <c r="G45" s="3310"/>
      <c r="H45" s="22"/>
      <c r="I45" s="67"/>
      <c r="J45" s="4274"/>
      <c r="K45" s="4275"/>
      <c r="L45" s="4275"/>
      <c r="M45" s="4275"/>
      <c r="N45" s="4275"/>
      <c r="O45" s="4275"/>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182"/>
      <c r="X45" s="3801"/>
      <c r="Y45" s="4196"/>
      <c r="Z45" s="4196"/>
      <c r="AA45" s="4196"/>
      <c r="AB45" s="4196"/>
      <c r="AC45" s="1597" t="str">
        <f>IF(Místicos!Y45=0,"",VLOOKUP(Místicos!Y45,Tabla_Conjuros,3,FALSE))</f>
        <v/>
      </c>
      <c r="AD45" s="1847" t="str">
        <f t="shared" si="0"/>
        <v/>
      </c>
      <c r="AE45" s="4182"/>
      <c r="AF45" s="3801"/>
      <c r="AG45" s="4196"/>
      <c r="AH45" s="4196"/>
      <c r="AI45" s="4196"/>
      <c r="AJ45" s="4196"/>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c r="A46" s="173"/>
      <c r="B46" s="1672"/>
      <c r="C46" s="4262"/>
      <c r="D46" s="4262"/>
      <c r="E46" s="4262"/>
      <c r="F46" s="4262"/>
      <c r="G46" s="4262"/>
      <c r="H46" s="230"/>
      <c r="I46" s="67"/>
      <c r="J46" s="4272"/>
      <c r="K46" s="4273"/>
      <c r="L46" s="4273"/>
      <c r="M46" s="4273"/>
      <c r="N46" s="4273"/>
      <c r="O46" s="4273"/>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156"/>
      <c r="X46" s="3798"/>
      <c r="Y46" s="4195"/>
      <c r="Z46" s="4195"/>
      <c r="AA46" s="4195"/>
      <c r="AB46" s="4195"/>
      <c r="AC46" s="2131" t="str">
        <f>IF(Místicos!Y46=0,"",VLOOKUP(Místicos!Y46,Tabla_Conjuros,3,FALSE))</f>
        <v/>
      </c>
      <c r="AD46" s="1847" t="str">
        <f t="shared" si="0"/>
        <v/>
      </c>
      <c r="AE46" s="4156"/>
      <c r="AF46" s="3798"/>
      <c r="AG46" s="4195"/>
      <c r="AH46" s="4195"/>
      <c r="AI46" s="4195"/>
      <c r="AJ46" s="4195"/>
      <c r="AK46" s="2129"/>
      <c r="AL46" s="2868">
        <f>IF(Místicos!AG46=0,0,VLOOKUP(Místicos!AG46,Tablas!#REF!,2,FALSE)-10)</f>
        <v>0</v>
      </c>
      <c r="AM46" s="173"/>
      <c r="AN46" s="1946"/>
      <c r="AO46" s="4193"/>
      <c r="AP46" s="4194"/>
      <c r="AQ46" s="4192" t="str">
        <f>IF($AZ$45,"Caligrafía ritual",IF($BA$45,"Vínculos Físicos",IF($BB$45,"Zonas Espirituales","""")))</f>
        <v>"</v>
      </c>
      <c r="AR46" s="4192"/>
      <c r="AS46" s="4192"/>
      <c r="AT46" s="4192"/>
      <c r="AU46" s="4364"/>
      <c r="AV46" s="4365"/>
      <c r="AW46" s="1963"/>
      <c r="AX46" s="1675"/>
      <c r="AY46" s="1847">
        <f>IF(AC46="",0,VLOOKUP(AC46,Tablas!$M$1024:$N$1033,2)*VLOOKUP(W46,Tabla_CosteConjuros,3))</f>
        <v>0</v>
      </c>
    </row>
    <row r="47" spans="1:60" ht="12" customHeight="1">
      <c r="A47" s="173"/>
      <c r="B47" s="1672"/>
      <c r="C47" s="3310"/>
      <c r="D47" s="3310"/>
      <c r="E47" s="3310"/>
      <c r="F47" s="3310"/>
      <c r="G47" s="3310"/>
      <c r="H47" s="22"/>
      <c r="I47" s="67"/>
      <c r="J47" s="4274"/>
      <c r="K47" s="4275"/>
      <c r="L47" s="4275"/>
      <c r="M47" s="4275"/>
      <c r="N47" s="4275"/>
      <c r="O47" s="4275"/>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182"/>
      <c r="X47" s="3801"/>
      <c r="Y47" s="4196"/>
      <c r="Z47" s="4196"/>
      <c r="AA47" s="4196"/>
      <c r="AB47" s="4196"/>
      <c r="AC47" s="1597" t="str">
        <f>IF(Místicos!Y47=0,"",VLOOKUP(Místicos!Y47,Tabla_Conjuros,3,FALSE))</f>
        <v/>
      </c>
      <c r="AD47" s="1847" t="str">
        <f t="shared" si="0"/>
        <v/>
      </c>
      <c r="AE47" s="4182"/>
      <c r="AF47" s="3801"/>
      <c r="AG47" s="4196"/>
      <c r="AH47" s="4196"/>
      <c r="AI47" s="4196"/>
      <c r="AJ47" s="4196"/>
      <c r="AK47" s="2151"/>
      <c r="AL47" s="2868">
        <f>IF(Místicos!AG47=0,0,VLOOKUP(Místicos!AG47,Tablas!#REF!,2,FALSE)-10)</f>
        <v>0</v>
      </c>
      <c r="AM47" s="173"/>
      <c r="AN47" s="1946"/>
      <c r="AO47" s="4165" t="str">
        <f>IF($AZ$45,"Nv. Conjuro  Dif.",IF($BA$45,"",IF($BB$45,"Tipo de zona","""")))</f>
        <v>"</v>
      </c>
      <c r="AP47" s="4166"/>
      <c r="AQ47" s="4199" t="str">
        <f>IF($AZ$45,"Tiempo empleado en la preparación",IF($BA$45,"Objeto a consumir - Bono a RM",IF($BB$45,"Descripción","")))</f>
        <v/>
      </c>
      <c r="AR47" s="4199"/>
      <c r="AS47" s="4199"/>
      <c r="AT47" s="4199"/>
      <c r="AU47" s="4199" t="str">
        <f>IF($AZ$45,"Bono",IF($BA$45,"",IF($BB$45,"Llamar espíritus","")))</f>
        <v/>
      </c>
      <c r="AV47" s="4382"/>
      <c r="AW47" s="1963"/>
      <c r="AX47" s="1675"/>
      <c r="AY47" s="1847">
        <f>IF(AC47="",0,VLOOKUP(AC47,Tablas!$M$1024:$N$1033,2)*VLOOKUP(W47,Tabla_CosteConjuros,3))</f>
        <v>0</v>
      </c>
      <c r="AZ47" s="4198" t="s">
        <v>8498</v>
      </c>
      <c r="BA47" s="4198"/>
      <c r="BB47" s="4198"/>
      <c r="BC47" s="4198" t="s">
        <v>8510</v>
      </c>
      <c r="BD47" s="4198"/>
      <c r="BE47" s="4198"/>
      <c r="BF47" s="4198" t="s">
        <v>8511</v>
      </c>
      <c r="BG47" s="4198"/>
      <c r="BH47" s="4198"/>
    </row>
    <row r="48" spans="1:60" ht="12" customHeight="1">
      <c r="A48" s="173"/>
      <c r="B48" s="1672"/>
      <c r="C48" s="4262"/>
      <c r="D48" s="4262"/>
      <c r="E48" s="4262"/>
      <c r="F48" s="4262"/>
      <c r="G48" s="4262"/>
      <c r="H48" s="230"/>
      <c r="I48" s="67"/>
      <c r="J48" s="4272"/>
      <c r="K48" s="4273"/>
      <c r="L48" s="4273"/>
      <c r="M48" s="4273"/>
      <c r="N48" s="4273"/>
      <c r="O48" s="4273"/>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156"/>
      <c r="X48" s="3798"/>
      <c r="Y48" s="4195"/>
      <c r="Z48" s="4195"/>
      <c r="AA48" s="4195"/>
      <c r="AB48" s="4195"/>
      <c r="AC48" s="2131" t="str">
        <f>IF(Místicos!Y48=0,"",VLOOKUP(Místicos!Y48,Tabla_Conjuros,3,FALSE))</f>
        <v/>
      </c>
      <c r="AD48" s="1847" t="str">
        <f t="shared" si="0"/>
        <v/>
      </c>
      <c r="AE48" s="4156"/>
      <c r="AF48" s="3798"/>
      <c r="AG48" s="4195"/>
      <c r="AH48" s="4195"/>
      <c r="AI48" s="4195"/>
      <c r="AJ48" s="4195"/>
      <c r="AK48" s="2129"/>
      <c r="AL48" s="2868">
        <f>IF(Místicos!AG48=0,0,VLOOKUP(Místicos!AG48,Tablas!#REF!,2,FALSE)-10)</f>
        <v>0</v>
      </c>
      <c r="AM48" s="173"/>
      <c r="AN48" s="1946"/>
      <c r="AO48" s="4174" t="str">
        <f>IF($AZ$45,AZ48,IF($BA$45,BA48,IF($BB$45,BB48,"")))</f>
        <v/>
      </c>
      <c r="AP48" s="4175"/>
      <c r="AQ48" s="4167" t="str">
        <f>IF($AZ$45,BC48,IF($BA$45,BD48,IF($BB$45,BE48,"")))</f>
        <v/>
      </c>
      <c r="AR48" s="4167"/>
      <c r="AS48" s="4167"/>
      <c r="AT48" s="4167"/>
      <c r="AU48" s="4167" t="str">
        <f t="shared" ref="AU48:AU55" si="3">IF($AZ$45,BF48,IF($BA$45,BG48,IF($BB$45,BH48,"")))</f>
        <v/>
      </c>
      <c r="AV48" s="4183"/>
      <c r="AW48" s="1963"/>
      <c r="AX48" s="1675"/>
      <c r="AY48" s="1847">
        <f>IF(AC48="",0,VLOOKUP(AC48,Tablas!$M$1024:$N$1033,2)*VLOOKUP(W48,Tabla_CosteConjuros,3))</f>
        <v>0</v>
      </c>
      <c r="AZ48" s="3136" t="s">
        <v>8760</v>
      </c>
      <c r="BA48" s="3136" t="s">
        <v>8497</v>
      </c>
      <c r="BB48" s="3136" t="s">
        <v>8493</v>
      </c>
      <c r="BC48" s="3136" t="s">
        <v>8502</v>
      </c>
      <c r="BD48" s="3136" t="s">
        <v>8525</v>
      </c>
      <c r="BE48" s="3136" t="s">
        <v>8505</v>
      </c>
      <c r="BF48" s="3136">
        <v>-40</v>
      </c>
      <c r="BG48" s="3136" t="s">
        <v>8497</v>
      </c>
      <c r="BH48" s="2858" t="s">
        <v>1766</v>
      </c>
    </row>
    <row r="49" spans="1:62" ht="12" customHeight="1">
      <c r="A49" s="173"/>
      <c r="B49" s="1672"/>
      <c r="C49" s="3310"/>
      <c r="D49" s="3310"/>
      <c r="E49" s="3310"/>
      <c r="F49" s="3310"/>
      <c r="G49" s="3310"/>
      <c r="H49" s="22"/>
      <c r="I49" s="67"/>
      <c r="J49" s="4274"/>
      <c r="K49" s="4275"/>
      <c r="L49" s="4275"/>
      <c r="M49" s="4275"/>
      <c r="N49" s="4275"/>
      <c r="O49" s="4275"/>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182"/>
      <c r="X49" s="3801"/>
      <c r="Y49" s="4196"/>
      <c r="Z49" s="4196"/>
      <c r="AA49" s="4196"/>
      <c r="AB49" s="4196"/>
      <c r="AC49" s="1597" t="str">
        <f>IF(Místicos!Y49=0,"",VLOOKUP(Místicos!Y49,Tabla_Conjuros,3,FALSE))</f>
        <v/>
      </c>
      <c r="AD49" s="1847" t="str">
        <f t="shared" si="0"/>
        <v/>
      </c>
      <c r="AE49" s="4182"/>
      <c r="AF49" s="3801"/>
      <c r="AG49" s="4196"/>
      <c r="AH49" s="4196"/>
      <c r="AI49" s="4196"/>
      <c r="AJ49" s="4196"/>
      <c r="AK49" s="2151"/>
      <c r="AL49" s="2868">
        <f>IF(Místicos!AG49=0,0,VLOOKUP(Místicos!AG49,Tablas!#REF!,2,FALSE)-10)</f>
        <v>0</v>
      </c>
      <c r="AM49" s="173"/>
      <c r="AN49" s="1946"/>
      <c r="AO49" s="4174" t="str">
        <f t="shared" ref="AO49:AO52" si="4">IF($AZ$45,AZ49,IF($BA$45,BA49,IF($BB$45,BB49,"")))</f>
        <v/>
      </c>
      <c r="AP49" s="4175"/>
      <c r="AQ49" s="4167" t="str">
        <f t="shared" ref="AQ49:AQ52" si="5">IF($AZ$45,BC49,IF($BA$45,BD49,IF($BB$45,BE49,"")))</f>
        <v/>
      </c>
      <c r="AR49" s="4167"/>
      <c r="AS49" s="4167"/>
      <c r="AT49" s="4167"/>
      <c r="AU49" s="4167" t="str">
        <f t="shared" si="3"/>
        <v/>
      </c>
      <c r="AV49" s="4183"/>
      <c r="AW49" s="1963"/>
      <c r="AX49" s="1675"/>
      <c r="AY49" s="1847">
        <f>IF(AC49="",0,VLOOKUP(AC49,Tablas!$M$1024:$N$1033,2)*VLOOKUP(W49,Tabla_CosteConjuros,3))</f>
        <v>0</v>
      </c>
      <c r="AZ49" s="3136" t="s">
        <v>8761</v>
      </c>
      <c r="BA49" s="3136" t="s">
        <v>8497</v>
      </c>
      <c r="BB49" s="3136" t="s">
        <v>8494</v>
      </c>
      <c r="BC49" s="3136" t="s">
        <v>8503</v>
      </c>
      <c r="BD49" s="3136" t="s">
        <v>8526</v>
      </c>
      <c r="BE49" s="3136" t="s">
        <v>8506</v>
      </c>
      <c r="BF49" s="3136">
        <v>-20</v>
      </c>
      <c r="BG49" s="3136" t="s">
        <v>8497</v>
      </c>
      <c r="BH49" s="2858" t="s">
        <v>8512</v>
      </c>
    </row>
    <row r="50" spans="1:62" ht="12" customHeight="1" thickBot="1">
      <c r="A50" s="173"/>
      <c r="B50" s="1672"/>
      <c r="C50" s="4262"/>
      <c r="D50" s="4262"/>
      <c r="E50" s="4262"/>
      <c r="F50" s="4262"/>
      <c r="G50" s="4262"/>
      <c r="H50" s="230"/>
      <c r="I50" s="67"/>
      <c r="J50" s="4272"/>
      <c r="K50" s="4273"/>
      <c r="L50" s="4273"/>
      <c r="M50" s="4273"/>
      <c r="N50" s="4273"/>
      <c r="O50" s="4273"/>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77"/>
      <c r="X50" s="4278"/>
      <c r="Y50" s="4276"/>
      <c r="Z50" s="4276"/>
      <c r="AA50" s="4276"/>
      <c r="AB50" s="4276"/>
      <c r="AC50" s="2132" t="str">
        <f>IF(Místicos!Y50=0,"",VLOOKUP(Místicos!Y50,Tabla_Conjuros,3,FALSE))</f>
        <v/>
      </c>
      <c r="AD50" s="1847" t="str">
        <f t="shared" si="0"/>
        <v/>
      </c>
      <c r="AE50" s="4277"/>
      <c r="AF50" s="4278"/>
      <c r="AG50" s="4276"/>
      <c r="AH50" s="4276"/>
      <c r="AI50" s="4276"/>
      <c r="AJ50" s="4276"/>
      <c r="AK50" s="2130"/>
      <c r="AL50" s="2868">
        <f>IF(Místicos!AG50=0,0,VLOOKUP(Místicos!AG50,Tablas!#REF!,2,FALSE)-10)</f>
        <v>0</v>
      </c>
      <c r="AM50" s="173"/>
      <c r="AN50" s="1946"/>
      <c r="AO50" s="4174" t="str">
        <f t="shared" si="4"/>
        <v/>
      </c>
      <c r="AP50" s="4175"/>
      <c r="AQ50" s="4167" t="str">
        <f t="shared" si="5"/>
        <v/>
      </c>
      <c r="AR50" s="4167"/>
      <c r="AS50" s="4167"/>
      <c r="AT50" s="4167"/>
      <c r="AU50" s="4167" t="str">
        <f t="shared" si="3"/>
        <v/>
      </c>
      <c r="AV50" s="4183"/>
      <c r="AW50" s="1963"/>
      <c r="AX50" s="1675"/>
      <c r="AY50" s="1847">
        <f>IF(AC50="",0,VLOOKUP(AC50,Tablas!$M$1024:$N$1033,2)*VLOOKUP(W50,Tabla_CosteConjuros,3))</f>
        <v>0</v>
      </c>
      <c r="AZ50" s="3136" t="s">
        <v>8762</v>
      </c>
      <c r="BA50" s="3136" t="s">
        <v>8497</v>
      </c>
      <c r="BB50" s="3136" t="s">
        <v>1893</v>
      </c>
      <c r="BC50" s="3136" t="s">
        <v>8504</v>
      </c>
      <c r="BD50" s="3136" t="s">
        <v>8527</v>
      </c>
      <c r="BE50" s="3136" t="s">
        <v>8507</v>
      </c>
      <c r="BF50" s="3136">
        <v>0</v>
      </c>
      <c r="BG50" s="3136" t="s">
        <v>8497</v>
      </c>
      <c r="BH50" s="2858" t="s">
        <v>8513</v>
      </c>
    </row>
    <row r="51" spans="1:62" ht="12" customHeight="1" thickBot="1">
      <c r="A51" s="173"/>
      <c r="B51" s="1672"/>
      <c r="C51" s="3310"/>
      <c r="D51" s="3310"/>
      <c r="E51" s="3310"/>
      <c r="F51" s="3310"/>
      <c r="G51" s="3310"/>
      <c r="H51" s="22"/>
      <c r="I51" s="67"/>
      <c r="J51" s="4274"/>
      <c r="K51" s="4275"/>
      <c r="L51" s="4275"/>
      <c r="M51" s="4275"/>
      <c r="N51" s="4275"/>
      <c r="O51" s="4275"/>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174" t="str">
        <f t="shared" si="4"/>
        <v/>
      </c>
      <c r="AP51" s="4175"/>
      <c r="AQ51" s="4167" t="str">
        <f t="shared" si="5"/>
        <v/>
      </c>
      <c r="AR51" s="4167"/>
      <c r="AS51" s="4167"/>
      <c r="AT51" s="4167"/>
      <c r="AU51" s="4167" t="str">
        <f t="shared" si="3"/>
        <v/>
      </c>
      <c r="AV51" s="4183"/>
      <c r="AW51" s="1963"/>
      <c r="AX51" s="1675"/>
      <c r="AY51" s="1847">
        <f>IF(AC51="",0,VLOOKUP(AC51,Tablas!$M$1024:$N$1033,2)*VLOOKUP(AA51,Tabla_CosteConjuros,3))</f>
        <v>0</v>
      </c>
      <c r="AZ51" s="3136" t="s">
        <v>8763</v>
      </c>
      <c r="BA51" s="3136" t="s">
        <v>8497</v>
      </c>
      <c r="BB51" s="3136" t="s">
        <v>8495</v>
      </c>
      <c r="BC51" s="3136" t="s">
        <v>7508</v>
      </c>
      <c r="BD51" s="3136" t="s">
        <v>8528</v>
      </c>
      <c r="BE51" s="3136" t="s">
        <v>8508</v>
      </c>
      <c r="BF51" s="3136">
        <v>20</v>
      </c>
      <c r="BG51" s="3136" t="s">
        <v>8497</v>
      </c>
      <c r="BH51" s="2858" t="s">
        <v>8513</v>
      </c>
    </row>
    <row r="52" spans="1:62" ht="12" customHeight="1" thickBot="1">
      <c r="A52" s="173"/>
      <c r="B52" s="1672"/>
      <c r="C52" s="4262"/>
      <c r="D52" s="4262"/>
      <c r="E52" s="4262"/>
      <c r="F52" s="4262"/>
      <c r="G52" s="4262"/>
      <c r="H52" s="230"/>
      <c r="I52" s="67"/>
      <c r="J52" s="4272"/>
      <c r="K52" s="4273"/>
      <c r="L52" s="4273"/>
      <c r="M52" s="4273"/>
      <c r="N52" s="4273"/>
      <c r="O52" s="4273"/>
      <c r="P52" s="1789" t="str">
        <f>IF(J52=0,"",VLOOKUP(J52,Tablas!$AA$1013:$AC$1182,2,FALSE))</f>
        <v/>
      </c>
      <c r="Q52" s="1827" t="str">
        <f>IF(J52=0,"",VLOOKUP(J52,Tablas!$AA$1013:$AC$1182,3,FALSE)*IF($P$25="Invocador",0.5,1))</f>
        <v/>
      </c>
      <c r="R52" s="67"/>
      <c r="S52" s="1679"/>
      <c r="T52" s="1468"/>
      <c r="U52" s="173"/>
      <c r="V52" s="1839"/>
      <c r="W52" s="3377" t="s">
        <v>2042</v>
      </c>
      <c r="X52" s="3378"/>
      <c r="Y52" s="3378"/>
      <c r="Z52" s="3378"/>
      <c r="AA52" s="3378"/>
      <c r="AB52" s="4281" t="s">
        <v>1861</v>
      </c>
      <c r="AC52" s="4281"/>
      <c r="AD52" s="4281"/>
      <c r="AE52" s="4281"/>
      <c r="AF52" s="4281"/>
      <c r="AG52" s="4281"/>
      <c r="AH52" s="4281"/>
      <c r="AI52" s="4281"/>
      <c r="AJ52" s="4281"/>
      <c r="AK52" s="4282"/>
      <c r="AL52" s="2863"/>
      <c r="AM52" s="173"/>
      <c r="AN52" s="1946"/>
      <c r="AO52" s="4174" t="str">
        <f t="shared" si="4"/>
        <v/>
      </c>
      <c r="AP52" s="4175"/>
      <c r="AQ52" s="4167" t="str">
        <f t="shared" si="5"/>
        <v/>
      </c>
      <c r="AR52" s="4167"/>
      <c r="AS52" s="4167"/>
      <c r="AT52" s="4167"/>
      <c r="AU52" s="4167" t="str">
        <f t="shared" si="3"/>
        <v/>
      </c>
      <c r="AV52" s="4183"/>
      <c r="AW52" s="1963"/>
      <c r="AX52" s="1675"/>
      <c r="AY52" s="1847">
        <f>IF(AC52="",0,VLOOKUP(AC52,Tablas!$M$1024:$N$1033,2)*VLOOKUP(AA52,Tabla_CosteConjuros,3))</f>
        <v>0</v>
      </c>
      <c r="AZ52" s="3136" t="s">
        <v>8764</v>
      </c>
      <c r="BA52" s="3136" t="s">
        <v>8497</v>
      </c>
      <c r="BB52" s="3136" t="s">
        <v>8496</v>
      </c>
      <c r="BC52" s="3136" t="s">
        <v>4753</v>
      </c>
      <c r="BD52" s="3136" t="s">
        <v>8529</v>
      </c>
      <c r="BE52" s="3136" t="s">
        <v>8509</v>
      </c>
      <c r="BF52" s="3136">
        <v>40</v>
      </c>
      <c r="BG52" s="3136" t="s">
        <v>8497</v>
      </c>
      <c r="BH52" s="2858" t="s">
        <v>8514</v>
      </c>
    </row>
    <row r="53" spans="1:62" ht="12" customHeight="1">
      <c r="A53" s="173"/>
      <c r="B53" s="1672"/>
      <c r="C53" s="3310"/>
      <c r="D53" s="3310"/>
      <c r="E53" s="3310"/>
      <c r="F53" s="3310"/>
      <c r="G53" s="3310"/>
      <c r="H53" s="22"/>
      <c r="I53" s="67"/>
      <c r="J53" s="4274"/>
      <c r="K53" s="4275"/>
      <c r="L53" s="4275"/>
      <c r="M53" s="4275"/>
      <c r="N53" s="4275"/>
      <c r="O53" s="4275"/>
      <c r="P53" s="1788" t="str">
        <f>IF(J53=0,"",VLOOKUP(J53,Tablas!$AA$1013:$AC$1182,2,FALSE))</f>
        <v/>
      </c>
      <c r="Q53" s="1826" t="str">
        <f>IF(J53=0,"",VLOOKUP(J53,Tablas!$AA$1013:$AC$1182,3,FALSE)*IF($P$25="Invocador",0.5,1))</f>
        <v/>
      </c>
      <c r="R53" s="67"/>
      <c r="S53" s="1679"/>
      <c r="T53" s="1468"/>
      <c r="U53" s="173"/>
      <c r="V53" s="1839"/>
      <c r="W53" s="4286" t="str">
        <f>IF(SUM(Tablas!P1111:S1152)=0,"",IF(Tablas!A1&gt;MAX(Tablas!$P$1111:$P$1152),"",VLOOKUP(Tablas!A1,Tablas!$P$1111:$T$1152,2,FALSE)))</f>
        <v/>
      </c>
      <c r="X53" s="3997"/>
      <c r="Y53" s="3997"/>
      <c r="Z53" s="3997"/>
      <c r="AA53" s="3997"/>
      <c r="AB53" s="3984" t="str">
        <f>IF(SUM(Tablas!$P$1111:$P$1152)=0,"",IF(Tablas!A1&gt;MAX(Tablas!$P$1111:$P$1152),"",VLOOKUP(Tablas!A1,Tablas!$P$1111:$T$1152,4,FALSE)))</f>
        <v/>
      </c>
      <c r="AC53" s="4287"/>
      <c r="AD53" s="4287"/>
      <c r="AE53" s="4287"/>
      <c r="AF53" s="4287"/>
      <c r="AG53" s="4287"/>
      <c r="AH53" s="4287"/>
      <c r="AI53" s="4287"/>
      <c r="AJ53" s="4287"/>
      <c r="AK53" s="4288"/>
      <c r="AL53" s="2863"/>
      <c r="AM53" s="173"/>
      <c r="AN53" s="1946"/>
      <c r="AO53" s="4174" t="str">
        <f>IF($AZ$45,AZ53,IF($BA$45,BA53,IF($BB$45,BB53,"")))</f>
        <v/>
      </c>
      <c r="AP53" s="4175"/>
      <c r="AQ53" s="4167" t="str">
        <f>IF($AZ$45,BC53,IF($BA$45,BD53,IF($BB$45,BE53,"")))</f>
        <v/>
      </c>
      <c r="AR53" s="4167"/>
      <c r="AS53" s="4167"/>
      <c r="AT53" s="4167"/>
      <c r="AU53" s="4167" t="str">
        <f t="shared" si="3"/>
        <v/>
      </c>
      <c r="AV53" s="4183"/>
      <c r="AW53" s="1963"/>
      <c r="AX53" s="1675"/>
      <c r="AY53" s="1847">
        <f>IF(AC53="",0,VLOOKUP(AC53,Tablas!$M$1024:$N$1033,2)*VLOOKUP(AA53,Tabla_CosteConjuros,3))</f>
        <v>0</v>
      </c>
      <c r="AZ53" s="3136" t="s">
        <v>8765</v>
      </c>
      <c r="BA53" s="3136" t="s">
        <v>8497</v>
      </c>
      <c r="BB53" s="3136" t="s">
        <v>8497</v>
      </c>
      <c r="BC53" s="3136" t="s">
        <v>4754</v>
      </c>
      <c r="BD53" s="3136" t="s">
        <v>8530</v>
      </c>
      <c r="BE53" s="3136" t="s">
        <v>8497</v>
      </c>
      <c r="BF53" s="3136">
        <v>80</v>
      </c>
      <c r="BG53" s="3136" t="s">
        <v>8497</v>
      </c>
      <c r="BH53" s="2858" t="s">
        <v>8497</v>
      </c>
    </row>
    <row r="54" spans="1:62" ht="12" customHeight="1" thickBot="1">
      <c r="A54" s="173"/>
      <c r="B54" s="1672"/>
      <c r="C54" s="4262"/>
      <c r="D54" s="4262"/>
      <c r="E54" s="4262"/>
      <c r="F54" s="4262"/>
      <c r="G54" s="4262"/>
      <c r="H54" s="230"/>
      <c r="I54" s="67"/>
      <c r="J54" s="4272"/>
      <c r="K54" s="4273"/>
      <c r="L54" s="4273"/>
      <c r="M54" s="4273"/>
      <c r="N54" s="4273"/>
      <c r="O54" s="4273"/>
      <c r="P54" s="1789" t="str">
        <f>IF(J54=0,"",VLOOKUP(J54,Tablas!$AA$1013:$AC$1182,2,FALSE))</f>
        <v/>
      </c>
      <c r="Q54" s="1827" t="str">
        <f>IF(J54=0,"",VLOOKUP(J54,Tablas!$AA$1013:$AC$1182,3,FALSE)*IF($P$25="Invocador",0.5,1))</f>
        <v/>
      </c>
      <c r="R54" s="67"/>
      <c r="S54" s="1679"/>
      <c r="T54" s="1468"/>
      <c r="U54" s="173"/>
      <c r="V54" s="1839"/>
      <c r="W54" s="4279" t="str">
        <f>IF(SUM(Tablas!$P$1111:$P$1152)=0,"",IF(Tablas!A2&gt;MAX(Tablas!$P$1111:$P$1152),"",VLOOKUP(Tablas!A2,Tablas!$P$1111:$T$1152,2,FALSE)))</f>
        <v/>
      </c>
      <c r="X54" s="3987"/>
      <c r="Y54" s="3987"/>
      <c r="Z54" s="3987"/>
      <c r="AA54" s="3987"/>
      <c r="AB54" s="3477" t="str">
        <f>IF(SUM(Tablas!$P$1111:$P$1152)=0,"",IF(Tablas!A2&gt;MAX(Tablas!$P$1111:$P$1152),"",VLOOKUP(Tablas!A2,Tablas!$P$1111:$T$1152,4,FALSE)))</f>
        <v/>
      </c>
      <c r="AC54" s="3478"/>
      <c r="AD54" s="3478"/>
      <c r="AE54" s="3478"/>
      <c r="AF54" s="3478"/>
      <c r="AG54" s="3478"/>
      <c r="AH54" s="3478"/>
      <c r="AI54" s="3478"/>
      <c r="AJ54" s="3478"/>
      <c r="AK54" s="4280"/>
      <c r="AL54" s="2863"/>
      <c r="AM54" s="173"/>
      <c r="AN54" s="1946"/>
      <c r="AO54" s="4171" t="str">
        <f>IF($AZ$45,AZ54,IF($BA$45,BA54,IF($BB$45,BB54,"")))</f>
        <v/>
      </c>
      <c r="AP54" s="4172"/>
      <c r="AQ54" s="4173" t="str">
        <f>IF($AZ$45,BC54,IF($BA$45,BD54,IF($BB$45,BE54,"")))</f>
        <v/>
      </c>
      <c r="AR54" s="4173"/>
      <c r="AS54" s="4173"/>
      <c r="AT54" s="4173"/>
      <c r="AU54" s="4173" t="str">
        <f t="shared" si="3"/>
        <v/>
      </c>
      <c r="AV54" s="4363"/>
      <c r="AW54" s="1963"/>
      <c r="AX54" s="1675"/>
      <c r="AY54" s="1847">
        <f>IF(AC54="",0,VLOOKUP(AC54,Tablas!$M$1024:$N$1033,2)*VLOOKUP(AA54,Tabla_CosteConjuros,3))</f>
        <v>0</v>
      </c>
      <c r="AZ54" s="3136" t="s">
        <v>8766</v>
      </c>
      <c r="BA54" s="3136" t="s">
        <v>8497</v>
      </c>
      <c r="BB54" s="3136" t="s">
        <v>8497</v>
      </c>
      <c r="BC54" s="3136" t="s">
        <v>4755</v>
      </c>
      <c r="BD54" s="3136" t="s">
        <v>8531</v>
      </c>
      <c r="BE54" s="3136"/>
      <c r="BF54" s="3136">
        <v>120</v>
      </c>
      <c r="BG54" s="3136" t="s">
        <v>8497</v>
      </c>
      <c r="BH54" s="2858" t="s">
        <v>8497</v>
      </c>
    </row>
    <row r="55" spans="1:62" ht="12" customHeight="1">
      <c r="A55" s="173"/>
      <c r="B55" s="1672"/>
      <c r="C55" s="3310"/>
      <c r="D55" s="3310"/>
      <c r="E55" s="3310"/>
      <c r="F55" s="3310"/>
      <c r="G55" s="3310"/>
      <c r="H55" s="22"/>
      <c r="J55" s="4274"/>
      <c r="K55" s="4275"/>
      <c r="L55" s="4275"/>
      <c r="M55" s="4275"/>
      <c r="N55" s="4275"/>
      <c r="O55" s="4275"/>
      <c r="P55" s="1788" t="str">
        <f>IF(J55=0,"",VLOOKUP(J55,Tablas!$AA$1013:$AC$1182,2,FALSE))</f>
        <v/>
      </c>
      <c r="Q55" s="1826" t="str">
        <f>IF(J55=0,"",VLOOKUP(J55,Tablas!$AA$1013:$AC$1182,3,FALSE)*IF($P$25="Invocador",0.5,1))</f>
        <v/>
      </c>
      <c r="R55" s="67"/>
      <c r="S55" s="1679"/>
      <c r="T55" s="1468"/>
      <c r="U55" s="173"/>
      <c r="V55" s="1839"/>
      <c r="W55" s="4283" t="str">
        <f>IF(SUM(Tablas!$P$1111:$P$1152)=0,"",IF(Tablas!A3&gt;MAX(Tablas!$P$1111:$P$1152),"",VLOOKUP(Tablas!A3,Tablas!$P$1111:$T$1152,2,FALSE)))</f>
        <v/>
      </c>
      <c r="X55" s="4284"/>
      <c r="Y55" s="4284"/>
      <c r="Z55" s="4284"/>
      <c r="AA55" s="4285"/>
      <c r="AB55" s="3477" t="str">
        <f>IF(SUM(Tablas!$P$1111:$P$1152)=0,"",IF(Tablas!A3&gt;MAX(Tablas!$P$1111:$P$1152),"",VLOOKUP(Tablas!A3,Tablas!$P$1111:$T$1152,4,FALSE)))</f>
        <v/>
      </c>
      <c r="AC55" s="3478"/>
      <c r="AD55" s="3478"/>
      <c r="AE55" s="3478"/>
      <c r="AF55" s="3478"/>
      <c r="AG55" s="3478"/>
      <c r="AH55" s="3478"/>
      <c r="AI55" s="3478"/>
      <c r="AJ55" s="3478"/>
      <c r="AK55" s="4280"/>
      <c r="AL55" s="2863"/>
      <c r="AM55" s="173"/>
      <c r="AN55" s="1946"/>
      <c r="AO55" s="4379" t="str">
        <f>IF($AZ$45,AZ55,IF($BA$45,BA55,IF($BB$45,BB55,"")))</f>
        <v/>
      </c>
      <c r="AP55" s="4380"/>
      <c r="AQ55" s="4168" t="str">
        <f>IF($AZ$45,BC55,IF($BA$45,BD55,IF($BB$45,BE55,"")))</f>
        <v/>
      </c>
      <c r="AR55" s="4169"/>
      <c r="AS55" s="4169"/>
      <c r="AT55" s="4170"/>
      <c r="AU55" s="4168" t="str">
        <f t="shared" si="3"/>
        <v/>
      </c>
      <c r="AV55" s="4362"/>
      <c r="AW55" s="1963"/>
      <c r="AX55" s="1675"/>
      <c r="AY55" s="1847">
        <f>IF(AC55="",0,VLOOKUP(AC55,Tablas!$M$1024:$N$1033,2)*VLOOKUP(AA55,Tabla_CosteConjuros,3))</f>
        <v>0</v>
      </c>
      <c r="AZ55" s="3136" t="s">
        <v>3226</v>
      </c>
      <c r="BA55" s="3136" t="s">
        <v>8497</v>
      </c>
      <c r="BB55" s="3136" t="s">
        <v>8497</v>
      </c>
      <c r="BC55" s="3136" t="s">
        <v>8497</v>
      </c>
      <c r="BD55" s="3136" t="s">
        <v>8497</v>
      </c>
      <c r="BE55" s="3136" t="s">
        <v>8515</v>
      </c>
      <c r="BF55" s="3136" t="s">
        <v>8497</v>
      </c>
      <c r="BG55" s="3136" t="s">
        <v>8497</v>
      </c>
      <c r="BH55" s="2858" t="s">
        <v>8497</v>
      </c>
      <c r="BI55" s="2858" t="s">
        <v>8497</v>
      </c>
    </row>
    <row r="56" spans="1:62" ht="12" customHeight="1">
      <c r="A56" s="173"/>
      <c r="B56" s="1672"/>
      <c r="C56" s="4262"/>
      <c r="D56" s="4262"/>
      <c r="E56" s="4262"/>
      <c r="F56" s="4262"/>
      <c r="G56" s="4262"/>
      <c r="H56" s="230"/>
      <c r="J56" s="4272"/>
      <c r="K56" s="4273"/>
      <c r="L56" s="4273"/>
      <c r="M56" s="4273"/>
      <c r="N56" s="4273"/>
      <c r="O56" s="4273"/>
      <c r="P56" s="1850" t="str">
        <f>IF(J56=0,"",VLOOKUP(J56,Tablas!$AA$1013:$AC$1182,2,FALSE))</f>
        <v/>
      </c>
      <c r="Q56" s="1827" t="str">
        <f>IF(J56=0,"",VLOOKUP(J56,Tablas!$AA$1013:$AC$1182,3,FALSE)*IF($P$25="Invocador",0.5,1))</f>
        <v/>
      </c>
      <c r="R56" s="67"/>
      <c r="S56" s="1679"/>
      <c r="T56" s="1468"/>
      <c r="U56" s="173"/>
      <c r="V56" s="1839"/>
      <c r="W56" s="4283" t="str">
        <f>IF(SUM(Tablas!$P$1111:$P$1152)=0,"",IF(Tablas!A4&gt;MAX(Tablas!$P$1111:$P$1152),"",VLOOKUP(Tablas!A4,Tablas!$P$1111:$T$1152,2,FALSE)))</f>
        <v/>
      </c>
      <c r="X56" s="4284"/>
      <c r="Y56" s="4284"/>
      <c r="Z56" s="4284"/>
      <c r="AA56" s="4285"/>
      <c r="AB56" s="3477" t="str">
        <f>IF(SUM(Tablas!$P$1111:$P$1152)=0,"",IF(Tablas!A4&gt;MAX(Tablas!$P$1111:$P$1152),"",VLOOKUP(Tablas!A4,Tablas!$P$1111:$T$1152,4,FALSE)))</f>
        <v/>
      </c>
      <c r="AC56" s="3478"/>
      <c r="AD56" s="3478"/>
      <c r="AE56" s="3478"/>
      <c r="AF56" s="3478"/>
      <c r="AG56" s="3478"/>
      <c r="AH56" s="3478"/>
      <c r="AI56" s="3478"/>
      <c r="AJ56" s="3478"/>
      <c r="AK56" s="4280"/>
      <c r="AL56" s="2863"/>
      <c r="AM56" s="173"/>
      <c r="AN56" s="1946"/>
      <c r="AO56" s="4163" t="str">
        <f t="shared" ref="AO56" si="6">IF($AZ$45,AZ56,IF($BA$45,BA56,IF($BB$45,BB56,"")))</f>
        <v/>
      </c>
      <c r="AP56" s="4164"/>
      <c r="AQ56" s="4370" t="str">
        <f>IF($AZ$45,BC56,IF($BA$45,BD56,IF($BB$45,BE56,"")))</f>
        <v/>
      </c>
      <c r="AR56" s="4371"/>
      <c r="AS56" s="4371"/>
      <c r="AT56" s="4371"/>
      <c r="AU56" s="4371"/>
      <c r="AV56" s="4372"/>
      <c r="AW56" s="1963"/>
      <c r="AX56" s="1675"/>
      <c r="AZ56" s="3136" t="s">
        <v>8497</v>
      </c>
      <c r="BA56" s="3136" t="s">
        <v>8497</v>
      </c>
      <c r="BB56" s="3136" t="s">
        <v>8516</v>
      </c>
      <c r="BC56" s="3136" t="s">
        <v>8497</v>
      </c>
      <c r="BD56" s="3136" t="s">
        <v>8523</v>
      </c>
      <c r="BE56" s="3136" t="s">
        <v>8519</v>
      </c>
      <c r="BF56" s="3136" t="s">
        <v>8497</v>
      </c>
      <c r="BG56" s="3136" t="s">
        <v>8497</v>
      </c>
      <c r="BH56" s="2858" t="s">
        <v>8497</v>
      </c>
      <c r="BI56" s="2858" t="s">
        <v>8497</v>
      </c>
      <c r="BJ56" s="2858" t="s">
        <v>8497</v>
      </c>
    </row>
    <row r="57" spans="1:62" ht="12" customHeight="1">
      <c r="A57" s="173"/>
      <c r="B57" s="1672"/>
      <c r="C57" s="3310"/>
      <c r="D57" s="3310"/>
      <c r="E57" s="3310"/>
      <c r="F57" s="3310"/>
      <c r="G57" s="3310"/>
      <c r="H57" s="22"/>
      <c r="J57" s="4274"/>
      <c r="K57" s="4275"/>
      <c r="L57" s="4275"/>
      <c r="M57" s="4275"/>
      <c r="N57" s="4275"/>
      <c r="O57" s="4275"/>
      <c r="P57" s="1788" t="str">
        <f>IF(J57=0,"",VLOOKUP(J57,Tablas!$AA$1013:$AC$1182,2,FALSE))</f>
        <v/>
      </c>
      <c r="Q57" s="1826" t="str">
        <f>IF(J57=0,"",VLOOKUP(J57,Tablas!$AA$1013:$AC$1182,3,FALSE)*IF($P$25="Invocador",0.5,1))</f>
        <v/>
      </c>
      <c r="R57" s="67"/>
      <c r="S57" s="1679"/>
      <c r="T57" s="1468"/>
      <c r="U57" s="173"/>
      <c r="V57" s="1839"/>
      <c r="W57" s="4283" t="str">
        <f>IF(SUM(Tablas!$P$1111:$P$1152)=0,"",IF(Tablas!A5&gt;MAX(Tablas!$P$1111:$P$1152),"",VLOOKUP(Tablas!A5,Tablas!$P$1111:$T$1152,2,FALSE)))</f>
        <v/>
      </c>
      <c r="X57" s="4284"/>
      <c r="Y57" s="4284"/>
      <c r="Z57" s="4284"/>
      <c r="AA57" s="4285"/>
      <c r="AB57" s="3477" t="str">
        <f>IF(SUM(Tablas!$P$1111:$P$1152)=0,"",IF(Tablas!A5&gt;MAX(Tablas!$P$1111:$P$1152),"",VLOOKUP(Tablas!A5,Tablas!$P$1111:$T$1152,4,FALSE)))</f>
        <v/>
      </c>
      <c r="AC57" s="3478"/>
      <c r="AD57" s="3478"/>
      <c r="AE57" s="3478"/>
      <c r="AF57" s="3478"/>
      <c r="AG57" s="3478"/>
      <c r="AH57" s="3478"/>
      <c r="AI57" s="3478"/>
      <c r="AJ57" s="3478"/>
      <c r="AK57" s="4280"/>
      <c r="AL57" s="2863"/>
      <c r="AM57" s="173"/>
      <c r="AN57" s="1946"/>
      <c r="AO57" s="4366" t="str">
        <f>IF($AZ$45,AZ57,IF($BA$45,BA57,IF($BB$45,BB57,"")))</f>
        <v/>
      </c>
      <c r="AP57" s="4367"/>
      <c r="AQ57" s="4373" t="str">
        <f t="shared" ref="AQ57:AQ58" si="7">IF($AZ$45,BC57,IF($BA$45,BD57,IF($BB$45,BE57,"")))</f>
        <v/>
      </c>
      <c r="AR57" s="4374"/>
      <c r="AS57" s="4374"/>
      <c r="AT57" s="4374"/>
      <c r="AU57" s="4374"/>
      <c r="AV57" s="4375"/>
      <c r="AW57" s="1963"/>
      <c r="AX57" s="1675"/>
      <c r="AZ57" s="3136" t="s">
        <v>8497</v>
      </c>
      <c r="BA57" s="3136" t="s">
        <v>8497</v>
      </c>
      <c r="BB57" s="1676" t="s">
        <v>8517</v>
      </c>
      <c r="BC57" s="3136" t="s">
        <v>8497</v>
      </c>
      <c r="BD57" s="3136" t="s">
        <v>8521</v>
      </c>
      <c r="BE57" s="1676" t="s">
        <v>1766</v>
      </c>
      <c r="BF57" s="3136" t="s">
        <v>8497</v>
      </c>
      <c r="BG57" s="3136" t="s">
        <v>8497</v>
      </c>
      <c r="BI57" s="2858" t="s">
        <v>8497</v>
      </c>
      <c r="BJ57" s="2858" t="s">
        <v>8497</v>
      </c>
    </row>
    <row r="58" spans="1:62" ht="12" customHeight="1" thickBot="1">
      <c r="A58" s="173"/>
      <c r="B58" s="1672"/>
      <c r="C58" s="4262"/>
      <c r="D58" s="4262"/>
      <c r="E58" s="4262"/>
      <c r="F58" s="4262"/>
      <c r="G58" s="4262"/>
      <c r="H58" s="230"/>
      <c r="J58" s="4272"/>
      <c r="K58" s="4273"/>
      <c r="L58" s="4273"/>
      <c r="M58" s="4273"/>
      <c r="N58" s="4273"/>
      <c r="O58" s="4273"/>
      <c r="P58" s="1789" t="str">
        <f>IF(J58=0,"",VLOOKUP(J58,Tablas!$AA$1013:$AC$1182,2,FALSE))</f>
        <v/>
      </c>
      <c r="Q58" s="1827" t="str">
        <f>IF(J58=0,"",VLOOKUP(J58,Tablas!$AA$1013:$AC$1182,3,FALSE)*IF($P$25="Invocador",0.5,1))</f>
        <v/>
      </c>
      <c r="R58" s="67"/>
      <c r="S58" s="1679"/>
      <c r="T58" s="1468"/>
      <c r="U58" s="173"/>
      <c r="V58" s="1839"/>
      <c r="W58" s="4283" t="str">
        <f>IF(SUM(Tablas!$P$1111:$P$1152)=0,"",IF(Tablas!A6&gt;MAX(Tablas!$P$1111:$P$1152),"",VLOOKUP(Tablas!A6,Tablas!$P$1111:$T$1152,2,FALSE)))</f>
        <v/>
      </c>
      <c r="X58" s="4284"/>
      <c r="Y58" s="4284"/>
      <c r="Z58" s="4284"/>
      <c r="AA58" s="4285"/>
      <c r="AB58" s="3477" t="str">
        <f>IF(SUM(Tablas!$P$1111:$P$1152)=0,"",IF(Tablas!A6&gt;MAX(Tablas!$P$1111:$P$1152),"",VLOOKUP(Tablas!A6,Tablas!$P$1111:$T$1152,4,FALSE)))</f>
        <v/>
      </c>
      <c r="AC58" s="3478"/>
      <c r="AD58" s="3478"/>
      <c r="AE58" s="3478"/>
      <c r="AF58" s="3478"/>
      <c r="AG58" s="3478"/>
      <c r="AH58" s="3478"/>
      <c r="AI58" s="3478"/>
      <c r="AJ58" s="3478"/>
      <c r="AK58" s="4280"/>
      <c r="AL58" s="2863"/>
      <c r="AM58" s="173"/>
      <c r="AN58" s="1946"/>
      <c r="AO58" s="4368" t="str">
        <f t="shared" ref="AO58" si="8">IF($AZ$45,AZ58,IF($BA$45,BA58,IF($BB$45,BB58,"")))</f>
        <v/>
      </c>
      <c r="AP58" s="4369"/>
      <c r="AQ58" s="4376" t="str">
        <f t="shared" si="7"/>
        <v/>
      </c>
      <c r="AR58" s="4377"/>
      <c r="AS58" s="4377"/>
      <c r="AT58" s="4377"/>
      <c r="AU58" s="4377"/>
      <c r="AV58" s="4378"/>
      <c r="AW58" s="1963"/>
      <c r="AX58" s="1675"/>
      <c r="BB58" s="1676" t="s">
        <v>8518</v>
      </c>
      <c r="BC58" s="3136" t="s">
        <v>8497</v>
      </c>
      <c r="BD58" s="3136" t="s">
        <v>8522</v>
      </c>
      <c r="BE58" s="1676" t="s">
        <v>8520</v>
      </c>
      <c r="BF58" s="3136" t="s">
        <v>8497</v>
      </c>
      <c r="BG58" s="3136" t="s">
        <v>8497</v>
      </c>
    </row>
    <row r="59" spans="1:62" ht="12" customHeight="1" thickBot="1">
      <c r="A59" s="173"/>
      <c r="B59" s="1672"/>
      <c r="C59" s="3547" t="s">
        <v>2039</v>
      </c>
      <c r="D59" s="3547"/>
      <c r="E59" s="3547"/>
      <c r="F59" s="3547"/>
      <c r="G59" s="3547"/>
      <c r="H59" s="231">
        <f>SUM(H33:H58)+IF(Sheele!$F$5="No",0,Sheele!$U$5)</f>
        <v>0</v>
      </c>
      <c r="J59" s="4317" t="str">
        <f>IF(Tablas!X21,IF(AND(22-COUNTBLANK(P33:P58)&gt;VLOOKUP(Nivel_Sobrenatural,Tablas!$S$9:$X$12,6,FALSE)),"Número inicial de invocaciones excesivo. ","")&amp;IF(P25="Invocador","Costes de las invocaciones ya reducidos",""),"")</f>
        <v/>
      </c>
      <c r="K59" s="4318"/>
      <c r="L59" s="4318"/>
      <c r="M59" s="4318"/>
      <c r="N59" s="4318"/>
      <c r="O59" s="4318"/>
      <c r="P59" s="4318"/>
      <c r="Q59" s="4319"/>
      <c r="R59" s="67"/>
      <c r="S59" s="1679"/>
      <c r="T59" s="1468"/>
      <c r="U59" s="173"/>
      <c r="V59" s="1839"/>
      <c r="W59" s="4283" t="str">
        <f>IF(SUM(Tablas!$P$1111:$P$1152)=0,"",IF(Tablas!A7&gt;MAX(Tablas!$P$1111:$P$1152),"",VLOOKUP(Tablas!A7,Tablas!$P$1111:$T$1152,2,FALSE)))</f>
        <v/>
      </c>
      <c r="X59" s="4284"/>
      <c r="Y59" s="4284"/>
      <c r="Z59" s="4284"/>
      <c r="AA59" s="4285"/>
      <c r="AB59" s="3477" t="str">
        <f>IF(SUM(Tablas!$P$1111:$P$1152)=0,"",IF(Tablas!A7&gt;MAX(Tablas!$P$1111:$P$1152),"",VLOOKUP(Tablas!A7,Tablas!$P$1111:$T$1152,4,FALSE)))</f>
        <v/>
      </c>
      <c r="AC59" s="3478"/>
      <c r="AD59" s="3478"/>
      <c r="AE59" s="3478"/>
      <c r="AF59" s="3478"/>
      <c r="AG59" s="3478"/>
      <c r="AH59" s="3478"/>
      <c r="AI59" s="3478"/>
      <c r="AJ59" s="3478"/>
      <c r="AK59" s="4280"/>
      <c r="AL59" s="2863"/>
      <c r="AM59" s="173"/>
      <c r="AN59" s="1946"/>
      <c r="AW59" s="1963"/>
      <c r="AX59" s="1675"/>
    </row>
    <row r="60" spans="1:62" ht="12" customHeight="1" thickBot="1">
      <c r="A60" s="173"/>
      <c r="B60" s="1672"/>
      <c r="R60" s="67"/>
      <c r="S60" s="1679"/>
      <c r="T60" s="1468"/>
      <c r="U60" s="173"/>
      <c r="V60" s="1839"/>
      <c r="W60" s="4283" t="str">
        <f>IF(SUM(Tablas!$P$1111:$P$1152)=0,"",IF(Tablas!A8&gt;MAX(Tablas!$P$1111:$P$1152),"",VLOOKUP(Tablas!A8,Tablas!$P$1111:$T$1152,2,FALSE)))</f>
        <v/>
      </c>
      <c r="X60" s="4284"/>
      <c r="Y60" s="4284"/>
      <c r="Z60" s="4284"/>
      <c r="AA60" s="4285"/>
      <c r="AB60" s="3477" t="str">
        <f>IF(SUM(Tablas!$P$1111:$P$1152)=0,"",IF(Tablas!A8&gt;MAX(Tablas!$P$1111:$P$1152),"",VLOOKUP(Tablas!A8,Tablas!$P$1111:$T$1152,4,FALSE)))</f>
        <v/>
      </c>
      <c r="AC60" s="3478"/>
      <c r="AD60" s="3478"/>
      <c r="AE60" s="3478"/>
      <c r="AF60" s="3478"/>
      <c r="AG60" s="3478"/>
      <c r="AH60" s="3478"/>
      <c r="AI60" s="3478"/>
      <c r="AJ60" s="3478"/>
      <c r="AK60" s="4280"/>
      <c r="AL60" s="2863"/>
      <c r="AM60" s="173"/>
      <c r="AN60" s="1946"/>
      <c r="AO60" s="4346" t="s">
        <v>8481</v>
      </c>
      <c r="AP60" s="4347"/>
      <c r="AQ60" s="4347"/>
      <c r="AR60" s="4347"/>
      <c r="AS60" s="4347"/>
      <c r="AT60" s="4347"/>
      <c r="AU60" s="4347"/>
      <c r="AV60" s="4348"/>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c r="A61" s="173"/>
      <c r="B61" s="1672"/>
      <c r="C61" s="3281" t="s">
        <v>2040</v>
      </c>
      <c r="D61" s="3281"/>
      <c r="E61" s="3281"/>
      <c r="F61" s="3281"/>
      <c r="G61" s="3281"/>
      <c r="H61" s="3281"/>
      <c r="I61" s="67"/>
      <c r="J61" s="4218" t="s">
        <v>2041</v>
      </c>
      <c r="K61" s="4218"/>
      <c r="L61" s="4218"/>
      <c r="M61" s="4301" t="s">
        <v>1823</v>
      </c>
      <c r="N61" s="4301"/>
      <c r="O61" s="4301"/>
      <c r="P61" s="4301"/>
      <c r="Q61" s="4301"/>
      <c r="R61" s="67"/>
      <c r="S61" s="1679"/>
      <c r="T61" s="1468"/>
      <c r="U61" s="173"/>
      <c r="V61" s="1839"/>
      <c r="W61" s="4283" t="str">
        <f>IF(SUM(Tablas!$P$1111:$P$1152)=0,"",IF(Tablas!A9&gt;MAX(Tablas!$P$1111:$P$1152),"",VLOOKUP(Tablas!A9,Tablas!$P$1111:$T$1152,2,FALSE)))</f>
        <v/>
      </c>
      <c r="X61" s="4284"/>
      <c r="Y61" s="4284"/>
      <c r="Z61" s="4284"/>
      <c r="AA61" s="4285"/>
      <c r="AB61" s="4298" t="str">
        <f>IF(SUM(Tablas!$P$1111:$P$1152)=0,"",IF(Tablas!A9&gt;MAX(Tablas!$P$1111:$P$1152),"",VLOOKUP(Tablas!A9,Tablas!$P$1111:$T$1152,4,FALSE)))</f>
        <v/>
      </c>
      <c r="AC61" s="4299"/>
      <c r="AD61" s="4299"/>
      <c r="AE61" s="4299"/>
      <c r="AF61" s="4299"/>
      <c r="AG61" s="4299"/>
      <c r="AH61" s="4299"/>
      <c r="AI61" s="4299"/>
      <c r="AJ61" s="4299"/>
      <c r="AK61" s="4300"/>
      <c r="AL61" s="2863"/>
      <c r="AM61" s="173"/>
      <c r="AN61" s="1946"/>
      <c r="AO61" s="4386" t="s">
        <v>2014</v>
      </c>
      <c r="AP61" s="4387"/>
      <c r="AQ61" s="4387" t="s">
        <v>2013</v>
      </c>
      <c r="AR61" s="4387"/>
      <c r="AS61" s="4387"/>
      <c r="AT61" s="2197"/>
      <c r="AU61" s="1939" t="s">
        <v>8482</v>
      </c>
      <c r="AV61" s="1938" t="s">
        <v>3099</v>
      </c>
      <c r="AW61" s="1963"/>
      <c r="AX61" s="1675"/>
    </row>
    <row r="62" spans="1:62" ht="12" customHeight="1">
      <c r="A62" s="173"/>
      <c r="B62" s="1672"/>
      <c r="C62" s="4295" t="s">
        <v>2043</v>
      </c>
      <c r="D62" s="4295"/>
      <c r="E62" s="233" t="s">
        <v>1676</v>
      </c>
      <c r="F62" s="4296" t="s">
        <v>2044</v>
      </c>
      <c r="G62" s="4296"/>
      <c r="H62" s="4296"/>
      <c r="I62" s="67"/>
      <c r="J62" s="234">
        <v>20</v>
      </c>
      <c r="K62" s="4291" t="s">
        <v>2045</v>
      </c>
      <c r="L62" s="4291"/>
      <c r="M62" s="4297" t="s">
        <v>2046</v>
      </c>
      <c r="N62" s="4297"/>
      <c r="O62" s="4297"/>
      <c r="P62" s="4297"/>
      <c r="Q62" s="4297"/>
      <c r="R62" s="67"/>
      <c r="S62" s="1679"/>
      <c r="T62" s="1468"/>
      <c r="U62" s="173"/>
      <c r="V62" s="1839"/>
      <c r="W62" s="4283" t="str">
        <f>IF(SUM(Tablas!$P$1111:$P$1152)=0,"",IF(Tablas!A10&gt;MAX(Tablas!$P$1111:$P$1152),"",VLOOKUP(Tablas!A10,Tablas!$P$1111:$T$1152,2,FALSE)))</f>
        <v/>
      </c>
      <c r="X62" s="4284"/>
      <c r="Y62" s="4284"/>
      <c r="Z62" s="4284"/>
      <c r="AA62" s="4285"/>
      <c r="AB62" s="4298" t="str">
        <f>IF(SUM(Tablas!$P$1111:$P$1152)=0,"",IF(Tablas!A10&gt;MAX(Tablas!$P$1111:$P$1152),"",VLOOKUP(Tablas!A10,Tablas!$P$1111:$T$1152,4,FALSE)))</f>
        <v/>
      </c>
      <c r="AC62" s="4299"/>
      <c r="AD62" s="4299"/>
      <c r="AE62" s="4299"/>
      <c r="AF62" s="4299"/>
      <c r="AG62" s="4299"/>
      <c r="AH62" s="4299"/>
      <c r="AI62" s="4299"/>
      <c r="AJ62" s="4299"/>
      <c r="AK62" s="4300"/>
      <c r="AL62" s="2863"/>
      <c r="AM62" s="173"/>
      <c r="AN62" s="2196" t="str">
        <f>"Conjuros"&amp;IF(AO62="","","_"&amp;AO62)</f>
        <v>Conjuros</v>
      </c>
      <c r="AO62" s="4395"/>
      <c r="AP62" s="4396"/>
      <c r="AQ62" s="4397"/>
      <c r="AR62" s="4397"/>
      <c r="AS62" s="4397"/>
      <c r="AT62" s="4398"/>
      <c r="AU62" s="1897"/>
      <c r="AV62" s="1941">
        <f>IF(AQ62="",0,AU62*VLOOKUP(AQ62,'Tablas Magia'!$D$6:$Z$680,11,FALSE)/2)</f>
        <v>0</v>
      </c>
      <c r="AW62" s="1963"/>
      <c r="AX62" s="1675"/>
      <c r="BD62" s="3136"/>
    </row>
    <row r="63" spans="1:62" ht="12" customHeight="1">
      <c r="A63" s="173"/>
      <c r="B63" s="1672"/>
      <c r="C63" s="4292" t="s">
        <v>2047</v>
      </c>
      <c r="D63" s="4292"/>
      <c r="E63" s="235">
        <v>-100</v>
      </c>
      <c r="F63" s="4293" t="s">
        <v>2048</v>
      </c>
      <c r="G63" s="4293"/>
      <c r="H63" s="4294">
        <v>20</v>
      </c>
      <c r="I63" s="67"/>
      <c r="J63" s="234">
        <v>40</v>
      </c>
      <c r="K63" s="4291" t="s">
        <v>2049</v>
      </c>
      <c r="L63" s="4291"/>
      <c r="M63" s="4289" t="s">
        <v>2050</v>
      </c>
      <c r="N63" s="4289"/>
      <c r="O63" s="4289"/>
      <c r="P63" s="4289"/>
      <c r="Q63" s="4289"/>
      <c r="R63" s="67"/>
      <c r="S63" s="1679"/>
      <c r="T63" s="1468"/>
      <c r="U63" s="173"/>
      <c r="V63" s="1839"/>
      <c r="W63" s="4283" t="str">
        <f>IF(SUM(Tablas!$P$1111:$P$1152)=0,"",IF(Tablas!A11&gt;MAX(Tablas!$P$1111:$P$1152),"",VLOOKUP(Tablas!A11,Tablas!$P$1111:$T$1152,2,FALSE)))</f>
        <v/>
      </c>
      <c r="X63" s="4284"/>
      <c r="Y63" s="4284"/>
      <c r="Z63" s="4284"/>
      <c r="AA63" s="4285"/>
      <c r="AB63" s="4298" t="str">
        <f>IF(SUM(Tablas!$P$1111:$P$1152)=0,"",IF(Tablas!A11&gt;MAX(Tablas!$P$1111:$P$1152),"",VLOOKUP(Tablas!A11,Tablas!$P$1111:$T$1152,4,FALSE)))</f>
        <v/>
      </c>
      <c r="AC63" s="4299"/>
      <c r="AD63" s="4299"/>
      <c r="AE63" s="4299"/>
      <c r="AF63" s="4299"/>
      <c r="AG63" s="4299"/>
      <c r="AH63" s="4299"/>
      <c r="AI63" s="4299"/>
      <c r="AJ63" s="4299"/>
      <c r="AK63" s="4300"/>
      <c r="AL63" s="2863"/>
      <c r="AM63" s="173"/>
      <c r="AN63" s="2196" t="str">
        <f t="shared" ref="AN63:AN72" si="9">"Conjuros"&amp;IF(AO63="","","_"&amp;AO63)</f>
        <v>Conjuros</v>
      </c>
      <c r="AO63" s="4388"/>
      <c r="AP63" s="4389"/>
      <c r="AQ63" s="4390"/>
      <c r="AR63" s="4390"/>
      <c r="AS63" s="4390"/>
      <c r="AT63" s="4391"/>
      <c r="AU63" s="1940"/>
      <c r="AV63" s="1942">
        <f>IF(AQ63="",0,AU63*VLOOKUP(AQ63,'Tablas Magia'!$D$6:$Z$680,11,FALSE)/2)</f>
        <v>0</v>
      </c>
      <c r="AW63" s="1963"/>
      <c r="AX63" s="1675"/>
      <c r="BD63" s="3136"/>
    </row>
    <row r="64" spans="1:62" ht="12" customHeight="1">
      <c r="A64" s="173"/>
      <c r="B64" s="1672"/>
      <c r="C64" s="4290" t="s">
        <v>2051</v>
      </c>
      <c r="D64" s="4290"/>
      <c r="E64" s="235">
        <v>-50</v>
      </c>
      <c r="F64" s="4293"/>
      <c r="G64" s="4293"/>
      <c r="H64" s="4294"/>
      <c r="I64" s="67"/>
      <c r="J64" s="234">
        <v>80</v>
      </c>
      <c r="K64" s="4291" t="s">
        <v>2052</v>
      </c>
      <c r="L64" s="4291"/>
      <c r="M64" s="4289" t="s">
        <v>2053</v>
      </c>
      <c r="N64" s="4289"/>
      <c r="O64" s="4289"/>
      <c r="P64" s="4289"/>
      <c r="Q64" s="4289"/>
      <c r="R64" s="67"/>
      <c r="S64" s="1679"/>
      <c r="T64" s="1468"/>
      <c r="U64" s="173"/>
      <c r="V64" s="1839"/>
      <c r="W64" s="4283" t="str">
        <f>IF(SUM(Tablas!$P$1111:$P$1152)=0,"",IF(Tablas!A12&gt;MAX(Tablas!$P$1111:$P$1152),"",VLOOKUP(Tablas!A12,Tablas!$P$1111:$T$1152,2,FALSE)))</f>
        <v/>
      </c>
      <c r="X64" s="4284"/>
      <c r="Y64" s="4284"/>
      <c r="Z64" s="4284"/>
      <c r="AA64" s="4285"/>
      <c r="AB64" s="4298" t="str">
        <f>IF(SUM(Tablas!$P$1111:$P$1152)=0,"",IF(Tablas!A12&gt;MAX(Tablas!$P$1111:$P$1152),"",VLOOKUP(Tablas!A12,Tablas!$P$1111:$T$1152,4,FALSE)))</f>
        <v/>
      </c>
      <c r="AC64" s="4299"/>
      <c r="AD64" s="4299"/>
      <c r="AE64" s="4299"/>
      <c r="AF64" s="4299"/>
      <c r="AG64" s="4299"/>
      <c r="AH64" s="4299"/>
      <c r="AI64" s="4299"/>
      <c r="AJ64" s="4299"/>
      <c r="AK64" s="4300"/>
      <c r="AL64" s="2863"/>
      <c r="AM64" s="173"/>
      <c r="AN64" s="2196" t="str">
        <f t="shared" si="9"/>
        <v>Conjuros</v>
      </c>
      <c r="AO64" s="4392"/>
      <c r="AP64" s="4393"/>
      <c r="AQ64" s="3798"/>
      <c r="AR64" s="3798"/>
      <c r="AS64" s="3798"/>
      <c r="AT64" s="4394"/>
      <c r="AU64" s="1898"/>
      <c r="AV64" s="1893">
        <f>IF(AQ64="",0,AU64*VLOOKUP(AQ64,'Tablas Magia'!$D$6:$Z$680,11,FALSE)/2)</f>
        <v>0</v>
      </c>
      <c r="AW64" s="1963"/>
      <c r="AX64" s="1675"/>
    </row>
    <row r="65" spans="1:50" ht="12" customHeight="1">
      <c r="A65" s="173"/>
      <c r="B65" s="1672"/>
      <c r="C65" s="4290" t="s">
        <v>2054</v>
      </c>
      <c r="D65" s="4290"/>
      <c r="E65" s="235">
        <v>-20</v>
      </c>
      <c r="F65" s="4293" t="s">
        <v>2055</v>
      </c>
      <c r="G65" s="4293"/>
      <c r="H65" s="4294">
        <v>10</v>
      </c>
      <c r="I65" s="67"/>
      <c r="J65" s="234">
        <v>120</v>
      </c>
      <c r="K65" s="4291" t="s">
        <v>2056</v>
      </c>
      <c r="L65" s="4291"/>
      <c r="M65" s="4289" t="str">
        <f>IF(Metamagia!$R$54+Metamagia!$U$54+Metamagia!$AA$54+Metamagia!$AA$59+Metamagia!$AA$64+Metamagia!$AD$48+Metamagia!$AG$46&gt;0,"Blancos hasta 100m. Zeón 10","Blancos hasta 100m")</f>
        <v>Blancos hasta 100m</v>
      </c>
      <c r="N65" s="4289"/>
      <c r="O65" s="4289"/>
      <c r="P65" s="4289"/>
      <c r="Q65" s="4289"/>
      <c r="R65" s="67"/>
      <c r="S65" s="1679"/>
      <c r="T65" s="1468"/>
      <c r="U65" s="173"/>
      <c r="V65" s="1839"/>
      <c r="W65" s="4283" t="str">
        <f>IF(SUM(Tablas!$P$1111:$P$1152)=0,"",IF(Tablas!A13&gt;MAX(Tablas!$P$1111:$P$1152),"",VLOOKUP(Tablas!A13,Tablas!$P$1111:$T$1152,2,FALSE)))</f>
        <v/>
      </c>
      <c r="X65" s="4284"/>
      <c r="Y65" s="4284"/>
      <c r="Z65" s="4284"/>
      <c r="AA65" s="4285"/>
      <c r="AB65" s="4298" t="str">
        <f>IF(SUM(Tablas!$P$1111:$P$1152)=0,"",IF(Tablas!A13&gt;MAX(Tablas!$P$1111:$P$1152),"",VLOOKUP(Tablas!A13,Tablas!$P$1111:$T$1152,4,FALSE)))</f>
        <v/>
      </c>
      <c r="AC65" s="4299"/>
      <c r="AD65" s="4299"/>
      <c r="AE65" s="4299"/>
      <c r="AF65" s="4299"/>
      <c r="AG65" s="4299"/>
      <c r="AH65" s="4299"/>
      <c r="AI65" s="4299"/>
      <c r="AJ65" s="4299"/>
      <c r="AK65" s="4300"/>
      <c r="AL65" s="2862"/>
      <c r="AM65" s="173"/>
      <c r="AN65" s="2196" t="str">
        <f t="shared" si="9"/>
        <v>Conjuros</v>
      </c>
      <c r="AO65" s="4388"/>
      <c r="AP65" s="4389"/>
      <c r="AQ65" s="4390"/>
      <c r="AR65" s="4390"/>
      <c r="AS65" s="4390"/>
      <c r="AT65" s="4391"/>
      <c r="AU65" s="1940"/>
      <c r="AV65" s="1942">
        <f>IF(AQ65="",0,AU65*VLOOKUP(AQ65,'Tablas Magia'!$D$6:$Z$680,11,FALSE)/2)</f>
        <v>0</v>
      </c>
      <c r="AW65" s="1962"/>
      <c r="AX65" s="1675"/>
    </row>
    <row r="66" spans="1:50" ht="12" customHeight="1">
      <c r="A66" s="173"/>
      <c r="B66" s="1672"/>
      <c r="C66" s="4290" t="s">
        <v>2057</v>
      </c>
      <c r="D66" s="4290"/>
      <c r="E66" s="235">
        <v>0</v>
      </c>
      <c r="F66" s="4293"/>
      <c r="G66" s="4293"/>
      <c r="H66" s="4294"/>
      <c r="I66" s="67"/>
      <c r="J66" s="234">
        <v>140</v>
      </c>
      <c r="K66" s="4291" t="s">
        <v>2058</v>
      </c>
      <c r="L66" s="4291"/>
      <c r="M66" s="4289" t="str">
        <f>IF(Metamagia!$R$54+Metamagia!$U$54+Metamagia!$AA$54+Metamagia!$AA$59+Metamagia!$AA$64+Metamagia!$AD$48+Metamagia!$AG$46&gt;1,"Blancos hasta 250m. Zeón 20","Blancos hasta 250m")</f>
        <v>Blancos hasta 250m</v>
      </c>
      <c r="N66" s="4289"/>
      <c r="O66" s="4289"/>
      <c r="P66" s="4289"/>
      <c r="Q66" s="4289"/>
      <c r="R66" s="67"/>
      <c r="S66" s="1679"/>
      <c r="T66" s="1468"/>
      <c r="U66" s="173"/>
      <c r="V66" s="1839"/>
      <c r="W66" s="4283" t="str">
        <f>IF(SUM(Tablas!$P$1111:$P$1152)=0,"",IF(Tablas!A14&gt;MAX(Tablas!$P$1111:$P$1152),"",VLOOKUP(Tablas!A14,Tablas!$P$1111:$T$1152,2,FALSE)))</f>
        <v/>
      </c>
      <c r="X66" s="4284"/>
      <c r="Y66" s="4284"/>
      <c r="Z66" s="4284"/>
      <c r="AA66" s="4285"/>
      <c r="AB66" s="4298" t="str">
        <f>IF(SUM(Tablas!$P$1111:$P$1152)=0,"",IF(Tablas!A14&gt;MAX(Tablas!$P$1111:$P$1152),"",VLOOKUP(Tablas!A14,Tablas!$P$1111:$T$1152,4,FALSE)))</f>
        <v/>
      </c>
      <c r="AC66" s="4299"/>
      <c r="AD66" s="4299"/>
      <c r="AE66" s="4299"/>
      <c r="AF66" s="4299"/>
      <c r="AG66" s="4299"/>
      <c r="AH66" s="4299"/>
      <c r="AI66" s="4299"/>
      <c r="AJ66" s="4299"/>
      <c r="AK66" s="4300"/>
      <c r="AL66" s="2862"/>
      <c r="AM66" s="173"/>
      <c r="AN66" s="2196" t="str">
        <f t="shared" si="9"/>
        <v>Conjuros</v>
      </c>
      <c r="AO66" s="4392"/>
      <c r="AP66" s="4393"/>
      <c r="AQ66" s="3798"/>
      <c r="AR66" s="3798"/>
      <c r="AS66" s="3798"/>
      <c r="AT66" s="4394"/>
      <c r="AU66" s="1898"/>
      <c r="AV66" s="1893">
        <f>IF(AQ66="",0,AU66*VLOOKUP(AQ66,'Tablas Magia'!$D$6:$Z$680,11,FALSE)/2)</f>
        <v>0</v>
      </c>
      <c r="AW66" s="1962"/>
      <c r="AX66" s="1675"/>
    </row>
    <row r="67" spans="1:50" ht="12" customHeight="1">
      <c r="A67" s="173"/>
      <c r="B67" s="1672"/>
      <c r="C67" s="4290" t="s">
        <v>2059</v>
      </c>
      <c r="D67" s="4290"/>
      <c r="E67" s="235">
        <v>10</v>
      </c>
      <c r="F67" s="4293" t="s">
        <v>2060</v>
      </c>
      <c r="G67" s="4293"/>
      <c r="H67" s="4294">
        <v>20</v>
      </c>
      <c r="I67" s="67"/>
      <c r="J67" s="234">
        <v>180</v>
      </c>
      <c r="K67" s="4291" t="s">
        <v>2061</v>
      </c>
      <c r="L67" s="4291"/>
      <c r="M67" s="4289" t="str">
        <f>IF(Metamagia!$R$54+Metamagia!$U$54+Metamagia!$AA$54+Metamagia!$AA$59+Metamagia!$AA$64+Metamagia!$AD$48+Metamagia!$AG$46&gt;2,"Blancos hasta 500m. Zeón 40","Blancos hasta 500m")</f>
        <v>Blancos hasta 500m</v>
      </c>
      <c r="N67" s="4289"/>
      <c r="O67" s="4289"/>
      <c r="P67" s="4289"/>
      <c r="Q67" s="4289"/>
      <c r="R67" s="67"/>
      <c r="S67" s="1679"/>
      <c r="T67" s="1468"/>
      <c r="U67" s="173"/>
      <c r="V67" s="1839"/>
      <c r="W67" s="4283" t="str">
        <f>IF(SUM(Tablas!$P$1111:$P$1152)=0,"",IF(Tablas!A15&gt;MAX(Tablas!$P$1111:$P$1152),"",VLOOKUP(Tablas!A15,Tablas!$P$1111:$T$1152,2,FALSE)))</f>
        <v/>
      </c>
      <c r="X67" s="4284"/>
      <c r="Y67" s="4284"/>
      <c r="Z67" s="4284"/>
      <c r="AA67" s="4285"/>
      <c r="AB67" s="4298" t="str">
        <f>IF(SUM(Tablas!$P$1111:$P$1152)=0,"",IF(Tablas!A15&gt;MAX(Tablas!$P$1111:$P$1152),"",VLOOKUP(Tablas!A15,Tablas!$P$1111:$T$1152,4,FALSE)))</f>
        <v/>
      </c>
      <c r="AC67" s="4299"/>
      <c r="AD67" s="4299"/>
      <c r="AE67" s="4299"/>
      <c r="AF67" s="4299"/>
      <c r="AG67" s="4299"/>
      <c r="AH67" s="4299"/>
      <c r="AI67" s="4299"/>
      <c r="AJ67" s="4299"/>
      <c r="AK67" s="4300"/>
      <c r="AL67" s="2862"/>
      <c r="AM67" s="173"/>
      <c r="AN67" s="2196" t="str">
        <f t="shared" si="9"/>
        <v>Conjuros</v>
      </c>
      <c r="AO67" s="4388"/>
      <c r="AP67" s="4389"/>
      <c r="AQ67" s="4390"/>
      <c r="AR67" s="4390"/>
      <c r="AS67" s="4390"/>
      <c r="AT67" s="4391"/>
      <c r="AU67" s="1940"/>
      <c r="AV67" s="1942">
        <f>IF(AQ67="",0,AU67*VLOOKUP(AQ67,'Tablas Magia'!$D$6:$Z$680,11,FALSE)/2)</f>
        <v>0</v>
      </c>
      <c r="AW67" s="1962"/>
      <c r="AX67" s="1675"/>
    </row>
    <row r="68" spans="1:50" ht="12" customHeight="1">
      <c r="A68" s="173"/>
      <c r="B68" s="1672"/>
      <c r="C68" s="4290" t="s">
        <v>2062</v>
      </c>
      <c r="D68" s="4290"/>
      <c r="E68" s="235">
        <v>20</v>
      </c>
      <c r="F68" s="4293"/>
      <c r="G68" s="4293"/>
      <c r="H68" s="4294"/>
      <c r="I68" s="67"/>
      <c r="J68" s="234">
        <v>240</v>
      </c>
      <c r="K68" s="4291" t="s">
        <v>2063</v>
      </c>
      <c r="L68" s="4291"/>
      <c r="M68" s="4289" t="str">
        <f>IF(Metamagia!$R$54+Metamagia!$U$54+Metamagia!$AA$54+Metamagia!$AA$59+Metamagia!$AA$64+Metamagia!$AD$48+Metamagia!$AG$46&gt;3,"Hasta 1 km. Blanco localizado. Zeón 60","Hasta 1 km. Blanco localizado")</f>
        <v>Hasta 1 km. Blanco localizado</v>
      </c>
      <c r="N68" s="4289"/>
      <c r="O68" s="4289"/>
      <c r="P68" s="4289"/>
      <c r="Q68" s="4289"/>
      <c r="R68" s="67"/>
      <c r="S68" s="1679"/>
      <c r="T68" s="1468"/>
      <c r="U68" s="173"/>
      <c r="V68" s="1839"/>
      <c r="W68" s="4283" t="str">
        <f>IF(SUM(Tablas!$P$1111:$P$1152)=0,"",IF(Tablas!A16&gt;MAX(Tablas!$P$1111:$P$1152),"",VLOOKUP(Tablas!A16,Tablas!$P$1111:$T$1152,2,FALSE)))</f>
        <v/>
      </c>
      <c r="X68" s="4284"/>
      <c r="Y68" s="4284"/>
      <c r="Z68" s="4284"/>
      <c r="AA68" s="4285"/>
      <c r="AB68" s="4298" t="str">
        <f>IF(SUM(Tablas!$P$1111:$P$1152)=0,"",IF(Tablas!A16&gt;MAX(Tablas!$P$1111:$P$1152),"",VLOOKUP(Tablas!A16,Tablas!$P$1111:$T$1152,4,FALSE)))</f>
        <v/>
      </c>
      <c r="AC68" s="4299"/>
      <c r="AD68" s="4299"/>
      <c r="AE68" s="4299"/>
      <c r="AF68" s="4299"/>
      <c r="AG68" s="4299"/>
      <c r="AH68" s="4299"/>
      <c r="AI68" s="4299"/>
      <c r="AJ68" s="4299"/>
      <c r="AK68" s="4300"/>
      <c r="AL68" s="2862"/>
      <c r="AM68" s="173"/>
      <c r="AN68" s="2196" t="str">
        <f t="shared" si="9"/>
        <v>Conjuros</v>
      </c>
      <c r="AO68" s="4392"/>
      <c r="AP68" s="4393"/>
      <c r="AQ68" s="3798"/>
      <c r="AR68" s="3798"/>
      <c r="AS68" s="3798"/>
      <c r="AT68" s="4394"/>
      <c r="AU68" s="1898"/>
      <c r="AV68" s="1893">
        <f>IF(AQ68="",0,AU68*VLOOKUP(AQ68,'Tablas Magia'!$D$6:$Z$680,11,FALSE)/2)</f>
        <v>0</v>
      </c>
      <c r="AW68" s="1962"/>
      <c r="AX68" s="1675"/>
    </row>
    <row r="69" spans="1:50" ht="12" customHeight="1">
      <c r="A69" s="173"/>
      <c r="B69" s="1672"/>
      <c r="C69" s="4290" t="s">
        <v>2064</v>
      </c>
      <c r="D69" s="4290"/>
      <c r="E69" s="235">
        <v>30</v>
      </c>
      <c r="F69" s="4302" t="s">
        <v>2065</v>
      </c>
      <c r="G69" s="4302"/>
      <c r="H69" s="4303">
        <v>-50</v>
      </c>
      <c r="I69" s="67"/>
      <c r="J69" s="234">
        <v>280</v>
      </c>
      <c r="K69" s="4291" t="s">
        <v>2066</v>
      </c>
      <c r="L69" s="4291"/>
      <c r="M69" s="4289" t="str">
        <f>IF(Metamagia!$R$54+Metamagia!$U$54+Metamagia!$AA$54+Metamagia!$AA$59+Metamagia!$AA$64+Metamagia!$AD$48+Metamagia!$AG$46&gt;4,"Hasta 10 km. Blanco aprox. Zeón 80","Hasta 10 km. Blanco aproximado")</f>
        <v>Hasta 10 km. Blanco aproximado</v>
      </c>
      <c r="N69" s="4289"/>
      <c r="O69" s="4289"/>
      <c r="P69" s="4289"/>
      <c r="Q69" s="4289"/>
      <c r="R69" s="67"/>
      <c r="S69" s="1679"/>
      <c r="T69" s="1468"/>
      <c r="U69" s="173"/>
      <c r="V69" s="1839"/>
      <c r="W69" s="4283" t="str">
        <f>IF(SUM(Tablas!$P$1111:$P$1152)=0,"",IF(Tablas!A17&gt;MAX(Tablas!$P$1111:$P$1152),"",VLOOKUP(Tablas!A17,Tablas!$P$1111:$T$1152,2,FALSE)))</f>
        <v/>
      </c>
      <c r="X69" s="4284"/>
      <c r="Y69" s="4284"/>
      <c r="Z69" s="4284"/>
      <c r="AA69" s="4285"/>
      <c r="AB69" s="4298" t="str">
        <f>IF(SUM(Tablas!$P$1111:$P$1152)=0,"",IF(Tablas!A17&gt;MAX(Tablas!$P$1111:$P$1152),"",VLOOKUP(Tablas!A17,Tablas!$P$1111:$T$1152,4,FALSE)))</f>
        <v/>
      </c>
      <c r="AC69" s="4299"/>
      <c r="AD69" s="4299"/>
      <c r="AE69" s="4299"/>
      <c r="AF69" s="4299"/>
      <c r="AG69" s="4299"/>
      <c r="AH69" s="4299"/>
      <c r="AI69" s="4299"/>
      <c r="AJ69" s="4299"/>
      <c r="AK69" s="4300"/>
      <c r="AL69" s="2862"/>
      <c r="AM69" s="173"/>
      <c r="AN69" s="2196" t="str">
        <f t="shared" si="9"/>
        <v>Conjuros</v>
      </c>
      <c r="AO69" s="4388"/>
      <c r="AP69" s="4389"/>
      <c r="AQ69" s="4390"/>
      <c r="AR69" s="4390"/>
      <c r="AS69" s="4390"/>
      <c r="AT69" s="4391"/>
      <c r="AU69" s="1940"/>
      <c r="AV69" s="1942">
        <f>IF(AQ69="",0,AU69*VLOOKUP(AQ69,'Tablas Magia'!$D$6:$Z$680,11,FALSE)/2)</f>
        <v>0</v>
      </c>
      <c r="AW69" s="1962"/>
      <c r="AX69" s="1675"/>
    </row>
    <row r="70" spans="1:50" ht="12" customHeight="1">
      <c r="A70" s="173"/>
      <c r="B70" s="1672"/>
      <c r="C70" s="4290" t="s">
        <v>2067</v>
      </c>
      <c r="D70" s="4290"/>
      <c r="E70" s="235">
        <v>40</v>
      </c>
      <c r="F70" s="4302"/>
      <c r="G70" s="4302"/>
      <c r="H70" s="4303"/>
      <c r="I70" s="67"/>
      <c r="J70" s="234">
        <v>320</v>
      </c>
      <c r="K70" s="4291" t="s">
        <v>2068</v>
      </c>
      <c r="L70" s="4291"/>
      <c r="M70" s="4289" t="str">
        <f>IF(Metamagia!$R$54+Metamagia!$U$54+Metamagia!$AA$54+Metamagia!$AA$59+Metamagia!$AA$64+Metamagia!$AD$48+Metamagia!$AG$46&gt;5,"Zeón 100","-")</f>
        <v>-</v>
      </c>
      <c r="N70" s="4289"/>
      <c r="O70" s="4289"/>
      <c r="P70" s="4289"/>
      <c r="Q70" s="4289"/>
      <c r="R70" s="67"/>
      <c r="S70" s="1679"/>
      <c r="T70" s="1468"/>
      <c r="U70" s="173"/>
      <c r="V70" s="1839"/>
      <c r="W70" s="4283" t="str">
        <f>IF(SUM(Tablas!$P$1111:$P$1152)=0,"",IF(Tablas!A18&gt;MAX(Tablas!$P$1111:$P$1152),"",VLOOKUP(Tablas!A18,Tablas!$P$1111:$T$1152,2,FALSE)))</f>
        <v/>
      </c>
      <c r="X70" s="4284"/>
      <c r="Y70" s="4284"/>
      <c r="Z70" s="4284"/>
      <c r="AA70" s="4285"/>
      <c r="AB70" s="4298" t="str">
        <f>IF(SUM(Tablas!$P$1111:$P$1152)=0,"",IF(Tablas!A18&gt;MAX(Tablas!$P$1111:$P$1152),"",VLOOKUP(Tablas!A18,Tablas!$P$1111:$T$1152,4,FALSE)))</f>
        <v/>
      </c>
      <c r="AC70" s="4299"/>
      <c r="AD70" s="4299"/>
      <c r="AE70" s="4299"/>
      <c r="AF70" s="4299"/>
      <c r="AG70" s="4299"/>
      <c r="AH70" s="4299"/>
      <c r="AI70" s="4299"/>
      <c r="AJ70" s="4299"/>
      <c r="AK70" s="4300"/>
      <c r="AL70" s="2862"/>
      <c r="AM70" s="173"/>
      <c r="AN70" s="2196" t="str">
        <f t="shared" si="9"/>
        <v>Conjuros</v>
      </c>
      <c r="AO70" s="4392"/>
      <c r="AP70" s="4393"/>
      <c r="AQ70" s="3798"/>
      <c r="AR70" s="3798"/>
      <c r="AS70" s="3798"/>
      <c r="AT70" s="4394"/>
      <c r="AU70" s="1898"/>
      <c r="AV70" s="1893">
        <f>IF(AQ70="",0,AU70*VLOOKUP(AQ70,'Tablas Magia'!$D$6:$Z$680,11,FALSE)/2)</f>
        <v>0</v>
      </c>
      <c r="AW70" s="1962"/>
      <c r="AX70" s="1675"/>
    </row>
    <row r="71" spans="1:50" ht="12" customHeight="1" thickBot="1">
      <c r="A71" s="173"/>
      <c r="B71" s="1672"/>
      <c r="C71" s="4290" t="s">
        <v>2069</v>
      </c>
      <c r="D71" s="4290"/>
      <c r="E71" s="235">
        <v>50</v>
      </c>
      <c r="F71" s="4314"/>
      <c r="G71" s="4314"/>
      <c r="H71" s="4314"/>
      <c r="I71" s="67"/>
      <c r="J71" s="237">
        <v>440</v>
      </c>
      <c r="K71" s="4304" t="s">
        <v>2002</v>
      </c>
      <c r="L71" s="4304"/>
      <c r="M71" s="4305" t="str">
        <f>IF(Metamagia!$R$54+Metamagia!$U$54+Metamagia!$AA$54+Metamagia!$AA$59+Metamagia!$AA$64+Metamagia!$AD$48+Metamagia!$AG$46&gt;6,"Zeón 200","-")</f>
        <v>-</v>
      </c>
      <c r="N71" s="4305"/>
      <c r="O71" s="4305"/>
      <c r="P71" s="4305"/>
      <c r="Q71" s="4305"/>
      <c r="R71" s="67"/>
      <c r="S71" s="1679"/>
      <c r="T71" s="1468"/>
      <c r="U71" s="173"/>
      <c r="V71" s="1839"/>
      <c r="W71" s="4283" t="str">
        <f>IF(SUM(Tablas!$P$1111:$P$1152)=0,"",IF(Tablas!A19&gt;MAX(Tablas!$P$1111:$P$1152),"",VLOOKUP(Tablas!A19,Tablas!$P$1111:$T$1152,2,FALSE)))</f>
        <v/>
      </c>
      <c r="X71" s="4284"/>
      <c r="Y71" s="4284"/>
      <c r="Z71" s="4284"/>
      <c r="AA71" s="4285"/>
      <c r="AB71" s="4298" t="str">
        <f>IF(SUM(Tablas!$P$1111:$P$1152)=0,"",IF(Tablas!A19&gt;MAX(Tablas!$P$1111:$P$1152),"",VLOOKUP(Tablas!A19,Tablas!$P$1111:$T$1152,4,FALSE)))</f>
        <v/>
      </c>
      <c r="AC71" s="4299"/>
      <c r="AD71" s="4299"/>
      <c r="AE71" s="4299"/>
      <c r="AF71" s="4299"/>
      <c r="AG71" s="4299"/>
      <c r="AH71" s="4299"/>
      <c r="AI71" s="4299"/>
      <c r="AJ71" s="4299"/>
      <c r="AK71" s="4300"/>
      <c r="AL71" s="2862"/>
      <c r="AM71" s="173"/>
      <c r="AN71" s="2196" t="str">
        <f t="shared" si="9"/>
        <v>Conjuros</v>
      </c>
      <c r="AO71" s="4388"/>
      <c r="AP71" s="4389"/>
      <c r="AQ71" s="4390"/>
      <c r="AR71" s="4390"/>
      <c r="AS71" s="4390"/>
      <c r="AT71" s="4391"/>
      <c r="AU71" s="1940"/>
      <c r="AV71" s="1942">
        <f>IF(AQ71="",0,AU71*VLOOKUP(AQ71,'Tablas Magia'!$D$6:$Z$680,11,FALSE)/2)</f>
        <v>0</v>
      </c>
      <c r="AW71" s="1962"/>
      <c r="AX71" s="1675"/>
    </row>
    <row r="72" spans="1:50" ht="12" customHeight="1" thickBot="1">
      <c r="A72" s="173"/>
      <c r="B72" s="1672"/>
      <c r="C72" s="4290" t="s">
        <v>2070</v>
      </c>
      <c r="D72" s="4290"/>
      <c r="E72" s="235">
        <v>60</v>
      </c>
      <c r="F72" s="4314"/>
      <c r="G72" s="4314"/>
      <c r="H72" s="4314"/>
      <c r="I72" s="67"/>
      <c r="J72" s="4306"/>
      <c r="K72" s="4306"/>
      <c r="L72" s="4306"/>
      <c r="M72" s="4306"/>
      <c r="N72" s="4306"/>
      <c r="O72" s="4306"/>
      <c r="P72" s="4306"/>
      <c r="Q72" s="4306"/>
      <c r="R72" s="67"/>
      <c r="S72" s="1679"/>
      <c r="T72" s="1468"/>
      <c r="U72" s="173"/>
      <c r="V72" s="1839"/>
      <c r="W72" s="4283" t="str">
        <f>IF(SUM(Tablas!$P$1111:$P$1152)=0,"",IF(Tablas!A20&gt;MAX(Tablas!$P$1111:$P$1152),"",VLOOKUP(Tablas!A20,Tablas!$P$1111:$T$1152,2,FALSE)))</f>
        <v/>
      </c>
      <c r="X72" s="4284"/>
      <c r="Y72" s="4284"/>
      <c r="Z72" s="4284"/>
      <c r="AA72" s="4285"/>
      <c r="AB72" s="4298" t="str">
        <f>IF(SUM(Tablas!$P$1111:$P$1152)=0,"",IF(Tablas!A20&gt;MAX(Tablas!$P$1111:$P$1152),"",VLOOKUP(Tablas!A20,Tablas!$P$1111:$T$1152,4,FALSE)))</f>
        <v/>
      </c>
      <c r="AC72" s="4299"/>
      <c r="AD72" s="4299"/>
      <c r="AE72" s="4299"/>
      <c r="AF72" s="4299"/>
      <c r="AG72" s="4299"/>
      <c r="AH72" s="4299"/>
      <c r="AI72" s="4299"/>
      <c r="AJ72" s="4299"/>
      <c r="AK72" s="4300"/>
      <c r="AL72" s="2862"/>
      <c r="AM72" s="173"/>
      <c r="AN72" s="2196" t="str">
        <f t="shared" si="9"/>
        <v>Conjuros</v>
      </c>
      <c r="AO72" s="4383"/>
      <c r="AP72" s="4384"/>
      <c r="AQ72" s="4278"/>
      <c r="AR72" s="4278"/>
      <c r="AS72" s="4278"/>
      <c r="AT72" s="4385"/>
      <c r="AU72" s="1899"/>
      <c r="AV72" s="1855">
        <f>IF(AQ72="",0,AU72*VLOOKUP(AQ72,'Tablas Magia'!$D$6:$Z$680,11,FALSE)/2)</f>
        <v>0</v>
      </c>
      <c r="AW72" s="1962"/>
      <c r="AX72" s="1675"/>
    </row>
    <row r="73" spans="1:50" ht="12" customHeight="1" thickBot="1">
      <c r="A73" s="173"/>
      <c r="B73" s="1672"/>
      <c r="C73" s="4313" t="s">
        <v>2071</v>
      </c>
      <c r="D73" s="4313"/>
      <c r="E73" s="238">
        <v>70</v>
      </c>
      <c r="F73" s="4314"/>
      <c r="G73" s="4314"/>
      <c r="H73" s="4314"/>
      <c r="I73" s="67"/>
      <c r="J73" s="4306"/>
      <c r="K73" s="4306"/>
      <c r="L73" s="4306"/>
      <c r="M73" s="4306"/>
      <c r="N73" s="4306"/>
      <c r="O73" s="4306"/>
      <c r="P73" s="4306"/>
      <c r="Q73" s="4306"/>
      <c r="R73" s="67"/>
      <c r="S73" s="1679"/>
      <c r="T73" s="1468"/>
      <c r="U73" s="173"/>
      <c r="V73" s="1839"/>
      <c r="W73" s="4307" t="str">
        <f>IF(SUM(Tablas!$P$1111:$P$1152)=0,"",IF(Tablas!A21&gt;MAX(Tablas!$P$1111:$P$1152),"",VLOOKUP(Tablas!A21,Tablas!$P$1111:$T$1152,2,FALSE)))</f>
        <v/>
      </c>
      <c r="X73" s="4308"/>
      <c r="Y73" s="4308"/>
      <c r="Z73" s="4308"/>
      <c r="AA73" s="4309"/>
      <c r="AB73" s="4310" t="str">
        <f>IF(SUM(Tablas!$P$1111:$P$1152)=0,"",IF(Tablas!A21&gt;MAX(Tablas!$P$1111:$P$1152),"",VLOOKUP(Tablas!A21,Tablas!$P$1111:$T$1152,4,FALSE)))</f>
        <v/>
      </c>
      <c r="AC73" s="4311"/>
      <c r="AD73" s="4311"/>
      <c r="AE73" s="4311"/>
      <c r="AF73" s="4311"/>
      <c r="AG73" s="4311"/>
      <c r="AH73" s="4311"/>
      <c r="AI73" s="4311"/>
      <c r="AJ73" s="4311"/>
      <c r="AK73" s="4312"/>
      <c r="AL73" s="2862"/>
      <c r="AM73" s="173"/>
      <c r="AN73" s="1946"/>
      <c r="AW73" s="1962"/>
      <c r="AX73" s="1675"/>
    </row>
    <row r="74" spans="1:50" ht="12" customHeight="1" thickBot="1">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73" priority="62" stopIfTrue="1" operator="greaterThan">
      <formula>$C$12</formula>
    </cfRule>
  </conditionalFormatting>
  <conditionalFormatting sqref="AK10">
    <cfRule type="cellIs" dxfId="472" priority="63" stopIfTrue="1" operator="equal">
      <formula>0</formula>
    </cfRule>
  </conditionalFormatting>
  <conditionalFormatting sqref="J59:Q59">
    <cfRule type="expression" dxfId="471" priority="1767">
      <formula>$P$25="Invocador"</formula>
    </cfRule>
  </conditionalFormatting>
  <conditionalFormatting sqref="K18:L19">
    <cfRule type="cellIs" dxfId="470" priority="50" operator="lessThan">
      <formula>0</formula>
    </cfRule>
  </conditionalFormatting>
  <conditionalFormatting sqref="AO44:AV44">
    <cfRule type="expression" dxfId="469" priority="31">
      <formula>$AO$44=""</formula>
    </cfRule>
  </conditionalFormatting>
  <conditionalFormatting sqref="AO55:AV55">
    <cfRule type="expression" dxfId="468" priority="13">
      <formula>$BA$45</formula>
    </cfRule>
  </conditionalFormatting>
  <conditionalFormatting sqref="AO56:AP58">
    <cfRule type="expression" dxfId="467" priority="12">
      <formula>$BA$45</formula>
    </cfRule>
  </conditionalFormatting>
  <conditionalFormatting sqref="AO53:AV54">
    <cfRule type="expression" dxfId="466" priority="11">
      <formula>$BB$45</formula>
    </cfRule>
  </conditionalFormatting>
  <conditionalFormatting sqref="AO60:AV72">
    <cfRule type="expression" dxfId="465" priority="9" stopIfTrue="1">
      <formula>NOT($AZ$45)</formula>
    </cfRule>
  </conditionalFormatting>
  <conditionalFormatting sqref="AO52:AV52">
    <cfRule type="expression" dxfId="464" priority="8">
      <formula>$BB$45</formula>
    </cfRule>
  </conditionalFormatting>
  <conditionalFormatting sqref="AO56:AV58">
    <cfRule type="expression" dxfId="463" priority="6">
      <formula>$AZ$45</formula>
    </cfRule>
  </conditionalFormatting>
  <conditionalFormatting sqref="AO55:AT55">
    <cfRule type="expression" dxfId="462" priority="4">
      <formula>$AZ$45</formula>
    </cfRule>
  </conditionalFormatting>
  <conditionalFormatting sqref="AU55:AV55">
    <cfRule type="expression" dxfId="461" priority="3">
      <formula>$AZ$45</formula>
    </cfRule>
  </conditionalFormatting>
  <conditionalFormatting sqref="AO46:AV58">
    <cfRule type="expression" dxfId="460" priority="2">
      <formula>AND(NOT($AZ$45),NOT($BA$45),NOT($BB$45))</formula>
    </cfRule>
  </conditionalFormatting>
  <conditionalFormatting sqref="AK12:AK50">
    <cfRule type="expression" dxfId="459" priority="1914" stopIfTrue="1">
      <formula>VLOOKUP(AE12,$C$15:$H$25,6,FALSE)&lt;AK12</formula>
    </cfRule>
  </conditionalFormatting>
  <conditionalFormatting sqref="AG12:AJ50">
    <cfRule type="expression" dxfId="458"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399" t="str">
        <f>"Sheele ("&amp;VLOOKUP(Sheele!D5,'Tablas Sheele'!C5:G12,5,FALSE)&amp;")"</f>
        <v>Sheele (Shina)</v>
      </c>
      <c r="M3" s="4399"/>
      <c r="N3" s="4399"/>
      <c r="O3" s="4399"/>
      <c r="P3" s="4399"/>
      <c r="Q3" s="597"/>
      <c r="R3" s="597"/>
      <c r="S3" s="597"/>
      <c r="T3" s="597"/>
      <c r="U3" s="597"/>
      <c r="V3" s="597"/>
      <c r="W3" s="597"/>
      <c r="X3" s="597"/>
      <c r="Y3" s="597"/>
      <c r="Z3" s="598"/>
      <c r="AA3" s="599"/>
      <c r="AB3" s="589"/>
    </row>
    <row r="4" spans="1:53" ht="12" customHeight="1">
      <c r="A4" s="586"/>
      <c r="B4" s="595"/>
      <c r="C4" s="600"/>
      <c r="D4" s="4402" t="s">
        <v>3256</v>
      </c>
      <c r="E4" s="4403"/>
      <c r="F4" s="4403" t="s">
        <v>3257</v>
      </c>
      <c r="G4" s="4404"/>
      <c r="H4" s="601"/>
      <c r="I4" s="601"/>
      <c r="J4" s="601"/>
      <c r="K4" s="601"/>
      <c r="L4" s="4400"/>
      <c r="M4" s="4400"/>
      <c r="N4" s="4400"/>
      <c r="O4" s="4400"/>
      <c r="P4" s="4400"/>
      <c r="Q4" s="601"/>
      <c r="R4" s="4413" t="s">
        <v>7698</v>
      </c>
      <c r="S4" s="4413"/>
      <c r="T4" s="4413"/>
      <c r="U4" s="1454">
        <f>VALUE(PDs!R15)</f>
        <v>1</v>
      </c>
      <c r="V4" s="601"/>
      <c r="W4" s="601"/>
      <c r="X4" s="601"/>
      <c r="Y4" s="601"/>
      <c r="Z4" s="602"/>
      <c r="AA4" s="599"/>
      <c r="AB4" s="589"/>
    </row>
    <row r="5" spans="1:53" ht="12" customHeight="1" thickBot="1">
      <c r="A5" s="586"/>
      <c r="B5" s="595"/>
      <c r="C5" s="600"/>
      <c r="D5" s="4405" t="s">
        <v>2019</v>
      </c>
      <c r="E5" s="4406"/>
      <c r="F5" s="4406" t="s">
        <v>1690</v>
      </c>
      <c r="G5" s="4407"/>
      <c r="H5" s="601"/>
      <c r="I5" s="601"/>
      <c r="J5" s="601"/>
      <c r="K5" s="601"/>
      <c r="L5" s="4400"/>
      <c r="M5" s="4400"/>
      <c r="N5" s="4400"/>
      <c r="O5" s="4400"/>
      <c r="P5" s="4400"/>
      <c r="Q5" s="601"/>
      <c r="R5" s="4413" t="s">
        <v>3258</v>
      </c>
      <c r="S5" s="4413"/>
      <c r="T5" s="4413"/>
      <c r="U5" s="1536">
        <f>ROUNDUP(IF(U4=0,5,10*U4)/2,0)</f>
        <v>5</v>
      </c>
      <c r="V5" s="4603"/>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401"/>
      <c r="M6" s="4401"/>
      <c r="N6" s="4401"/>
      <c r="O6" s="4401"/>
      <c r="P6" s="4401"/>
      <c r="Q6" s="605"/>
      <c r="R6" s="605"/>
      <c r="S6" s="605"/>
      <c r="T6" s="2200"/>
      <c r="U6" s="605"/>
      <c r="V6" s="4604"/>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c r="A8" s="586"/>
      <c r="B8" s="595"/>
      <c r="C8" s="4461" t="s">
        <v>1673</v>
      </c>
      <c r="D8" s="608"/>
      <c r="E8" s="1541" t="s">
        <v>1674</v>
      </c>
      <c r="F8" s="609" t="s">
        <v>1675</v>
      </c>
      <c r="G8" s="610" t="s">
        <v>1658</v>
      </c>
      <c r="H8" s="611" t="s">
        <v>1676</v>
      </c>
      <c r="I8" s="646"/>
      <c r="J8" s="646"/>
      <c r="K8" s="646"/>
      <c r="L8" s="4402" t="s">
        <v>3259</v>
      </c>
      <c r="M8" s="4403"/>
      <c r="N8" s="4403"/>
      <c r="O8" s="4403"/>
      <c r="P8" s="4403"/>
      <c r="Q8" s="4403"/>
      <c r="R8" s="4403"/>
      <c r="S8" s="4404"/>
      <c r="T8" s="646"/>
      <c r="U8" s="4464" t="s">
        <v>3260</v>
      </c>
      <c r="V8" s="4465"/>
      <c r="W8" s="4465"/>
      <c r="X8" s="4465"/>
      <c r="Y8" s="4465"/>
      <c r="Z8" s="4466"/>
      <c r="AA8" s="599"/>
      <c r="AB8" s="589"/>
      <c r="AT8" s="607"/>
      <c r="AU8" s="603"/>
      <c r="AV8" s="603"/>
    </row>
    <row r="9" spans="1:53" ht="12" customHeight="1">
      <c r="A9" s="586"/>
      <c r="B9" s="595"/>
      <c r="C9" s="4462"/>
      <c r="D9" s="612" t="s">
        <v>1682</v>
      </c>
      <c r="E9" s="1536">
        <f>HLOOKUP($D$5,'Tablas Sheele'!$G$17:$N$25,'Tablas Sheele'!E18,)</f>
        <v>5</v>
      </c>
      <c r="F9" s="1379"/>
      <c r="G9" s="613">
        <f>E9+'Tablas Sheele'!D18+IF('Tablas Sheele'!F143&gt;0,2,0)</f>
        <v>5</v>
      </c>
      <c r="H9" s="1537">
        <f>IF(G9&lt;1,0,VLOOKUP(G9,Tablas!$C$14:$D$33,2))</f>
        <v>0</v>
      </c>
      <c r="I9" s="562"/>
      <c r="J9" s="646"/>
      <c r="K9" s="562"/>
      <c r="L9" s="4470" t="s">
        <v>1819</v>
      </c>
      <c r="M9" s="4471"/>
      <c r="N9" s="4471"/>
      <c r="O9" s="4472"/>
      <c r="P9" s="4473" t="s">
        <v>3261</v>
      </c>
      <c r="Q9" s="4473"/>
      <c r="R9" s="4473"/>
      <c r="S9" s="4474"/>
      <c r="T9" s="646"/>
      <c r="U9" s="4467"/>
      <c r="V9" s="4468"/>
      <c r="W9" s="4468"/>
      <c r="X9" s="4468"/>
      <c r="Y9" s="4468"/>
      <c r="Z9" s="4469"/>
      <c r="AA9" s="599"/>
      <c r="AB9" s="589"/>
      <c r="AT9" s="607"/>
      <c r="AU9" s="603"/>
      <c r="AV9" s="603"/>
    </row>
    <row r="10" spans="1:53" ht="12" customHeight="1">
      <c r="A10" s="586"/>
      <c r="B10" s="595"/>
      <c r="C10" s="4462"/>
      <c r="D10" s="612" t="s">
        <v>1809</v>
      </c>
      <c r="E10" s="1536">
        <f>HLOOKUP($D$5,'Tablas Sheele'!$G$17:$N$25,'Tablas Sheele'!E19,)</f>
        <v>2</v>
      </c>
      <c r="F10" s="1380"/>
      <c r="G10" s="613">
        <f>E10+'Tablas Sheele'!D19</f>
        <v>2</v>
      </c>
      <c r="H10" s="1537">
        <f>IF(G10&lt;1,0,VLOOKUP(G10,Tablas!$C$14:$D$33,2))</f>
        <v>-20</v>
      </c>
      <c r="I10" s="562"/>
      <c r="J10" s="646"/>
      <c r="K10" s="646"/>
      <c r="L10" s="4420" t="s">
        <v>3262</v>
      </c>
      <c r="M10" s="4420"/>
      <c r="N10" s="4421">
        <f>IF(N21*2+20*'Tablas Sheele'!F103&gt;200, IF(N21*2&gt;=200,N21*2+10*'Tablas Sheele'!F103,200+1/2*(20*'Tablas Sheele'!F103-(200-N21*2))),N21*2+20*'Tablas Sheele'!F103 )</f>
        <v>60</v>
      </c>
      <c r="O10" s="4421"/>
      <c r="P10" s="4420" t="s">
        <v>3263</v>
      </c>
      <c r="Q10" s="4420"/>
      <c r="R10" s="4414">
        <f>IF('Tablas Sheele'!F176&gt;0,MAX(Sheele!N10,H11),H11)</f>
        <v>5</v>
      </c>
      <c r="S10" s="4414"/>
      <c r="T10" s="646"/>
      <c r="U10" s="4422" t="s">
        <v>1712</v>
      </c>
      <c r="V10" s="4423"/>
      <c r="W10" s="4408" t="s">
        <v>3264</v>
      </c>
      <c r="X10" s="4408"/>
      <c r="Y10" s="4408"/>
      <c r="Z10" s="4409"/>
      <c r="AA10" s="599"/>
      <c r="AB10" s="589"/>
      <c r="AT10" s="607"/>
      <c r="AU10" s="603"/>
      <c r="AV10" s="603"/>
    </row>
    <row r="11" spans="1:53" ht="12" customHeight="1">
      <c r="A11" s="586"/>
      <c r="B11" s="595"/>
      <c r="C11" s="4462"/>
      <c r="D11" s="612" t="s">
        <v>1687</v>
      </c>
      <c r="E11" s="1536">
        <f>HLOOKUP($D$5,'Tablas Sheele'!$G$17:$N$25,'Tablas Sheele'!E20,)</f>
        <v>6</v>
      </c>
      <c r="F11" s="1380"/>
      <c r="G11" s="613">
        <f>E11+'Tablas Sheele'!D20+IF('Tablas Sheele'!F143&gt;0,2,0)</f>
        <v>6</v>
      </c>
      <c r="H11" s="1537">
        <f>IF(G11&lt;1,0,VLOOKUP(G11,Tablas!$C$14:$D$33,2))</f>
        <v>5</v>
      </c>
      <c r="I11" s="646"/>
      <c r="J11" s="646"/>
      <c r="K11" s="646"/>
      <c r="L11" s="4420"/>
      <c r="M11" s="4420"/>
      <c r="N11" s="4421"/>
      <c r="O11" s="4421"/>
      <c r="P11" s="4420"/>
      <c r="Q11" s="4420"/>
      <c r="R11" s="4414"/>
      <c r="S11" s="4414"/>
      <c r="T11" s="646"/>
      <c r="U11" s="4424"/>
      <c r="V11" s="4425"/>
      <c r="W11" s="4410" t="s">
        <v>3265</v>
      </c>
      <c r="X11" s="4411"/>
      <c r="Y11" s="4411" t="s">
        <v>3266</v>
      </c>
      <c r="Z11" s="4412"/>
      <c r="AA11" s="599"/>
      <c r="AB11" s="589"/>
    </row>
    <row r="12" spans="1:53" ht="12" customHeight="1" thickBot="1">
      <c r="A12" s="586"/>
      <c r="B12" s="520"/>
      <c r="C12" s="4462"/>
      <c r="D12" s="612" t="s">
        <v>1692</v>
      </c>
      <c r="E12" s="1536">
        <f>HLOOKUP($D$5,'Tablas Sheele'!$G$17:$N$25,'Tablas Sheele'!E21,)</f>
        <v>2</v>
      </c>
      <c r="F12" s="1380"/>
      <c r="G12" s="613">
        <f>E12+'Tablas Sheele'!D21+IF('Tablas Sheele'!F143&gt;0,2,0)</f>
        <v>2</v>
      </c>
      <c r="H12" s="1537">
        <f>IF(G12&lt;1,0,VLOOKUP(G12,Tablas!$C$14:$D$33,2))</f>
        <v>-20</v>
      </c>
      <c r="I12" s="562"/>
      <c r="J12" s="646"/>
      <c r="K12" s="646"/>
      <c r="L12" s="4420" t="s">
        <v>3267</v>
      </c>
      <c r="M12" s="4420"/>
      <c r="N12" s="4421">
        <f>IF(N21*2+20*'Tablas Sheele'!F103&gt;200, IF(N21*2&gt;=200,N21*2+10*'Tablas Sheele'!F103,200+1/2*(20*'Tablas Sheele'!F103-(200-N21*2))),N21*2+20*'Tablas Sheele'!F103 )+IF('Tablas Sheele'!F187&gt;0,40,0)</f>
        <v>60</v>
      </c>
      <c r="O12" s="4421"/>
      <c r="P12" s="4420" t="s">
        <v>3268</v>
      </c>
      <c r="Q12" s="4420"/>
      <c r="R12" s="4414">
        <f>IF('Tablas Sheele'!F176&gt;0,MAX(Sheele!N12,H9),IF(D5="Aire",MAX(N12,H9),H9))</f>
        <v>0</v>
      </c>
      <c r="S12" s="4414"/>
      <c r="T12" s="646"/>
      <c r="U12" s="4415" t="str">
        <f>IF('Tablas Sheele'!F98&gt;0,U4+'Tablas Sheele'!F101,"-")</f>
        <v>-</v>
      </c>
      <c r="V12" s="4416"/>
      <c r="W12" s="4417" t="str">
        <f>IF('Tablas Sheele'!F98&gt;0,150,"-")</f>
        <v>-</v>
      </c>
      <c r="X12" s="4418"/>
      <c r="Y12" s="4417" t="str">
        <f>IF('Tablas Sheele'!F98&gt;0,IF('Tablas Sheele'!F99,N21-10,N21)&amp;" / asalto","-")</f>
        <v>-</v>
      </c>
      <c r="Z12" s="4419"/>
      <c r="AA12" s="599"/>
      <c r="AB12" s="589"/>
      <c r="AY12" s="603"/>
      <c r="AZ12" s="603"/>
      <c r="BA12" s="603"/>
    </row>
    <row r="13" spans="1:53" ht="12" customHeight="1">
      <c r="A13" s="586"/>
      <c r="B13" s="614"/>
      <c r="C13" s="4462"/>
      <c r="D13" s="612" t="s">
        <v>1695</v>
      </c>
      <c r="E13" s="1536">
        <f>HLOOKUP($D$5,'Tablas Sheele'!$G$17:$N$25,'Tablas Sheele'!E22,)</f>
        <v>9</v>
      </c>
      <c r="F13" s="1380"/>
      <c r="G13" s="613">
        <f>E13+'Tablas Sheele'!D22</f>
        <v>9</v>
      </c>
      <c r="H13" s="1537">
        <f>IF(G13&lt;1,0,VLOOKUP(G13,Tablas!$C$14:$D$33,2))</f>
        <v>10</v>
      </c>
      <c r="I13" s="646"/>
      <c r="J13" s="646"/>
      <c r="K13" s="646"/>
      <c r="L13" s="4420"/>
      <c r="M13" s="4420"/>
      <c r="N13" s="4421"/>
      <c r="O13" s="4421"/>
      <c r="P13" s="4420"/>
      <c r="Q13" s="4420"/>
      <c r="R13" s="4414"/>
      <c r="S13" s="4414"/>
      <c r="T13" s="646"/>
      <c r="U13" s="4441" t="s">
        <v>3269</v>
      </c>
      <c r="V13" s="4442"/>
      <c r="W13" s="4442"/>
      <c r="X13" s="4442"/>
      <c r="Y13" s="4442"/>
      <c r="Z13" s="4443"/>
      <c r="AA13" s="599"/>
      <c r="AB13" s="589"/>
      <c r="AY13" s="603"/>
      <c r="AZ13" s="603"/>
      <c r="BA13" s="603"/>
    </row>
    <row r="14" spans="1:53" ht="12" customHeight="1">
      <c r="A14" s="586"/>
      <c r="B14" s="614"/>
      <c r="C14" s="4462"/>
      <c r="D14" s="612" t="s">
        <v>1698</v>
      </c>
      <c r="E14" s="1536">
        <f>HLOOKUP($D$5,'Tablas Sheele'!$G$17:$N$25,'Tablas Sheele'!E23,)</f>
        <v>7</v>
      </c>
      <c r="F14" s="1380"/>
      <c r="G14" s="613">
        <f>E14+'Tablas Sheele'!D23</f>
        <v>7</v>
      </c>
      <c r="H14" s="1537">
        <f>IF(G14&lt;1,0,VLOOKUP(G14,Tablas!$C$14:$D$33,2))</f>
        <v>5</v>
      </c>
      <c r="I14" s="646"/>
      <c r="J14" s="646"/>
      <c r="K14" s="646"/>
      <c r="L14" s="4420" t="s">
        <v>3270</v>
      </c>
      <c r="M14" s="4444"/>
      <c r="N14" s="4445" t="str">
        <f>IF(D5="Naturaleza","Esencia",D5)</f>
        <v>Luz</v>
      </c>
      <c r="O14" s="4445"/>
      <c r="P14" s="4446" t="s">
        <v>3271</v>
      </c>
      <c r="Q14" s="4420"/>
      <c r="R14" s="4414">
        <f>IF('Tablas Sheele'!F176&gt;0,MAX(Sheele!N12,H11),H11)</f>
        <v>5</v>
      </c>
      <c r="S14" s="4414"/>
      <c r="T14" s="646"/>
      <c r="U14" s="4447" t="str">
        <f>"Gnosis "&amp;IF('Tablas Sheele'!F100&gt;0,30,20)</f>
        <v>Gnosis 20</v>
      </c>
      <c r="V14" s="4448"/>
      <c r="W14" s="4448"/>
      <c r="X14" s="4448"/>
      <c r="Y14" s="4448"/>
      <c r="Z14" s="4449"/>
      <c r="AA14" s="599"/>
      <c r="AB14" s="589"/>
      <c r="AY14" s="603"/>
      <c r="AZ14" s="603"/>
      <c r="BA14" s="603"/>
    </row>
    <row r="15" spans="1:53" ht="12" customHeight="1">
      <c r="A15" s="586"/>
      <c r="B15" s="614"/>
      <c r="C15" s="4462"/>
      <c r="D15" s="612" t="s">
        <v>1700</v>
      </c>
      <c r="E15" s="1536">
        <f>HLOOKUP($D$5,'Tablas Sheele'!$G$17:$N$25,'Tablas Sheele'!E24,)</f>
        <v>9</v>
      </c>
      <c r="F15" s="1380"/>
      <c r="G15" s="613">
        <f>E15+'Tablas Sheele'!D24</f>
        <v>9</v>
      </c>
      <c r="H15" s="1537">
        <f>IF(G15&lt;1,0,VLOOKUP(G15,Tablas!$C$14:$D$33,2))</f>
        <v>10</v>
      </c>
      <c r="I15" s="646"/>
      <c r="J15" s="646"/>
      <c r="K15" s="646"/>
      <c r="L15" s="4420"/>
      <c r="M15" s="4444"/>
      <c r="N15" s="4450">
        <f>IF(20+10*'Tablas Sheele'!F104&lt;=50,20+10*'Tablas Sheele'!F104,50+1/2*(10*'Tablas Sheele'!F104-(50-20)))</f>
        <v>20</v>
      </c>
      <c r="O15" s="4451"/>
      <c r="P15" s="4446"/>
      <c r="Q15" s="4420"/>
      <c r="R15" s="4414"/>
      <c r="S15" s="4414"/>
      <c r="T15" s="646"/>
      <c r="U15" s="4452" t="s">
        <v>3272</v>
      </c>
      <c r="V15" s="4453"/>
      <c r="W15" s="4453"/>
      <c r="X15" s="4453"/>
      <c r="Y15" s="4453"/>
      <c r="Z15" s="4454"/>
      <c r="AA15" s="599"/>
      <c r="AB15" s="589"/>
      <c r="AY15" s="603"/>
      <c r="AZ15" s="603"/>
      <c r="BA15" s="603"/>
    </row>
    <row r="16" spans="1:53" ht="12" customHeight="1" thickBot="1">
      <c r="A16" s="586"/>
      <c r="B16" s="614"/>
      <c r="C16" s="4463"/>
      <c r="D16" s="615" t="s">
        <v>1701</v>
      </c>
      <c r="E16" s="1538">
        <f>HLOOKUP($D$5,'Tablas Sheele'!$G$17:$N$25,'Tablas Sheele'!E25,)</f>
        <v>8</v>
      </c>
      <c r="F16" s="1381"/>
      <c r="G16" s="616">
        <f>E16+'Tablas Sheele'!D25</f>
        <v>8</v>
      </c>
      <c r="H16" s="1539">
        <f>IF(G16&lt;1,0,VLOOKUP(G16,Tablas!$C$14:$D$33,2))</f>
        <v>10</v>
      </c>
      <c r="I16" s="646"/>
      <c r="J16" s="646"/>
      <c r="K16" s="646"/>
      <c r="L16" s="4420" t="s">
        <v>3273</v>
      </c>
      <c r="M16" s="4420"/>
      <c r="N16" s="4459">
        <f>Místicos!L13</f>
        <v>0</v>
      </c>
      <c r="O16" s="4459"/>
      <c r="P16" s="4420" t="s">
        <v>1702</v>
      </c>
      <c r="Q16" s="4420"/>
      <c r="R16" s="4426">
        <f>Turno_SinArmas_final+IF('Tablas Sheele'!F121,50,0)</f>
        <v>45</v>
      </c>
      <c r="S16" s="4426"/>
      <c r="T16" s="646"/>
      <c r="U16" s="4455"/>
      <c r="V16" s="4456"/>
      <c r="W16" s="4456"/>
      <c r="X16" s="4456"/>
      <c r="Y16" s="4456"/>
      <c r="Z16" s="4457"/>
      <c r="AA16" s="599"/>
      <c r="AB16" s="589"/>
      <c r="AY16" s="603"/>
      <c r="AZ16" s="603"/>
      <c r="BA16" s="603"/>
    </row>
    <row r="17" spans="1:53" ht="12" customHeight="1" thickBot="1">
      <c r="A17" s="586"/>
      <c r="B17" s="614"/>
      <c r="C17" s="646"/>
      <c r="D17" s="646"/>
      <c r="E17" s="646"/>
      <c r="F17" s="646"/>
      <c r="G17" s="646"/>
      <c r="H17" s="646"/>
      <c r="I17" s="646"/>
      <c r="J17" s="646"/>
      <c r="K17" s="646"/>
      <c r="L17" s="4458"/>
      <c r="M17" s="4458"/>
      <c r="N17" s="4460"/>
      <c r="O17" s="4421"/>
      <c r="P17" s="4420"/>
      <c r="Q17" s="4420"/>
      <c r="R17" s="4426"/>
      <c r="S17" s="4426"/>
      <c r="T17" s="646"/>
      <c r="U17" s="4427" t="s">
        <v>3274</v>
      </c>
      <c r="V17" s="4428"/>
      <c r="W17" s="4428"/>
      <c r="X17" s="4428"/>
      <c r="Y17" s="4428"/>
      <c r="Z17" s="4429"/>
      <c r="AA17" s="599"/>
      <c r="AB17" s="589"/>
      <c r="AY17" s="603"/>
      <c r="AZ17" s="603"/>
      <c r="BA17" s="603"/>
    </row>
    <row r="18" spans="1:53" ht="12" customHeight="1">
      <c r="A18" s="586"/>
      <c r="B18" s="614"/>
      <c r="C18" s="4433" t="s">
        <v>3275</v>
      </c>
      <c r="D18" s="4434"/>
      <c r="E18" s="4434"/>
      <c r="F18" s="4434"/>
      <c r="G18" s="4434"/>
      <c r="H18" s="4434"/>
      <c r="I18" s="4435"/>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30"/>
      <c r="V18" s="4431"/>
      <c r="W18" s="4431"/>
      <c r="X18" s="4431"/>
      <c r="Y18" s="4431"/>
      <c r="Z18" s="4432"/>
      <c r="AA18" s="599"/>
      <c r="AB18" s="589"/>
      <c r="AY18" s="603"/>
      <c r="AZ18" s="603"/>
      <c r="BA18" s="603"/>
    </row>
    <row r="19" spans="1:53" ht="12" customHeight="1">
      <c r="A19" s="586"/>
      <c r="B19" s="614"/>
      <c r="C19" s="4436" t="s">
        <v>3277</v>
      </c>
      <c r="D19" s="4437"/>
      <c r="E19" s="4437"/>
      <c r="F19" s="4437"/>
      <c r="G19" s="4438" t="str">
        <f>"Mejoras de "&amp;D5</f>
        <v>Mejoras de Luz</v>
      </c>
      <c r="H19" s="4439"/>
      <c r="I19" s="4439"/>
      <c r="J19" s="4440"/>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c r="A20" s="586"/>
      <c r="B20" s="614"/>
      <c r="C20" s="4481"/>
      <c r="D20" s="4482"/>
      <c r="E20" s="4482"/>
      <c r="F20" s="4483"/>
      <c r="G20" s="4484"/>
      <c r="H20" s="4484"/>
      <c r="I20" s="4484"/>
      <c r="J20" s="4485"/>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481"/>
      <c r="D21" s="4482"/>
      <c r="E21" s="4482"/>
      <c r="F21" s="4483"/>
      <c r="G21" s="4484"/>
      <c r="H21" s="4484"/>
      <c r="I21" s="4484"/>
      <c r="J21" s="4485"/>
      <c r="K21" s="624"/>
      <c r="L21" s="4497" t="s">
        <v>3279</v>
      </c>
      <c r="M21" s="625" t="s">
        <v>1870</v>
      </c>
      <c r="N21" s="626">
        <f>25+5*U4</f>
        <v>30</v>
      </c>
      <c r="O21" s="646"/>
      <c r="P21" s="4500" t="s">
        <v>3280</v>
      </c>
      <c r="Q21" s="4501"/>
      <c r="R21" s="4501"/>
      <c r="S21" s="4502"/>
      <c r="T21" s="646"/>
      <c r="U21" s="4475" t="s">
        <v>1704</v>
      </c>
      <c r="V21" s="4476"/>
      <c r="W21" s="4476"/>
      <c r="X21" s="4476"/>
      <c r="Y21" s="4476"/>
      <c r="Z21" s="4477"/>
      <c r="AA21" s="599"/>
      <c r="AB21" s="589"/>
    </row>
    <row r="22" spans="1:53" ht="12" customHeight="1">
      <c r="A22" s="586"/>
      <c r="B22" s="595"/>
      <c r="C22" s="4481"/>
      <c r="D22" s="4482"/>
      <c r="E22" s="4482"/>
      <c r="F22" s="4483"/>
      <c r="G22" s="4484"/>
      <c r="H22" s="4484"/>
      <c r="I22" s="4484"/>
      <c r="J22" s="4485"/>
      <c r="K22" s="624"/>
      <c r="L22" s="4498"/>
      <c r="M22" s="627" t="s">
        <v>1769</v>
      </c>
      <c r="N22" s="628">
        <f>Principal!J58-Principal!I58+IF('Tablas Sheele'!F$165&gt;0,50,0)</f>
        <v>30</v>
      </c>
      <c r="O22" s="646"/>
      <c r="P22" s="4486" t="s">
        <v>3281</v>
      </c>
      <c r="Q22" s="4487"/>
      <c r="R22" s="4490">
        <f>20+10*ROUNDDOWN(Controlar_final/50,0)+MIN(100,25*'Tablas Sheele'!F108)</f>
        <v>20</v>
      </c>
      <c r="S22" s="4491"/>
      <c r="T22" s="646"/>
      <c r="U22" s="4478"/>
      <c r="V22" s="4479"/>
      <c r="W22" s="4479"/>
      <c r="X22" s="4479"/>
      <c r="Y22" s="4479"/>
      <c r="Z22" s="4480"/>
      <c r="AA22" s="599"/>
      <c r="AB22" s="589"/>
    </row>
    <row r="23" spans="1:53" ht="12" customHeight="1" thickBot="1">
      <c r="A23" s="586"/>
      <c r="B23" s="595"/>
      <c r="C23" s="4481"/>
      <c r="D23" s="4482"/>
      <c r="E23" s="4482"/>
      <c r="F23" s="4483"/>
      <c r="G23" s="4484"/>
      <c r="H23" s="4484"/>
      <c r="I23" s="4484"/>
      <c r="J23" s="4485"/>
      <c r="K23" s="646"/>
      <c r="L23" s="4498"/>
      <c r="M23" s="627" t="s">
        <v>1771</v>
      </c>
      <c r="N23" s="628">
        <f>Principal!J59-Principal!I59+IF('Tablas Sheele'!F$165&gt;0,50,0)</f>
        <v>30</v>
      </c>
      <c r="O23" s="646"/>
      <c r="P23" s="4488"/>
      <c r="Q23" s="4489"/>
      <c r="R23" s="4492"/>
      <c r="S23" s="4493"/>
      <c r="T23" s="646"/>
      <c r="U23" s="4494" t="s">
        <v>8055</v>
      </c>
      <c r="V23" s="4495"/>
      <c r="W23" s="4495"/>
      <c r="X23" s="4496"/>
      <c r="Y23" s="4495"/>
      <c r="Z23" s="629">
        <f>IF(VALUE($U$4)&lt;2,0,5*($U$4-1)-SUM(Y25:Y80))</f>
        <v>0</v>
      </c>
      <c r="AA23" s="599"/>
      <c r="AB23" s="589"/>
    </row>
    <row r="24" spans="1:53" ht="12" customHeight="1">
      <c r="A24" s="586"/>
      <c r="B24" s="595"/>
      <c r="C24" s="4481"/>
      <c r="D24" s="4482"/>
      <c r="E24" s="4482"/>
      <c r="F24" s="4483"/>
      <c r="G24" s="4484"/>
      <c r="H24" s="4484"/>
      <c r="I24" s="4484"/>
      <c r="J24" s="4485"/>
      <c r="K24" s="646"/>
      <c r="L24" s="4498"/>
      <c r="M24" s="627" t="s">
        <v>1773</v>
      </c>
      <c r="N24" s="628">
        <f>Principal!J60-Principal!I60+IF('Tablas Sheele'!F$165&gt;0,50,0)</f>
        <v>30</v>
      </c>
      <c r="O24" s="646"/>
      <c r="P24" s="4503" t="s">
        <v>3282</v>
      </c>
      <c r="Q24" s="4504"/>
      <c r="R24" s="4504"/>
      <c r="S24" s="4505"/>
      <c r="T24" s="646"/>
      <c r="U24" s="630" t="s">
        <v>1708</v>
      </c>
      <c r="V24" s="4514" t="s">
        <v>1684</v>
      </c>
      <c r="W24" s="4515"/>
      <c r="X24" s="1553" t="s">
        <v>1674</v>
      </c>
      <c r="Y24" s="637" t="s">
        <v>3283</v>
      </c>
      <c r="Z24" s="1554" t="s">
        <v>1658</v>
      </c>
      <c r="AA24" s="599" t="s">
        <v>1728</v>
      </c>
      <c r="AB24" s="589"/>
    </row>
    <row r="25" spans="1:53" ht="12" customHeight="1">
      <c r="A25" s="586"/>
      <c r="B25" s="595"/>
      <c r="C25" s="4481"/>
      <c r="D25" s="4482"/>
      <c r="E25" s="4482"/>
      <c r="F25" s="4483"/>
      <c r="G25" s="4484"/>
      <c r="H25" s="4484"/>
      <c r="I25" s="4484"/>
      <c r="J25" s="4485"/>
      <c r="K25" s="646"/>
      <c r="L25" s="4498"/>
      <c r="M25" s="627" t="s">
        <v>1775</v>
      </c>
      <c r="N25" s="628">
        <f>Principal!J61-Principal!I61+IF('Tablas Sheele'!F$165&gt;0,50,0)</f>
        <v>30</v>
      </c>
      <c r="O25" s="646"/>
      <c r="P25" s="4430" t="s">
        <v>3284</v>
      </c>
      <c r="Q25" s="4431"/>
      <c r="R25" s="4431"/>
      <c r="S25" s="4432"/>
      <c r="T25" s="646"/>
      <c r="U25" s="3604" t="s">
        <v>1713</v>
      </c>
      <c r="V25" s="4516" t="s">
        <v>1714</v>
      </c>
      <c r="W25" s="4516"/>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c r="A26" s="586"/>
      <c r="B26" s="595"/>
      <c r="C26" s="4481"/>
      <c r="D26" s="4482"/>
      <c r="E26" s="4482"/>
      <c r="F26" s="4483"/>
      <c r="G26" s="4484"/>
      <c r="H26" s="4484"/>
      <c r="I26" s="4484"/>
      <c r="J26" s="4485"/>
      <c r="K26" s="646"/>
      <c r="L26" s="4499"/>
      <c r="M26" s="631" t="s">
        <v>1777</v>
      </c>
      <c r="N26" s="632">
        <f>Principal!J62-Principal!I62+IF('Tablas Sheele'!F$165&gt;0,50,0)</f>
        <v>30</v>
      </c>
      <c r="O26" s="646"/>
      <c r="P26" s="646"/>
      <c r="Q26" s="646"/>
      <c r="R26" s="646"/>
      <c r="S26" s="562"/>
      <c r="T26" s="646"/>
      <c r="U26" s="3429"/>
      <c r="V26" s="3356" t="s">
        <v>1716</v>
      </c>
      <c r="W26" s="3356"/>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c r="A27" s="586"/>
      <c r="B27" s="595"/>
      <c r="C27" s="4511"/>
      <c r="D27" s="4512"/>
      <c r="E27" s="4512"/>
      <c r="F27" s="4513"/>
      <c r="G27" s="4484"/>
      <c r="H27" s="4484"/>
      <c r="I27" s="4484"/>
      <c r="J27" s="4485"/>
      <c r="K27" s="646"/>
      <c r="L27" s="646"/>
      <c r="M27" s="646"/>
      <c r="N27" s="646"/>
      <c r="O27" s="646"/>
      <c r="P27" s="4464" t="s">
        <v>1678</v>
      </c>
      <c r="Q27" s="4465"/>
      <c r="R27" s="4465"/>
      <c r="S27" s="4466"/>
      <c r="T27" s="646"/>
      <c r="U27" s="3429"/>
      <c r="V27" s="3356" t="s">
        <v>1719</v>
      </c>
      <c r="W27" s="3356"/>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c r="A28" s="586"/>
      <c r="B28" s="595"/>
      <c r="C28" s="4511"/>
      <c r="D28" s="4512"/>
      <c r="E28" s="4512"/>
      <c r="F28" s="4513"/>
      <c r="G28" s="4484"/>
      <c r="H28" s="4484"/>
      <c r="I28" s="4484"/>
      <c r="J28" s="4485"/>
      <c r="K28" s="646"/>
      <c r="L28" s="646"/>
      <c r="M28" s="646"/>
      <c r="N28" s="646"/>
      <c r="O28" s="646"/>
      <c r="P28" s="4508"/>
      <c r="Q28" s="4509"/>
      <c r="R28" s="4509"/>
      <c r="S28" s="4510"/>
      <c r="T28" s="646"/>
      <c r="U28" s="3429"/>
      <c r="V28" s="3356" t="s">
        <v>1723</v>
      </c>
      <c r="W28" s="3356"/>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c r="A29" s="586"/>
      <c r="B29" s="595"/>
      <c r="C29" s="4511"/>
      <c r="D29" s="4517"/>
      <c r="E29" s="4517"/>
      <c r="F29" s="4518"/>
      <c r="G29" s="4519"/>
      <c r="H29" s="4484"/>
      <c r="I29" s="4484"/>
      <c r="J29" s="4485"/>
      <c r="K29" s="646"/>
      <c r="L29" s="646"/>
      <c r="M29" s="646"/>
      <c r="N29" s="646"/>
      <c r="O29" s="646"/>
      <c r="P29" s="4520">
        <f>IF('Tablas Sheele'!F107&gt;0, N21*4, N21*2)+IF('Tablas Sheele'!F149&gt;0,250,0)</f>
        <v>60</v>
      </c>
      <c r="Q29" s="4521"/>
      <c r="R29" s="4526"/>
      <c r="S29" s="4527"/>
      <c r="T29" s="646"/>
      <c r="U29" s="3429"/>
      <c r="V29" s="3356" t="s">
        <v>1726</v>
      </c>
      <c r="W29" s="3356"/>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c r="A30" s="586"/>
      <c r="B30" s="595"/>
      <c r="C30" s="4511"/>
      <c r="D30" s="4517"/>
      <c r="E30" s="4517"/>
      <c r="F30" s="4518"/>
      <c r="G30" s="4519"/>
      <c r="H30" s="4484"/>
      <c r="I30" s="4484"/>
      <c r="J30" s="4485"/>
      <c r="K30" s="646"/>
      <c r="L30" s="4532" t="s">
        <v>1696</v>
      </c>
      <c r="M30" s="4533"/>
      <c r="N30" s="4534"/>
      <c r="O30" s="646"/>
      <c r="P30" s="4522"/>
      <c r="Q30" s="4523"/>
      <c r="R30" s="4528"/>
      <c r="S30" s="4529"/>
      <c r="T30" s="646"/>
      <c r="U30" s="3429"/>
      <c r="V30" s="3356" t="s">
        <v>1729</v>
      </c>
      <c r="W30" s="3356"/>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c r="A31" s="586"/>
      <c r="B31" s="595"/>
      <c r="C31" s="4511"/>
      <c r="D31" s="4517"/>
      <c r="E31" s="4517"/>
      <c r="F31" s="4518"/>
      <c r="G31" s="1533"/>
      <c r="H31" s="1533"/>
      <c r="I31" s="1533"/>
      <c r="J31" s="1534"/>
      <c r="K31" s="646"/>
      <c r="L31" s="4539">
        <f>G9</f>
        <v>5</v>
      </c>
      <c r="M31" s="4547" t="s">
        <v>1893</v>
      </c>
      <c r="N31" s="4548"/>
      <c r="O31" s="646"/>
      <c r="P31" s="4522"/>
      <c r="Q31" s="4523"/>
      <c r="R31" s="4528"/>
      <c r="S31" s="4529"/>
      <c r="T31" s="646"/>
      <c r="U31" s="3430"/>
      <c r="V31" s="4506" t="s">
        <v>7752</v>
      </c>
      <c r="W31" s="4507"/>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c r="A32" s="586"/>
      <c r="B32" s="595"/>
      <c r="C32" s="4549" t="s">
        <v>3285</v>
      </c>
      <c r="D32" s="4550"/>
      <c r="E32" s="4550"/>
      <c r="F32" s="4550"/>
      <c r="G32" s="4550"/>
      <c r="H32" s="4550"/>
      <c r="I32" s="4550"/>
      <c r="J32" s="633">
        <f>COUNTBLANK(E33:E36)+COUNTBLANK(G33:G36)+COUNTBLANK(I33:I36)+COUNTBLANK(C33:C36)-16+'Tablas Sheele'!F109</f>
        <v>0</v>
      </c>
      <c r="K32" s="646"/>
      <c r="L32" s="4539"/>
      <c r="M32" s="4547" t="str">
        <f>IF(L31&lt;1,"",VLOOKUP(L31,Tabla_TipoMovimiento,2,FALSE))</f>
        <v>20 m / asalto</v>
      </c>
      <c r="N32" s="4548"/>
      <c r="O32" s="646"/>
      <c r="P32" s="4524"/>
      <c r="Q32" s="4525"/>
      <c r="R32" s="4530"/>
      <c r="S32" s="4531"/>
      <c r="T32" s="646"/>
      <c r="U32" s="3429" t="s">
        <v>1732</v>
      </c>
      <c r="V32" s="3356" t="s">
        <v>1733</v>
      </c>
      <c r="W32" s="3356"/>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c r="A33" s="586"/>
      <c r="B33" s="595"/>
      <c r="C33" s="4551"/>
      <c r="D33" s="4552"/>
      <c r="E33" s="4553"/>
      <c r="F33" s="4552"/>
      <c r="G33" s="4553"/>
      <c r="H33" s="4552"/>
      <c r="I33" s="4553"/>
      <c r="J33" s="4554"/>
      <c r="K33" s="646"/>
      <c r="L33" s="4535">
        <f>IF('Tablas Sheele'!F117&gt;0,14,VLOOKUP(D40,'Tablas Sheele'!C204:M243,10,FALSE))</f>
        <v>6</v>
      </c>
      <c r="M33" s="4537" t="s">
        <v>1945</v>
      </c>
      <c r="N33" s="4538"/>
      <c r="O33" s="646"/>
      <c r="P33" s="646"/>
      <c r="Q33" s="646"/>
      <c r="R33" s="646"/>
      <c r="S33" s="562"/>
      <c r="T33" s="646"/>
      <c r="U33" s="3429"/>
      <c r="V33" s="3356" t="s">
        <v>1735</v>
      </c>
      <c r="W33" s="3356"/>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c r="A34" s="586"/>
      <c r="B34" s="634"/>
      <c r="C34" s="4511"/>
      <c r="D34" s="4518"/>
      <c r="E34" s="4540"/>
      <c r="F34" s="4518"/>
      <c r="G34" s="4540"/>
      <c r="H34" s="4518"/>
      <c r="I34" s="4540"/>
      <c r="J34" s="4541"/>
      <c r="K34" s="646"/>
      <c r="L34" s="4536"/>
      <c r="M34" s="4542" t="str">
        <f>IF(L33&lt;1,"",VLOOKUP(L33,Tabla_TipoMovimiento,2,FALSE))</f>
        <v>22 m / asalto</v>
      </c>
      <c r="N34" s="4543"/>
      <c r="O34" s="646"/>
      <c r="P34" s="4544" t="s">
        <v>1677</v>
      </c>
      <c r="Q34" s="4545"/>
      <c r="R34" s="4545"/>
      <c r="S34" s="4546"/>
      <c r="T34" s="646"/>
      <c r="U34" s="3429"/>
      <c r="V34" s="3356" t="s">
        <v>1738</v>
      </c>
      <c r="W34" s="3356"/>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c r="A35" s="586"/>
      <c r="B35" s="634"/>
      <c r="C35" s="4511"/>
      <c r="D35" s="4518"/>
      <c r="E35" s="4540"/>
      <c r="F35" s="4518"/>
      <c r="G35" s="4540"/>
      <c r="H35" s="4518"/>
      <c r="I35" s="4540"/>
      <c r="J35" s="4541"/>
      <c r="K35" s="646"/>
      <c r="L35" s="4539" t="str">
        <f>IF('Tablas Sheele'!F128&gt;0,15,IF(D5='Tablas Sheele'!C6,10,IF('Tablas Sheele'!F153&gt;0,L31,"-")))</f>
        <v>-</v>
      </c>
      <c r="M35" s="4547" t="str">
        <f>IF(D5='Tablas Sheele'!C6,"Acuático",IF('Tablas Sheele'!F153&gt;0,"Subterráneo","Otros"))</f>
        <v>Otros</v>
      </c>
      <c r="N35" s="4548"/>
      <c r="O35" s="646"/>
      <c r="P35" s="4555">
        <f>VLOOKUP(G10,Tablas!C37:G65,2)</f>
        <v>0</v>
      </c>
      <c r="Q35" s="4557" t="str">
        <f>IF(D5='Tablas Sheele'!C11,"5 PV / asalto",IF('Tablas Sheele'!F132&gt;0,"10 PV / asalto",VLOOKUP(P35,Tablas!D38:G65,2)))</f>
        <v>Ninguna</v>
      </c>
      <c r="R35" s="4558"/>
      <c r="S35" s="4559"/>
      <c r="T35" s="646"/>
      <c r="U35" s="3429"/>
      <c r="V35" s="3356" t="s">
        <v>1740</v>
      </c>
      <c r="W35" s="3356"/>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c r="A36" s="586"/>
      <c r="B36" s="634"/>
      <c r="C36" s="4560"/>
      <c r="D36" s="4561"/>
      <c r="E36" s="4562"/>
      <c r="F36" s="4561"/>
      <c r="G36" s="4562"/>
      <c r="H36" s="4561"/>
      <c r="I36" s="4562"/>
      <c r="J36" s="4563"/>
      <c r="K36" s="646"/>
      <c r="L36" s="4569"/>
      <c r="M36" s="4564" t="str">
        <f>IF(L35="-","-",VLOOKUP(L33,Tabla_TipoMovimiento,2,FALSE))</f>
        <v>-</v>
      </c>
      <c r="N36" s="4565"/>
      <c r="O36" s="646"/>
      <c r="P36" s="4556"/>
      <c r="Q36" s="4566" t="str">
        <f>VLOOKUP(P35,Tablas!D38:G65,4)</f>
        <v>Ninguna</v>
      </c>
      <c r="R36" s="4567"/>
      <c r="S36" s="4568"/>
      <c r="T36" s="646"/>
      <c r="U36" s="3429"/>
      <c r="V36" s="3356" t="s">
        <v>1085</v>
      </c>
      <c r="W36" s="3356"/>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429"/>
      <c r="V37" s="3356" t="s">
        <v>1086</v>
      </c>
      <c r="W37" s="3356"/>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c r="A38" s="586"/>
      <c r="B38" s="634"/>
      <c r="C38" s="4475" t="s">
        <v>3287</v>
      </c>
      <c r="D38" s="4476"/>
      <c r="E38" s="4476"/>
      <c r="F38" s="4476"/>
      <c r="G38" s="4476"/>
      <c r="H38" s="4476"/>
      <c r="I38" s="4476"/>
      <c r="J38" s="4476"/>
      <c r="K38" s="4476"/>
      <c r="L38" s="4476"/>
      <c r="M38" s="4476"/>
      <c r="N38" s="4476"/>
      <c r="O38" s="4476"/>
      <c r="P38" s="4476"/>
      <c r="Q38" s="4476"/>
      <c r="R38" s="4476"/>
      <c r="S38" s="4477"/>
      <c r="T38" s="646"/>
      <c r="U38" s="3429"/>
      <c r="V38" s="4506" t="s">
        <v>1087</v>
      </c>
      <c r="W38" s="4507"/>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c r="A39" s="586"/>
      <c r="B39" s="634"/>
      <c r="C39" s="4573" t="s">
        <v>3288</v>
      </c>
      <c r="D39" s="4574"/>
      <c r="E39" s="637" t="s">
        <v>3099</v>
      </c>
      <c r="F39" s="1535" t="s">
        <v>3289</v>
      </c>
      <c r="G39" s="637" t="s">
        <v>1882</v>
      </c>
      <c r="H39" s="4514" t="s">
        <v>1861</v>
      </c>
      <c r="I39" s="4575"/>
      <c r="J39" s="4575"/>
      <c r="K39" s="4575"/>
      <c r="L39" s="4575"/>
      <c r="M39" s="4575"/>
      <c r="N39" s="4575"/>
      <c r="O39" s="4575"/>
      <c r="P39" s="4575"/>
      <c r="Q39" s="4575"/>
      <c r="R39" s="4575"/>
      <c r="S39" s="4576"/>
      <c r="T39" s="646"/>
      <c r="U39" s="3604" t="s">
        <v>1741</v>
      </c>
      <c r="V39" s="3356" t="s">
        <v>1742</v>
      </c>
      <c r="W39" s="3356"/>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c r="A40" s="586"/>
      <c r="B40" s="634"/>
      <c r="C40" s="638"/>
      <c r="D40" s="1323" t="str">
        <f>VLOOKUP($D$5,'Tablas Sheele'!$C$204:$J$243,ROW()-37,FALSE)</f>
        <v>Vuelo  Místico 6</v>
      </c>
      <c r="E40" s="1540" t="str">
        <f>IF($D40=" ","","-")</f>
        <v>-</v>
      </c>
      <c r="F40" s="1540" t="str">
        <f>IF($D40=" ","","-")</f>
        <v>-</v>
      </c>
      <c r="G40" s="639" t="str">
        <f>IF($D40=" ","","-")</f>
        <v>-</v>
      </c>
      <c r="H40" s="4577" t="str">
        <f>IF(D40=" ","",VLOOKUP(D40,'Tablas Sheele'!$C$204:$J$243,3,FALSE))</f>
        <v>Puede volar con Tipo de Movimiento 6</v>
      </c>
      <c r="I40" s="4578"/>
      <c r="J40" s="4578"/>
      <c r="K40" s="4578"/>
      <c r="L40" s="4578"/>
      <c r="M40" s="4578"/>
      <c r="N40" s="4578"/>
      <c r="O40" s="4578"/>
      <c r="P40" s="4578"/>
      <c r="Q40" s="4578"/>
      <c r="R40" s="4578"/>
      <c r="S40" s="4579"/>
      <c r="T40" s="646"/>
      <c r="U40" s="3429"/>
      <c r="V40" s="3356" t="s">
        <v>1743</v>
      </c>
      <c r="W40" s="3356"/>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c r="A41" s="586"/>
      <c r="B41" s="634"/>
      <c r="C41" s="640"/>
      <c r="D41" s="1324" t="str">
        <f>VLOOKUP($D$5,'Tablas Sheele'!$C$204:$J$243,ROW()-37,FALSE)</f>
        <v>Visión de Luz</v>
      </c>
      <c r="E41" s="1325" t="str">
        <f>IF($D41=" ","","-")</f>
        <v>-</v>
      </c>
      <c r="F41" s="1325" t="str">
        <f>IF($D41=" ","",IF(D41='Tablas Sheele'!C216,Sheele!N10,"-"))</f>
        <v>-</v>
      </c>
      <c r="G41" s="641" t="str">
        <f>IF($D41=" ","","-")</f>
        <v>-</v>
      </c>
      <c r="H41" s="4594" t="str">
        <f>IF(D41=" ","",VLOOKUP(D41,'Tablas Sheele'!$C$204:$J$243,3,FALSE))</f>
        <v>Mientras esté en una zona iluminada, siente todo lo que le rodea (visión extrasensorial).</v>
      </c>
      <c r="I41" s="4595"/>
      <c r="J41" s="4595"/>
      <c r="K41" s="4595"/>
      <c r="L41" s="4595"/>
      <c r="M41" s="4595"/>
      <c r="N41" s="4595"/>
      <c r="O41" s="4595"/>
      <c r="P41" s="4595"/>
      <c r="Q41" s="4595"/>
      <c r="R41" s="4595"/>
      <c r="S41" s="4596"/>
      <c r="T41" s="646"/>
      <c r="U41" s="3430"/>
      <c r="V41" s="4506" t="s">
        <v>1744</v>
      </c>
      <c r="W41" s="4507"/>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c r="A42" s="586"/>
      <c r="B42" s="634"/>
      <c r="C42" s="640"/>
      <c r="D42" s="1324" t="str">
        <f>VLOOKUP($D$5,'Tablas Sheele'!$C$204:$J$243,ROW()-37,FALSE)</f>
        <v>Luminosa</v>
      </c>
      <c r="E42" s="1325" t="str">
        <f>IF($D42=" ","","-")</f>
        <v>-</v>
      </c>
      <c r="F42" s="1325" t="str">
        <f>IF($D42=" ","","-")</f>
        <v>-</v>
      </c>
      <c r="G42" s="641" t="str">
        <f>IF($D42=" ","","-")</f>
        <v>-</v>
      </c>
      <c r="H42" s="4594" t="str">
        <f>IF(D42=" ","",VLOOKUP(D42,'Tablas Sheele'!$C$204:$J$243,3,FALSE))</f>
        <v>A voluntad puede emitir una tenue luz que ilumina 5m de radio.</v>
      </c>
      <c r="I42" s="4595"/>
      <c r="J42" s="4595"/>
      <c r="K42" s="4595"/>
      <c r="L42" s="4595"/>
      <c r="M42" s="4595"/>
      <c r="N42" s="4595"/>
      <c r="O42" s="4595"/>
      <c r="P42" s="4595"/>
      <c r="Q42" s="4595"/>
      <c r="R42" s="4595"/>
      <c r="S42" s="4596"/>
      <c r="T42" s="646"/>
      <c r="U42" s="3429" t="s">
        <v>1745</v>
      </c>
      <c r="V42" s="3356" t="s">
        <v>1746</v>
      </c>
      <c r="W42" s="3356"/>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c r="A43" s="586"/>
      <c r="B43" s="595"/>
      <c r="C43" s="1327"/>
      <c r="D43" s="1326" t="str">
        <f>VLOOKUP($D$5,'Tablas Sheele'!$C$204:$J$243,ROW()-37,FALSE)</f>
        <v xml:space="preserve"> </v>
      </c>
      <c r="E43" s="642" t="str">
        <f>IF($D43=" ","","-")</f>
        <v/>
      </c>
      <c r="F43" s="642" t="str">
        <f>IF($D43=" ","","-")</f>
        <v/>
      </c>
      <c r="G43" s="643" t="str">
        <f>IF($D43=" ","","-")</f>
        <v/>
      </c>
      <c r="H43" s="4570" t="str">
        <f>IF(D43=" ","",VLOOKUP(D43,'Tablas Sheele'!$C$204:$J$243,3,FALSE))</f>
        <v/>
      </c>
      <c r="I43" s="4571"/>
      <c r="J43" s="4571"/>
      <c r="K43" s="4571"/>
      <c r="L43" s="4571"/>
      <c r="M43" s="4571"/>
      <c r="N43" s="4571"/>
      <c r="O43" s="4571"/>
      <c r="P43" s="4571"/>
      <c r="Q43" s="4571"/>
      <c r="R43" s="4571"/>
      <c r="S43" s="4572"/>
      <c r="T43" s="646"/>
      <c r="U43" s="3429"/>
      <c r="V43" s="3356" t="str">
        <f>IF($D$5='Tablas Sheele'!$C$8,"Ciencia (geología)","Ciencia")</f>
        <v>Ciencia</v>
      </c>
      <c r="W43" s="3356"/>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c r="A44" s="586"/>
      <c r="B44" s="595"/>
      <c r="C44" s="4580" t="str">
        <f>IF(COUNTA($C$43:C43)&lt;'Tablas Sheele'!$H$199,VLOOKUP('Tablas Sheele'!A1,'Tablas Sheele'!$B$111:$R$198,2,FALSE),"")</f>
        <v/>
      </c>
      <c r="D44" s="4581"/>
      <c r="E44" s="1540" t="str">
        <f>IF($C44="","",VLOOKUP('Tablas Sheele'!$A1,'Tablas Sheele'!$B$111:$R198,8,FALSE))</f>
        <v/>
      </c>
      <c r="F44" s="1540" t="str">
        <f>IF($C44="","",VLOOKUP('Tablas Sheele'!$A1,'Tablas Sheele'!$B$111:$R198,9,FALSE))</f>
        <v/>
      </c>
      <c r="G44" s="639" t="str">
        <f>IF($C44="","",VLOOKUP('Tablas Sheele'!$A1,'Tablas Sheele'!$B$111:$R198,10,FALSE))</f>
        <v/>
      </c>
      <c r="H44" s="4585" t="str">
        <f>IF($C44="","",VLOOKUP('Tablas Sheele'!$A1,'Tablas Sheele'!$B$111:$R198,11,FALSE))</f>
        <v/>
      </c>
      <c r="I44" s="4586"/>
      <c r="J44" s="4586"/>
      <c r="K44" s="4586"/>
      <c r="L44" s="4586"/>
      <c r="M44" s="4586"/>
      <c r="N44" s="4586"/>
      <c r="O44" s="4586"/>
      <c r="P44" s="4586"/>
      <c r="Q44" s="4586"/>
      <c r="R44" s="4586"/>
      <c r="S44" s="4587"/>
      <c r="T44" s="646"/>
      <c r="U44" s="3429"/>
      <c r="V44" s="3356" t="s">
        <v>2991</v>
      </c>
      <c r="W44" s="3356"/>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c r="A45" s="586"/>
      <c r="B45" s="595"/>
      <c r="C45" s="4580" t="str">
        <f>IF(COUNTA($C$43:C44)&lt;'Tablas Sheele'!$H$199,VLOOKUP('Tablas Sheele'!A2,'Tablas Sheele'!$B$111:$R$198,2,FALSE),"")</f>
        <v/>
      </c>
      <c r="D45" s="4581"/>
      <c r="E45" s="1325" t="str">
        <f>IF($C45="","",VLOOKUP('Tablas Sheele'!$A2,'Tablas Sheele'!$B$111:$R199,8,FALSE))</f>
        <v/>
      </c>
      <c r="F45" s="1325" t="str">
        <f>IF($C45="","",VLOOKUP('Tablas Sheele'!$A2,'Tablas Sheele'!$B$111:$R199,9,FALSE))</f>
        <v/>
      </c>
      <c r="G45" s="641" t="str">
        <f>IF($C45="","",VLOOKUP('Tablas Sheele'!$A2,'Tablas Sheele'!$B$111:$R199,10,FALSE))</f>
        <v/>
      </c>
      <c r="H45" s="4582" t="str">
        <f>IF($C45="","",VLOOKUP('Tablas Sheele'!$A2,'Tablas Sheele'!$B$111:$R199,11,FALSE))</f>
        <v/>
      </c>
      <c r="I45" s="4583"/>
      <c r="J45" s="4583"/>
      <c r="K45" s="4583"/>
      <c r="L45" s="4583"/>
      <c r="M45" s="4583"/>
      <c r="N45" s="4583"/>
      <c r="O45" s="4583"/>
      <c r="P45" s="4583"/>
      <c r="Q45" s="4583"/>
      <c r="R45" s="4583"/>
      <c r="S45" s="4584"/>
      <c r="T45" s="646"/>
      <c r="U45" s="3429"/>
      <c r="V45" s="3356" t="s">
        <v>1748</v>
      </c>
      <c r="W45" s="3356"/>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c r="A46" s="586"/>
      <c r="B46" s="595"/>
      <c r="C46" s="4580" t="str">
        <f>IF(COUNTA($C$43:C45)&lt;'Tablas Sheele'!$H$199,VLOOKUP('Tablas Sheele'!A3,'Tablas Sheele'!$B$111:$R$198,2,FALSE),"")</f>
        <v/>
      </c>
      <c r="D46" s="4581"/>
      <c r="E46" s="1325" t="str">
        <f>IF($C46="","",VLOOKUP('Tablas Sheele'!$A3,'Tablas Sheele'!$B$111:$R200,8,FALSE))</f>
        <v/>
      </c>
      <c r="F46" s="1325" t="str">
        <f>IF($C46="","",VLOOKUP('Tablas Sheele'!$A3,'Tablas Sheele'!$B$111:$R200,9,FALSE))</f>
        <v/>
      </c>
      <c r="G46" s="641" t="str">
        <f>IF($C46="","",VLOOKUP('Tablas Sheele'!$A3,'Tablas Sheele'!$B$111:$R200,10,FALSE))</f>
        <v/>
      </c>
      <c r="H46" s="4582" t="str">
        <f>IF($C46="","",VLOOKUP('Tablas Sheele'!$A3,'Tablas Sheele'!$B$111:$R200,11,FALSE))</f>
        <v/>
      </c>
      <c r="I46" s="4583"/>
      <c r="J46" s="4583"/>
      <c r="K46" s="4583"/>
      <c r="L46" s="4583"/>
      <c r="M46" s="4583"/>
      <c r="N46" s="4583"/>
      <c r="O46" s="4583"/>
      <c r="P46" s="4583"/>
      <c r="Q46" s="4583"/>
      <c r="R46" s="4583"/>
      <c r="S46" s="4584"/>
      <c r="T46" s="646"/>
      <c r="U46" s="3429"/>
      <c r="V46" s="3356" t="s">
        <v>1750</v>
      </c>
      <c r="W46" s="3356"/>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c r="A47" s="586"/>
      <c r="B47" s="595"/>
      <c r="C47" s="4580" t="str">
        <f>IF(COUNTA($C$43:C46)&lt;'Tablas Sheele'!$H$199,VLOOKUP('Tablas Sheele'!A4,'Tablas Sheele'!$B$111:$R$198,2,FALSE),"")</f>
        <v/>
      </c>
      <c r="D47" s="4581"/>
      <c r="E47" s="1325" t="str">
        <f>IF($C47="","",VLOOKUP('Tablas Sheele'!$A4,'Tablas Sheele'!$B$111:$R201,8,FALSE))</f>
        <v/>
      </c>
      <c r="F47" s="1325" t="str">
        <f>IF($C47="","",VLOOKUP('Tablas Sheele'!$A4,'Tablas Sheele'!$B$111:$R201,9,FALSE))</f>
        <v/>
      </c>
      <c r="G47" s="641" t="str">
        <f>IF($C47="","",VLOOKUP('Tablas Sheele'!$A4,'Tablas Sheele'!$B$111:$R201,10,FALSE))</f>
        <v/>
      </c>
      <c r="H47" s="4582" t="str">
        <f>IF($C47="","",VLOOKUP('Tablas Sheele'!$A4,'Tablas Sheele'!$B$111:$R201,11,FALSE))</f>
        <v/>
      </c>
      <c r="I47" s="4583"/>
      <c r="J47" s="4583"/>
      <c r="K47" s="4583"/>
      <c r="L47" s="4583"/>
      <c r="M47" s="4583"/>
      <c r="N47" s="4583"/>
      <c r="O47" s="4583"/>
      <c r="P47" s="4583"/>
      <c r="Q47" s="4583"/>
      <c r="R47" s="4583"/>
      <c r="S47" s="4584"/>
      <c r="T47" s="646"/>
      <c r="U47" s="3429"/>
      <c r="V47" s="3356" t="s">
        <v>1088</v>
      </c>
      <c r="W47" s="3356"/>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c r="A48" s="586"/>
      <c r="B48" s="595"/>
      <c r="C48" s="4580" t="str">
        <f>IF(COUNTA($C$43:C47)&lt;'Tablas Sheele'!$H$199,VLOOKUP('Tablas Sheele'!A5,'Tablas Sheele'!$B$111:$R$198,2,FALSE),"")</f>
        <v/>
      </c>
      <c r="D48" s="4581"/>
      <c r="E48" s="1325" t="str">
        <f>IF($C48="","",VLOOKUP('Tablas Sheele'!$A5,'Tablas Sheele'!$B$111:$R202,8,FALSE))</f>
        <v/>
      </c>
      <c r="F48" s="1325" t="str">
        <f>IF($C48="","",VLOOKUP('Tablas Sheele'!$A5,'Tablas Sheele'!$B$111:$R202,9,FALSE))</f>
        <v/>
      </c>
      <c r="G48" s="641" t="str">
        <f>IF($C48="","",VLOOKUP('Tablas Sheele'!$A5,'Tablas Sheele'!$B$111:$R202,10,FALSE))</f>
        <v/>
      </c>
      <c r="H48" s="4582" t="str">
        <f>IF($C48="","",VLOOKUP('Tablas Sheele'!$A5,'Tablas Sheele'!$B$111:$R202,11,FALSE))</f>
        <v/>
      </c>
      <c r="I48" s="4583"/>
      <c r="J48" s="4583"/>
      <c r="K48" s="4583"/>
      <c r="L48" s="4583"/>
      <c r="M48" s="4583"/>
      <c r="N48" s="4583"/>
      <c r="O48" s="4583"/>
      <c r="P48" s="4583"/>
      <c r="Q48" s="4583"/>
      <c r="R48" s="4583"/>
      <c r="S48" s="4584"/>
      <c r="T48" s="646"/>
      <c r="U48" s="3429"/>
      <c r="V48" s="3356" t="s">
        <v>1753</v>
      </c>
      <c r="W48" s="3356"/>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c r="A49" s="586"/>
      <c r="B49" s="595"/>
      <c r="C49" s="4580" t="str">
        <f>IF(COUNTA($C$43:C48)&lt;'Tablas Sheele'!$H$199,VLOOKUP('Tablas Sheele'!A6,'Tablas Sheele'!$B$111:$R$198,2,FALSE),"")</f>
        <v/>
      </c>
      <c r="D49" s="4581"/>
      <c r="E49" s="1325" t="str">
        <f>IF($C49="","",VLOOKUP('Tablas Sheele'!$A6,'Tablas Sheele'!$B$111:$R203,8,FALSE))</f>
        <v/>
      </c>
      <c r="F49" s="1325" t="str">
        <f>IF($C49="","",VLOOKUP('Tablas Sheele'!$A6,'Tablas Sheele'!$B$111:$R203,9,FALSE))</f>
        <v/>
      </c>
      <c r="G49" s="641" t="str">
        <f>IF($C49="","",VLOOKUP('Tablas Sheele'!$A6,'Tablas Sheele'!$B$111:$R203,10,FALSE))</f>
        <v/>
      </c>
      <c r="H49" s="4582" t="str">
        <f>IF($C49="","",VLOOKUP('Tablas Sheele'!$A6,'Tablas Sheele'!$B$111:$R203,11,FALSE))</f>
        <v/>
      </c>
      <c r="I49" s="4583"/>
      <c r="J49" s="4583"/>
      <c r="K49" s="4583"/>
      <c r="L49" s="4583"/>
      <c r="M49" s="4583"/>
      <c r="N49" s="4583"/>
      <c r="O49" s="4583"/>
      <c r="P49" s="4583"/>
      <c r="Q49" s="4583"/>
      <c r="R49" s="4583"/>
      <c r="S49" s="4584"/>
      <c r="T49" s="646"/>
      <c r="U49" s="3429"/>
      <c r="V49" s="3356" t="s">
        <v>1754</v>
      </c>
      <c r="W49" s="3356"/>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c r="A50" s="586"/>
      <c r="B50" s="595"/>
      <c r="C50" s="4580" t="str">
        <f>IF(COUNTA($C$43:C49)&lt;'Tablas Sheele'!$H$199,VLOOKUP('Tablas Sheele'!A7,'Tablas Sheele'!$B$111:$R$198,2,FALSE),"")</f>
        <v/>
      </c>
      <c r="D50" s="4581"/>
      <c r="E50" s="1325" t="str">
        <f>IF($C50="","",VLOOKUP('Tablas Sheele'!$A7,'Tablas Sheele'!$B$111:$R204,8,FALSE))</f>
        <v/>
      </c>
      <c r="F50" s="1325" t="str">
        <f>IF($C50="","",VLOOKUP('Tablas Sheele'!$A7,'Tablas Sheele'!$B$111:$R204,9,FALSE))</f>
        <v/>
      </c>
      <c r="G50" s="641" t="str">
        <f>IF($C50="","",VLOOKUP('Tablas Sheele'!$A7,'Tablas Sheele'!$B$111:$R204,10,FALSE))</f>
        <v/>
      </c>
      <c r="H50" s="4582" t="str">
        <f>IF($C50="","",VLOOKUP('Tablas Sheele'!$A7,'Tablas Sheele'!$B$111:$R204,11,FALSE))</f>
        <v/>
      </c>
      <c r="I50" s="4583"/>
      <c r="J50" s="4583"/>
      <c r="K50" s="4583"/>
      <c r="L50" s="4583"/>
      <c r="M50" s="4583"/>
      <c r="N50" s="4583"/>
      <c r="O50" s="4583"/>
      <c r="P50" s="4583"/>
      <c r="Q50" s="4583"/>
      <c r="R50" s="4583"/>
      <c r="S50" s="4584"/>
      <c r="T50" s="646"/>
      <c r="U50" s="3429"/>
      <c r="V50" s="3356" t="s">
        <v>1755</v>
      </c>
      <c r="W50" s="3356"/>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c r="A51" s="586"/>
      <c r="B51" s="595"/>
      <c r="C51" s="4580" t="str">
        <f>IF(COUNTA($C$43:C50)&lt;'Tablas Sheele'!$H$199,VLOOKUP('Tablas Sheele'!A8,'Tablas Sheele'!$B$111:$R$198,2,FALSE),"")</f>
        <v/>
      </c>
      <c r="D51" s="4581"/>
      <c r="E51" s="1325" t="str">
        <f>IF($C51="","",VLOOKUP('Tablas Sheele'!$A8,'Tablas Sheele'!$B$111:$R205,8,FALSE))</f>
        <v/>
      </c>
      <c r="F51" s="1325" t="str">
        <f>IF($C51="","",VLOOKUP('Tablas Sheele'!$A8,'Tablas Sheele'!$B$111:$R205,9,FALSE))</f>
        <v/>
      </c>
      <c r="G51" s="641" t="str">
        <f>IF($C51="","",VLOOKUP('Tablas Sheele'!$A8,'Tablas Sheele'!$B$111:$R205,10,FALSE))</f>
        <v/>
      </c>
      <c r="H51" s="4582" t="str">
        <f>IF($C51="","",VLOOKUP('Tablas Sheele'!$A8,'Tablas Sheele'!$B$111:$R205,11,FALSE))</f>
        <v/>
      </c>
      <c r="I51" s="4583"/>
      <c r="J51" s="4583"/>
      <c r="K51" s="4583"/>
      <c r="L51" s="4583"/>
      <c r="M51" s="4583"/>
      <c r="N51" s="4583"/>
      <c r="O51" s="4583"/>
      <c r="P51" s="4583"/>
      <c r="Q51" s="4583"/>
      <c r="R51" s="4583"/>
      <c r="S51" s="4584"/>
      <c r="T51" s="646"/>
      <c r="U51" s="3429"/>
      <c r="V51" s="3356" t="s">
        <v>1756</v>
      </c>
      <c r="W51" s="3356"/>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c r="A52" s="586"/>
      <c r="B52" s="595"/>
      <c r="C52" s="4573" t="s">
        <v>3060</v>
      </c>
      <c r="D52" s="4588"/>
      <c r="E52" s="4589" t="s">
        <v>1861</v>
      </c>
      <c r="F52" s="4590"/>
      <c r="G52" s="4590"/>
      <c r="H52" s="4590"/>
      <c r="I52" s="4590"/>
      <c r="J52" s="4590"/>
      <c r="K52" s="4590"/>
      <c r="L52" s="4590"/>
      <c r="M52" s="4590"/>
      <c r="N52" s="4590"/>
      <c r="O52" s="4590"/>
      <c r="P52" s="4590"/>
      <c r="Q52" s="4590"/>
      <c r="R52" s="4590"/>
      <c r="S52" s="4591"/>
      <c r="T52" s="646"/>
      <c r="U52" s="3429"/>
      <c r="V52" s="3356" t="s">
        <v>1757</v>
      </c>
      <c r="W52" s="3356"/>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c r="A53" s="586"/>
      <c r="B53" s="595"/>
      <c r="C53" s="4597" t="str">
        <f>IF(COUNTA($C$52:C52)&lt;'Tablas Sheele'!$H$110+1,VLOOKUP('Tablas Sheele'!A1,'Tablas Sheele'!$B$91:$C$109,2,FALSE),"")</f>
        <v/>
      </c>
      <c r="D53" s="4598"/>
      <c r="E53" s="4586" t="str">
        <f>IF($C53="","",VLOOKUP(C53,'Tablas Sheele'!C92:Q109,10,FALSE))</f>
        <v/>
      </c>
      <c r="F53" s="4586"/>
      <c r="G53" s="4586"/>
      <c r="H53" s="4586"/>
      <c r="I53" s="4586"/>
      <c r="J53" s="4586"/>
      <c r="K53" s="4586"/>
      <c r="L53" s="4586"/>
      <c r="M53" s="4586"/>
      <c r="N53" s="4586"/>
      <c r="O53" s="4586"/>
      <c r="P53" s="4586"/>
      <c r="Q53" s="4586"/>
      <c r="R53" s="4586"/>
      <c r="S53" s="4587"/>
      <c r="T53" s="646"/>
      <c r="U53" s="3429"/>
      <c r="V53" s="4506" t="s">
        <v>1758</v>
      </c>
      <c r="W53" s="4507"/>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c r="A54" s="586"/>
      <c r="B54" s="595"/>
      <c r="C54" s="4599" t="str">
        <f>IF(COUNTA($C$52:C53)&lt;'Tablas Sheele'!$H$110+1,VLOOKUP('Tablas Sheele'!A2,'Tablas Sheele'!$B$91:$C$109,2,FALSE),"")</f>
        <v/>
      </c>
      <c r="D54" s="4600"/>
      <c r="E54" s="4583" t="str">
        <f>IF($C54="","",VLOOKUP(C54,'Tablas Sheele'!C93:Q110,10,FALSE))</f>
        <v/>
      </c>
      <c r="F54" s="4583"/>
      <c r="G54" s="4583"/>
      <c r="H54" s="4583"/>
      <c r="I54" s="4583"/>
      <c r="J54" s="4583"/>
      <c r="K54" s="4583"/>
      <c r="L54" s="4583"/>
      <c r="M54" s="4583"/>
      <c r="N54" s="4583"/>
      <c r="O54" s="4583"/>
      <c r="P54" s="4583"/>
      <c r="Q54" s="4583"/>
      <c r="R54" s="4583"/>
      <c r="S54" s="4584"/>
      <c r="T54" s="646"/>
      <c r="U54" s="3604" t="s">
        <v>1759</v>
      </c>
      <c r="V54" s="3356" t="s">
        <v>1760</v>
      </c>
      <c r="W54" s="3356"/>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c r="A55" s="586"/>
      <c r="B55" s="595"/>
      <c r="C55" s="4599" t="str">
        <f>IF(COUNTA($C$52:C54)&lt;'Tablas Sheele'!$H$110+1,VLOOKUP('Tablas Sheele'!A3,'Tablas Sheele'!$B$91:$C$109,2,FALSE),"")</f>
        <v/>
      </c>
      <c r="D55" s="4600"/>
      <c r="E55" s="4583" t="str">
        <f>IF($C55="","",VLOOKUP(C55,'Tablas Sheele'!C94:Q111,10,FALSE))</f>
        <v/>
      </c>
      <c r="F55" s="4583"/>
      <c r="G55" s="4583"/>
      <c r="H55" s="4583"/>
      <c r="I55" s="4583"/>
      <c r="J55" s="4583"/>
      <c r="K55" s="4583"/>
      <c r="L55" s="4583"/>
      <c r="M55" s="4583"/>
      <c r="N55" s="4583"/>
      <c r="O55" s="4583"/>
      <c r="P55" s="4583"/>
      <c r="Q55" s="4583"/>
      <c r="R55" s="4583"/>
      <c r="S55" s="4584"/>
      <c r="T55" s="646"/>
      <c r="U55" s="3429"/>
      <c r="V55" s="3356" t="s">
        <v>1761</v>
      </c>
      <c r="W55" s="3356"/>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c r="A56" s="586"/>
      <c r="B56" s="595"/>
      <c r="C56" s="4599" t="str">
        <f>IF(COUNTA($C$52:C55)&lt;'Tablas Sheele'!$H$110+1,VLOOKUP('Tablas Sheele'!A4,'Tablas Sheele'!$B$91:$C$109,2,FALSE),"")</f>
        <v/>
      </c>
      <c r="D56" s="4600"/>
      <c r="E56" s="4583" t="str">
        <f>IF($C56="","",VLOOKUP(C56,'Tablas Sheele'!C95:Q112,10,FALSE))</f>
        <v/>
      </c>
      <c r="F56" s="4583"/>
      <c r="G56" s="4583"/>
      <c r="H56" s="4583"/>
      <c r="I56" s="4583"/>
      <c r="J56" s="4583"/>
      <c r="K56" s="4583"/>
      <c r="L56" s="4583"/>
      <c r="M56" s="4583"/>
      <c r="N56" s="4583"/>
      <c r="O56" s="4583"/>
      <c r="P56" s="4583"/>
      <c r="Q56" s="4583"/>
      <c r="R56" s="4583"/>
      <c r="S56" s="4584"/>
      <c r="T56" s="646"/>
      <c r="U56" s="3430"/>
      <c r="V56" s="4506" t="s">
        <v>1764</v>
      </c>
      <c r="W56" s="4507"/>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c r="A57" s="586"/>
      <c r="B57" s="595"/>
      <c r="C57" s="4599" t="str">
        <f>IF(COUNTA($C$52:C56)&lt;'Tablas Sheele'!$H$110+1,VLOOKUP('Tablas Sheele'!A5,'Tablas Sheele'!$B$91:$C$109,2,FALSE),"")</f>
        <v/>
      </c>
      <c r="D57" s="4600"/>
      <c r="E57" s="4583" t="str">
        <f>IF($C57="","",VLOOKUP(C57,'Tablas Sheele'!C96:Q113,10,FALSE))</f>
        <v/>
      </c>
      <c r="F57" s="4583"/>
      <c r="G57" s="4583"/>
      <c r="H57" s="4583"/>
      <c r="I57" s="4583"/>
      <c r="J57" s="4583"/>
      <c r="K57" s="4583"/>
      <c r="L57" s="4583"/>
      <c r="M57" s="4583"/>
      <c r="N57" s="4583"/>
      <c r="O57" s="4583"/>
      <c r="P57" s="4583"/>
      <c r="Q57" s="4583"/>
      <c r="R57" s="4583"/>
      <c r="S57" s="4584"/>
      <c r="T57" s="646"/>
      <c r="U57" s="3429" t="s">
        <v>1767</v>
      </c>
      <c r="V57" s="3356" t="s">
        <v>1768</v>
      </c>
      <c r="W57" s="3356"/>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c r="A58" s="586"/>
      <c r="B58" s="595"/>
      <c r="C58" s="4599" t="str">
        <f>IF(COUNTA($C$52:C57)&lt;'Tablas Sheele'!$H$110+1,VLOOKUP('Tablas Sheele'!A6,'Tablas Sheele'!$B$91:$C$109,2,FALSE),"")</f>
        <v/>
      </c>
      <c r="D58" s="4600"/>
      <c r="E58" s="4583" t="str">
        <f>IF($C58="","",VLOOKUP(C58,'Tablas Sheele'!C97:Q114,10,FALSE))</f>
        <v/>
      </c>
      <c r="F58" s="4583"/>
      <c r="G58" s="4583"/>
      <c r="H58" s="4583"/>
      <c r="I58" s="4583"/>
      <c r="J58" s="4583"/>
      <c r="K58" s="4583"/>
      <c r="L58" s="4583"/>
      <c r="M58" s="4583"/>
      <c r="N58" s="4583"/>
      <c r="O58" s="4583"/>
      <c r="P58" s="4583"/>
      <c r="Q58" s="4583"/>
      <c r="R58" s="4583"/>
      <c r="S58" s="4584"/>
      <c r="T58" s="646"/>
      <c r="U58" s="3429"/>
      <c r="V58" s="3356" t="s">
        <v>1770</v>
      </c>
      <c r="W58" s="3356"/>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c r="A59" s="586"/>
      <c r="B59" s="595"/>
      <c r="C59" s="4599" t="str">
        <f>IF(COUNTA($C$52:C58)&lt;'Tablas Sheele'!$H$110+1,VLOOKUP('Tablas Sheele'!A7,'Tablas Sheele'!$B$91:$C$109,2,FALSE),"")</f>
        <v/>
      </c>
      <c r="D59" s="4600"/>
      <c r="E59" s="4583" t="str">
        <f>IF($C59="","",VLOOKUP(C59,'Tablas Sheele'!C98:Q115,10,FALSE))</f>
        <v/>
      </c>
      <c r="F59" s="4583"/>
      <c r="G59" s="4583"/>
      <c r="H59" s="4583"/>
      <c r="I59" s="4583"/>
      <c r="J59" s="4583"/>
      <c r="K59" s="4583"/>
      <c r="L59" s="4583"/>
      <c r="M59" s="4583"/>
      <c r="N59" s="4583"/>
      <c r="O59" s="4583"/>
      <c r="P59" s="4583"/>
      <c r="Q59" s="4583"/>
      <c r="R59" s="4583"/>
      <c r="S59" s="4584"/>
      <c r="T59" s="646"/>
      <c r="U59" s="3429"/>
      <c r="V59" s="3356" t="s">
        <v>1772</v>
      </c>
      <c r="W59" s="3356"/>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c r="A60" s="586"/>
      <c r="B60" s="595"/>
      <c r="C60" s="4599" t="str">
        <f>IF(COUNTA($C$52:C59)&lt;'Tablas Sheele'!$H$110+1,VLOOKUP('Tablas Sheele'!A8,'Tablas Sheele'!$B$91:$C$109,2,FALSE),"")</f>
        <v/>
      </c>
      <c r="D60" s="4600"/>
      <c r="E60" s="4583" t="str">
        <f>IF($C60="","",VLOOKUP(C60,'Tablas Sheele'!C99:Q116,10,FALSE))</f>
        <v/>
      </c>
      <c r="F60" s="4583"/>
      <c r="G60" s="4583"/>
      <c r="H60" s="4583"/>
      <c r="I60" s="4583"/>
      <c r="J60" s="4583"/>
      <c r="K60" s="4583"/>
      <c r="L60" s="4583"/>
      <c r="M60" s="4583"/>
      <c r="N60" s="4583"/>
      <c r="O60" s="4583"/>
      <c r="P60" s="4583"/>
      <c r="Q60" s="4583"/>
      <c r="R60" s="4583"/>
      <c r="S60" s="4584"/>
      <c r="T60" s="646"/>
      <c r="U60" s="3429"/>
      <c r="V60" s="3356" t="s">
        <v>1774</v>
      </c>
      <c r="W60" s="3356"/>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c r="A61" s="586"/>
      <c r="B61" s="595"/>
      <c r="C61" s="4599" t="str">
        <f>IF(COUNTA($C$52:C60)&lt;'Tablas Sheele'!$H$110+1,VLOOKUP('Tablas Sheele'!A9,'Tablas Sheele'!$B$91:$C$109,2,FALSE),"")</f>
        <v/>
      </c>
      <c r="D61" s="4600"/>
      <c r="E61" s="4583" t="str">
        <f>IF($C61="","",VLOOKUP(C61,'Tablas Sheele'!C100:Q117,10,FALSE))</f>
        <v/>
      </c>
      <c r="F61" s="4583"/>
      <c r="G61" s="4583"/>
      <c r="H61" s="4583"/>
      <c r="I61" s="4583"/>
      <c r="J61" s="4583"/>
      <c r="K61" s="4583"/>
      <c r="L61" s="4583"/>
      <c r="M61" s="4583"/>
      <c r="N61" s="4583"/>
      <c r="O61" s="4583"/>
      <c r="P61" s="4583"/>
      <c r="Q61" s="4583"/>
      <c r="R61" s="4583"/>
      <c r="S61" s="4584"/>
      <c r="T61" s="646"/>
      <c r="U61" s="3429"/>
      <c r="V61" s="3356" t="s">
        <v>1776</v>
      </c>
      <c r="W61" s="3356"/>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c r="A62" s="586"/>
      <c r="B62" s="595"/>
      <c r="C62" s="4605" t="str">
        <f>IF(COUNTA($C$52:C61)&lt;'Tablas Sheele'!$H$110+1,VLOOKUP('Tablas Sheele'!A10,'Tablas Sheele'!$B$91:$C$109,2,FALSE),"")</f>
        <v/>
      </c>
      <c r="D62" s="4606"/>
      <c r="E62" s="4601" t="str">
        <f>IF($C62="","",VLOOKUP(C62,'Tablas Sheele'!C101:Q118,10,FALSE))</f>
        <v/>
      </c>
      <c r="F62" s="4601"/>
      <c r="G62" s="4601"/>
      <c r="H62" s="4601"/>
      <c r="I62" s="4601"/>
      <c r="J62" s="4601"/>
      <c r="K62" s="4601"/>
      <c r="L62" s="4601"/>
      <c r="M62" s="4601"/>
      <c r="N62" s="4601"/>
      <c r="O62" s="4601"/>
      <c r="P62" s="4601"/>
      <c r="Q62" s="4601"/>
      <c r="R62" s="4601"/>
      <c r="S62" s="4602"/>
      <c r="T62" s="646"/>
      <c r="U62" s="3429"/>
      <c r="V62" s="3356" t="s">
        <v>1778</v>
      </c>
      <c r="W62" s="3356"/>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429"/>
      <c r="V63" s="4506" t="s">
        <v>1779</v>
      </c>
      <c r="W63" s="4507"/>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604" t="s">
        <v>1780</v>
      </c>
      <c r="V64" s="3356" t="s">
        <v>1781</v>
      </c>
      <c r="W64" s="3356"/>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429"/>
      <c r="V65" s="3356" t="s">
        <v>1782</v>
      </c>
      <c r="W65" s="3356"/>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429"/>
      <c r="V66" s="3356" t="s">
        <v>1783</v>
      </c>
      <c r="W66" s="3356"/>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429"/>
      <c r="V67" s="3356" t="s">
        <v>1082</v>
      </c>
      <c r="W67" s="3356"/>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429"/>
      <c r="V68" s="3356" t="s">
        <v>1083</v>
      </c>
      <c r="W68" s="3356"/>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429"/>
      <c r="V69" s="3356" t="s">
        <v>1084</v>
      </c>
      <c r="W69" s="3356"/>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429"/>
      <c r="V70" s="3356" t="s">
        <v>1784</v>
      </c>
      <c r="W70" s="3356"/>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429"/>
      <c r="V71" s="3356" t="s">
        <v>1787</v>
      </c>
      <c r="W71" s="3356"/>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429"/>
      <c r="V72" s="3356" t="s">
        <v>7753</v>
      </c>
      <c r="W72" s="3356"/>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429"/>
      <c r="V73" s="3356" t="s">
        <v>7754</v>
      </c>
      <c r="W73" s="3356"/>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429"/>
      <c r="V74" s="3356" t="s">
        <v>7755</v>
      </c>
      <c r="W74" s="3356"/>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430"/>
      <c r="V75" s="4592" t="s">
        <v>7756</v>
      </c>
      <c r="W75" s="4593"/>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429" t="s">
        <v>1788</v>
      </c>
      <c r="V76" s="3356" t="str">
        <f>IF(PDs!P180="","-",PDs!P180)</f>
        <v>-</v>
      </c>
      <c r="W76" s="3356"/>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429"/>
      <c r="V77" s="3356" t="str">
        <f>IF(PDs!P181="","-",PDs!P181)</f>
        <v>-</v>
      </c>
      <c r="W77" s="3356"/>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429"/>
      <c r="V78" s="3356" t="str">
        <f>IF(PDs!P182="","-",PDs!P182)</f>
        <v>-</v>
      </c>
      <c r="W78" s="3356"/>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429"/>
      <c r="V79" s="3356" t="str">
        <f>IF(PDs!P183="","-",PDs!P183)</f>
        <v>-</v>
      </c>
      <c r="W79" s="3356"/>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553"/>
      <c r="V80" s="3554" t="str">
        <f>IF(PDs!P184="","-",PDs!P184)</f>
        <v>-</v>
      </c>
      <c r="W80" s="3554"/>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455" priority="54" stopIfTrue="1" operator="lessThan">
      <formula>0</formula>
    </cfRule>
  </conditionalFormatting>
  <conditionalFormatting sqref="Z23">
    <cfRule type="cellIs" dxfId="454" priority="4" stopIfTrue="1" operator="lessThan">
      <formula>0</formula>
    </cfRule>
  </conditionalFormatting>
  <conditionalFormatting sqref="J32">
    <cfRule type="cellIs" dxfId="453" priority="1777" operator="greaterThan">
      <formula>$U$4+1</formula>
    </cfRule>
    <cfRule type="cellIs" dxfId="452" priority="1778" stopIfTrue="1" operator="lessThan">
      <formula>0</formula>
    </cfRule>
  </conditionalFormatting>
  <conditionalFormatting sqref="U12:V12">
    <cfRule type="expression" dxfId="451" priority="1779" stopIfTrue="1">
      <formula>AND(ISNUMBER($U$12),$U$12&gt;$U$4+3)</formula>
    </cfRule>
  </conditionalFormatting>
  <conditionalFormatting sqref="Y25:Y80">
    <cfRule type="cellIs" dxfId="45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c r="A3" s="173"/>
      <c r="B3" s="1672"/>
      <c r="C3" s="3304"/>
      <c r="D3" s="3304"/>
      <c r="E3" s="3304"/>
      <c r="F3" s="3304"/>
      <c r="G3" s="3304"/>
      <c r="H3" s="3304"/>
      <c r="I3" s="9"/>
      <c r="J3" s="9"/>
      <c r="K3" s="9"/>
      <c r="L3" s="9"/>
      <c r="M3" s="9"/>
      <c r="N3" s="9"/>
      <c r="O3" s="9"/>
      <c r="P3" s="9"/>
      <c r="Q3" s="10"/>
      <c r="R3" s="68"/>
      <c r="S3" s="56"/>
      <c r="T3" s="56"/>
      <c r="U3" s="1672"/>
      <c r="V3" s="4628"/>
      <c r="W3" s="4629"/>
      <c r="X3" s="4629"/>
      <c r="Y3" s="4629"/>
      <c r="Z3" s="4629"/>
      <c r="AA3" s="4629"/>
      <c r="AB3" s="1556"/>
      <c r="AC3" s="1556"/>
      <c r="AD3" s="1556"/>
      <c r="AE3" s="1556"/>
      <c r="AF3" s="1556"/>
      <c r="AG3" s="1556"/>
      <c r="AH3" s="1556"/>
      <c r="AI3" s="1556"/>
      <c r="AJ3" s="1556"/>
      <c r="AK3" s="1558"/>
      <c r="AL3" s="2438"/>
      <c r="AM3" s="1842"/>
      <c r="AN3" s="2309"/>
      <c r="AO3" s="2309"/>
      <c r="AP3" s="2309"/>
      <c r="AQ3" s="2309"/>
      <c r="AR3" s="1753"/>
    </row>
    <row r="4" spans="1:44" ht="12" customHeight="1" thickBot="1">
      <c r="A4" s="173"/>
      <c r="B4" s="1672"/>
      <c r="C4" s="3304"/>
      <c r="D4" s="3304"/>
      <c r="E4" s="3304"/>
      <c r="F4" s="3304"/>
      <c r="G4" s="3304"/>
      <c r="H4" s="3304"/>
      <c r="I4" s="12"/>
      <c r="J4" s="3223" t="s">
        <v>1625</v>
      </c>
      <c r="K4" s="3223"/>
      <c r="L4" s="3224" t="str">
        <f>IF(OR(General!$G$22="",General!$G$22=0),"",General!$G$22)</f>
        <v/>
      </c>
      <c r="M4" s="3224"/>
      <c r="N4" s="3224"/>
      <c r="O4" s="3224"/>
      <c r="P4" s="3224"/>
      <c r="Q4" s="13"/>
      <c r="R4" s="68"/>
      <c r="S4" s="56"/>
      <c r="T4" s="56"/>
      <c r="U4" s="1672"/>
      <c r="V4" s="4630"/>
      <c r="W4" s="3304"/>
      <c r="X4" s="3304"/>
      <c r="Y4" s="3304"/>
      <c r="Z4" s="3304"/>
      <c r="AA4" s="3304"/>
      <c r="AB4" s="12"/>
      <c r="AC4" s="3223" t="s">
        <v>1625</v>
      </c>
      <c r="AD4" s="3223"/>
      <c r="AE4" s="3224" t="str">
        <f>IF(OR(General!$G$22="",General!$G$22=0),"",General!$G$22)</f>
        <v/>
      </c>
      <c r="AF4" s="3224"/>
      <c r="AG4" s="3224"/>
      <c r="AH4" s="3224"/>
      <c r="AI4" s="3224"/>
      <c r="AJ4" s="2028"/>
      <c r="AK4" s="1905"/>
      <c r="AL4" s="2438"/>
      <c r="AM4" s="1842"/>
      <c r="AN4" s="2309"/>
      <c r="AO4" s="2309"/>
      <c r="AP4" s="3121"/>
      <c r="AQ4" s="3121"/>
      <c r="AR4" s="1753"/>
    </row>
    <row r="5" spans="1:44" ht="12" customHeight="1" thickBot="1">
      <c r="A5" s="173"/>
      <c r="B5" s="1672"/>
      <c r="C5" s="3304"/>
      <c r="D5" s="3304"/>
      <c r="E5" s="3304"/>
      <c r="F5" s="3304"/>
      <c r="G5" s="3304"/>
      <c r="H5" s="3304"/>
      <c r="I5" s="12"/>
      <c r="J5" s="3300" t="s">
        <v>1626</v>
      </c>
      <c r="K5" s="3300"/>
      <c r="L5" s="3301" t="str">
        <f>Principal!$L$5</f>
        <v>Guerrero</v>
      </c>
      <c r="M5" s="3301"/>
      <c r="N5" s="3301"/>
      <c r="O5" s="14" t="s">
        <v>1627</v>
      </c>
      <c r="P5" s="15" t="str">
        <f>Principal!$P$5</f>
        <v>1 + 2</v>
      </c>
      <c r="Q5" s="16"/>
      <c r="R5" s="68"/>
      <c r="S5" s="56"/>
      <c r="T5" s="56"/>
      <c r="U5" s="1672"/>
      <c r="V5" s="4630"/>
      <c r="W5" s="3304"/>
      <c r="X5" s="3304"/>
      <c r="Y5" s="3304"/>
      <c r="Z5" s="3304"/>
      <c r="AA5" s="3304"/>
      <c r="AB5" s="12"/>
      <c r="AC5" s="3300" t="s">
        <v>1626</v>
      </c>
      <c r="AD5" s="3300"/>
      <c r="AE5" s="3301" t="str">
        <f>Principal!$L$5</f>
        <v>Guerrero</v>
      </c>
      <c r="AF5" s="3301"/>
      <c r="AG5" s="3301"/>
      <c r="AH5" s="14" t="s">
        <v>1627</v>
      </c>
      <c r="AI5" s="15" t="str">
        <f>Principal!$P$5</f>
        <v>1 + 2</v>
      </c>
      <c r="AJ5" s="12"/>
      <c r="AK5" s="1906"/>
      <c r="AL5" s="2438"/>
      <c r="AM5" s="1842"/>
      <c r="AN5" s="331"/>
      <c r="AO5" s="331"/>
      <c r="AP5" s="3142"/>
      <c r="AQ5" s="3142"/>
      <c r="AR5" s="1753"/>
    </row>
    <row r="6" spans="1:44" ht="12" customHeight="1" thickBot="1">
      <c r="A6" s="173"/>
      <c r="B6" s="1672"/>
      <c r="C6" s="3304"/>
      <c r="D6" s="3304"/>
      <c r="E6" s="3304"/>
      <c r="F6" s="3304"/>
      <c r="G6" s="3304"/>
      <c r="H6" s="3304"/>
      <c r="I6" s="12"/>
      <c r="J6" s="3302" t="s">
        <v>2114</v>
      </c>
      <c r="K6" s="3302"/>
      <c r="L6" s="3302"/>
      <c r="M6" s="3302"/>
      <c r="N6" s="3302"/>
      <c r="O6" s="3302"/>
      <c r="P6" s="3302"/>
      <c r="Q6" s="16"/>
      <c r="R6" s="68"/>
      <c r="S6" s="56"/>
      <c r="T6" s="56"/>
      <c r="U6" s="1672"/>
      <c r="V6" s="4630"/>
      <c r="W6" s="3304"/>
      <c r="X6" s="3304"/>
      <c r="Y6" s="3304"/>
      <c r="Z6" s="3304"/>
      <c r="AA6" s="3304"/>
      <c r="AB6" s="12"/>
      <c r="AC6" s="3302" t="s">
        <v>2115</v>
      </c>
      <c r="AD6" s="3302"/>
      <c r="AE6" s="3302"/>
      <c r="AF6" s="3302"/>
      <c r="AG6" s="3302"/>
      <c r="AH6" s="3302"/>
      <c r="AI6" s="3302"/>
      <c r="AJ6" s="12"/>
      <c r="AK6" s="1906"/>
      <c r="AL6" s="2438"/>
      <c r="AM6" s="1842"/>
      <c r="AN6" s="146"/>
      <c r="AO6" s="146"/>
      <c r="AP6" s="3143"/>
      <c r="AQ6" s="3143"/>
      <c r="AR6" s="1753"/>
    </row>
    <row r="7" spans="1:44" ht="12" customHeight="1" thickBot="1">
      <c r="A7" s="173"/>
      <c r="B7" s="1672"/>
      <c r="C7" s="3304"/>
      <c r="D7" s="3304"/>
      <c r="E7" s="3304"/>
      <c r="F7" s="3304"/>
      <c r="G7" s="3304"/>
      <c r="H7" s="3304"/>
      <c r="I7" s="12"/>
      <c r="J7" s="3302"/>
      <c r="K7" s="3302"/>
      <c r="L7" s="3302"/>
      <c r="M7" s="3302"/>
      <c r="N7" s="3302"/>
      <c r="O7" s="3302"/>
      <c r="P7" s="3302"/>
      <c r="Q7" s="16"/>
      <c r="R7" s="68"/>
      <c r="S7" s="56"/>
      <c r="T7" s="56"/>
      <c r="U7" s="1672"/>
      <c r="V7" s="4630"/>
      <c r="W7" s="3304"/>
      <c r="X7" s="3304"/>
      <c r="Y7" s="3304"/>
      <c r="Z7" s="3304"/>
      <c r="AA7" s="3304"/>
      <c r="AB7" s="12"/>
      <c r="AC7" s="3302"/>
      <c r="AD7" s="3302"/>
      <c r="AE7" s="3302"/>
      <c r="AF7" s="3302"/>
      <c r="AG7" s="3302"/>
      <c r="AH7" s="3302"/>
      <c r="AI7" s="3302"/>
      <c r="AJ7" s="12"/>
      <c r="AK7" s="1906"/>
      <c r="AL7" s="2438"/>
      <c r="AM7" s="1842"/>
      <c r="AN7" s="331"/>
      <c r="AO7" s="331"/>
      <c r="AP7" s="3142"/>
      <c r="AQ7" s="3142"/>
      <c r="AR7" s="1753"/>
    </row>
    <row r="8" spans="1:44" ht="12" customHeight="1" thickBot="1">
      <c r="A8" s="173"/>
      <c r="B8" s="1672"/>
      <c r="C8" s="3304"/>
      <c r="D8" s="3304"/>
      <c r="E8" s="3304"/>
      <c r="F8" s="3304"/>
      <c r="G8" s="3304"/>
      <c r="H8" s="3304"/>
      <c r="I8" s="17"/>
      <c r="J8" s="17"/>
      <c r="K8" s="17"/>
      <c r="L8" s="17"/>
      <c r="M8" s="17"/>
      <c r="N8" s="17"/>
      <c r="O8" s="17"/>
      <c r="P8" s="17"/>
      <c r="Q8" s="18"/>
      <c r="R8" s="68"/>
      <c r="S8" s="56"/>
      <c r="T8" s="56"/>
      <c r="U8" s="1672"/>
      <c r="V8" s="4631"/>
      <c r="W8" s="4632"/>
      <c r="X8" s="4632"/>
      <c r="Y8" s="4632"/>
      <c r="Z8" s="4632"/>
      <c r="AA8" s="4632"/>
      <c r="AB8" s="1909"/>
      <c r="AC8" s="1909"/>
      <c r="AD8" s="1909"/>
      <c r="AE8" s="1909"/>
      <c r="AF8" s="1909"/>
      <c r="AG8" s="1909"/>
      <c r="AH8" s="1909"/>
      <c r="AI8" s="1909"/>
      <c r="AJ8" s="1909"/>
      <c r="AK8" s="1910"/>
      <c r="AL8" s="2438"/>
      <c r="AM8" s="1842"/>
      <c r="AN8" s="146"/>
      <c r="AO8" s="146"/>
      <c r="AP8" s="3143"/>
      <c r="AQ8" s="3143"/>
      <c r="AR8" s="1753"/>
    </row>
    <row r="9" spans="1:44" ht="12" customHeight="1" thickBot="1">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c r="A10" s="173"/>
      <c r="B10" s="1672"/>
      <c r="C10" s="4633" t="s">
        <v>2116</v>
      </c>
      <c r="D10" s="4633"/>
      <c r="E10" s="4633"/>
      <c r="F10" s="4633"/>
      <c r="G10" s="30"/>
      <c r="H10" s="3281" t="s">
        <v>2117</v>
      </c>
      <c r="I10" s="3281"/>
      <c r="J10" s="3281"/>
      <c r="K10" s="3281"/>
      <c r="L10" s="313" t="s">
        <v>2118</v>
      </c>
      <c r="M10" s="2653"/>
      <c r="N10" s="67"/>
      <c r="O10" s="3281" t="s">
        <v>2119</v>
      </c>
      <c r="P10" s="3281"/>
      <c r="Q10" s="3281"/>
      <c r="R10" s="68"/>
      <c r="S10" s="56"/>
      <c r="T10" s="56"/>
      <c r="U10" s="1672"/>
      <c r="V10" s="3377" t="s">
        <v>2120</v>
      </c>
      <c r="W10" s="3378"/>
      <c r="X10" s="3378"/>
      <c r="Y10" s="3378"/>
      <c r="Z10" s="3378"/>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38" t="s">
        <v>9952</v>
      </c>
      <c r="AE10" s="4042"/>
      <c r="AF10" s="4042"/>
      <c r="AG10" s="4042"/>
      <c r="AH10" s="4039"/>
      <c r="AI10" s="4607" t="s">
        <v>1540</v>
      </c>
      <c r="AJ10" s="4608"/>
      <c r="AK10" s="4609"/>
      <c r="AL10" s="2438"/>
      <c r="AM10" s="1842"/>
      <c r="AN10" s="3146"/>
      <c r="AO10" s="4616" t="s">
        <v>8799</v>
      </c>
      <c r="AP10" s="4617"/>
      <c r="AQ10" s="3147"/>
      <c r="AR10" s="3157" t="s">
        <v>1687</v>
      </c>
    </row>
    <row r="11" spans="1:44" ht="12" customHeight="1">
      <c r="A11" s="173"/>
      <c r="B11" s="1672"/>
      <c r="C11" s="4653" t="s">
        <v>2122</v>
      </c>
      <c r="D11" s="4653"/>
      <c r="E11" s="3323" t="s">
        <v>2123</v>
      </c>
      <c r="F11" s="3323"/>
      <c r="G11" s="67"/>
      <c r="H11" s="4644">
        <f>IF(VOL=0,0,VLOOKUP(VOL,Tabla_PotPsi,2))+IF(M10=0,0,VLOOKUP(M10,Tabla_PotPsitporCV,2))+J13+IF(Bono_ATA&lt;0,Bono_ATA,0)</f>
        <v>0</v>
      </c>
      <c r="I11" s="4644"/>
      <c r="J11" s="315" t="str">
        <f>IF(J13=0,"","Sumar")</f>
        <v/>
      </c>
      <c r="K11" s="315" t="str">
        <f>IF(J13=0,"",TRUNC(J13/5,0))</f>
        <v/>
      </c>
      <c r="L11" s="4640" t="str">
        <f>IF(J13=0,"","a la Fatiga")</f>
        <v/>
      </c>
      <c r="M11" s="4640"/>
      <c r="N11" s="67"/>
      <c r="O11" s="316" t="s">
        <v>1702</v>
      </c>
      <c r="P11" s="2657" t="s">
        <v>1880</v>
      </c>
      <c r="Q11" s="21" t="s">
        <v>2012</v>
      </c>
      <c r="R11" s="68"/>
      <c r="S11" s="56"/>
      <c r="T11" s="56"/>
      <c r="U11" s="1836">
        <f>IF(V11=0,0,1)</f>
        <v>0</v>
      </c>
      <c r="V11" s="4634"/>
      <c r="W11" s="4635"/>
      <c r="X11" s="4635"/>
      <c r="Y11" s="4635"/>
      <c r="Z11" s="4635"/>
      <c r="AA11" s="4656"/>
      <c r="AB11" s="4626" t="str">
        <f>IF(AA11=0,"",IF(AA11*10&lt;100,AA11*10,100))</f>
        <v/>
      </c>
      <c r="AC11" s="96"/>
      <c r="AD11" s="4634"/>
      <c r="AE11" s="4635"/>
      <c r="AF11" s="4635"/>
      <c r="AG11" s="4635"/>
      <c r="AH11" s="4635"/>
      <c r="AI11" s="4610" t="str">
        <f>IF(AD11="","-",IF(AL11="-","Ventaja no escogida",IF(INDEX(Tabla_Dificultades,MATCH(AL11,INDEX(Tabla_Dificultades,,2),0),1)&lt;INDEX(Tabla_Dificultades,MATCH(AL12,INDEX(Tabla_Dificultades,,2),0),1),"Poder no eligible",AL12)))</f>
        <v>-</v>
      </c>
      <c r="AJ11" s="4611"/>
      <c r="AK11" s="4612"/>
      <c r="AL11" s="2862" t="str">
        <f>IF(Tablas!$G$324&gt;0,"DIF",IF(Tablas!G325&gt;0,"MDIF",IF(Tablas!$G$326&gt;0,"ABS","-")))</f>
        <v>-</v>
      </c>
      <c r="AM11" s="1842"/>
      <c r="AN11" s="3146"/>
      <c r="AO11" s="4618"/>
      <c r="AP11" s="4619"/>
      <c r="AQ11" s="3145"/>
      <c r="AR11" s="3158" t="s">
        <v>1682</v>
      </c>
    </row>
    <row r="12" spans="1:44" ht="12" customHeight="1" thickBot="1">
      <c r="A12" s="173"/>
      <c r="B12" s="1672"/>
      <c r="C12" s="4641">
        <f>CV_final</f>
        <v>1</v>
      </c>
      <c r="D12" s="4641"/>
      <c r="E12" s="4642">
        <f>F18+F15+F16+F17+F19</f>
        <v>0</v>
      </c>
      <c r="F12" s="4642"/>
      <c r="G12" s="67"/>
      <c r="H12" s="4644"/>
      <c r="I12" s="4644"/>
      <c r="J12" s="4651" t="str">
        <f>IF(SUM(Tablas!$G$451:$G$463)+SUM(Tablas!$H$1337:$H$1349),"+1 grado: Des. Psíquico.","")</f>
        <v/>
      </c>
      <c r="K12" s="4651"/>
      <c r="L12" s="4651"/>
      <c r="M12" s="4651"/>
      <c r="N12" s="67"/>
      <c r="O12" s="4652">
        <f>Turno_Nat_final</f>
        <v>45</v>
      </c>
      <c r="P12" s="4643">
        <f>IF(PDs!E110="Tabla de Proyección Psíquica",Proyecciónpsíquica_final-PDs!V109+PDs!V22,Proyecciónpsíquica_final)</f>
        <v>0</v>
      </c>
      <c r="Q12" s="4655">
        <f>IF(PDs!E110="Tabla de Proyección Psíquica",Proyecciónpsíquica_final-PDs!V109+MAX(PDs!V23,PDs!V24),Proyecciónpsíquica_final)</f>
        <v>0</v>
      </c>
      <c r="R12" s="68"/>
      <c r="S12" s="56"/>
      <c r="T12" s="56"/>
      <c r="U12" s="1836"/>
      <c r="V12" s="4650" t="str">
        <f>IF(V11=0,"",VLOOKUP(V11,Tabla_PoderesPsi,2,FALSE))</f>
        <v/>
      </c>
      <c r="W12" s="3587"/>
      <c r="X12" s="3587"/>
      <c r="Y12" s="2650" t="s">
        <v>1627</v>
      </c>
      <c r="Z12" s="2655" t="str">
        <f>IF(V11=0,"",VLOOKUP(V11,Tabla_PoderesPsi,3,FALSE))</f>
        <v/>
      </c>
      <c r="AA12" s="4656"/>
      <c r="AB12" s="4626"/>
      <c r="AC12" s="96"/>
      <c r="AD12" s="4636" t="str">
        <f>IF(AD11=0,"",VLOOKUP(AD11,Tabla_PoderesPsi,2,FALSE))</f>
        <v/>
      </c>
      <c r="AE12" s="3590"/>
      <c r="AF12" s="3590"/>
      <c r="AG12" s="2652" t="s">
        <v>1627</v>
      </c>
      <c r="AH12" s="1262" t="str">
        <f>IF(AD11=0,"",VLOOKUP(AD11,Tabla_PoderesPsi,3,FALSE))</f>
        <v/>
      </c>
      <c r="AI12" s="4613"/>
      <c r="AJ12" s="4614"/>
      <c r="AK12" s="4615"/>
      <c r="AL12" s="2862" t="str">
        <f>IF(AD11="","",INDEX('Tablas psiquica'!$U$7:$U$145,MATCH(AD11,Poderes_psi,0)))</f>
        <v/>
      </c>
      <c r="AM12" s="1842"/>
      <c r="AN12" s="3148"/>
      <c r="AO12" s="4621" t="s">
        <v>1687</v>
      </c>
      <c r="AP12" s="4622"/>
      <c r="AQ12" s="3147"/>
      <c r="AR12" s="3158" t="s">
        <v>8800</v>
      </c>
    </row>
    <row r="13" spans="1:44" ht="12" customHeight="1" thickBot="1">
      <c r="A13" s="173"/>
      <c r="B13" s="1672"/>
      <c r="C13" s="4641"/>
      <c r="D13" s="4641"/>
      <c r="E13" s="4642"/>
      <c r="F13" s="4642"/>
      <c r="G13" s="67"/>
      <c r="H13" s="4654" t="s">
        <v>2124</v>
      </c>
      <c r="I13" s="4654"/>
      <c r="J13" s="90"/>
      <c r="K13" s="4657" t="s">
        <v>2125</v>
      </c>
      <c r="L13" s="4657"/>
      <c r="M13" s="317"/>
      <c r="N13" s="67"/>
      <c r="O13" s="4652"/>
      <c r="P13" s="4643"/>
      <c r="Q13" s="4655"/>
      <c r="R13" s="68"/>
      <c r="S13" s="56"/>
      <c r="T13" s="56"/>
      <c r="U13" s="1836">
        <f>IF(V13=0,0,1)</f>
        <v>0</v>
      </c>
      <c r="V13" s="4646"/>
      <c r="W13" s="4647"/>
      <c r="X13" s="4647"/>
      <c r="Y13" s="4647"/>
      <c r="Z13" s="4647"/>
      <c r="AA13" s="4648"/>
      <c r="AB13" s="4627"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c r="A14" s="173"/>
      <c r="B14" s="1672"/>
      <c r="C14" s="4637" t="s">
        <v>2126</v>
      </c>
      <c r="D14" s="4637"/>
      <c r="E14" s="4637"/>
      <c r="F14" s="318" t="s">
        <v>2121</v>
      </c>
      <c r="G14" s="67"/>
      <c r="H14" s="96"/>
      <c r="I14" s="96"/>
      <c r="J14" s="96"/>
      <c r="K14" s="96"/>
      <c r="L14" s="96"/>
      <c r="M14" s="96"/>
      <c r="N14" s="67"/>
      <c r="O14" s="67"/>
      <c r="P14" s="67"/>
      <c r="Q14" s="67"/>
      <c r="R14" s="68"/>
      <c r="S14" s="56"/>
      <c r="T14" s="56"/>
      <c r="U14" s="1836"/>
      <c r="V14" s="4638" t="str">
        <f>IF(V13=0,"",VLOOKUP(V13,Tabla_PoderesPsi,2,FALSE))</f>
        <v/>
      </c>
      <c r="W14" s="4639"/>
      <c r="X14" s="4639"/>
      <c r="Y14" s="2654" t="s">
        <v>1627</v>
      </c>
      <c r="Z14" s="2656" t="str">
        <f>IF(V13=0,"",VLOOKUP(V13,Tabla_PoderesPsi,3,FALSE))</f>
        <v/>
      </c>
      <c r="AA14" s="4648"/>
      <c r="AB14" s="4627"/>
      <c r="AC14" s="96"/>
      <c r="AD14" s="67"/>
      <c r="AE14" s="67"/>
      <c r="AF14" s="67"/>
      <c r="AG14" s="67"/>
      <c r="AH14" s="67"/>
      <c r="AI14" s="67"/>
      <c r="AJ14" s="67"/>
      <c r="AK14" s="96"/>
      <c r="AL14" s="3159" t="s">
        <v>8780</v>
      </c>
      <c r="AM14" s="1842"/>
      <c r="AN14" s="146"/>
      <c r="AO14" s="146"/>
      <c r="AP14" s="3143"/>
      <c r="AQ14" s="3143"/>
      <c r="AR14" s="1753"/>
    </row>
    <row r="15" spans="1:44" ht="12" customHeight="1" thickBot="1">
      <c r="A15" s="173"/>
      <c r="B15" s="1672"/>
      <c r="C15" s="3434" t="s">
        <v>2114</v>
      </c>
      <c r="D15" s="3434"/>
      <c r="E15" s="3434"/>
      <c r="F15" s="203">
        <f>IF(C25=0,0,1)+IF(C27=0,0,1)+IF(C29=0,0,1)+IF(C31=0,0,1)+IF(C33=0,0,1)+IF(C35=0,0,1)</f>
        <v>0</v>
      </c>
      <c r="G15" s="67"/>
      <c r="H15" s="3281" t="s">
        <v>2127</v>
      </c>
      <c r="I15" s="3281"/>
      <c r="J15" s="3281"/>
      <c r="K15" s="3281"/>
      <c r="L15" s="3281"/>
      <c r="M15" s="3281"/>
      <c r="N15" s="67"/>
      <c r="O15" s="3281" t="s">
        <v>2128</v>
      </c>
      <c r="P15" s="3281"/>
      <c r="Q15" s="3281"/>
      <c r="R15" s="68"/>
      <c r="S15" s="56"/>
      <c r="T15" s="56"/>
      <c r="U15" s="1836">
        <f>IF(V15=0,0,1)</f>
        <v>0</v>
      </c>
      <c r="V15" s="4634"/>
      <c r="W15" s="4635"/>
      <c r="X15" s="4635"/>
      <c r="Y15" s="4635"/>
      <c r="Z15" s="4635"/>
      <c r="AA15" s="4656"/>
      <c r="AB15" s="4626" t="str">
        <f>IF(AA15=0,"",IF(AA15*10&lt;100,AA15*10,100))</f>
        <v/>
      </c>
      <c r="AC15" s="96"/>
      <c r="AD15" s="4038" t="s">
        <v>8776</v>
      </c>
      <c r="AE15" s="4042"/>
      <c r="AF15" s="4042"/>
      <c r="AG15" s="4042"/>
      <c r="AH15" s="4039"/>
      <c r="AI15" s="2659" t="s">
        <v>2121</v>
      </c>
      <c r="AJ15" s="2659" t="s">
        <v>7879</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c r="A16" s="173"/>
      <c r="B16" s="1672"/>
      <c r="C16" s="4667" t="s">
        <v>2115</v>
      </c>
      <c r="D16" s="4667"/>
      <c r="E16" s="4667"/>
      <c r="F16" s="319">
        <f>SUM(U11:U63)</f>
        <v>0</v>
      </c>
      <c r="G16" s="320"/>
      <c r="H16" s="4658" t="s">
        <v>8781</v>
      </c>
      <c r="I16" s="4659">
        <f>F20-SUM(AI11:AI64)</f>
        <v>1</v>
      </c>
      <c r="J16" s="4661"/>
      <c r="K16" s="4661"/>
      <c r="L16" s="4661"/>
      <c r="M16" s="4661"/>
      <c r="N16" s="67"/>
      <c r="O16" s="3303" t="s">
        <v>2043</v>
      </c>
      <c r="P16" s="3303"/>
      <c r="Q16" s="314" t="s">
        <v>1676</v>
      </c>
      <c r="R16" s="68"/>
      <c r="S16" s="56"/>
      <c r="T16" s="56"/>
      <c r="U16" s="1836"/>
      <c r="V16" s="4650" t="str">
        <f>IF(V15=0,"",VLOOKUP(V15,Tabla_PoderesPsi,2,FALSE))</f>
        <v/>
      </c>
      <c r="W16" s="3587"/>
      <c r="X16" s="3587"/>
      <c r="Y16" s="2856" t="s">
        <v>1627</v>
      </c>
      <c r="Z16" s="2728" t="str">
        <f>IF(V15=0,"",VLOOKUP(V15,Tabla_PoderesPsi,3,FALSE))</f>
        <v/>
      </c>
      <c r="AA16" s="4656"/>
      <c r="AB16" s="4626"/>
      <c r="AC16" s="2259"/>
      <c r="AD16" s="4634"/>
      <c r="AE16" s="4635"/>
      <c r="AF16" s="4635"/>
      <c r="AG16" s="4635"/>
      <c r="AH16" s="4635"/>
      <c r="AI16" s="4649"/>
      <c r="AJ16" s="4663"/>
      <c r="AK16" s="4626" t="str">
        <f>IF(AD16&lt;&gt;"",INDEX(Tablas!$U$26:$U$38,MAX(1+MATCH(VLOOKUP(Psíquicos!$AD16,Tabla_PoderesPsi,18,FALSE),'Tablas psiquica'!I6:R6,0),MAX(SUMPRODUCT(--(Tablas!$T$26:$T$38&lt;=(AL16-20*AI16)))+IF(Tablas!$G$446&gt;0,1,0)+IF(COUNTIF($C$39:$E$50,"Introversión")&gt;0,1,0),SUMPRODUCT(--(Tablas!$T$26:$T$38&lt;=(AL16)))))),"")</f>
        <v/>
      </c>
      <c r="AL16" s="4620">
        <f>$H$11+IF(ISNA(VLOOKUP(AD16,$V$11:$AB$64,7,FALSE)),0,IF(VLOOKUP(AD16,$V$11:$AB$64,7,FALSE)="",0,VLOOKUP(AD16,$V$11:$AB$64,7,FALSE)))+AI16*20+AJ16</f>
        <v>0</v>
      </c>
      <c r="AM16" s="1842"/>
      <c r="AN16" s="146"/>
      <c r="AO16" s="146"/>
      <c r="AP16" s="3143"/>
      <c r="AQ16" s="3143"/>
      <c r="AR16" s="1753"/>
    </row>
    <row r="17" spans="1:43" ht="12" customHeight="1">
      <c r="A17" s="173"/>
      <c r="B17" s="1672"/>
      <c r="C17" s="4668" t="s">
        <v>2129</v>
      </c>
      <c r="D17" s="4668"/>
      <c r="E17" s="4668"/>
      <c r="F17" s="203">
        <f>SUM(AA11:AA64)</f>
        <v>0</v>
      </c>
      <c r="G17" s="67"/>
      <c r="H17" s="4658"/>
      <c r="I17" s="4660"/>
      <c r="J17" s="4661"/>
      <c r="K17" s="4661"/>
      <c r="L17" s="4661"/>
      <c r="M17" s="4661"/>
      <c r="N17" s="67"/>
      <c r="O17" s="4292" t="s">
        <v>2051</v>
      </c>
      <c r="P17" s="4292"/>
      <c r="Q17" s="321" t="str">
        <f>IF(OR(Tablas!G546&gt;0,Tablas!H1371&gt;0),"+0",IF(AND(Tablas!G444=0,Tablas!H1335=0),"+10","+20"))</f>
        <v>+10</v>
      </c>
      <c r="R17" s="68"/>
      <c r="S17" s="56"/>
      <c r="T17" s="56"/>
      <c r="U17" s="1836">
        <f>IF(V17=0,0,1)</f>
        <v>0</v>
      </c>
      <c r="V17" s="4646"/>
      <c r="W17" s="4647"/>
      <c r="X17" s="4647"/>
      <c r="Y17" s="4647"/>
      <c r="Z17" s="4647"/>
      <c r="AA17" s="4648"/>
      <c r="AB17" s="4627" t="str">
        <f>IF(AA17=0,"",IF(AA17*10&lt;100,AA17*10,100))</f>
        <v/>
      </c>
      <c r="AC17" s="2309"/>
      <c r="AD17" s="4650" t="str">
        <f>IF(AD16=0,"",VLOOKUP(AD16,Tabla_PoderesPsi,2,FALSE))</f>
        <v/>
      </c>
      <c r="AE17" s="3587"/>
      <c r="AF17" s="3587"/>
      <c r="AG17" s="2650" t="s">
        <v>1627</v>
      </c>
      <c r="AH17" s="2655" t="str">
        <f>IF(AD16=0,"",VLOOKUP(AD16,Tabla_PoderesPsi,3,FALSE))</f>
        <v/>
      </c>
      <c r="AI17" s="4649"/>
      <c r="AJ17" s="4623"/>
      <c r="AK17" s="4626"/>
      <c r="AL17" s="4620"/>
      <c r="AM17" s="1842"/>
      <c r="AN17" s="146"/>
      <c r="AO17" s="331"/>
      <c r="AP17" s="3142"/>
      <c r="AQ17" s="3142"/>
    </row>
    <row r="18" spans="1:43" ht="12" customHeight="1">
      <c r="A18" s="173"/>
      <c r="B18" s="1672"/>
      <c r="C18" s="4664" t="s">
        <v>2130</v>
      </c>
      <c r="D18" s="4664"/>
      <c r="E18" s="4664"/>
      <c r="F18" s="319">
        <f>M10</f>
        <v>0</v>
      </c>
      <c r="G18" s="67"/>
      <c r="H18" s="322" t="s">
        <v>2131</v>
      </c>
      <c r="I18" s="2662"/>
      <c r="J18" s="56"/>
      <c r="K18" s="323" t="str">
        <f>IF(AND(Tablas!G445=0,Tablas!H1336=0),"+10 / CV","+20 / CV")</f>
        <v>+10 / CV</v>
      </c>
      <c r="L18" s="4665" t="str">
        <f>IF(AND(Tablas!G445=0,Tablas!H1368=0),"(Max +50)","(Max +100)")</f>
        <v>(Max +50)</v>
      </c>
      <c r="M18" s="4665"/>
      <c r="N18" s="67"/>
      <c r="O18" s="4290" t="s">
        <v>2054</v>
      </c>
      <c r="P18" s="4290"/>
      <c r="Q18" s="321" t="str">
        <f>IF(OR(Tablas!G546&gt;0,Tablas!H1371&gt;0),"+0",IF(AND(Tablas!G444=0,Tablas!H1335=0),"+20","+40"))</f>
        <v>+20</v>
      </c>
      <c r="R18" s="68"/>
      <c r="S18" s="56"/>
      <c r="T18" s="56"/>
      <c r="U18" s="1836"/>
      <c r="V18" s="4638" t="str">
        <f>IF(V17=0,"",VLOOKUP(V17,Tabla_PoderesPsi,2,FALSE))</f>
        <v/>
      </c>
      <c r="W18" s="4639"/>
      <c r="X18" s="4639"/>
      <c r="Y18" s="2857" t="s">
        <v>1627</v>
      </c>
      <c r="Z18" s="2656" t="str">
        <f>IF(V17=0,"",VLOOKUP(V17,Tabla_PoderesPsi,3,FALSE))</f>
        <v/>
      </c>
      <c r="AA18" s="4648"/>
      <c r="AB18" s="4627"/>
      <c r="AC18" s="2309"/>
      <c r="AD18" s="4646"/>
      <c r="AE18" s="4647"/>
      <c r="AF18" s="4647"/>
      <c r="AG18" s="4647"/>
      <c r="AH18" s="4647"/>
      <c r="AI18" s="4645"/>
      <c r="AJ18" s="4624"/>
      <c r="AK18" s="4627" t="str">
        <f>IF(AD18&lt;&gt;"",INDEX(Tablas!$U$26:$U$38,MAX(1+MATCH(VLOOKUP(Psíquicos!$AD18,'Tablas psiquica'!$D$7:$U$145,18,FALSE),Lista_Dificultades,0),MAX(SUMPRODUCT(--(Tablas!$T$26:$T$38&lt;=(AL18-20*AI18)))+IF(Tablas!$G$446&gt;0,1,0)+IF(COUNTIF($C$39:$E$50,"Introversión")&gt;0,1,0),SUMPRODUCT(--(Tablas!$T$26:$T$38&lt;=(AL18)))))),"")</f>
        <v/>
      </c>
      <c r="AL18" s="4620">
        <f t="shared" ref="AL18" si="0">$H$11+IF(ISNA(VLOOKUP(AD18,$V$11:$AB$64,7,FALSE)),0,IF(VLOOKUP(AD18,$V$11:$AB$64,7,FALSE)="",0,VLOOKUP(AD18,$V$11:$AB$64,7,FALSE)))+AI18*20+AJ18</f>
        <v>0</v>
      </c>
      <c r="AM18" s="1842"/>
      <c r="AN18" s="146"/>
      <c r="AO18" s="146"/>
      <c r="AP18" s="3143"/>
      <c r="AQ18" s="3143"/>
    </row>
    <row r="19" spans="1:43" ht="12" customHeight="1">
      <c r="A19" s="173"/>
      <c r="B19" s="1672"/>
      <c r="C19" s="3436" t="s">
        <v>2132</v>
      </c>
      <c r="D19" s="3436"/>
      <c r="E19" s="3436"/>
      <c r="F19" s="2574">
        <f>2*M13</f>
        <v>0</v>
      </c>
      <c r="G19" s="67"/>
      <c r="H19" s="324" t="s">
        <v>2133</v>
      </c>
      <c r="I19" s="325"/>
      <c r="J19" s="67"/>
      <c r="K19" s="326" t="s">
        <v>2134</v>
      </c>
      <c r="L19" s="4672" t="s">
        <v>2135</v>
      </c>
      <c r="M19" s="4672"/>
      <c r="N19" s="67"/>
      <c r="O19" s="4290" t="s">
        <v>2057</v>
      </c>
      <c r="P19" s="4290"/>
      <c r="Q19" s="321" t="str">
        <f>IF(OR(Tablas!G546&gt;0,Tablas!H1371&gt;0),"+0",IF(AND(Tablas!G444=0,Tablas!H1335=0),"+30","+60"))</f>
        <v>+30</v>
      </c>
      <c r="R19" s="68"/>
      <c r="S19" s="56"/>
      <c r="T19" s="56"/>
      <c r="U19" s="1836">
        <f>IF(V19=0,0,1)</f>
        <v>0</v>
      </c>
      <c r="V19" s="4634"/>
      <c r="W19" s="4635"/>
      <c r="X19" s="4635"/>
      <c r="Y19" s="4635"/>
      <c r="Z19" s="4635"/>
      <c r="AA19" s="4656"/>
      <c r="AB19" s="4626" t="str">
        <f>IF(AA19=0,"",IF(AA19*10&lt;100,AA19*10,100))</f>
        <v/>
      </c>
      <c r="AC19" s="2309"/>
      <c r="AD19" s="4638" t="str">
        <f>IF(AD18=0,"",VLOOKUP(AD18,Tabla_PoderesPsi,2,FALSE))</f>
        <v/>
      </c>
      <c r="AE19" s="4639"/>
      <c r="AF19" s="4639"/>
      <c r="AG19" s="2654" t="s">
        <v>1627</v>
      </c>
      <c r="AH19" s="2656" t="str">
        <f>IF(AD18=0,"",VLOOKUP(AD18,Tabla_PoderesPsi,3,FALSE))</f>
        <v/>
      </c>
      <c r="AI19" s="4645"/>
      <c r="AJ19" s="4624"/>
      <c r="AK19" s="4627"/>
      <c r="AL19" s="4620"/>
      <c r="AM19" s="1842"/>
      <c r="AN19" s="146"/>
      <c r="AO19" s="331"/>
      <c r="AP19" s="3142"/>
      <c r="AQ19" s="3142"/>
    </row>
    <row r="20" spans="1:43" ht="12" customHeight="1">
      <c r="A20" s="173"/>
      <c r="B20" s="1672"/>
      <c r="C20" s="4669" t="s">
        <v>2127</v>
      </c>
      <c r="D20" s="4669"/>
      <c r="E20" s="4669"/>
      <c r="F20" s="4670">
        <f>C12-E12</f>
        <v>1</v>
      </c>
      <c r="G20" s="67"/>
      <c r="H20" s="322" t="s">
        <v>2136</v>
      </c>
      <c r="I20" s="215"/>
      <c r="J20" s="56"/>
      <c r="K20" s="323" t="s">
        <v>2134</v>
      </c>
      <c r="L20" s="4665" t="s">
        <v>2135</v>
      </c>
      <c r="M20" s="4665"/>
      <c r="N20" s="67"/>
      <c r="O20" s="4290" t="s">
        <v>2059</v>
      </c>
      <c r="P20" s="4290"/>
      <c r="Q20" s="321" t="str">
        <f>IF(OR(Tablas!G546&gt;0,Tablas!H1371&gt;0),"+0",IF(AND(Tablas!G444=0,Tablas!H1335=0),"+40","+80"))</f>
        <v>+40</v>
      </c>
      <c r="R20" s="68"/>
      <c r="S20" s="56"/>
      <c r="T20" s="56"/>
      <c r="U20" s="1836"/>
      <c r="V20" s="4650" t="str">
        <f>IF(V19=0,"",VLOOKUP(V19,Tabla_PoderesPsi,2,FALSE))</f>
        <v/>
      </c>
      <c r="W20" s="3587"/>
      <c r="X20" s="3587"/>
      <c r="Y20" s="2856" t="s">
        <v>1627</v>
      </c>
      <c r="Z20" s="2728" t="str">
        <f>IF(V19=0,"",VLOOKUP(V19,Tabla_PoderesPsi,3,FALSE))</f>
        <v/>
      </c>
      <c r="AA20" s="4656"/>
      <c r="AB20" s="4626"/>
      <c r="AC20" s="2309"/>
      <c r="AD20" s="4674"/>
      <c r="AE20" s="4675"/>
      <c r="AF20" s="4675"/>
      <c r="AG20" s="4675"/>
      <c r="AH20" s="4676"/>
      <c r="AI20" s="4649"/>
      <c r="AJ20" s="4623"/>
      <c r="AK20" s="4626" t="str">
        <f>IF(AD20&lt;&gt;"",INDEX(Tablas!$U$26:$U$38,MAX(1+MATCH(VLOOKUP(Psíquicos!$AD20,'Tablas psiquica'!$D$7:$U$145,18,FALSE),'Tablas psiquica'!$I$6:$R$6,0),MAX(SUMPRODUCT(--(Tablas!$T$26:$T$38&lt;=(AL20-20*AI20)))+IF(Tablas!$G$446&gt;0,1,0)+IF(COUNTIF($C$39:$E$50,"Introversión")&gt;0,1,0),SUMPRODUCT(--(Tablas!$T$26:$T$38&lt;=(AL20)))))),"")</f>
        <v/>
      </c>
      <c r="AL20" s="4620">
        <f t="shared" ref="AL20" si="1">$H$11+IF(ISNA(VLOOKUP(AD20,$V$11:$AB$64,7,FALSE)),0,IF(VLOOKUP(AD20,$V$11:$AB$64,7,FALSE)="",0,VLOOKUP(AD20,$V$11:$AB$64,7,FALSE)))+AI20*20+AJ20</f>
        <v>0</v>
      </c>
      <c r="AM20" s="1842"/>
      <c r="AN20" s="146"/>
      <c r="AO20" s="146"/>
      <c r="AP20" s="3143"/>
      <c r="AQ20" s="3143"/>
    </row>
    <row r="21" spans="1:43" ht="12" customHeight="1">
      <c r="A21" s="173"/>
      <c r="B21" s="1672"/>
      <c r="C21" s="4669"/>
      <c r="D21" s="4669"/>
      <c r="E21" s="4669"/>
      <c r="F21" s="4670"/>
      <c r="G21" s="67"/>
      <c r="H21" s="324" t="s">
        <v>2137</v>
      </c>
      <c r="I21" s="325"/>
      <c r="J21" s="67"/>
      <c r="K21" s="326" t="s">
        <v>2138</v>
      </c>
      <c r="L21" s="4672" t="s">
        <v>2139</v>
      </c>
      <c r="M21" s="4672"/>
      <c r="N21" s="67"/>
      <c r="O21" s="4673" t="s">
        <v>2062</v>
      </c>
      <c r="P21" s="4673"/>
      <c r="Q21" s="2575" t="str">
        <f>IF(OR(Tablas!G546&gt;0,Tablas!H1371&gt;0),"+0",IF(AND(Tablas!G444=0,Tablas!H1335=0),"+50","+100"))</f>
        <v>+50</v>
      </c>
      <c r="R21" s="68"/>
      <c r="S21" s="56"/>
      <c r="T21" s="56"/>
      <c r="U21" s="1836">
        <f>IF(V21=0,0,1)</f>
        <v>0</v>
      </c>
      <c r="V21" s="4646"/>
      <c r="W21" s="4647"/>
      <c r="X21" s="4647"/>
      <c r="Y21" s="4647"/>
      <c r="Z21" s="4647"/>
      <c r="AA21" s="4648"/>
      <c r="AB21" s="4627" t="str">
        <f>IF(AA21=0,"",IF(AA21*10&lt;100,AA21*10,100))</f>
        <v/>
      </c>
      <c r="AC21" s="2309"/>
      <c r="AD21" s="4650" t="str">
        <f>IF(AD20=0,"",VLOOKUP(AD20,Tabla_PoderesPsi,2,FALSE))</f>
        <v/>
      </c>
      <c r="AE21" s="3478"/>
      <c r="AF21" s="3478"/>
      <c r="AG21" s="2650" t="s">
        <v>1627</v>
      </c>
      <c r="AH21" s="2655" t="str">
        <f>IF(AD20=0,"",VLOOKUP(AD20,Tabla_PoderesPsi,3,FALSE))</f>
        <v/>
      </c>
      <c r="AI21" s="4649"/>
      <c r="AJ21" s="4623"/>
      <c r="AK21" s="4626"/>
      <c r="AL21" s="4620"/>
      <c r="AM21" s="1842"/>
      <c r="AN21" s="146"/>
      <c r="AO21" s="331"/>
      <c r="AP21" s="3142"/>
      <c r="AQ21" s="3142"/>
    </row>
    <row r="22" spans="1:43" ht="12" customHeight="1" thickBot="1">
      <c r="A22" s="173"/>
      <c r="B22" s="1672"/>
      <c r="C22" s="4677" t="str">
        <f>IF(F20&lt;0,"Exceso de CVs",IF(AL15&gt;M13,"Exceso de innatos activos",""))</f>
        <v/>
      </c>
      <c r="D22" s="4677"/>
      <c r="E22" s="4677"/>
      <c r="F22" s="4677"/>
      <c r="G22" s="327"/>
      <c r="H22" s="328" t="s">
        <v>2140</v>
      </c>
      <c r="I22" s="329"/>
      <c r="J22" s="124"/>
      <c r="K22" s="330" t="s">
        <v>2138</v>
      </c>
      <c r="L22" s="4148" t="s">
        <v>2141</v>
      </c>
      <c r="M22" s="4148"/>
      <c r="N22" s="67"/>
      <c r="O22" s="4678" t="str">
        <f>IF(OR(Tablas!G546&gt;0,Tablas!H1371&gt;0),"Sin concentración",IF(AND(Tablas!G444=0,Tablas!H1335=0),"","Concentración extrema"))</f>
        <v/>
      </c>
      <c r="P22" s="4678"/>
      <c r="Q22" s="4678"/>
      <c r="R22" s="68"/>
      <c r="S22" s="56"/>
      <c r="T22" s="56"/>
      <c r="U22" s="1836"/>
      <c r="V22" s="4638" t="str">
        <f>IF(V21=0,"",VLOOKUP(V21,Tabla_PoderesPsi,2,FALSE))</f>
        <v/>
      </c>
      <c r="W22" s="4639"/>
      <c r="X22" s="4639"/>
      <c r="Y22" s="2857" t="s">
        <v>1627</v>
      </c>
      <c r="Z22" s="2656" t="str">
        <f>IF(V21=0,"",VLOOKUP(V21,Tabla_PoderesPsi,3,FALSE))</f>
        <v/>
      </c>
      <c r="AA22" s="4648"/>
      <c r="AB22" s="4627"/>
      <c r="AC22" s="2309"/>
      <c r="AD22" s="4646"/>
      <c r="AE22" s="4647"/>
      <c r="AF22" s="4647"/>
      <c r="AG22" s="4647"/>
      <c r="AH22" s="4647"/>
      <c r="AI22" s="4662"/>
      <c r="AJ22" s="4624"/>
      <c r="AK22" s="4627" t="str">
        <f>IF(AD22&lt;&gt;"",INDEX(Tablas!$U$26:$U$38,MAX(1+MATCH(VLOOKUP(Psíquicos!$AD22,'Tablas psiquica'!$D$7:$U$145,18,FALSE),'Tablas psiquica'!$I$6:$R$6,0),MAX(SUMPRODUCT(--(Tablas!$T$26:$T$38&lt;=(AL22-20*AI22)))+IF(Tablas!$G$446&gt;0,1,0)+IF(COUNTIF($C$39:$E$50,"Introversión")&gt;0,1,0),SUMPRODUCT(--(Tablas!$T$26:$T$38&lt;=(AL22)))))),"")</f>
        <v/>
      </c>
      <c r="AL22" s="4620">
        <f t="shared" ref="AL22" si="2">$H$11+IF(ISNA(VLOOKUP(AD22,$V$11:$AB$64,7,FALSE)),0,IF(VLOOKUP(AD22,$V$11:$AB$64,7,FALSE)="",0,VLOOKUP(AD22,$V$11:$AB$64,7,FALSE)))+AI22*20+AJ22</f>
        <v>0</v>
      </c>
      <c r="AM22" s="1842"/>
      <c r="AN22" s="146"/>
      <c r="AO22" s="146"/>
      <c r="AP22" s="3143"/>
      <c r="AQ22" s="3143"/>
    </row>
    <row r="23" spans="1:43" ht="12" customHeight="1" thickBot="1">
      <c r="A23" s="173"/>
      <c r="B23" s="1672"/>
      <c r="C23" s="67"/>
      <c r="D23" s="67"/>
      <c r="E23" s="67"/>
      <c r="F23" s="67"/>
      <c r="G23" s="67"/>
      <c r="H23" s="67"/>
      <c r="I23" s="67"/>
      <c r="J23" s="67"/>
      <c r="K23" s="67"/>
      <c r="L23" s="67"/>
      <c r="M23" s="120"/>
      <c r="N23" s="67"/>
      <c r="O23" s="67"/>
      <c r="P23" s="67"/>
      <c r="Q23" s="67"/>
      <c r="R23" s="68"/>
      <c r="S23" s="56"/>
      <c r="T23" s="56"/>
      <c r="U23" s="1836">
        <f>IF(V23=0,0,1)</f>
        <v>0</v>
      </c>
      <c r="V23" s="4634"/>
      <c r="W23" s="4635"/>
      <c r="X23" s="4635"/>
      <c r="Y23" s="4635"/>
      <c r="Z23" s="4635"/>
      <c r="AA23" s="4656"/>
      <c r="AB23" s="4626" t="str">
        <f>IF(AA23=0,"",IF(AA23*10&lt;100,AA23*10,100))</f>
        <v/>
      </c>
      <c r="AC23" s="2309"/>
      <c r="AD23" s="4638" t="str">
        <f>IF(AD22=0,"",VLOOKUP(AD22,Tabla_PoderesPsi,2,FALSE))</f>
        <v/>
      </c>
      <c r="AE23" s="4666"/>
      <c r="AF23" s="4666"/>
      <c r="AG23" s="2654" t="s">
        <v>1627</v>
      </c>
      <c r="AH23" s="2656" t="str">
        <f>IF(AD22=0,"",VLOOKUP(AD22,Tabla_PoderesPsi,3,FALSE))</f>
        <v/>
      </c>
      <c r="AI23" s="4662"/>
      <c r="AJ23" s="4624"/>
      <c r="AK23" s="4627"/>
      <c r="AL23" s="4620"/>
      <c r="AM23" s="1842"/>
      <c r="AN23" s="331"/>
      <c r="AO23" s="331"/>
      <c r="AP23" s="3142"/>
      <c r="AQ23" s="3142"/>
    </row>
    <row r="24" spans="1:43" ht="12" customHeight="1" thickBot="1">
      <c r="A24" s="173"/>
      <c r="B24" s="1672"/>
      <c r="C24" s="3281" t="s">
        <v>2142</v>
      </c>
      <c r="D24" s="3281"/>
      <c r="E24" s="3281"/>
      <c r="F24" s="3992" t="s">
        <v>2143</v>
      </c>
      <c r="G24" s="3992"/>
      <c r="H24" s="3992"/>
      <c r="I24" s="3992"/>
      <c r="J24" s="3992"/>
      <c r="K24" s="3992"/>
      <c r="L24" s="3992"/>
      <c r="M24" s="3992"/>
      <c r="N24" s="3992"/>
      <c r="O24" s="3992"/>
      <c r="P24" s="3992"/>
      <c r="Q24" s="3992"/>
      <c r="R24" s="68"/>
      <c r="S24" s="56"/>
      <c r="T24" s="56"/>
      <c r="U24" s="1836"/>
      <c r="V24" s="4650" t="str">
        <f>IF(V23=0,"",VLOOKUP(V23,Tabla_PoderesPsi,2,FALSE))</f>
        <v/>
      </c>
      <c r="W24" s="3587"/>
      <c r="X24" s="3587"/>
      <c r="Y24" s="2856" t="s">
        <v>1627</v>
      </c>
      <c r="Z24" s="2728" t="str">
        <f>IF(V23=0,"",VLOOKUP(V23,Tabla_PoderesPsi,3,FALSE))</f>
        <v/>
      </c>
      <c r="AA24" s="4656"/>
      <c r="AB24" s="4626"/>
      <c r="AC24" s="2309"/>
      <c r="AD24" s="4674"/>
      <c r="AE24" s="4675"/>
      <c r="AF24" s="4675"/>
      <c r="AG24" s="4675"/>
      <c r="AH24" s="4676"/>
      <c r="AI24" s="4671"/>
      <c r="AJ24" s="4623"/>
      <c r="AK24" s="4626" t="str">
        <f>IF(AD24&lt;&gt;"",INDEX(Tablas!$U$26:$U$38,MAX(1+MATCH(VLOOKUP(Psíquicos!$AD24,'Tablas psiquica'!$D$7:$U$145,18,FALSE),'Tablas psiquica'!$I$6:$R$6,0),MAX(SUMPRODUCT(--(Tablas!$T$26:$T$38&lt;=(AL24-20*AI24)))+IF(Tablas!$G$446&gt;0,1,0)+IF(COUNTIF($C$39:$E$50,"Introversión")&gt;0,1,0),SUMPRODUCT(--(Tablas!$T$26:$T$38&lt;=(AL24)))))),"")</f>
        <v/>
      </c>
      <c r="AL24" s="4620">
        <f t="shared" ref="AL24" si="3">$H$11+IF(ISNA(VLOOKUP(AD24,$V$11:$AB$64,7,FALSE)),0,IF(VLOOKUP(AD24,$V$11:$AB$64,7,FALSE)="",0,VLOOKUP(AD24,$V$11:$AB$64,7,FALSE)))+AI24*20+AJ24</f>
        <v>0</v>
      </c>
      <c r="AM24" s="1842"/>
      <c r="AN24" s="146"/>
      <c r="AO24" s="146"/>
      <c r="AP24" s="3143"/>
      <c r="AQ24" s="3143"/>
    </row>
    <row r="25" spans="1:43" ht="12" customHeight="1">
      <c r="A25" s="173"/>
      <c r="B25" s="1672"/>
      <c r="C25" s="4679"/>
      <c r="D25" s="4679"/>
      <c r="E25" s="4679"/>
      <c r="F25" s="4680" t="str">
        <f>IF(C25=0,"",VLOOKUP(C25,Tabla_DisciplinasPsi,2,FALSE))</f>
        <v/>
      </c>
      <c r="G25" s="4680"/>
      <c r="H25" s="4680"/>
      <c r="I25" s="4680"/>
      <c r="J25" s="4680"/>
      <c r="K25" s="4680"/>
      <c r="L25" s="4680"/>
      <c r="M25" s="4680"/>
      <c r="N25" s="4680"/>
      <c r="O25" s="4680"/>
      <c r="P25" s="4680"/>
      <c r="Q25" s="4680"/>
      <c r="R25" s="68"/>
      <c r="S25" s="56"/>
      <c r="T25" s="56"/>
      <c r="U25" s="1836">
        <f>IF(V25=0,0,1)</f>
        <v>0</v>
      </c>
      <c r="V25" s="4646"/>
      <c r="W25" s="4647"/>
      <c r="X25" s="4647"/>
      <c r="Y25" s="4647"/>
      <c r="Z25" s="4647"/>
      <c r="AA25" s="4648"/>
      <c r="AB25" s="4627" t="str">
        <f>IF(AA25=0,"",IF(AA25*10&lt;100,AA25*10,100))</f>
        <v/>
      </c>
      <c r="AC25" s="2309"/>
      <c r="AD25" s="4650" t="str">
        <f>IF(AD24=0,"",VLOOKUP(AD24,Tabla_PoderesPsi,2,FALSE))</f>
        <v/>
      </c>
      <c r="AE25" s="3478"/>
      <c r="AF25" s="3478"/>
      <c r="AG25" s="2650" t="s">
        <v>1627</v>
      </c>
      <c r="AH25" s="2655" t="str">
        <f>IF(AD24=0,"",VLOOKUP(AD24,Tabla_PoderesPsi,3,FALSE))</f>
        <v/>
      </c>
      <c r="AI25" s="4671"/>
      <c r="AJ25" s="4623"/>
      <c r="AK25" s="4626"/>
      <c r="AL25" s="4620"/>
      <c r="AM25" s="1842"/>
      <c r="AN25" s="3149"/>
      <c r="AO25" s="2309"/>
      <c r="AP25" s="2309"/>
      <c r="AQ25" s="3150"/>
    </row>
    <row r="26" spans="1:43" ht="12" customHeight="1">
      <c r="A26" s="173"/>
      <c r="B26" s="1672"/>
      <c r="C26" s="4679"/>
      <c r="D26" s="4679"/>
      <c r="E26" s="4679"/>
      <c r="F26" s="4680"/>
      <c r="G26" s="4680"/>
      <c r="H26" s="4680"/>
      <c r="I26" s="4680"/>
      <c r="J26" s="4680"/>
      <c r="K26" s="4680"/>
      <c r="L26" s="4680"/>
      <c r="M26" s="4680"/>
      <c r="N26" s="4680"/>
      <c r="O26" s="4680"/>
      <c r="P26" s="4680"/>
      <c r="Q26" s="4680"/>
      <c r="R26" s="68"/>
      <c r="S26" s="56"/>
      <c r="T26" s="56"/>
      <c r="U26" s="1836"/>
      <c r="V26" s="4638" t="str">
        <f>IF(V25=0,"",VLOOKUP(V25,Tabla_PoderesPsi,2,FALSE))</f>
        <v/>
      </c>
      <c r="W26" s="4639"/>
      <c r="X26" s="4639"/>
      <c r="Y26" s="2857" t="s">
        <v>1627</v>
      </c>
      <c r="Z26" s="2656" t="str">
        <f>IF(V25=0,"",VLOOKUP(V25,Tabla_PoderesPsi,3,FALSE))</f>
        <v/>
      </c>
      <c r="AA26" s="4648"/>
      <c r="AB26" s="4627"/>
      <c r="AC26" s="2664"/>
      <c r="AD26" s="4646"/>
      <c r="AE26" s="4647"/>
      <c r="AF26" s="4647"/>
      <c r="AG26" s="4647"/>
      <c r="AH26" s="4647"/>
      <c r="AI26" s="4645"/>
      <c r="AJ26" s="4624"/>
      <c r="AK26" s="4627" t="str">
        <f>IF(AD26&lt;&gt;"",INDEX(Tablas!$U$26:$U$38,MAX(1+MATCH(VLOOKUP(Psíquicos!$AD26,'Tablas psiquica'!$D$7:$U$145,18,FALSE),'Tablas psiquica'!$I$6:$R$6,0),MAX(SUMPRODUCT(--(Tablas!$T$26:$T$38&lt;=(AL26-20*AI26)))+IF(Tablas!$G$446&gt;0,1,0)+IF(COUNTIF($C$39:$E$50,"Introversión")&gt;0,1,0),SUMPRODUCT(--(Tablas!$T$26:$T$38&lt;=(AL26)))))),"")</f>
        <v/>
      </c>
      <c r="AL26" s="4620">
        <f t="shared" ref="AL26" si="4">$H$11+IF(ISNA(VLOOKUP(AD26,$V$11:$AB$64,7,FALSE)),0,IF(VLOOKUP(AD26,$V$11:$AB$64,7,FALSE)="",0,VLOOKUP(AD26,$V$11:$AB$64,7,FALSE)))+AI26*20+AJ26</f>
        <v>0</v>
      </c>
      <c r="AM26" s="1842"/>
      <c r="AO26" s="23"/>
      <c r="AP26" s="23"/>
      <c r="AQ26" s="23"/>
    </row>
    <row r="27" spans="1:43" ht="12" customHeight="1">
      <c r="A27" s="173"/>
      <c r="B27" s="1672"/>
      <c r="C27" s="4681"/>
      <c r="D27" s="4681"/>
      <c r="E27" s="4681"/>
      <c r="F27" s="4680" t="str">
        <f>IF(C27=0,"",VLOOKUP(C27,Tabla_DisciplinasPsi,2,FALSE))</f>
        <v/>
      </c>
      <c r="G27" s="4680"/>
      <c r="H27" s="4680"/>
      <c r="I27" s="4680"/>
      <c r="J27" s="4680"/>
      <c r="K27" s="4680"/>
      <c r="L27" s="4680"/>
      <c r="M27" s="4680"/>
      <c r="N27" s="4680"/>
      <c r="O27" s="4680"/>
      <c r="P27" s="4680"/>
      <c r="Q27" s="4680"/>
      <c r="R27" s="68"/>
      <c r="S27" s="56"/>
      <c r="T27" s="56"/>
      <c r="U27" s="1836">
        <f>IF(V27=0,0,1)</f>
        <v>0</v>
      </c>
      <c r="V27" s="4634"/>
      <c r="W27" s="4635"/>
      <c r="X27" s="4635"/>
      <c r="Y27" s="4635"/>
      <c r="Z27" s="4635"/>
      <c r="AA27" s="4656"/>
      <c r="AB27" s="4626" t="str">
        <f>IF(AA27=0,"",IF(AA27*10&lt;100,AA27*10,100))</f>
        <v/>
      </c>
      <c r="AC27" s="2664"/>
      <c r="AD27" s="4638" t="str">
        <f>IF(AD26=0,"",VLOOKUP(AD26,Tabla_PoderesPsi,2,FALSE))</f>
        <v/>
      </c>
      <c r="AE27" s="4666"/>
      <c r="AF27" s="4666"/>
      <c r="AG27" s="2654" t="s">
        <v>1627</v>
      </c>
      <c r="AH27" s="2656" t="str">
        <f>IF(AD26=0,"",VLOOKUP(AD26,Tabla_PoderesPsi,3,FALSE))</f>
        <v/>
      </c>
      <c r="AI27" s="4645"/>
      <c r="AJ27" s="4624"/>
      <c r="AK27" s="4627"/>
      <c r="AL27" s="4620"/>
      <c r="AM27" s="1842"/>
      <c r="AQ27" s="2309"/>
    </row>
    <row r="28" spans="1:43" ht="12" customHeight="1">
      <c r="A28" s="173"/>
      <c r="B28" s="1672"/>
      <c r="C28" s="4681"/>
      <c r="D28" s="4681"/>
      <c r="E28" s="4681"/>
      <c r="F28" s="4680"/>
      <c r="G28" s="4680"/>
      <c r="H28" s="4680"/>
      <c r="I28" s="4680"/>
      <c r="J28" s="4680"/>
      <c r="K28" s="4680"/>
      <c r="L28" s="4680"/>
      <c r="M28" s="4680"/>
      <c r="N28" s="4680"/>
      <c r="O28" s="4680"/>
      <c r="P28" s="4680"/>
      <c r="Q28" s="4680"/>
      <c r="R28" s="68"/>
      <c r="S28" s="56"/>
      <c r="T28" s="56"/>
      <c r="U28" s="1836"/>
      <c r="V28" s="4650" t="str">
        <f>IF(V27=0,"",VLOOKUP(V27,Tabla_PoderesPsi,2,FALSE))</f>
        <v/>
      </c>
      <c r="W28" s="3587"/>
      <c r="X28" s="3587"/>
      <c r="Y28" s="2856" t="s">
        <v>1627</v>
      </c>
      <c r="Z28" s="2728" t="str">
        <f>IF(V27=0,"",VLOOKUP(V27,Tabla_PoderesPsi,3,FALSE))</f>
        <v/>
      </c>
      <c r="AA28" s="4656"/>
      <c r="AB28" s="4626"/>
      <c r="AC28" s="187"/>
      <c r="AD28" s="4674"/>
      <c r="AE28" s="4675"/>
      <c r="AF28" s="4675"/>
      <c r="AG28" s="4675"/>
      <c r="AH28" s="4676"/>
      <c r="AI28" s="4649"/>
      <c r="AJ28" s="4623"/>
      <c r="AK28" s="4626" t="str">
        <f>IF(AD28&lt;&gt;"",INDEX(Tablas!$U$26:$U$38,MAX(1+MATCH(VLOOKUP(Psíquicos!$AD28,'Tablas psiquica'!$D$7:$U$145,18,FALSE),'Tablas psiquica'!$I$6:$R$6,0),MAX(SUMPRODUCT(--(Tablas!$T$26:$T$38&lt;=(AL28-20*AI28)))+IF(Tablas!$G$446&gt;0,1,0)+IF(COUNTIF($C$39:$E$50,"Introversión")&gt;0,1,0),SUMPRODUCT(--(Tablas!$T$26:$T$38&lt;=(AL28)))))),"")</f>
        <v/>
      </c>
      <c r="AL28" s="4620">
        <f t="shared" ref="AL28" si="5">$H$11+IF(ISNA(VLOOKUP(AD28,$V$11:$AB$64,7,FALSE)),0,IF(VLOOKUP(AD28,$V$11:$AB$64,7,FALSE)="",0,VLOOKUP(AD28,$V$11:$AB$64,7,FALSE)))+AI28*20+AJ28</f>
        <v>0</v>
      </c>
      <c r="AM28" s="1842"/>
      <c r="AQ28" s="96"/>
    </row>
    <row r="29" spans="1:43" ht="12" customHeight="1">
      <c r="A29" s="173"/>
      <c r="B29" s="1672"/>
      <c r="C29" s="4681"/>
      <c r="D29" s="4681"/>
      <c r="E29" s="4681"/>
      <c r="F29" s="4680" t="str">
        <f>IF(C29=0,"",VLOOKUP(C29,Tabla_DisciplinasPsi,2,FALSE))</f>
        <v/>
      </c>
      <c r="G29" s="4680"/>
      <c r="H29" s="4680"/>
      <c r="I29" s="4680"/>
      <c r="J29" s="4680"/>
      <c r="K29" s="4680"/>
      <c r="L29" s="4680"/>
      <c r="M29" s="4680"/>
      <c r="N29" s="4680"/>
      <c r="O29" s="4680"/>
      <c r="P29" s="4680"/>
      <c r="Q29" s="4680"/>
      <c r="R29" s="68"/>
      <c r="S29" s="56"/>
      <c r="T29" s="56"/>
      <c r="U29" s="1836">
        <f>IF(V29=0,0,1)</f>
        <v>0</v>
      </c>
      <c r="V29" s="4646"/>
      <c r="W29" s="4647"/>
      <c r="X29" s="4647"/>
      <c r="Y29" s="4647"/>
      <c r="Z29" s="4647"/>
      <c r="AA29" s="4648"/>
      <c r="AB29" s="4627" t="str">
        <f>IF(AA29=0,"",IF(AA29*10&lt;100,AA29*10,100))</f>
        <v/>
      </c>
      <c r="AC29" s="2663"/>
      <c r="AD29" s="4650" t="str">
        <f>IF(AD28=0,"",VLOOKUP(AD28,Tabla_PoderesPsi,2,FALSE))</f>
        <v/>
      </c>
      <c r="AE29" s="3478"/>
      <c r="AF29" s="3478"/>
      <c r="AG29" s="2650" t="s">
        <v>1627</v>
      </c>
      <c r="AH29" s="2655" t="str">
        <f>IF(AD28=0,"",VLOOKUP(AD28,Tabla_PoderesPsi,3,FALSE))</f>
        <v/>
      </c>
      <c r="AI29" s="4649"/>
      <c r="AJ29" s="4623"/>
      <c r="AK29" s="4626"/>
      <c r="AL29" s="4620"/>
      <c r="AM29" s="1842"/>
      <c r="AQ29" s="96"/>
    </row>
    <row r="30" spans="1:43" ht="12" customHeight="1">
      <c r="A30" s="173"/>
      <c r="B30" s="1672"/>
      <c r="C30" s="4681"/>
      <c r="D30" s="4681"/>
      <c r="E30" s="4681"/>
      <c r="F30" s="4680"/>
      <c r="G30" s="4680"/>
      <c r="H30" s="4680"/>
      <c r="I30" s="4680"/>
      <c r="J30" s="4680"/>
      <c r="K30" s="4680"/>
      <c r="L30" s="4680"/>
      <c r="M30" s="4680"/>
      <c r="N30" s="4680"/>
      <c r="O30" s="4680"/>
      <c r="P30" s="4680"/>
      <c r="Q30" s="4680"/>
      <c r="R30" s="68"/>
      <c r="S30" s="56"/>
      <c r="T30" s="56"/>
      <c r="U30" s="1836"/>
      <c r="V30" s="4638" t="str">
        <f>IF(V29=0,"",VLOOKUP(V29,Tabla_PoderesPsi,2,FALSE))</f>
        <v/>
      </c>
      <c r="W30" s="4639"/>
      <c r="X30" s="4639"/>
      <c r="Y30" s="2857" t="s">
        <v>1627</v>
      </c>
      <c r="Z30" s="2656" t="str">
        <f>IF(V29=0,"",VLOOKUP(V29,Tabla_PoderesPsi,3,FALSE))</f>
        <v/>
      </c>
      <c r="AA30" s="4648"/>
      <c r="AB30" s="4627"/>
      <c r="AC30" s="2664"/>
      <c r="AD30" s="4646"/>
      <c r="AE30" s="4647"/>
      <c r="AF30" s="4647"/>
      <c r="AG30" s="4647"/>
      <c r="AH30" s="4647"/>
      <c r="AI30" s="4645"/>
      <c r="AJ30" s="4624"/>
      <c r="AK30" s="4627" t="str">
        <f>IF(AD30&lt;&gt;"",INDEX(Tablas!$U$26:$U$38,MAX(1+MATCH(VLOOKUP(Psíquicos!$AD30,'Tablas psiquica'!$D$7:$U$145,18,FALSE),'Tablas psiquica'!$I$6:$R$6,0),MAX(SUMPRODUCT(--(Tablas!$T$26:$T$38&lt;=(AL30-20*AI30)))+IF(Tablas!$G$446&gt;0,1,0)+IF(COUNTIF($C$39:$E$50,"Introversión")&gt;0,1,0),SUMPRODUCT(--(Tablas!$T$26:$T$38&lt;=(AL30)))))),"")</f>
        <v/>
      </c>
      <c r="AL30" s="4620">
        <f t="shared" ref="AL30" si="6">$H$11+IF(ISNA(VLOOKUP(AD30,$V$11:$AB$64,7,FALSE)),0,IF(VLOOKUP(AD30,$V$11:$AB$64,7,FALSE)="",0,VLOOKUP(AD30,$V$11:$AB$64,7,FALSE)))+AI30*20+AJ30</f>
        <v>0</v>
      </c>
      <c r="AM30" s="1842"/>
      <c r="AQ30" s="96"/>
    </row>
    <row r="31" spans="1:43" ht="12" customHeight="1">
      <c r="A31" s="173"/>
      <c r="B31" s="1672"/>
      <c r="C31" s="4681"/>
      <c r="D31" s="4681"/>
      <c r="E31" s="4681"/>
      <c r="F31" s="4680" t="str">
        <f>IF(C31=0,"",VLOOKUP(C31,Tabla_DisciplinasPsi,2,FALSE))</f>
        <v/>
      </c>
      <c r="G31" s="4680"/>
      <c r="H31" s="4680"/>
      <c r="I31" s="4680"/>
      <c r="J31" s="4680"/>
      <c r="K31" s="4680"/>
      <c r="L31" s="4680"/>
      <c r="M31" s="4680"/>
      <c r="N31" s="4680"/>
      <c r="O31" s="4680"/>
      <c r="P31" s="4680"/>
      <c r="Q31" s="4680"/>
      <c r="R31" s="68"/>
      <c r="S31" s="56"/>
      <c r="T31" s="56"/>
      <c r="U31" s="1836">
        <f>IF(V31=0,0,1)</f>
        <v>0</v>
      </c>
      <c r="V31" s="4634"/>
      <c r="W31" s="4635"/>
      <c r="X31" s="4635"/>
      <c r="Y31" s="4635"/>
      <c r="Z31" s="4635"/>
      <c r="AA31" s="4656"/>
      <c r="AB31" s="4626" t="str">
        <f>IF(AA31=0,"",IF(AA31*10&lt;100,AA31*10,100))</f>
        <v/>
      </c>
      <c r="AC31" s="2664"/>
      <c r="AD31" s="4638" t="str">
        <f>IF(AD30=0,"",VLOOKUP(AD30,Tabla_PoderesPsi,2,FALSE))</f>
        <v/>
      </c>
      <c r="AE31" s="4666"/>
      <c r="AF31" s="4666"/>
      <c r="AG31" s="2654" t="s">
        <v>1627</v>
      </c>
      <c r="AH31" s="2656" t="str">
        <f>IF(AD30=0,"",VLOOKUP(AD30,Tabla_PoderesPsi,3,FALSE))</f>
        <v/>
      </c>
      <c r="AI31" s="4645"/>
      <c r="AJ31" s="4624"/>
      <c r="AK31" s="4627"/>
      <c r="AL31" s="4620"/>
      <c r="AM31" s="1842"/>
      <c r="AQ31" s="96"/>
    </row>
    <row r="32" spans="1:43" ht="12" customHeight="1">
      <c r="A32" s="173"/>
      <c r="B32" s="1672"/>
      <c r="C32" s="4681"/>
      <c r="D32" s="4681"/>
      <c r="E32" s="4681"/>
      <c r="F32" s="4680"/>
      <c r="G32" s="4680"/>
      <c r="H32" s="4680"/>
      <c r="I32" s="4680"/>
      <c r="J32" s="4680"/>
      <c r="K32" s="4680"/>
      <c r="L32" s="4680"/>
      <c r="M32" s="4680"/>
      <c r="N32" s="4680"/>
      <c r="O32" s="4680"/>
      <c r="P32" s="4680"/>
      <c r="Q32" s="4680"/>
      <c r="R32" s="68"/>
      <c r="S32" s="56"/>
      <c r="T32" s="56"/>
      <c r="U32" s="1836"/>
      <c r="V32" s="4650" t="str">
        <f>IF(V31=0,"",VLOOKUP(V31,Tabla_PoderesPsi,2,FALSE))</f>
        <v/>
      </c>
      <c r="W32" s="3587"/>
      <c r="X32" s="3587"/>
      <c r="Y32" s="2856" t="s">
        <v>1627</v>
      </c>
      <c r="Z32" s="2728" t="str">
        <f>IF(V31=0,"",VLOOKUP(V31,Tabla_PoderesPsi,3,FALSE))</f>
        <v/>
      </c>
      <c r="AA32" s="4656"/>
      <c r="AB32" s="4626"/>
      <c r="AC32" s="212"/>
      <c r="AD32" s="4674"/>
      <c r="AE32" s="4675"/>
      <c r="AF32" s="4675"/>
      <c r="AG32" s="4675"/>
      <c r="AH32" s="4676"/>
      <c r="AI32" s="4649"/>
      <c r="AJ32" s="4623"/>
      <c r="AK32" s="4626" t="str">
        <f>IF(AD32&lt;&gt;"",INDEX(Tablas!$U$26:$U$38,MAX(1+MATCH(VLOOKUP(Psíquicos!$AD32,'Tablas psiquica'!$D$7:$U$145,18,FALSE),'Tablas psiquica'!$I$6:$R$6,0),MAX(SUMPRODUCT(--(Tablas!$T$26:$T$38&lt;=(AL32-20*AI32)))+IF(Tablas!$G$446&gt;0,1,0)+IF(COUNTIF($C$39:$E$50,"Introversión")&gt;0,1,0),SUMPRODUCT(--(Tablas!$T$26:$T$38&lt;=(AL32)))))),"")</f>
        <v/>
      </c>
      <c r="AL32" s="4620">
        <f t="shared" ref="AL32" si="7">$H$11+IF(ISNA(VLOOKUP(AD32,$V$11:$AB$64,7,FALSE)),0,IF(VLOOKUP(AD32,$V$11:$AB$64,7,FALSE)="",0,VLOOKUP(AD32,$V$11:$AB$64,7,FALSE)))+AI32*20+AJ32</f>
        <v>0</v>
      </c>
      <c r="AM32" s="1842"/>
      <c r="AQ32" s="96"/>
    </row>
    <row r="33" spans="1:43" ht="12" customHeight="1">
      <c r="A33" s="173"/>
      <c r="B33" s="1672"/>
      <c r="C33" s="4681"/>
      <c r="D33" s="4681"/>
      <c r="E33" s="4681"/>
      <c r="F33" s="4680" t="str">
        <f>IF(C33=0,"",VLOOKUP(C33,Tabla_DisciplinasPsi,2,FALSE))</f>
        <v/>
      </c>
      <c r="G33" s="4680"/>
      <c r="H33" s="4680"/>
      <c r="I33" s="4680"/>
      <c r="J33" s="4680"/>
      <c r="K33" s="4680"/>
      <c r="L33" s="4680"/>
      <c r="M33" s="4680"/>
      <c r="N33" s="4680"/>
      <c r="O33" s="4680"/>
      <c r="P33" s="4680"/>
      <c r="Q33" s="4680"/>
      <c r="R33" s="68"/>
      <c r="S33" s="56"/>
      <c r="T33" s="56"/>
      <c r="U33" s="1836">
        <f>IF(V33=0,0,1)</f>
        <v>0</v>
      </c>
      <c r="V33" s="4646"/>
      <c r="W33" s="4647"/>
      <c r="X33" s="4647"/>
      <c r="Y33" s="4647"/>
      <c r="Z33" s="4647"/>
      <c r="AA33" s="4648"/>
      <c r="AB33" s="4627" t="str">
        <f>IF(AA33=0,"",IF(AA33*10&lt;100,AA33*10,100))</f>
        <v/>
      </c>
      <c r="AC33" s="212"/>
      <c r="AD33" s="4650" t="str">
        <f>IF(AD32=0,"",VLOOKUP(AD32,Tabla_PoderesPsi,2,FALSE))</f>
        <v/>
      </c>
      <c r="AE33" s="3478"/>
      <c r="AF33" s="3478"/>
      <c r="AG33" s="2650" t="s">
        <v>1627</v>
      </c>
      <c r="AH33" s="2655" t="str">
        <f>IF(AD32=0,"",VLOOKUP(AD32,Tabla_PoderesPsi,3,FALSE))</f>
        <v/>
      </c>
      <c r="AI33" s="4649"/>
      <c r="AJ33" s="4623"/>
      <c r="AK33" s="4626"/>
      <c r="AL33" s="4620"/>
      <c r="AM33" s="1842"/>
      <c r="AQ33" s="96"/>
    </row>
    <row r="34" spans="1:43" ht="12" customHeight="1">
      <c r="A34" s="173"/>
      <c r="B34" s="1672"/>
      <c r="C34" s="4681"/>
      <c r="D34" s="4681"/>
      <c r="E34" s="4681"/>
      <c r="F34" s="4680"/>
      <c r="G34" s="4680"/>
      <c r="H34" s="4680"/>
      <c r="I34" s="4680"/>
      <c r="J34" s="4680"/>
      <c r="K34" s="4680"/>
      <c r="L34" s="4680"/>
      <c r="M34" s="4680"/>
      <c r="N34" s="4680"/>
      <c r="O34" s="4680"/>
      <c r="P34" s="4680"/>
      <c r="Q34" s="4680"/>
      <c r="R34" s="68"/>
      <c r="S34" s="56"/>
      <c r="T34" s="56"/>
      <c r="U34" s="1836"/>
      <c r="V34" s="4638" t="str">
        <f>IF(V33=0,"",VLOOKUP(V33,Tabla_PoderesPsi,2,FALSE))</f>
        <v/>
      </c>
      <c r="W34" s="4639"/>
      <c r="X34" s="4639"/>
      <c r="Y34" s="2857" t="s">
        <v>1627</v>
      </c>
      <c r="Z34" s="2656" t="str">
        <f>IF(V33=0,"",VLOOKUP(V33,Tabla_PoderesPsi,3,FALSE))</f>
        <v/>
      </c>
      <c r="AA34" s="4648"/>
      <c r="AB34" s="4627"/>
      <c r="AC34" s="2309"/>
      <c r="AD34" s="4646"/>
      <c r="AE34" s="4647"/>
      <c r="AF34" s="4647"/>
      <c r="AG34" s="4647"/>
      <c r="AH34" s="4647"/>
      <c r="AI34" s="4645"/>
      <c r="AJ34" s="4624"/>
      <c r="AK34" s="4627" t="str">
        <f>IF(AD34&lt;&gt;"",INDEX(Tablas!$U$26:$U$38,MAX(1+MATCH(VLOOKUP(Psíquicos!$AD34,'Tablas psiquica'!$D$7:$U$145,18,FALSE),'Tablas psiquica'!$I$6:$R$6,0),MAX(SUMPRODUCT(--(Tablas!$T$26:$T$38&lt;=(AL34-20*AI34)))+IF(Tablas!$G$446&gt;0,1,0)+IF(COUNTIF($C$39:$E$50,"Introversión")&gt;0,1,0),SUMPRODUCT(--(Tablas!$T$26:$T$38&lt;=(AL34)))))),"")</f>
        <v/>
      </c>
      <c r="AL34" s="4620">
        <f t="shared" ref="AL34" si="8">$H$11+IF(ISNA(VLOOKUP(AD34,$V$11:$AB$64,7,FALSE)),0,IF(VLOOKUP(AD34,$V$11:$AB$64,7,FALSE)="",0,VLOOKUP(AD34,$V$11:$AB$64,7,FALSE)))+AI34*20+AJ34</f>
        <v>0</v>
      </c>
      <c r="AM34" s="1842"/>
      <c r="AQ34" s="96"/>
    </row>
    <row r="35" spans="1:43" ht="12" customHeight="1" thickBot="1">
      <c r="A35" s="173"/>
      <c r="B35" s="1672"/>
      <c r="C35" s="4682"/>
      <c r="D35" s="4682"/>
      <c r="E35" s="4682"/>
      <c r="F35" s="4683" t="str">
        <f>IF(C35=0,"",VLOOKUP(C35,Tabla_DisciplinasPsi,2,FALSE))</f>
        <v/>
      </c>
      <c r="G35" s="4683"/>
      <c r="H35" s="4683"/>
      <c r="I35" s="4683"/>
      <c r="J35" s="4683"/>
      <c r="K35" s="4683"/>
      <c r="L35" s="4683"/>
      <c r="M35" s="4683"/>
      <c r="N35" s="4683"/>
      <c r="O35" s="4683"/>
      <c r="P35" s="4683"/>
      <c r="Q35" s="4683"/>
      <c r="R35" s="68"/>
      <c r="S35" s="56"/>
      <c r="T35" s="56"/>
      <c r="U35" s="1836">
        <f>IF(V35=0,0,1)</f>
        <v>0</v>
      </c>
      <c r="V35" s="4634"/>
      <c r="W35" s="4635"/>
      <c r="X35" s="4635"/>
      <c r="Y35" s="4635"/>
      <c r="Z35" s="4635"/>
      <c r="AA35" s="4656"/>
      <c r="AB35" s="4626" t="str">
        <f>IF(AA35=0,"",IF(AA35*10&lt;100,AA35*10,100))</f>
        <v/>
      </c>
      <c r="AC35" s="2664"/>
      <c r="AD35" s="4638" t="str">
        <f>IF(AD34=0,"",VLOOKUP(AD34,Tabla_PoderesPsi,2,FALSE))</f>
        <v/>
      </c>
      <c r="AE35" s="4666"/>
      <c r="AF35" s="4666"/>
      <c r="AG35" s="2654" t="s">
        <v>1627</v>
      </c>
      <c r="AH35" s="2656" t="str">
        <f>IF(AD34=0,"",VLOOKUP(AD34,Tabla_PoderesPsi,3,FALSE))</f>
        <v/>
      </c>
      <c r="AI35" s="4645"/>
      <c r="AJ35" s="4624"/>
      <c r="AK35" s="4627"/>
      <c r="AL35" s="4620"/>
      <c r="AM35" s="1842"/>
      <c r="AQ35" s="96"/>
    </row>
    <row r="36" spans="1:43" ht="12" customHeight="1" thickBot="1">
      <c r="A36" s="173"/>
      <c r="B36" s="1672"/>
      <c r="C36" s="4682"/>
      <c r="D36" s="4682"/>
      <c r="E36" s="4682"/>
      <c r="F36" s="4683"/>
      <c r="G36" s="4683"/>
      <c r="H36" s="4683"/>
      <c r="I36" s="4683"/>
      <c r="J36" s="4683"/>
      <c r="K36" s="4683"/>
      <c r="L36" s="4683"/>
      <c r="M36" s="4683"/>
      <c r="N36" s="4683"/>
      <c r="O36" s="4683"/>
      <c r="P36" s="4683"/>
      <c r="Q36" s="4683"/>
      <c r="R36" s="68"/>
      <c r="S36" s="56"/>
      <c r="T36" s="56"/>
      <c r="U36" s="1836"/>
      <c r="V36" s="4650" t="str">
        <f>IF(V35=0,"",VLOOKUP(V35,Tabla_PoderesPsi,2,FALSE))</f>
        <v/>
      </c>
      <c r="W36" s="3587"/>
      <c r="X36" s="3587"/>
      <c r="Y36" s="2856" t="s">
        <v>1627</v>
      </c>
      <c r="Z36" s="2728" t="str">
        <f>IF(V35=0,"",VLOOKUP(V35,Tabla_PoderesPsi,3,FALSE))</f>
        <v/>
      </c>
      <c r="AA36" s="4656"/>
      <c r="AB36" s="4626"/>
      <c r="AC36" s="2664"/>
      <c r="AD36" s="4674"/>
      <c r="AE36" s="4675"/>
      <c r="AF36" s="4675"/>
      <c r="AG36" s="4675"/>
      <c r="AH36" s="4676"/>
      <c r="AI36" s="4649"/>
      <c r="AJ36" s="4623"/>
      <c r="AK36" s="4626" t="str">
        <f>IF(AD36&lt;&gt;"",INDEX(Tablas!$U$26:$U$38,MAX(1+MATCH(VLOOKUP(Psíquicos!$AD36,'Tablas psiquica'!$D$7:$U$145,18,FALSE),'Tablas psiquica'!$I$6:$R$6,0),MAX(SUMPRODUCT(--(Tablas!$T$26:$T$38&lt;=(AL36-20*AI36)))+IF(Tablas!$G$446&gt;0,1,0)+IF(COUNTIF($C$39:$E$50,"Introversión")&gt;0,1,0),SUMPRODUCT(--(Tablas!$T$26:$T$38&lt;=(AL36)))))),"")</f>
        <v/>
      </c>
      <c r="AL36" s="4620">
        <f t="shared" ref="AL36" si="9">$H$11+IF(ISNA(VLOOKUP(AD36,$V$11:$AB$64,7,FALSE)),0,IF(VLOOKUP(AD36,$V$11:$AB$64,7,FALSE)="",0,VLOOKUP(AD36,$V$11:$AB$64,7,FALSE)))+AI36*20+AJ36</f>
        <v>0</v>
      </c>
      <c r="AM36" s="1842"/>
      <c r="AQ36" s="96"/>
    </row>
    <row r="37" spans="1:43" ht="12" customHeight="1" thickBot="1">
      <c r="A37" s="173"/>
      <c r="B37" s="1672"/>
      <c r="C37" s="67"/>
      <c r="D37" s="67"/>
      <c r="E37" s="67"/>
      <c r="F37" s="67"/>
      <c r="G37" s="67"/>
      <c r="H37" s="67"/>
      <c r="I37" s="67"/>
      <c r="J37" s="67"/>
      <c r="K37" s="67"/>
      <c r="L37" s="67"/>
      <c r="M37" s="67"/>
      <c r="N37" s="67"/>
      <c r="O37" s="67"/>
      <c r="P37" s="67"/>
      <c r="Q37" s="67"/>
      <c r="R37" s="68"/>
      <c r="S37" s="56"/>
      <c r="T37" s="56"/>
      <c r="U37" s="1836">
        <f>IF(V37=0,0,1)</f>
        <v>0</v>
      </c>
      <c r="V37" s="4646"/>
      <c r="W37" s="4647"/>
      <c r="X37" s="4647"/>
      <c r="Y37" s="4647"/>
      <c r="Z37" s="4647"/>
      <c r="AA37" s="4648"/>
      <c r="AB37" s="4627" t="str">
        <f>IF(AA37=0,"",IF(AA37*10&lt;100,AA37*10,100))</f>
        <v/>
      </c>
      <c r="AC37" s="187"/>
      <c r="AD37" s="4650" t="str">
        <f>IF(AD36=0,"",VLOOKUP(AD36,Tabla_PoderesPsi,2,FALSE))</f>
        <v/>
      </c>
      <c r="AE37" s="3478"/>
      <c r="AF37" s="3478"/>
      <c r="AG37" s="2650" t="s">
        <v>1627</v>
      </c>
      <c r="AH37" s="2655" t="str">
        <f>IF(AD36=0,"",VLOOKUP(AD36,Tabla_PoderesPsi,3,FALSE))</f>
        <v/>
      </c>
      <c r="AI37" s="4649"/>
      <c r="AJ37" s="4623"/>
      <c r="AK37" s="4626"/>
      <c r="AL37" s="4620"/>
      <c r="AM37" s="1842"/>
      <c r="AQ37" s="96"/>
    </row>
    <row r="38" spans="1:43" ht="12" customHeight="1" thickBot="1">
      <c r="A38" s="173"/>
      <c r="B38" s="1672"/>
      <c r="C38" s="3281" t="s">
        <v>1835</v>
      </c>
      <c r="D38" s="3281"/>
      <c r="E38" s="3281"/>
      <c r="F38" s="3992" t="s">
        <v>2143</v>
      </c>
      <c r="G38" s="3992"/>
      <c r="H38" s="3992"/>
      <c r="I38" s="3992"/>
      <c r="J38" s="3992"/>
      <c r="K38" s="3992"/>
      <c r="L38" s="3992"/>
      <c r="M38" s="3992"/>
      <c r="N38" s="3992"/>
      <c r="O38" s="3992"/>
      <c r="P38" s="3992"/>
      <c r="Q38" s="3992"/>
      <c r="R38" s="68"/>
      <c r="S38" s="56"/>
      <c r="T38" s="56"/>
      <c r="U38" s="1836"/>
      <c r="V38" s="4638" t="str">
        <f>IF(V37=0,"",VLOOKUP(V37,Tabla_PoderesPsi,2,FALSE))</f>
        <v/>
      </c>
      <c r="W38" s="4639"/>
      <c r="X38" s="4639"/>
      <c r="Y38" s="2857" t="s">
        <v>1627</v>
      </c>
      <c r="Z38" s="2656" t="str">
        <f>IF(V37=0,"",VLOOKUP(V37,Tabla_PoderesPsi,3,FALSE))</f>
        <v/>
      </c>
      <c r="AA38" s="4648"/>
      <c r="AB38" s="4627"/>
      <c r="AC38" s="2663"/>
      <c r="AD38" s="4646"/>
      <c r="AE38" s="4647"/>
      <c r="AF38" s="4647"/>
      <c r="AG38" s="4647"/>
      <c r="AH38" s="4647"/>
      <c r="AI38" s="4645"/>
      <c r="AJ38" s="4624"/>
      <c r="AK38" s="4627" t="str">
        <f>IF(AD38&lt;&gt;"",INDEX(Tablas!$U$26:$U$38,MAX(1+MATCH(VLOOKUP(Psíquicos!$AD38,'Tablas psiquica'!$D$7:$U$145,18,FALSE),'Tablas psiquica'!$I$6:$R$6,0),MAX(SUMPRODUCT(--(Tablas!$T$26:$T$38&lt;=(AL38-20*AI38)))+IF(Tablas!$G$446&gt;0,1,0)+IF(COUNTIF($C$39:$E$50,"Introversión")&gt;0,1,0),SUMPRODUCT(--(Tablas!$T$26:$T$38&lt;=(AL38)))))),"")</f>
        <v/>
      </c>
      <c r="AL38" s="4620">
        <f t="shared" ref="AL38" si="10">$H$11+IF(ISNA(VLOOKUP(AD38,$V$11:$AB$64,7,FALSE)),0,IF(VLOOKUP(AD38,$V$11:$AB$64,7,FALSE)="",0,VLOOKUP(AD38,$V$11:$AB$64,7,FALSE)))+AI38*20+AJ38</f>
        <v>0</v>
      </c>
      <c r="AM38" s="1842"/>
      <c r="AQ38" s="96"/>
    </row>
    <row r="39" spans="1:43" ht="12" customHeight="1" thickBot="1">
      <c r="A39" s="173"/>
      <c r="B39" s="1672"/>
      <c r="C39" s="4684" t="str">
        <f>IF(PDs!E111=0,"",PDs!E111)</f>
        <v/>
      </c>
      <c r="D39" s="4684"/>
      <c r="E39" s="4684"/>
      <c r="F39" s="4685" t="str">
        <f>IF(C39="","",VLOOKUP(C39,Tablas!$D$1092:$R$1107,15,FALSE))</f>
        <v/>
      </c>
      <c r="G39" s="4685"/>
      <c r="H39" s="4685"/>
      <c r="I39" s="4685"/>
      <c r="J39" s="4685"/>
      <c r="K39" s="4685"/>
      <c r="L39" s="4685"/>
      <c r="M39" s="4685"/>
      <c r="N39" s="4685"/>
      <c r="O39" s="4685"/>
      <c r="P39" s="4685"/>
      <c r="Q39" s="4685"/>
      <c r="R39" s="68"/>
      <c r="S39" s="56"/>
      <c r="T39" s="56"/>
      <c r="U39" s="1836">
        <f>IF(V39=0,0,1)</f>
        <v>0</v>
      </c>
      <c r="V39" s="4634"/>
      <c r="W39" s="4635"/>
      <c r="X39" s="4635"/>
      <c r="Y39" s="4635"/>
      <c r="Z39" s="4635"/>
      <c r="AA39" s="4656"/>
      <c r="AB39" s="4626" t="str">
        <f>IF(AA39=0,"",IF(AA39*10&lt;100,AA39*10,100))</f>
        <v/>
      </c>
      <c r="AC39" s="2664"/>
      <c r="AD39" s="4638" t="str">
        <f>IF(AD38=0,"",VLOOKUP(AD38,Tabla_PoderesPsi,2,FALSE))</f>
        <v/>
      </c>
      <c r="AE39" s="4639"/>
      <c r="AF39" s="4639"/>
      <c r="AG39" s="2654" t="s">
        <v>1627</v>
      </c>
      <c r="AH39" s="2656" t="str">
        <f>IF(AD38=0,"",VLOOKUP(AD38,Tabla_PoderesPsi,3,FALSE))</f>
        <v/>
      </c>
      <c r="AI39" s="4645"/>
      <c r="AJ39" s="4624"/>
      <c r="AK39" s="4627"/>
      <c r="AL39" s="4620"/>
      <c r="AM39" s="1842"/>
      <c r="AQ39" s="96"/>
    </row>
    <row r="40" spans="1:43" ht="12" customHeight="1">
      <c r="A40" s="173"/>
      <c r="B40" s="1672"/>
      <c r="C40" s="4684"/>
      <c r="D40" s="4684"/>
      <c r="E40" s="4684"/>
      <c r="F40" s="3677" t="str">
        <f>IF(C39="","",VLOOKUP(C39,Tablas!$D$1092:$R$1107,7,FALSE))</f>
        <v/>
      </c>
      <c r="G40" s="3677"/>
      <c r="H40" s="3677"/>
      <c r="I40" s="3677"/>
      <c r="J40" s="3677"/>
      <c r="K40" s="3677"/>
      <c r="L40" s="3677"/>
      <c r="M40" s="3677"/>
      <c r="N40" s="3677"/>
      <c r="O40" s="3677"/>
      <c r="P40" s="3677"/>
      <c r="Q40" s="3677"/>
      <c r="R40" s="68"/>
      <c r="S40" s="56"/>
      <c r="T40" s="56"/>
      <c r="U40" s="1836"/>
      <c r="V40" s="4650" t="str">
        <f>IF(V39=0,"",VLOOKUP(V39,Tabla_PoderesPsi,2,FALSE))</f>
        <v/>
      </c>
      <c r="W40" s="3587"/>
      <c r="X40" s="3587"/>
      <c r="Y40" s="2650" t="s">
        <v>1627</v>
      </c>
      <c r="Z40" s="2655" t="str">
        <f>IF(V39=0,"",VLOOKUP(V39,Tabla_PoderesPsi,3,FALSE))</f>
        <v/>
      </c>
      <c r="AA40" s="4656"/>
      <c r="AB40" s="4626"/>
      <c r="AC40" s="2664"/>
      <c r="AD40" s="4634"/>
      <c r="AE40" s="4635"/>
      <c r="AF40" s="4635"/>
      <c r="AG40" s="4635"/>
      <c r="AH40" s="4635"/>
      <c r="AI40" s="4649"/>
      <c r="AJ40" s="4623"/>
      <c r="AK40" s="4626" t="str">
        <f>IF(AD40&lt;&gt;"",INDEX(Tablas!$U$26:$U$38,MAX(1+MATCH(VLOOKUP(Psíquicos!$AD40,'Tablas psiquica'!$D$7:$U$145,18,FALSE),'Tablas psiquica'!$I$6:$R$6,0),MAX(SUMPRODUCT(--(Tablas!$T$26:$T$38&lt;=(AL40-20*AI40)))+IF(Tablas!$G$446&gt;0,1,0)+IF(COUNTIF($C$39:$E$50,"Introversión")&gt;0,1,0),SUMPRODUCT(--(Tablas!$T$26:$T$38&lt;=(AL40)))))),"")</f>
        <v/>
      </c>
      <c r="AL40" s="4620">
        <f t="shared" ref="AL40" si="11">$H$11+IF(ISNA(VLOOKUP(AD40,$V$11:$AB$64,7,FALSE)),0,IF(VLOOKUP(AD40,$V$11:$AB$64,7,FALSE)="",0,VLOOKUP(AD40,$V$11:$AB$64,7,FALSE)))+AI40*20+AJ40</f>
        <v>0</v>
      </c>
      <c r="AM40" s="1842"/>
      <c r="AQ40" s="96"/>
    </row>
    <row r="41" spans="1:43" ht="12" customHeight="1">
      <c r="A41" s="173"/>
      <c r="B41" s="1672"/>
      <c r="C41" s="4686" t="str">
        <f>IF(PDs!E112=0,"",PDs!E112)</f>
        <v/>
      </c>
      <c r="D41" s="4686"/>
      <c r="E41" s="4686"/>
      <c r="F41" s="3677" t="str">
        <f>IF(C41="","",VLOOKUP(C41,Tablas!$D$1092:$R$1107,15,FALSE))</f>
        <v/>
      </c>
      <c r="G41" s="3677"/>
      <c r="H41" s="3677"/>
      <c r="I41" s="3677"/>
      <c r="J41" s="3677"/>
      <c r="K41" s="3677"/>
      <c r="L41" s="3677"/>
      <c r="M41" s="3677"/>
      <c r="N41" s="3677"/>
      <c r="O41" s="3677"/>
      <c r="P41" s="3677"/>
      <c r="Q41" s="3677"/>
      <c r="R41" s="68"/>
      <c r="S41" s="56"/>
      <c r="T41" s="56"/>
      <c r="U41" s="1836">
        <f>IF(V41=0,0,1)</f>
        <v>0</v>
      </c>
      <c r="V41" s="4646"/>
      <c r="W41" s="4647"/>
      <c r="X41" s="4647"/>
      <c r="Y41" s="4647"/>
      <c r="Z41" s="4647"/>
      <c r="AA41" s="4648"/>
      <c r="AB41" s="4627" t="str">
        <f>IF(AA41=0,"",IF(AA41*10&lt;100,AA41*10,100))</f>
        <v/>
      </c>
      <c r="AC41" s="212"/>
      <c r="AD41" s="4650" t="str">
        <f>IF(AD40=0,"",VLOOKUP(AD40,Tabla_PoderesPsi,2,FALSE))</f>
        <v/>
      </c>
      <c r="AE41" s="3587"/>
      <c r="AF41" s="3587"/>
      <c r="AG41" s="2650" t="s">
        <v>1627</v>
      </c>
      <c r="AH41" s="2655" t="str">
        <f>IF(AD40=0,"",VLOOKUP(AD40,Tabla_PoderesPsi,3,FALSE))</f>
        <v/>
      </c>
      <c r="AI41" s="4649"/>
      <c r="AJ41" s="4623"/>
      <c r="AK41" s="4626"/>
      <c r="AL41" s="4620"/>
      <c r="AM41" s="1842"/>
      <c r="AQ41" s="96"/>
    </row>
    <row r="42" spans="1:43" ht="12" customHeight="1">
      <c r="A42" s="173"/>
      <c r="B42" s="1672"/>
      <c r="C42" s="4686"/>
      <c r="D42" s="4686"/>
      <c r="E42" s="4686"/>
      <c r="F42" s="3677" t="str">
        <f>IF(C41="","",VLOOKUP(C41,Tablas!$D$1092:$R$1107,7,FALSE))</f>
        <v/>
      </c>
      <c r="G42" s="3677"/>
      <c r="H42" s="3677"/>
      <c r="I42" s="3677"/>
      <c r="J42" s="3677"/>
      <c r="K42" s="3677"/>
      <c r="L42" s="3677"/>
      <c r="M42" s="3677"/>
      <c r="N42" s="3677"/>
      <c r="O42" s="3677"/>
      <c r="P42" s="3677"/>
      <c r="Q42" s="3677"/>
      <c r="R42" s="68"/>
      <c r="S42" s="56"/>
      <c r="T42" s="56"/>
      <c r="U42" s="1836"/>
      <c r="V42" s="4638" t="str">
        <f>IF(V41=0,"",VLOOKUP(V41,Tabla_PoderesPsi,2,FALSE))</f>
        <v/>
      </c>
      <c r="W42" s="4639"/>
      <c r="X42" s="4639"/>
      <c r="Y42" s="2654" t="s">
        <v>1627</v>
      </c>
      <c r="Z42" s="2656" t="str">
        <f>IF(V41=0,"",VLOOKUP(V41,Tabla_PoderesPsi,3,FALSE))</f>
        <v/>
      </c>
      <c r="AA42" s="4648"/>
      <c r="AB42" s="4627"/>
      <c r="AC42" s="212"/>
      <c r="AD42" s="4646"/>
      <c r="AE42" s="4647"/>
      <c r="AF42" s="4647"/>
      <c r="AG42" s="4647"/>
      <c r="AH42" s="4647"/>
      <c r="AI42" s="4645"/>
      <c r="AJ42" s="4624"/>
      <c r="AK42" s="4627" t="str">
        <f>IF(AD42&lt;&gt;"",INDEX(Tablas!$U$26:$U$38,MAX(1+MATCH(VLOOKUP(Psíquicos!$AD42,'Tablas psiquica'!$D$7:$U$145,18,FALSE),'Tablas psiquica'!$I$6:$R$6,0),MAX(SUMPRODUCT(--(Tablas!$T$26:$T$38&lt;=(AL42-20*AI42)))+IF(Tablas!$G$446&gt;0,1,0)+IF(COUNTIF($C$39:$E$50,"Introversión")&gt;0,1,0),SUMPRODUCT(--(Tablas!$T$26:$T$38&lt;=(AL42)))))),"")</f>
        <v/>
      </c>
      <c r="AL42" s="4620">
        <f t="shared" ref="AL42" si="12">$H$11+IF(ISNA(VLOOKUP(AD42,$V$11:$AB$64,7,FALSE)),0,IF(VLOOKUP(AD42,$V$11:$AB$64,7,FALSE)="",0,VLOOKUP(AD42,$V$11:$AB$64,7,FALSE)))+AI42*20+AJ42</f>
        <v>0</v>
      </c>
      <c r="AM42" s="1842"/>
      <c r="AQ42" s="96"/>
    </row>
    <row r="43" spans="1:43" ht="12" customHeight="1">
      <c r="A43" s="173"/>
      <c r="B43" s="1672"/>
      <c r="C43" s="4686" t="str">
        <f>IF(PDs!E113=0,"",PDs!E113)</f>
        <v/>
      </c>
      <c r="D43" s="4686"/>
      <c r="E43" s="4686"/>
      <c r="F43" s="3677" t="str">
        <f>IF(C43="","",VLOOKUP(C43,Tablas!$D$1092:$R$1107,15,FALSE))</f>
        <v/>
      </c>
      <c r="G43" s="3677"/>
      <c r="H43" s="3677"/>
      <c r="I43" s="3677"/>
      <c r="J43" s="3677"/>
      <c r="K43" s="3677"/>
      <c r="L43" s="3677"/>
      <c r="M43" s="3677"/>
      <c r="N43" s="3677"/>
      <c r="O43" s="3677"/>
      <c r="P43" s="3677"/>
      <c r="Q43" s="3677"/>
      <c r="R43" s="68"/>
      <c r="S43" s="56"/>
      <c r="T43" s="56"/>
      <c r="U43" s="1836">
        <f>IF(V43=0,0,1)</f>
        <v>0</v>
      </c>
      <c r="V43" s="4634"/>
      <c r="W43" s="4635"/>
      <c r="X43" s="4635"/>
      <c r="Y43" s="4635"/>
      <c r="Z43" s="4635"/>
      <c r="AA43" s="4656"/>
      <c r="AB43" s="4626" t="str">
        <f>IF(AA43=0,"",IF(AA43*10&lt;100,AA43*10,100))</f>
        <v/>
      </c>
      <c r="AC43" s="2309"/>
      <c r="AD43" s="4638" t="str">
        <f>IF(AD42=0,"",VLOOKUP(AD42,Tabla_PoderesPsi,2,FALSE))</f>
        <v/>
      </c>
      <c r="AE43" s="4639"/>
      <c r="AF43" s="4639"/>
      <c r="AG43" s="2654" t="s">
        <v>1627</v>
      </c>
      <c r="AH43" s="2656" t="str">
        <f>IF(AD42=0,"",VLOOKUP(AD42,Tabla_PoderesPsi,3,FALSE))</f>
        <v/>
      </c>
      <c r="AI43" s="4645"/>
      <c r="AJ43" s="4624"/>
      <c r="AK43" s="4627"/>
      <c r="AL43" s="4620"/>
      <c r="AM43" s="1842"/>
      <c r="AQ43" s="96"/>
    </row>
    <row r="44" spans="1:43" ht="12" customHeight="1">
      <c r="A44" s="173"/>
      <c r="B44" s="1672"/>
      <c r="C44" s="4686"/>
      <c r="D44" s="4686"/>
      <c r="E44" s="4686"/>
      <c r="F44" s="3677" t="str">
        <f>IF(C43="","",VLOOKUP(C43,Tablas!$D$1092:$R$1107,7,FALSE))</f>
        <v/>
      </c>
      <c r="G44" s="3677"/>
      <c r="H44" s="3677"/>
      <c r="I44" s="3677"/>
      <c r="J44" s="3677"/>
      <c r="K44" s="3677"/>
      <c r="L44" s="3677"/>
      <c r="M44" s="3677"/>
      <c r="N44" s="3677"/>
      <c r="O44" s="3677"/>
      <c r="P44" s="3677"/>
      <c r="Q44" s="3677"/>
      <c r="R44" s="68"/>
      <c r="S44" s="56"/>
      <c r="T44" s="56"/>
      <c r="U44" s="1836"/>
      <c r="V44" s="4650" t="str">
        <f>IF(V43=0,"",VLOOKUP(V43,Tabla_PoderesPsi,2,FALSE))</f>
        <v/>
      </c>
      <c r="W44" s="3587"/>
      <c r="X44" s="3587"/>
      <c r="Y44" s="2856" t="s">
        <v>1627</v>
      </c>
      <c r="Z44" s="2728" t="str">
        <f>IF(V43=0,"",VLOOKUP(V43,Tabla_PoderesPsi,3,FALSE))</f>
        <v/>
      </c>
      <c r="AA44" s="4656"/>
      <c r="AB44" s="4626"/>
      <c r="AC44" s="96"/>
      <c r="AD44" s="4634"/>
      <c r="AE44" s="4635"/>
      <c r="AF44" s="4635"/>
      <c r="AG44" s="4635"/>
      <c r="AH44" s="4635"/>
      <c r="AI44" s="4649"/>
      <c r="AJ44" s="4623"/>
      <c r="AK44" s="4626" t="str">
        <f>IF(AD44&lt;&gt;"",INDEX(Tablas!$U$26:$U$38,MAX(1+MATCH(VLOOKUP(Psíquicos!$AD44,'Tablas psiquica'!$D$7:$U$145,18,FALSE),'Tablas psiquica'!$I$6:$R$6,0),MAX(SUMPRODUCT(--(Tablas!$T$26:$T$38&lt;=(AL44-20*AI44)))+IF(Tablas!$G$446&gt;0,1,0)+IF(COUNTIF($C$39:$E$50,"Introversión")&gt;0,1,0),SUMPRODUCT(--(Tablas!$T$26:$T$38&lt;=(AL44)))))),"")</f>
        <v/>
      </c>
      <c r="AL44" s="4620">
        <f t="shared" ref="AL44" si="13">$H$11+IF(ISNA(VLOOKUP(AD44,$V$11:$AB$64,7,FALSE)),0,IF(VLOOKUP(AD44,$V$11:$AB$64,7,FALSE)="",0,VLOOKUP(AD44,$V$11:$AB$64,7,FALSE)))+AI44*20+AJ44</f>
        <v>0</v>
      </c>
      <c r="AM44" s="1842"/>
      <c r="AQ44" s="96"/>
    </row>
    <row r="45" spans="1:43" ht="12" customHeight="1">
      <c r="A45" s="173"/>
      <c r="B45" s="1672"/>
      <c r="C45" s="4686" t="str">
        <f>IF(PDs!E114=0,"",PDs!E114)</f>
        <v/>
      </c>
      <c r="D45" s="4686"/>
      <c r="E45" s="4686"/>
      <c r="F45" s="3677" t="str">
        <f>IF(C45="","",VLOOKUP(C45,Tablas!$D$1092:$R$1107,15,FALSE))</f>
        <v/>
      </c>
      <c r="G45" s="3677"/>
      <c r="H45" s="3677"/>
      <c r="I45" s="3677"/>
      <c r="J45" s="3677"/>
      <c r="K45" s="3677"/>
      <c r="L45" s="3677"/>
      <c r="M45" s="3677"/>
      <c r="N45" s="3677"/>
      <c r="O45" s="3677"/>
      <c r="P45" s="3677"/>
      <c r="Q45" s="3677"/>
      <c r="R45" s="68"/>
      <c r="S45" s="56"/>
      <c r="T45" s="56"/>
      <c r="U45" s="1836">
        <f>IF(V45=0,0,1)</f>
        <v>0</v>
      </c>
      <c r="V45" s="4646"/>
      <c r="W45" s="4647"/>
      <c r="X45" s="4647"/>
      <c r="Y45" s="4647"/>
      <c r="Z45" s="4647"/>
      <c r="AA45" s="4648"/>
      <c r="AB45" s="4627" t="str">
        <f>IF(AA45=0,"",IF(AA45*10&lt;100,AA45*10,100))</f>
        <v/>
      </c>
      <c r="AC45" s="96"/>
      <c r="AD45" s="4650" t="str">
        <f>IF(AD44=0,"",VLOOKUP(AD44,Tabla_PoderesPsi,2,FALSE))</f>
        <v/>
      </c>
      <c r="AE45" s="3587"/>
      <c r="AF45" s="3587"/>
      <c r="AG45" s="2650" t="s">
        <v>1627</v>
      </c>
      <c r="AH45" s="2655" t="str">
        <f>IF(AD44=0,"",VLOOKUP(AD44,Tabla_PoderesPsi,3,FALSE))</f>
        <v/>
      </c>
      <c r="AI45" s="4649"/>
      <c r="AJ45" s="4623"/>
      <c r="AK45" s="4626"/>
      <c r="AL45" s="4620"/>
      <c r="AM45" s="1842"/>
      <c r="AQ45" s="96"/>
    </row>
    <row r="46" spans="1:43" ht="12" customHeight="1">
      <c r="A46" s="173"/>
      <c r="B46" s="1672"/>
      <c r="C46" s="4686"/>
      <c r="D46" s="4686"/>
      <c r="E46" s="4686"/>
      <c r="F46" s="3677" t="str">
        <f>IF(C45="","",VLOOKUP(C45,Tablas!$D$1092:$R$1107,7,FALSE))</f>
        <v/>
      </c>
      <c r="G46" s="3677"/>
      <c r="H46" s="3677"/>
      <c r="I46" s="3677"/>
      <c r="J46" s="3677"/>
      <c r="K46" s="3677"/>
      <c r="L46" s="3677"/>
      <c r="M46" s="3677"/>
      <c r="N46" s="3677"/>
      <c r="O46" s="3677"/>
      <c r="P46" s="3677"/>
      <c r="Q46" s="3677"/>
      <c r="R46" s="68"/>
      <c r="S46" s="56"/>
      <c r="T46" s="56"/>
      <c r="U46" s="1836"/>
      <c r="V46" s="4638" t="str">
        <f>IF(V45=0,"",VLOOKUP(V45,Tabla_PoderesPsi,2,FALSE))</f>
        <v/>
      </c>
      <c r="W46" s="4639"/>
      <c r="X46" s="4639"/>
      <c r="Y46" s="2857" t="s">
        <v>1627</v>
      </c>
      <c r="Z46" s="2656" t="str">
        <f>IF(V45=0,"",VLOOKUP(V45,Tabla_PoderesPsi,3,FALSE))</f>
        <v/>
      </c>
      <c r="AA46" s="4648"/>
      <c r="AB46" s="4627"/>
      <c r="AC46" s="96"/>
      <c r="AD46" s="4646"/>
      <c r="AE46" s="4647"/>
      <c r="AF46" s="4647"/>
      <c r="AG46" s="4647"/>
      <c r="AH46" s="4647"/>
      <c r="AI46" s="4645"/>
      <c r="AJ46" s="4624"/>
      <c r="AK46" s="4627" t="str">
        <f>IF(AD46&lt;&gt;"",INDEX(Tablas!$U$26:$U$38,MAX(1+MATCH(VLOOKUP(Psíquicos!$AD46,'Tablas psiquica'!$D$7:$U$145,18,FALSE),'Tablas psiquica'!$I$6:$R$6,0),MAX(SUMPRODUCT(--(Tablas!$T$26:$T$38&lt;=(AL46-20*AI46)))+IF(Tablas!$G$446&gt;0,1,0)+IF(COUNTIF($C$39:$E$50,"Introversión")&gt;0,1,0),SUMPRODUCT(--(Tablas!$T$26:$T$38&lt;=(AL46)))))),"")</f>
        <v/>
      </c>
      <c r="AL46" s="4620">
        <f t="shared" ref="AL46" si="14">$H$11+IF(ISNA(VLOOKUP(AD46,$V$11:$AB$64,7,FALSE)),0,IF(VLOOKUP(AD46,$V$11:$AB$64,7,FALSE)="",0,VLOOKUP(AD46,$V$11:$AB$64,7,FALSE)))+AI46*20+AJ46</f>
        <v>0</v>
      </c>
      <c r="AM46" s="1842"/>
      <c r="AQ46" s="96"/>
    </row>
    <row r="47" spans="1:43" ht="12" customHeight="1">
      <c r="A47" s="173"/>
      <c r="B47" s="1672"/>
      <c r="C47" s="4686" t="str">
        <f>IF(PDs!E115=0,"",PDs!E115)</f>
        <v/>
      </c>
      <c r="D47" s="4686"/>
      <c r="E47" s="4686"/>
      <c r="F47" s="3677" t="str">
        <f>IF(C47="","",VLOOKUP(C47,Tablas!$D$1092:$R$1107,15,FALSE))</f>
        <v/>
      </c>
      <c r="G47" s="3677"/>
      <c r="H47" s="3677"/>
      <c r="I47" s="3677"/>
      <c r="J47" s="3677"/>
      <c r="K47" s="3677"/>
      <c r="L47" s="3677"/>
      <c r="M47" s="3677"/>
      <c r="N47" s="3677"/>
      <c r="O47" s="3677"/>
      <c r="P47" s="3677"/>
      <c r="Q47" s="3677"/>
      <c r="R47" s="68"/>
      <c r="S47" s="56"/>
      <c r="T47" s="56"/>
      <c r="U47" s="1836">
        <f>IF(V47=0,0,1)</f>
        <v>0</v>
      </c>
      <c r="V47" s="4634"/>
      <c r="W47" s="4635"/>
      <c r="X47" s="4635"/>
      <c r="Y47" s="4635"/>
      <c r="Z47" s="4635"/>
      <c r="AA47" s="4656"/>
      <c r="AB47" s="4626" t="str">
        <f>IF(AA47=0,"",IF(AA47*10&lt;100,AA47*10,100))</f>
        <v/>
      </c>
      <c r="AC47" s="96"/>
      <c r="AD47" s="4638" t="str">
        <f>IF(AD46=0,"",VLOOKUP(AD46,Tabla_PoderesPsi,2,FALSE))</f>
        <v/>
      </c>
      <c r="AE47" s="4639"/>
      <c r="AF47" s="4639"/>
      <c r="AG47" s="2654" t="s">
        <v>1627</v>
      </c>
      <c r="AH47" s="2656" t="str">
        <f>IF(AD46=0,"",VLOOKUP(AD46,Tabla_PoderesPsi,3,FALSE))</f>
        <v/>
      </c>
      <c r="AI47" s="4645"/>
      <c r="AJ47" s="4624"/>
      <c r="AK47" s="4627"/>
      <c r="AL47" s="4620"/>
      <c r="AM47" s="1842"/>
      <c r="AQ47" s="96"/>
    </row>
    <row r="48" spans="1:43" ht="12" customHeight="1">
      <c r="A48" s="173"/>
      <c r="B48" s="1672"/>
      <c r="C48" s="4686"/>
      <c r="D48" s="4686"/>
      <c r="E48" s="4686"/>
      <c r="F48" s="3677" t="str">
        <f>IF(C47="","",VLOOKUP(C47,Tablas!$D$1092:$R$1107,7,FALSE))</f>
        <v/>
      </c>
      <c r="G48" s="3677"/>
      <c r="H48" s="3677"/>
      <c r="I48" s="3677"/>
      <c r="J48" s="3677"/>
      <c r="K48" s="3677"/>
      <c r="L48" s="3677"/>
      <c r="M48" s="3677"/>
      <c r="N48" s="3677"/>
      <c r="O48" s="3677"/>
      <c r="P48" s="3677"/>
      <c r="Q48" s="3677"/>
      <c r="R48" s="68"/>
      <c r="S48" s="56"/>
      <c r="T48" s="56"/>
      <c r="U48" s="1836"/>
      <c r="V48" s="4650" t="str">
        <f>IF(V47=0,"",VLOOKUP(V47,Tabla_PoderesPsi,2,FALSE))</f>
        <v/>
      </c>
      <c r="W48" s="3587"/>
      <c r="X48" s="3587"/>
      <c r="Y48" s="2856" t="s">
        <v>1627</v>
      </c>
      <c r="Z48" s="2728" t="str">
        <f>IF(V47=0,"",VLOOKUP(V47,Tabla_PoderesPsi,3,FALSE))</f>
        <v/>
      </c>
      <c r="AA48" s="4656"/>
      <c r="AB48" s="4626"/>
      <c r="AC48" s="96"/>
      <c r="AD48" s="4634"/>
      <c r="AE48" s="4635"/>
      <c r="AF48" s="4635"/>
      <c r="AG48" s="4635"/>
      <c r="AH48" s="4635"/>
      <c r="AI48" s="4649"/>
      <c r="AJ48" s="4623"/>
      <c r="AK48" s="4626" t="str">
        <f>IF(AD48&lt;&gt;"",INDEX(Tablas!$U$26:$U$38,MAX(1+MATCH(VLOOKUP(Psíquicos!$AD48,'Tablas psiquica'!$D$7:$U$145,18,FALSE),'Tablas psiquica'!$I$6:$R$6,0),MAX(SUMPRODUCT(--(Tablas!$T$26:$T$38&lt;=(AL48-20*AI48)))+IF(Tablas!$G$446&gt;0,1,0)+IF(COUNTIF($C$39:$E$50,"Introversión")&gt;0,1,0),SUMPRODUCT(--(Tablas!$T$26:$T$38&lt;=(AL48)))))),"")</f>
        <v/>
      </c>
      <c r="AL48" s="4620">
        <f t="shared" ref="AL48" si="15">$H$11+IF(ISNA(VLOOKUP(AD48,$V$11:$AB$64,7,FALSE)),0,IF(VLOOKUP(AD48,$V$11:$AB$64,7,FALSE)="",0,VLOOKUP(AD48,$V$11:$AB$64,7,FALSE)))+AI48*20+AJ48</f>
        <v>0</v>
      </c>
      <c r="AM48" s="1842"/>
      <c r="AQ48" s="96"/>
    </row>
    <row r="49" spans="1:43" ht="12" customHeight="1" thickBot="1">
      <c r="A49" s="173"/>
      <c r="B49" s="1672"/>
      <c r="C49" s="4687" t="str">
        <f>IF(PDs!E116=0,"",PDs!E116)</f>
        <v/>
      </c>
      <c r="D49" s="4687"/>
      <c r="E49" s="4687"/>
      <c r="F49" s="3677" t="str">
        <f>IF(C49="","",VLOOKUP(C49,Tablas!$D$1092:$R$1107,15,FALSE))</f>
        <v/>
      </c>
      <c r="G49" s="3677"/>
      <c r="H49" s="3677"/>
      <c r="I49" s="3677"/>
      <c r="J49" s="3677"/>
      <c r="K49" s="3677"/>
      <c r="L49" s="3677"/>
      <c r="M49" s="3677"/>
      <c r="N49" s="3677"/>
      <c r="O49" s="3677"/>
      <c r="P49" s="3677"/>
      <c r="Q49" s="3677"/>
      <c r="R49" s="68"/>
      <c r="S49" s="56"/>
      <c r="T49" s="56"/>
      <c r="U49" s="1836">
        <f>IF(V49=0,0,1)</f>
        <v>0</v>
      </c>
      <c r="V49" s="4646"/>
      <c r="W49" s="4647"/>
      <c r="X49" s="4647"/>
      <c r="Y49" s="4647"/>
      <c r="Z49" s="4647"/>
      <c r="AA49" s="4648"/>
      <c r="AB49" s="4627" t="str">
        <f>IF(AA49=0,"",IF(AA49*10&lt;100,AA49*10,100))</f>
        <v/>
      </c>
      <c r="AC49" s="96"/>
      <c r="AD49" s="4650" t="str">
        <f>IF(AD48=0,"",VLOOKUP(AD48,Tabla_PoderesPsi,2,FALSE))</f>
        <v/>
      </c>
      <c r="AE49" s="3587"/>
      <c r="AF49" s="3587"/>
      <c r="AG49" s="2650" t="s">
        <v>1627</v>
      </c>
      <c r="AH49" s="2655" t="str">
        <f>IF(AD48=0,"",VLOOKUP(AD48,Tabla_PoderesPsi,3,FALSE))</f>
        <v/>
      </c>
      <c r="AI49" s="4649"/>
      <c r="AJ49" s="4623"/>
      <c r="AK49" s="4626"/>
      <c r="AL49" s="4620"/>
      <c r="AM49" s="1842"/>
      <c r="AQ49" s="96"/>
    </row>
    <row r="50" spans="1:43" ht="12" customHeight="1" thickBot="1">
      <c r="A50" s="173"/>
      <c r="B50" s="1672"/>
      <c r="C50" s="4687"/>
      <c r="D50" s="4687"/>
      <c r="E50" s="4687"/>
      <c r="F50" s="4689" t="str">
        <f>IF(C49="","",VLOOKUP(C49,Tablas!$D$1092:$R$1107,7,FALSE))</f>
        <v/>
      </c>
      <c r="G50" s="4689"/>
      <c r="H50" s="4689"/>
      <c r="I50" s="4689"/>
      <c r="J50" s="4689"/>
      <c r="K50" s="4689"/>
      <c r="L50" s="4689"/>
      <c r="M50" s="4689"/>
      <c r="N50" s="4689"/>
      <c r="O50" s="4689"/>
      <c r="P50" s="4689"/>
      <c r="Q50" s="4689"/>
      <c r="R50" s="68"/>
      <c r="S50" s="56"/>
      <c r="T50" s="56"/>
      <c r="U50" s="1836"/>
      <c r="V50" s="4638" t="str">
        <f>IF(V49=0,"",VLOOKUP(V49,Tabla_PoderesPsi,2,FALSE))</f>
        <v/>
      </c>
      <c r="W50" s="4639"/>
      <c r="X50" s="4639"/>
      <c r="Y50" s="2857" t="s">
        <v>1627</v>
      </c>
      <c r="Z50" s="2656" t="str">
        <f>IF(V49=0,"",VLOOKUP(V49,Tabla_PoderesPsi,3,FALSE))</f>
        <v/>
      </c>
      <c r="AA50" s="4648"/>
      <c r="AB50" s="4627"/>
      <c r="AC50" s="96"/>
      <c r="AD50" s="4646"/>
      <c r="AE50" s="4647"/>
      <c r="AF50" s="4647"/>
      <c r="AG50" s="4647"/>
      <c r="AH50" s="4647"/>
      <c r="AI50" s="4645"/>
      <c r="AJ50" s="4624"/>
      <c r="AK50" s="4627" t="str">
        <f>IF(AD50&lt;&gt;"",INDEX(Tablas!$U$26:$U$38,MAX(1+MATCH(VLOOKUP(Psíquicos!$AD50,'Tablas psiquica'!$D$7:$U$145,18,FALSE),'Tablas psiquica'!$I$6:$R$6,0),MAX(SUMPRODUCT(--(Tablas!$T$26:$T$38&lt;=(AL50-20*AI50)))+IF(Tablas!$G$446&gt;0,1,0)+IF(COUNTIF($C$39:$E$50,"Introversión")&gt;0,1,0),SUMPRODUCT(--(Tablas!$T$26:$T$38&lt;=(AL50)))))),"")</f>
        <v/>
      </c>
      <c r="AL50" s="4620">
        <f t="shared" ref="AL50" si="16">$H$11+IF(ISNA(VLOOKUP(AD50,$V$11:$AB$64,7,FALSE)),0,IF(VLOOKUP(AD50,$V$11:$AB$64,7,FALSE)="",0,VLOOKUP(AD50,$V$11:$AB$64,7,FALSE)))+AI50*20+AJ50</f>
        <v>0</v>
      </c>
      <c r="AM50" s="1842"/>
      <c r="AQ50" s="96"/>
    </row>
    <row r="51" spans="1:43" ht="12" customHeight="1" thickBot="1">
      <c r="A51" s="173"/>
      <c r="B51" s="1836"/>
      <c r="C51" s="209"/>
      <c r="D51" s="67"/>
      <c r="E51" s="209"/>
      <c r="F51" s="209"/>
      <c r="G51" s="209"/>
      <c r="H51" s="331"/>
      <c r="I51" s="332"/>
      <c r="J51" s="67"/>
      <c r="K51" s="209"/>
      <c r="L51" s="209"/>
      <c r="M51" s="209"/>
      <c r="N51" s="209"/>
      <c r="O51" s="209"/>
      <c r="P51" s="331"/>
      <c r="Q51" s="332"/>
      <c r="R51" s="76"/>
      <c r="S51" s="333"/>
      <c r="T51" s="333"/>
      <c r="U51" s="1836">
        <f>IF(V51=0,0,1)</f>
        <v>0</v>
      </c>
      <c r="V51" s="4634"/>
      <c r="W51" s="4635"/>
      <c r="X51" s="4635"/>
      <c r="Y51" s="4635"/>
      <c r="Z51" s="4635"/>
      <c r="AA51" s="4656"/>
      <c r="AB51" s="4626" t="str">
        <f>IF(AA51=0,"",IF(AA51*10&lt;100,AA51*10,100))</f>
        <v/>
      </c>
      <c r="AC51" s="96"/>
      <c r="AD51" s="4638" t="str">
        <f>IF(AD50=0,"",VLOOKUP(AD50,Tabla_PoderesPsi,2,FALSE))</f>
        <v/>
      </c>
      <c r="AE51" s="4639"/>
      <c r="AF51" s="4639"/>
      <c r="AG51" s="2654" t="s">
        <v>1627</v>
      </c>
      <c r="AH51" s="2656" t="str">
        <f>IF(AD50=0,"",VLOOKUP(AD50,Tabla_PoderesPsi,3,FALSE))</f>
        <v/>
      </c>
      <c r="AI51" s="4645"/>
      <c r="AJ51" s="4624"/>
      <c r="AK51" s="4627"/>
      <c r="AL51" s="4620"/>
      <c r="AM51" s="1842"/>
      <c r="AQ51" s="96"/>
    </row>
    <row r="52" spans="1:43" ht="12" customHeight="1" thickBot="1">
      <c r="A52" s="173"/>
      <c r="B52" s="1836"/>
      <c r="C52" s="3281" t="s">
        <v>1786</v>
      </c>
      <c r="D52" s="3281"/>
      <c r="E52" s="3281"/>
      <c r="F52" s="3281"/>
      <c r="G52" s="3281"/>
      <c r="H52" s="3281"/>
      <c r="I52" s="67"/>
      <c r="J52" s="4218" t="s">
        <v>2041</v>
      </c>
      <c r="K52" s="4218"/>
      <c r="L52" s="4218"/>
      <c r="M52" s="4301" t="s">
        <v>2119</v>
      </c>
      <c r="N52" s="4301"/>
      <c r="O52" s="4301"/>
      <c r="P52" s="4301"/>
      <c r="Q52" s="4301"/>
      <c r="R52" s="76"/>
      <c r="S52" s="333"/>
      <c r="T52" s="333"/>
      <c r="U52" s="1836"/>
      <c r="V52" s="4650" t="str">
        <f>IF(V51=0,"",VLOOKUP(V51,Tabla_PoderesPsi,2,FALSE))</f>
        <v/>
      </c>
      <c r="W52" s="3587"/>
      <c r="X52" s="3587"/>
      <c r="Y52" s="2856" t="s">
        <v>1627</v>
      </c>
      <c r="Z52" s="2728" t="str">
        <f>IF(V51=0,"",VLOOKUP(V51,Tabla_PoderesPsi,3,FALSE))</f>
        <v/>
      </c>
      <c r="AA52" s="4656"/>
      <c r="AB52" s="4626"/>
      <c r="AC52" s="96"/>
      <c r="AD52" s="4634"/>
      <c r="AE52" s="4635"/>
      <c r="AF52" s="4635"/>
      <c r="AG52" s="4635"/>
      <c r="AH52" s="4635"/>
      <c r="AI52" s="4649"/>
      <c r="AJ52" s="4623"/>
      <c r="AK52" s="4626" t="str">
        <f>IF(AD52&lt;&gt;"",INDEX(Tablas!$U$26:$U$38,MAX(1+MATCH(VLOOKUP(Psíquicos!$AD52,'Tablas psiquica'!$D$7:$U$145,18,FALSE),'Tablas psiquica'!$I$6:$R$6,0),MAX(SUMPRODUCT(--(Tablas!$T$26:$T$38&lt;=(AL52-20*AI52)))+IF(Tablas!$G$446&gt;0,1,0)+IF(COUNTIF($C$39:$E$50,"Introversión")&gt;0,1,0),SUMPRODUCT(--(Tablas!$T$26:$T$38&lt;=(AL52)))))),"")</f>
        <v/>
      </c>
      <c r="AL52" s="4620">
        <f t="shared" ref="AL52" si="17">$H$11+IF(ISNA(VLOOKUP(AD52,$V$11:$AB$64,7,FALSE)),0,IF(VLOOKUP(AD52,$V$11:$AB$64,7,FALSE)="",0,VLOOKUP(AD52,$V$11:$AB$64,7,FALSE)))+AI52*20+AJ52</f>
        <v>0</v>
      </c>
      <c r="AM52" s="1842"/>
      <c r="AQ52" s="96"/>
    </row>
    <row r="53" spans="1:43" ht="12" customHeight="1" thickBot="1">
      <c r="A53" s="173"/>
      <c r="B53" s="1836"/>
      <c r="C53" s="4688"/>
      <c r="D53" s="4688"/>
      <c r="E53" s="4688"/>
      <c r="F53" s="4688"/>
      <c r="G53" s="4688"/>
      <c r="H53" s="4688"/>
      <c r="I53" s="67"/>
      <c r="J53" s="234">
        <v>20</v>
      </c>
      <c r="K53" s="4291" t="s">
        <v>2045</v>
      </c>
      <c r="L53" s="4291"/>
      <c r="M53" s="4297" t="s">
        <v>2046</v>
      </c>
      <c r="N53" s="4297"/>
      <c r="O53" s="4297"/>
      <c r="P53" s="4297"/>
      <c r="Q53" s="4297"/>
      <c r="R53" s="76"/>
      <c r="S53" s="333"/>
      <c r="T53" s="333"/>
      <c r="U53" s="1836">
        <f>IF(V53=0,0,1)</f>
        <v>0</v>
      </c>
      <c r="V53" s="4646"/>
      <c r="W53" s="4647"/>
      <c r="X53" s="4647"/>
      <c r="Y53" s="4647"/>
      <c r="Z53" s="4647"/>
      <c r="AA53" s="4648"/>
      <c r="AB53" s="4627" t="str">
        <f>IF(AA53=0,"",IF(AA53*10&lt;100,AA53*10,100))</f>
        <v/>
      </c>
      <c r="AC53" s="96"/>
      <c r="AD53" s="4650" t="str">
        <f>IF(AD52=0,"",VLOOKUP(AD52,Tabla_PoderesPsi,2,FALSE))</f>
        <v/>
      </c>
      <c r="AE53" s="3587"/>
      <c r="AF53" s="3587"/>
      <c r="AG53" s="2650" t="s">
        <v>1627</v>
      </c>
      <c r="AH53" s="2655" t="str">
        <f>IF(AD52=0,"",VLOOKUP(AD52,Tabla_PoderesPsi,3,FALSE))</f>
        <v/>
      </c>
      <c r="AI53" s="4649"/>
      <c r="AJ53" s="4623"/>
      <c r="AK53" s="4626"/>
      <c r="AL53" s="4620"/>
      <c r="AM53" s="1842"/>
      <c r="AQ53" s="96"/>
    </row>
    <row r="54" spans="1:43" ht="12" customHeight="1" thickBot="1">
      <c r="A54" s="173"/>
      <c r="B54" s="1836"/>
      <c r="C54" s="4688"/>
      <c r="D54" s="4688"/>
      <c r="E54" s="4688"/>
      <c r="F54" s="4688"/>
      <c r="G54" s="4688"/>
      <c r="H54" s="4688"/>
      <c r="I54" s="67"/>
      <c r="J54" s="234">
        <v>40</v>
      </c>
      <c r="K54" s="4291" t="s">
        <v>2049</v>
      </c>
      <c r="L54" s="4291"/>
      <c r="M54" s="4289" t="s">
        <v>2050</v>
      </c>
      <c r="N54" s="4289"/>
      <c r="O54" s="4289"/>
      <c r="P54" s="4289"/>
      <c r="Q54" s="4289"/>
      <c r="R54" s="76"/>
      <c r="S54" s="333"/>
      <c r="T54" s="333"/>
      <c r="U54" s="1836"/>
      <c r="V54" s="4638" t="str">
        <f>IF(V53=0,"",VLOOKUP(V53,Tabla_PoderesPsi,2,FALSE))</f>
        <v/>
      </c>
      <c r="W54" s="4639"/>
      <c r="X54" s="4639"/>
      <c r="Y54" s="2857" t="s">
        <v>1627</v>
      </c>
      <c r="Z54" s="2656" t="str">
        <f>IF(V53=0,"",VLOOKUP(V53,Tabla_PoderesPsi,3,FALSE))</f>
        <v/>
      </c>
      <c r="AA54" s="4648"/>
      <c r="AB54" s="4627"/>
      <c r="AC54" s="96"/>
      <c r="AD54" s="4646"/>
      <c r="AE54" s="4647"/>
      <c r="AF54" s="4647"/>
      <c r="AG54" s="4647"/>
      <c r="AH54" s="4647"/>
      <c r="AI54" s="4645"/>
      <c r="AJ54" s="4624"/>
      <c r="AK54" s="4627" t="str">
        <f>IF(AD54&lt;&gt;"",INDEX(Tablas!$U$26:$U$38,MAX(1+MATCH(VLOOKUP(Psíquicos!$AD54,'Tablas psiquica'!$D$7:$U$145,18,FALSE),'Tablas psiquica'!$I$6:$R$6,0),MAX(SUMPRODUCT(--(Tablas!$T$26:$T$38&lt;=(AL54-20*AI54)))+IF(Tablas!$G$446&gt;0,1,0)+IF(COUNTIF($C$39:$E$50,"Introversión")&gt;0,1,0),SUMPRODUCT(--(Tablas!$T$26:$T$38&lt;=(AL54)))))),"")</f>
        <v/>
      </c>
      <c r="AL54" s="4620">
        <f t="shared" ref="AL54" si="18">$H$11+IF(ISNA(VLOOKUP(AD54,$V$11:$AB$64,7,FALSE)),0,IF(VLOOKUP(AD54,$V$11:$AB$64,7,FALSE)="",0,VLOOKUP(AD54,$V$11:$AB$64,7,FALSE)))+AI54*20+AJ54</f>
        <v>0</v>
      </c>
      <c r="AM54" s="1842"/>
      <c r="AQ54" s="96"/>
    </row>
    <row r="55" spans="1:43" ht="12" customHeight="1" thickBot="1">
      <c r="A55" s="173"/>
      <c r="B55" s="1836"/>
      <c r="C55" s="4688"/>
      <c r="D55" s="4688"/>
      <c r="E55" s="4688"/>
      <c r="F55" s="4688"/>
      <c r="G55" s="4688"/>
      <c r="H55" s="4688"/>
      <c r="I55" s="67"/>
      <c r="J55" s="234">
        <v>80</v>
      </c>
      <c r="K55" s="4291" t="s">
        <v>2052</v>
      </c>
      <c r="L55" s="4291"/>
      <c r="M55" s="4289" t="s">
        <v>2053</v>
      </c>
      <c r="N55" s="4289"/>
      <c r="O55" s="4289"/>
      <c r="P55" s="4289"/>
      <c r="Q55" s="4289"/>
      <c r="R55" s="76"/>
      <c r="S55" s="333"/>
      <c r="T55" s="333"/>
      <c r="U55" s="1836">
        <f>IF(V55=0,0,1)</f>
        <v>0</v>
      </c>
      <c r="V55" s="4634"/>
      <c r="W55" s="4635"/>
      <c r="X55" s="4635"/>
      <c r="Y55" s="4635"/>
      <c r="Z55" s="4635"/>
      <c r="AA55" s="4656"/>
      <c r="AB55" s="4626" t="str">
        <f>IF(AA55=0,"",IF(AA55*10&lt;100,AA55*10,100))</f>
        <v/>
      </c>
      <c r="AC55" s="96"/>
      <c r="AD55" s="4638" t="str">
        <f>IF(AD54=0,"",VLOOKUP(AD54,Tabla_PoderesPsi,2,FALSE))</f>
        <v/>
      </c>
      <c r="AE55" s="4639"/>
      <c r="AF55" s="4639"/>
      <c r="AG55" s="2654" t="s">
        <v>1627</v>
      </c>
      <c r="AH55" s="2656" t="str">
        <f>IF(AD54=0,"",VLOOKUP(AD54,Tabla_PoderesPsi,3,FALSE))</f>
        <v/>
      </c>
      <c r="AI55" s="4645"/>
      <c r="AJ55" s="4624"/>
      <c r="AK55" s="4627"/>
      <c r="AL55" s="4620"/>
      <c r="AM55" s="1842"/>
      <c r="AQ55" s="96"/>
    </row>
    <row r="56" spans="1:43" ht="12" customHeight="1" thickBot="1">
      <c r="A56" s="173"/>
      <c r="B56" s="1836"/>
      <c r="C56" s="4688"/>
      <c r="D56" s="4688"/>
      <c r="E56" s="4688"/>
      <c r="F56" s="4688"/>
      <c r="G56" s="4688"/>
      <c r="H56" s="4688"/>
      <c r="I56" s="67"/>
      <c r="J56" s="234">
        <v>120</v>
      </c>
      <c r="K56" s="4291" t="s">
        <v>2056</v>
      </c>
      <c r="L56" s="4291"/>
      <c r="M56" s="4289" t="s">
        <v>2144</v>
      </c>
      <c r="N56" s="4289"/>
      <c r="O56" s="4289"/>
      <c r="P56" s="4289"/>
      <c r="Q56" s="4289"/>
      <c r="R56" s="76"/>
      <c r="S56" s="333"/>
      <c r="T56" s="333"/>
      <c r="U56" s="1836"/>
      <c r="V56" s="4650" t="str">
        <f>IF(V55=0,"",VLOOKUP(V55,Tabla_PoderesPsi,2,FALSE))</f>
        <v/>
      </c>
      <c r="W56" s="3587"/>
      <c r="X56" s="3587"/>
      <c r="Y56" s="2856" t="s">
        <v>1627</v>
      </c>
      <c r="Z56" s="2728" t="str">
        <f>IF(V55=0,"",VLOOKUP(V55,Tabla_PoderesPsi,3,FALSE))</f>
        <v/>
      </c>
      <c r="AA56" s="4656"/>
      <c r="AB56" s="4626"/>
      <c r="AC56" s="96"/>
      <c r="AD56" s="4634"/>
      <c r="AE56" s="4635"/>
      <c r="AF56" s="4635"/>
      <c r="AG56" s="4635"/>
      <c r="AH56" s="4635"/>
      <c r="AI56" s="4649"/>
      <c r="AJ56" s="4623"/>
      <c r="AK56" s="4626" t="str">
        <f>IF(AD56&lt;&gt;"",INDEX(Tablas!$U$26:$U$38,MAX(1+MATCH(VLOOKUP(Psíquicos!$AD56,'Tablas psiquica'!$D$7:$U$145,18,FALSE),'Tablas psiquica'!$I$6:$R$6,0),MAX(SUMPRODUCT(--(Tablas!$T$26:$T$38&lt;=(AL56-20*AI56)))+IF(Tablas!$G$446&gt;0,1,0)+IF(COUNTIF($C$39:$E$50,"Introversión")&gt;0,1,0),SUMPRODUCT(--(Tablas!$T$26:$T$38&lt;=(AL56)))))),"")</f>
        <v/>
      </c>
      <c r="AL56" s="4620">
        <f t="shared" ref="AL56" si="19">$H$11+IF(ISNA(VLOOKUP(AD56,$V$11:$AB$64,7,FALSE)),0,IF(VLOOKUP(AD56,$V$11:$AB$64,7,FALSE)="",0,VLOOKUP(AD56,$V$11:$AB$64,7,FALSE)))+AI56*20+AJ56</f>
        <v>0</v>
      </c>
      <c r="AM56" s="1842"/>
      <c r="AQ56" s="96"/>
    </row>
    <row r="57" spans="1:43" ht="12" customHeight="1" thickBot="1">
      <c r="A57" s="173"/>
      <c r="B57" s="1836"/>
      <c r="C57" s="4688"/>
      <c r="D57" s="4688"/>
      <c r="E57" s="4688"/>
      <c r="F57" s="4688"/>
      <c r="G57" s="4688"/>
      <c r="H57" s="4688"/>
      <c r="I57" s="67"/>
      <c r="J57" s="234">
        <v>140</v>
      </c>
      <c r="K57" s="4291" t="s">
        <v>2058</v>
      </c>
      <c r="L57" s="4291"/>
      <c r="M57" s="4289" t="s">
        <v>2145</v>
      </c>
      <c r="N57" s="4289"/>
      <c r="O57" s="4289"/>
      <c r="P57" s="4289"/>
      <c r="Q57" s="4289"/>
      <c r="R57" s="76"/>
      <c r="S57" s="333"/>
      <c r="T57" s="333"/>
      <c r="U57" s="1836">
        <f>IF(V57=0,0,1)</f>
        <v>0</v>
      </c>
      <c r="V57" s="4646"/>
      <c r="W57" s="4647"/>
      <c r="X57" s="4647"/>
      <c r="Y57" s="4647"/>
      <c r="Z57" s="4647"/>
      <c r="AA57" s="4648"/>
      <c r="AB57" s="4627" t="str">
        <f>IF(AA57=0,"",IF(AA57*10&lt;100,AA57*10,100))</f>
        <v/>
      </c>
      <c r="AC57" s="67"/>
      <c r="AD57" s="4650" t="str">
        <f>IF(AD56=0,"",VLOOKUP(AD56,Tabla_PoderesPsi,2,FALSE))</f>
        <v/>
      </c>
      <c r="AE57" s="3587"/>
      <c r="AF57" s="3587"/>
      <c r="AG57" s="2650" t="s">
        <v>1627</v>
      </c>
      <c r="AH57" s="2655" t="str">
        <f>IF(AD56=0,"",VLOOKUP(AD56,Tabla_PoderesPsi,3,FALSE))</f>
        <v/>
      </c>
      <c r="AI57" s="4649"/>
      <c r="AJ57" s="4623"/>
      <c r="AK57" s="4626"/>
      <c r="AL57" s="4620"/>
      <c r="AM57" s="1842"/>
      <c r="AQ57" s="96"/>
    </row>
    <row r="58" spans="1:43" ht="12" customHeight="1" thickBot="1">
      <c r="A58" s="173"/>
      <c r="B58" s="1836"/>
      <c r="C58" s="4688"/>
      <c r="D58" s="4688"/>
      <c r="E58" s="4688"/>
      <c r="F58" s="4688"/>
      <c r="G58" s="4688"/>
      <c r="H58" s="4688"/>
      <c r="I58" s="67"/>
      <c r="J58" s="234">
        <v>180</v>
      </c>
      <c r="K58" s="4291" t="s">
        <v>2061</v>
      </c>
      <c r="L58" s="4291"/>
      <c r="M58" s="4289" t="s">
        <v>2146</v>
      </c>
      <c r="N58" s="4289"/>
      <c r="O58" s="4289"/>
      <c r="P58" s="4289"/>
      <c r="Q58" s="4289"/>
      <c r="R58" s="76"/>
      <c r="S58" s="333"/>
      <c r="T58" s="333"/>
      <c r="U58" s="1836"/>
      <c r="V58" s="4638" t="str">
        <f>IF(V57=0,"",VLOOKUP(V57,Tabla_PoderesPsi,2,FALSE))</f>
        <v/>
      </c>
      <c r="W58" s="4639"/>
      <c r="X58" s="4639"/>
      <c r="Y58" s="2857" t="s">
        <v>1627</v>
      </c>
      <c r="Z58" s="2656" t="str">
        <f>IF(V57=0,"",VLOOKUP(V57,Tabla_PoderesPsi,3,FALSE))</f>
        <v/>
      </c>
      <c r="AA58" s="4648"/>
      <c r="AB58" s="4627"/>
      <c r="AC58" s="193"/>
      <c r="AD58" s="4646"/>
      <c r="AE58" s="4647"/>
      <c r="AF58" s="4647"/>
      <c r="AG58" s="4647"/>
      <c r="AH58" s="4647"/>
      <c r="AI58" s="4645"/>
      <c r="AJ58" s="4624"/>
      <c r="AK58" s="4627" t="str">
        <f>IF(AD58&lt;&gt;"",INDEX(Tablas!$U$26:$U$38,MAX(1+MATCH(VLOOKUP(Psíquicos!$AD58,'Tablas psiquica'!$D$7:$U$145,18,FALSE),'Tablas psiquica'!$I$6:$R$6,0),MAX(SUMPRODUCT(--(Tablas!$T$26:$T$38&lt;=(AL58-20*AI58)))+IF(Tablas!$G$446&gt;0,1,0)+IF(COUNTIF($C$39:$E$50,"Introversión")&gt;0,1,0),SUMPRODUCT(--(Tablas!$T$26:$T$38&lt;=(AL58)))))),"")</f>
        <v/>
      </c>
      <c r="AL58" s="4620">
        <f t="shared" ref="AL58" si="20">$H$11+IF(ISNA(VLOOKUP(AD58,$V$11:$AB$64,7,FALSE)),0,IF(VLOOKUP(AD58,$V$11:$AB$64,7,FALSE)="",0,VLOOKUP(AD58,$V$11:$AB$64,7,FALSE)))+AI58*20+AJ58</f>
        <v>0</v>
      </c>
      <c r="AM58" s="1842"/>
      <c r="AQ58" s="96"/>
    </row>
    <row r="59" spans="1:43" ht="12" customHeight="1" thickBot="1">
      <c r="A59" s="173"/>
      <c r="B59" s="1836"/>
      <c r="C59" s="4688"/>
      <c r="D59" s="4688"/>
      <c r="E59" s="4688"/>
      <c r="F59" s="4688"/>
      <c r="G59" s="4688"/>
      <c r="H59" s="4688"/>
      <c r="I59" s="67"/>
      <c r="J59" s="234">
        <v>240</v>
      </c>
      <c r="K59" s="4291" t="s">
        <v>2063</v>
      </c>
      <c r="L59" s="4291"/>
      <c r="M59" s="4289" t="s">
        <v>2147</v>
      </c>
      <c r="N59" s="4289"/>
      <c r="O59" s="4289"/>
      <c r="P59" s="4289"/>
      <c r="Q59" s="4289"/>
      <c r="R59" s="76"/>
      <c r="S59" s="333"/>
      <c r="T59" s="333"/>
      <c r="U59" s="1836">
        <f>IF(V59=0,0,1)</f>
        <v>0</v>
      </c>
      <c r="V59" s="4634"/>
      <c r="W59" s="4635"/>
      <c r="X59" s="4635"/>
      <c r="Y59" s="4635"/>
      <c r="Z59" s="4635"/>
      <c r="AA59" s="4656"/>
      <c r="AB59" s="4626" t="str">
        <f>IF(AA59=0,"",IF(AA59*10&lt;100,AA59*10,100))</f>
        <v/>
      </c>
      <c r="AC59" s="67"/>
      <c r="AD59" s="4638" t="str">
        <f>IF(AD58=0,"",VLOOKUP(AD58,Tabla_PoderesPsi,2,FALSE))</f>
        <v/>
      </c>
      <c r="AE59" s="4639"/>
      <c r="AF59" s="4639"/>
      <c r="AG59" s="2654" t="s">
        <v>1627</v>
      </c>
      <c r="AH59" s="2656" t="str">
        <f>IF(AD58=0,"",VLOOKUP(AD58,Tabla_PoderesPsi,3,FALSE))</f>
        <v/>
      </c>
      <c r="AI59" s="4645"/>
      <c r="AJ59" s="4624"/>
      <c r="AK59" s="4627"/>
      <c r="AL59" s="4620"/>
      <c r="AM59" s="1842"/>
      <c r="AQ59" s="96"/>
    </row>
    <row r="60" spans="1:43" ht="12" customHeight="1" thickBot="1">
      <c r="A60" s="173"/>
      <c r="B60" s="1836"/>
      <c r="C60" s="4688"/>
      <c r="D60" s="4688"/>
      <c r="E60" s="4688"/>
      <c r="F60" s="4688"/>
      <c r="G60" s="4688"/>
      <c r="H60" s="4688"/>
      <c r="I60" s="67"/>
      <c r="J60" s="234">
        <v>280</v>
      </c>
      <c r="K60" s="4291" t="s">
        <v>2066</v>
      </c>
      <c r="L60" s="4291"/>
      <c r="M60" s="4289" t="s">
        <v>2148</v>
      </c>
      <c r="N60" s="4289"/>
      <c r="O60" s="4289"/>
      <c r="P60" s="4289"/>
      <c r="Q60" s="4289"/>
      <c r="R60" s="76"/>
      <c r="S60" s="333"/>
      <c r="T60" s="333"/>
      <c r="U60" s="1836"/>
      <c r="V60" s="4650" t="str">
        <f>IF(V59=0,"",VLOOKUP(V59,Tabla_PoderesPsi,2,FALSE))</f>
        <v/>
      </c>
      <c r="W60" s="3587"/>
      <c r="X60" s="3587"/>
      <c r="Y60" s="2856" t="s">
        <v>1627</v>
      </c>
      <c r="Z60" s="2728" t="str">
        <f>IF(V59=0,"",VLOOKUP(V59,Tabla_PoderesPsi,3,FALSE))</f>
        <v/>
      </c>
      <c r="AA60" s="4656"/>
      <c r="AB60" s="4626"/>
      <c r="AC60" s="67"/>
      <c r="AD60" s="4634"/>
      <c r="AE60" s="4635"/>
      <c r="AF60" s="4635"/>
      <c r="AG60" s="4635"/>
      <c r="AH60" s="4635"/>
      <c r="AI60" s="4649"/>
      <c r="AJ60" s="4623"/>
      <c r="AK60" s="4626" t="str">
        <f>IF(AD60&lt;&gt;"",INDEX(Tablas!$U$26:$U$38,MAX(1+MATCH(VLOOKUP(Psíquicos!$AD60,'Tablas psiquica'!$D$7:$U$145,18,FALSE),'Tablas psiquica'!$I$6:$R$6,0),MAX(SUMPRODUCT(--(Tablas!$T$26:$T$38&lt;=(AL60-20*AI60)))+IF(Tablas!$G$446&gt;0,1,0)+IF(COUNTIF($C$39:$E$50,"Introversión")&gt;0,1,0),SUMPRODUCT(--(Tablas!$T$26:$T$38&lt;=(AL60)))))),"")</f>
        <v/>
      </c>
      <c r="AL60" s="4620">
        <f t="shared" ref="AL60" si="21">$H$11+IF(ISNA(VLOOKUP(AD60,$V$11:$AB$64,7,FALSE)),0,IF(VLOOKUP(AD60,$V$11:$AB$64,7,FALSE)="",0,VLOOKUP(AD60,$V$11:$AB$64,7,FALSE)))+AI60*20+AJ60</f>
        <v>0</v>
      </c>
      <c r="AM60" s="1842"/>
      <c r="AQ60" s="96"/>
    </row>
    <row r="61" spans="1:43" ht="12" customHeight="1" thickBot="1">
      <c r="A61" s="173"/>
      <c r="B61" s="1836"/>
      <c r="C61" s="4688"/>
      <c r="D61" s="4688"/>
      <c r="E61" s="4688"/>
      <c r="F61" s="4688"/>
      <c r="G61" s="4688"/>
      <c r="H61" s="4688"/>
      <c r="I61" s="67"/>
      <c r="J61" s="234">
        <v>320</v>
      </c>
      <c r="K61" s="4291" t="s">
        <v>2068</v>
      </c>
      <c r="L61" s="4291"/>
      <c r="M61" s="4289" t="s">
        <v>1766</v>
      </c>
      <c r="N61" s="4289"/>
      <c r="O61" s="4289"/>
      <c r="P61" s="4289"/>
      <c r="Q61" s="4289"/>
      <c r="R61" s="76"/>
      <c r="S61" s="333"/>
      <c r="T61" s="333"/>
      <c r="U61" s="1836">
        <f>IF(V61=0,0,1)</f>
        <v>0</v>
      </c>
      <c r="V61" s="4646"/>
      <c r="W61" s="4647"/>
      <c r="X61" s="4647"/>
      <c r="Y61" s="4647"/>
      <c r="Z61" s="4647"/>
      <c r="AA61" s="4648"/>
      <c r="AB61" s="4627" t="str">
        <f>IF(AA61=0,"",IF(AA61*10&lt;100,AA61*10,100))</f>
        <v/>
      </c>
      <c r="AC61" s="67"/>
      <c r="AD61" s="4636" t="str">
        <f>IF(AD60=0,"",VLOOKUP(AD60,Tabla_PoderesPsi,2,FALSE))</f>
        <v/>
      </c>
      <c r="AE61" s="3589"/>
      <c r="AF61" s="3589"/>
      <c r="AG61" s="2652" t="s">
        <v>1627</v>
      </c>
      <c r="AH61" s="1262" t="str">
        <f>IF(AD60=0,"",VLOOKUP(AD60,Tabla_PoderesPsi,3,FALSE))</f>
        <v/>
      </c>
      <c r="AI61" s="4694"/>
      <c r="AJ61" s="4625"/>
      <c r="AK61" s="4693"/>
      <c r="AL61" s="4620"/>
      <c r="AM61" s="1842"/>
      <c r="AQ61" s="96"/>
    </row>
    <row r="62" spans="1:43" ht="12" customHeight="1" thickBot="1">
      <c r="A62" s="173"/>
      <c r="B62" s="1836"/>
      <c r="C62" s="4688"/>
      <c r="D62" s="4688"/>
      <c r="E62" s="4688"/>
      <c r="F62" s="4688"/>
      <c r="G62" s="4688"/>
      <c r="H62" s="4688"/>
      <c r="I62" s="67"/>
      <c r="J62" s="237">
        <v>440</v>
      </c>
      <c r="K62" s="4695" t="s">
        <v>2002</v>
      </c>
      <c r="L62" s="4695"/>
      <c r="M62" s="4696" t="s">
        <v>1766</v>
      </c>
      <c r="N62" s="4696"/>
      <c r="O62" s="4696"/>
      <c r="P62" s="4696"/>
      <c r="Q62" s="4696"/>
      <c r="R62" s="76"/>
      <c r="S62" s="333"/>
      <c r="T62" s="333"/>
      <c r="U62" s="1836"/>
      <c r="V62" s="4638" t="str">
        <f>IF(V61=0,"",VLOOKUP(V61,Tabla_PoderesPsi,2,FALSE))</f>
        <v/>
      </c>
      <c r="W62" s="4639"/>
      <c r="X62" s="4639"/>
      <c r="Y62" s="2857" t="s">
        <v>1627</v>
      </c>
      <c r="Z62" s="2656" t="str">
        <f>IF(V61=0,"",VLOOKUP(V61,Tabla_PoderesPsi,3,FALSE))</f>
        <v/>
      </c>
      <c r="AA62" s="4648"/>
      <c r="AB62" s="4627"/>
      <c r="AC62" s="67"/>
      <c r="AD62" s="67"/>
      <c r="AE62" s="67"/>
      <c r="AF62" s="67"/>
      <c r="AG62" s="67"/>
      <c r="AH62" s="67"/>
      <c r="AI62" s="67"/>
      <c r="AJ62" s="67"/>
      <c r="AK62" s="96"/>
      <c r="AL62" s="1962"/>
      <c r="AM62" s="1842"/>
      <c r="AQ62" s="96"/>
    </row>
    <row r="63" spans="1:43" ht="12" customHeight="1" thickBot="1">
      <c r="A63" s="173"/>
      <c r="B63" s="1836"/>
      <c r="C63" s="4688"/>
      <c r="D63" s="4688"/>
      <c r="E63" s="4688"/>
      <c r="F63" s="4688"/>
      <c r="G63" s="4688"/>
      <c r="H63" s="4688"/>
      <c r="I63" s="67"/>
      <c r="J63" s="4306"/>
      <c r="K63" s="4306"/>
      <c r="L63" s="4306"/>
      <c r="M63" s="4306"/>
      <c r="N63" s="4306"/>
      <c r="O63" s="4306"/>
      <c r="P63" s="4306"/>
      <c r="Q63" s="4306"/>
      <c r="R63" s="76"/>
      <c r="S63" s="333"/>
      <c r="T63" s="333"/>
      <c r="U63" s="1836">
        <f>IF(V63=0,0,1)</f>
        <v>0</v>
      </c>
      <c r="V63" s="4634"/>
      <c r="W63" s="4635"/>
      <c r="X63" s="4635"/>
      <c r="Y63" s="4635"/>
      <c r="Z63" s="4635"/>
      <c r="AA63" s="4690"/>
      <c r="AB63" s="4692" t="str">
        <f>IF(AA63=0,"",IF(AA63*10&lt;100,AA63*10,100))</f>
        <v/>
      </c>
      <c r="AC63" s="157"/>
      <c r="AD63" s="67"/>
      <c r="AE63" s="67"/>
      <c r="AF63" s="67"/>
      <c r="AG63" s="67"/>
      <c r="AH63" s="67"/>
      <c r="AI63" s="67"/>
      <c r="AJ63" s="67"/>
      <c r="AK63" s="96"/>
      <c r="AL63" s="1962"/>
      <c r="AM63" s="1842"/>
      <c r="AQ63" s="96"/>
    </row>
    <row r="64" spans="1:43" ht="12" customHeight="1" thickBot="1">
      <c r="A64" s="173"/>
      <c r="B64" s="1672"/>
      <c r="C64" s="4688"/>
      <c r="D64" s="4688"/>
      <c r="E64" s="4688"/>
      <c r="F64" s="4688"/>
      <c r="G64" s="4688"/>
      <c r="H64" s="4688"/>
      <c r="I64" s="67"/>
      <c r="J64" s="4306"/>
      <c r="K64" s="4306"/>
      <c r="L64" s="4306"/>
      <c r="M64" s="4306"/>
      <c r="N64" s="4306"/>
      <c r="O64" s="4306"/>
      <c r="P64" s="4306"/>
      <c r="Q64" s="4306"/>
      <c r="R64" s="68"/>
      <c r="S64" s="56"/>
      <c r="T64" s="56"/>
      <c r="U64" s="2244"/>
      <c r="V64" s="4636" t="str">
        <f>IF(V63=0,"",VLOOKUP(V63,Tabla_PoderesPsi,2,FALSE))</f>
        <v/>
      </c>
      <c r="W64" s="3589"/>
      <c r="X64" s="3589"/>
      <c r="Y64" s="2652" t="s">
        <v>1627</v>
      </c>
      <c r="Z64" s="1262" t="str">
        <f>IF(V63=0,"",VLOOKUP(V63,Tabla_PoderesPsi,3,FALSE))</f>
        <v/>
      </c>
      <c r="AA64" s="4691"/>
      <c r="AB64" s="4693"/>
      <c r="AC64" s="157"/>
      <c r="AD64" s="67"/>
      <c r="AE64" s="67"/>
      <c r="AF64" s="67"/>
      <c r="AG64" s="67"/>
      <c r="AH64" s="67"/>
      <c r="AI64" s="67"/>
      <c r="AJ64" s="67"/>
      <c r="AK64" s="96"/>
      <c r="AL64" s="2438"/>
      <c r="AM64" s="1842"/>
      <c r="AQ64" s="96"/>
    </row>
    <row r="65" spans="1:44" ht="12" customHeight="1" thickBot="1">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449" priority="82" stopIfTrue="1">
      <formula>NOT(OR(A1=$C$25,A1=$C$27,A1=$C$29,A1=$C$31,A1=$C$33,A1=$C$35))</formula>
    </cfRule>
  </conditionalFormatting>
  <conditionalFormatting sqref="E12:F13">
    <cfRule type="cellIs" dxfId="448" priority="83" stopIfTrue="1" operator="greaterThan">
      <formula>$C$12</formula>
    </cfRule>
  </conditionalFormatting>
  <conditionalFormatting sqref="V40:X40">
    <cfRule type="expression" dxfId="447" priority="76" stopIfTrue="1">
      <formula>NOT(OR(A29=$C$25,A29=$C$27,A29=$C$29,A29=$C$31,A29=$C$33,A29=$C$35))</formula>
    </cfRule>
  </conditionalFormatting>
  <conditionalFormatting sqref="V42:X42">
    <cfRule type="expression" dxfId="446" priority="75" stopIfTrue="1">
      <formula>NOT(OR(A31=$C$25,A31=$C$27,A31=$C$29,A31=$C$31,A31=$C$33,A31=$C$35))</formula>
    </cfRule>
  </conditionalFormatting>
  <conditionalFormatting sqref="V64:X64">
    <cfRule type="expression" dxfId="445"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444" priority="56" stopIfTrue="1">
      <formula>NOT(OR(I1=$C$25,I1=$C$27,I1=$C$29,I1=$C$31,I1=$C$33,I1=$C$35))</formula>
    </cfRule>
  </conditionalFormatting>
  <conditionalFormatting sqref="AD23:AF23">
    <cfRule type="expression" dxfId="443" priority="43" stopIfTrue="1">
      <formula>NOT(OR(I7=$C$25,I7=$C$27,I7=$C$29,I7=$C$31,I7=$C$33,I7=$C$35))</formula>
    </cfRule>
  </conditionalFormatting>
  <conditionalFormatting sqref="AD27:AF27">
    <cfRule type="expression" dxfId="442" priority="42" stopIfTrue="1">
      <formula>NOT(OR(I11=$C$25,I11=$C$27,I11=$C$29,I11=$C$31,I11=$C$33,I11=$C$35))</formula>
    </cfRule>
  </conditionalFormatting>
  <conditionalFormatting sqref="AD31:AF31">
    <cfRule type="expression" dxfId="441" priority="41" stopIfTrue="1">
      <formula>NOT(OR(I15=$C$25,I15=$C$27,I15=$C$29,I15=$C$31,I15=$C$33,I15=$C$35))</formula>
    </cfRule>
  </conditionalFormatting>
  <conditionalFormatting sqref="AD35:AF35">
    <cfRule type="expression" dxfId="440" priority="40" stopIfTrue="1">
      <formula>NOT(OR(I19=$C$25,I19=$C$27,I19=$C$29,I19=$C$31,I19=$C$33,I19=$C$35))</formula>
    </cfRule>
  </conditionalFormatting>
  <conditionalFormatting sqref="AD39:AF39">
    <cfRule type="expression" dxfId="439" priority="39" stopIfTrue="1">
      <formula>NOT(OR(I23=$C$25,I23=$C$27,I23=$C$29,I23=$C$31,I23=$C$33,I23=$C$35))</formula>
    </cfRule>
  </conditionalFormatting>
  <conditionalFormatting sqref="AD43:AF43">
    <cfRule type="expression" dxfId="438" priority="38" stopIfTrue="1">
      <formula>NOT(OR(I27=$C$25,I27=$C$27,I27=$C$29,I27=$C$31,I27=$C$33,I27=$C$35))</formula>
    </cfRule>
  </conditionalFormatting>
  <conditionalFormatting sqref="AD47:AF47">
    <cfRule type="expression" dxfId="437" priority="37" stopIfTrue="1">
      <formula>NOT(OR(I31=$C$25,I31=$C$27,I31=$C$29,I31=$C$31,I31=$C$33,I31=$C$35))</formula>
    </cfRule>
  </conditionalFormatting>
  <conditionalFormatting sqref="AD51:AF51">
    <cfRule type="expression" dxfId="436" priority="36" stopIfTrue="1">
      <formula>NOT(OR(I35=$C$25,I35=$C$27,I35=$C$29,I35=$C$31,I35=$C$33,I35=$C$35))</formula>
    </cfRule>
  </conditionalFormatting>
  <conditionalFormatting sqref="AD55:AF55">
    <cfRule type="expression" dxfId="435" priority="35" stopIfTrue="1">
      <formula>NOT(OR(I39=$C$25,I39=$C$27,I39=$C$29,I39=$C$31,I39=$C$33,I39=$C$35))</formula>
    </cfRule>
  </conditionalFormatting>
  <conditionalFormatting sqref="AD59:AF59">
    <cfRule type="expression" dxfId="434" priority="34" stopIfTrue="1">
      <formula>NOT(OR(I43=$C$25,I43=$C$27,I43=$C$29,I43=$C$31,I43=$C$33,I43=$C$35))</formula>
    </cfRule>
  </conditionalFormatting>
  <conditionalFormatting sqref="AD12:AF12">
    <cfRule type="expression" dxfId="433" priority="26" stopIfTrue="1">
      <formula>NOT(OR(I1048569=$C$25,I1048569=$C$27,I1048569=$C$29,I1048569=$C$31,I1048569=$C$33,I1048569=$C$35))</formula>
    </cfRule>
  </conditionalFormatting>
  <conditionalFormatting sqref="AI16:AI61">
    <cfRule type="expression" dxfId="432" priority="4819">
      <formula>$AI16&gt;5</formula>
    </cfRule>
  </conditionalFormatting>
  <conditionalFormatting sqref="V16:X16">
    <cfRule type="expression" dxfId="431" priority="24" stopIfTrue="1">
      <formula>NOT(OR(A5=$C$25,A5=$C$27,A5=$C$29,A5=$C$31,A5=$C$33,A5=$C$35))</formula>
    </cfRule>
  </conditionalFormatting>
  <conditionalFormatting sqref="V58:X58">
    <cfRule type="expression" dxfId="430" priority="3" stopIfTrue="1">
      <formula>NOT(OR(A47=$C$25,A47=$C$27,A47=$C$29,A47=$C$31,A47=$C$33,A47=$C$35))</formula>
    </cfRule>
  </conditionalFormatting>
  <conditionalFormatting sqref="V56:X56">
    <cfRule type="expression" dxfId="429" priority="4" stopIfTrue="1">
      <formula>NOT(OR(A45=$C$25,A45=$C$27,A45=$C$29,A45=$C$31,A45=$C$33,A45=$C$35))</formula>
    </cfRule>
  </conditionalFormatting>
  <conditionalFormatting sqref="V18:X18">
    <cfRule type="expression" dxfId="428" priority="21" stopIfTrue="1">
      <formula>NOT(OR(A7=$C$25,A7=$C$27,A7=$C$29,A7=$C$31,A7=$C$33,A7=$C$35))</formula>
    </cfRule>
  </conditionalFormatting>
  <conditionalFormatting sqref="V20:X20">
    <cfRule type="expression" dxfId="427" priority="20" stopIfTrue="1">
      <formula>NOT(OR(A9=$C$25,A9=$C$27,A9=$C$29,A9=$C$31,A9=$C$33,A9=$C$35))</formula>
    </cfRule>
  </conditionalFormatting>
  <conditionalFormatting sqref="V22:X22">
    <cfRule type="expression" dxfId="426" priority="19" stopIfTrue="1">
      <formula>NOT(OR(A11=$C$25,A11=$C$27,A11=$C$29,A11=$C$31,A11=$C$33,A11=$C$35))</formula>
    </cfRule>
  </conditionalFormatting>
  <conditionalFormatting sqref="V24:X24">
    <cfRule type="expression" dxfId="425" priority="18" stopIfTrue="1">
      <formula>NOT(OR(A13=$C$25,A13=$C$27,A13=$C$29,A13=$C$31,A13=$C$33,A13=$C$35))</formula>
    </cfRule>
  </conditionalFormatting>
  <conditionalFormatting sqref="V26:X26">
    <cfRule type="expression" dxfId="424" priority="17" stopIfTrue="1">
      <formula>NOT(OR(A15=$C$25,A15=$C$27,A15=$C$29,A15=$C$31,A15=$C$33,A15=$C$35))</formula>
    </cfRule>
  </conditionalFormatting>
  <conditionalFormatting sqref="V28:X28">
    <cfRule type="expression" dxfId="423" priority="16" stopIfTrue="1">
      <formula>NOT(OR(A17=$C$25,A17=$C$27,A17=$C$29,A17=$C$31,A17=$C$33,A17=$C$35))</formula>
    </cfRule>
  </conditionalFormatting>
  <conditionalFormatting sqref="V30:X30">
    <cfRule type="expression" dxfId="422" priority="15" stopIfTrue="1">
      <formula>NOT(OR(A19=$C$25,A19=$C$27,A19=$C$29,A19=$C$31,A19=$C$33,A19=$C$35))</formula>
    </cfRule>
  </conditionalFormatting>
  <conditionalFormatting sqref="V32:X32">
    <cfRule type="expression" dxfId="421" priority="14" stopIfTrue="1">
      <formula>NOT(OR(A21=$C$25,A21=$C$27,A21=$C$29,A21=$C$31,A21=$C$33,A21=$C$35))</formula>
    </cfRule>
  </conditionalFormatting>
  <conditionalFormatting sqref="V34:X34">
    <cfRule type="expression" dxfId="420" priority="13" stopIfTrue="1">
      <formula>NOT(OR(A23=$C$25,A23=$C$27,A23=$C$29,A23=$C$31,A23=$C$33,A23=$C$35))</formula>
    </cfRule>
  </conditionalFormatting>
  <conditionalFormatting sqref="V36:X36">
    <cfRule type="expression" dxfId="419" priority="12" stopIfTrue="1">
      <formula>NOT(OR(A25=$C$25,A25=$C$27,A25=$C$29,A25=$C$31,A25=$C$33,A25=$C$35))</formula>
    </cfRule>
  </conditionalFormatting>
  <conditionalFormatting sqref="V38:X38">
    <cfRule type="expression" dxfId="418" priority="11" stopIfTrue="1">
      <formula>NOT(OR(A27=$C$25,A27=$C$27,A27=$C$29,A27=$C$31,A27=$C$33,A27=$C$35))</formula>
    </cfRule>
  </conditionalFormatting>
  <conditionalFormatting sqref="V44:X44">
    <cfRule type="expression" dxfId="417" priority="10" stopIfTrue="1">
      <formula>NOT(OR(A33=$C$25,A33=$C$27,A33=$C$29,A33=$C$31,A33=$C$33,A33=$C$35))</formula>
    </cfRule>
  </conditionalFormatting>
  <conditionalFormatting sqref="V46:X46">
    <cfRule type="expression" dxfId="416" priority="9" stopIfTrue="1">
      <formula>NOT(OR(A35=$C$25,A35=$C$27,A35=$C$29,A35=$C$31,A35=$C$33,A35=$C$35))</formula>
    </cfRule>
  </conditionalFormatting>
  <conditionalFormatting sqref="V48:X48">
    <cfRule type="expression" dxfId="415" priority="8" stopIfTrue="1">
      <formula>NOT(OR(A37=$C$25,A37=$C$27,A37=$C$29,A37=$C$31,A37=$C$33,A37=$C$35))</formula>
    </cfRule>
  </conditionalFormatting>
  <conditionalFormatting sqref="V50:X50">
    <cfRule type="expression" dxfId="414" priority="7" stopIfTrue="1">
      <formula>NOT(OR(A39=$C$25,A39=$C$27,A39=$C$29,A39=$C$31,A39=$C$33,A39=$C$35))</formula>
    </cfRule>
  </conditionalFormatting>
  <conditionalFormatting sqref="V52:X52">
    <cfRule type="expression" dxfId="413" priority="6" stopIfTrue="1">
      <formula>NOT(OR(A41=$C$25,A41=$C$27,A41=$C$29,A41=$C$31,A41=$C$33,A41=$C$35))</formula>
    </cfRule>
  </conditionalFormatting>
  <conditionalFormatting sqref="V54:X54">
    <cfRule type="expression" dxfId="412" priority="5" stopIfTrue="1">
      <formula>NOT(OR(A43=$C$25,A43=$C$27,A43=$C$29,A43=$C$31,A43=$C$33,A43=$C$35))</formula>
    </cfRule>
  </conditionalFormatting>
  <conditionalFormatting sqref="V60:X60">
    <cfRule type="expression" dxfId="411" priority="2" stopIfTrue="1">
      <formula>NOT(OR(A49=$C$25,A49=$C$27,A49=$C$29,A49=$C$31,A49=$C$33,A49=$C$35))</formula>
    </cfRule>
  </conditionalFormatting>
  <conditionalFormatting sqref="V62:X62">
    <cfRule type="expression" dxfId="410"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E29" sqref="E29:F30"/>
    </sheetView>
  </sheetViews>
  <sheetFormatPr defaultColWidth="5.7109375" defaultRowHeight="12" customHeight="1"/>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31"/>
      <c r="C3" s="4703"/>
      <c r="D3" s="4704"/>
      <c r="E3" s="4704"/>
      <c r="F3" s="4704"/>
      <c r="G3" s="4704"/>
      <c r="H3" s="4704"/>
      <c r="I3" s="2463"/>
      <c r="J3" s="2463"/>
      <c r="K3" s="2463"/>
      <c r="L3" s="2463"/>
      <c r="M3" s="2463"/>
      <c r="N3" s="2463"/>
      <c r="O3" s="2463"/>
      <c r="P3" s="2463"/>
      <c r="Q3" s="1113"/>
      <c r="R3" s="2617"/>
      <c r="S3" s="2290"/>
      <c r="T3" s="2290"/>
      <c r="U3" s="520"/>
      <c r="V3" s="4703"/>
      <c r="W3" s="4704"/>
      <c r="X3" s="4704"/>
      <c r="Y3" s="4704"/>
      <c r="Z3" s="4704"/>
      <c r="AA3" s="4704"/>
      <c r="AB3" s="1112"/>
      <c r="AC3" s="1112"/>
      <c r="AD3" s="1112"/>
      <c r="AE3" s="1112"/>
      <c r="AF3" s="1112"/>
      <c r="AG3" s="1112"/>
      <c r="AH3" s="1112"/>
      <c r="AI3" s="1112"/>
      <c r="AJ3" s="1113"/>
      <c r="AK3" s="1114"/>
      <c r="AL3" s="1108"/>
    </row>
    <row r="4" spans="1:45" ht="12" customHeight="1">
      <c r="A4" s="1108"/>
      <c r="B4" s="2631"/>
      <c r="C4" s="4705"/>
      <c r="D4" s="4706"/>
      <c r="E4" s="4706"/>
      <c r="F4" s="4706"/>
      <c r="G4" s="4706"/>
      <c r="H4" s="4706"/>
      <c r="I4" s="2464"/>
      <c r="J4" s="4709" t="s">
        <v>1625</v>
      </c>
      <c r="K4" s="4710"/>
      <c r="L4" s="3224" t="str">
        <f>IF(OR(General!$G$22="",General!$G$22=0),"",General!$G$22)</f>
        <v/>
      </c>
      <c r="M4" s="3224"/>
      <c r="N4" s="3224"/>
      <c r="O4" s="3224"/>
      <c r="P4" s="3224"/>
      <c r="Q4" s="718"/>
      <c r="R4" s="2618"/>
      <c r="S4" s="2290"/>
      <c r="T4" s="2290"/>
      <c r="U4" s="520"/>
      <c r="V4" s="4705"/>
      <c r="W4" s="4706"/>
      <c r="X4" s="4706"/>
      <c r="Y4" s="4706"/>
      <c r="Z4" s="4706"/>
      <c r="AA4" s="4706"/>
      <c r="AB4" s="1117"/>
      <c r="AC4" s="4709" t="s">
        <v>1625</v>
      </c>
      <c r="AD4" s="4710"/>
      <c r="AE4" s="3224" t="str">
        <f>IF(OR(General!$G$22="",General!$G$22=0),"",General!$G$22)</f>
        <v/>
      </c>
      <c r="AF4" s="3224"/>
      <c r="AG4" s="3224"/>
      <c r="AH4" s="3224"/>
      <c r="AI4" s="3224"/>
      <c r="AJ4" s="718"/>
      <c r="AK4" s="1114"/>
      <c r="AL4" s="1108"/>
    </row>
    <row r="5" spans="1:45" ht="12" customHeight="1">
      <c r="A5" s="1108"/>
      <c r="B5" s="2631"/>
      <c r="C5" s="4705"/>
      <c r="D5" s="4706"/>
      <c r="E5" s="4706"/>
      <c r="F5" s="4706"/>
      <c r="G5" s="4706"/>
      <c r="H5" s="4706"/>
      <c r="I5" s="2464"/>
      <c r="J5" s="4697" t="s">
        <v>1626</v>
      </c>
      <c r="K5" s="4698"/>
      <c r="L5" s="4699" t="str">
        <f>Principal!$L$5</f>
        <v>Guerrero</v>
      </c>
      <c r="M5" s="4700"/>
      <c r="N5" s="4700"/>
      <c r="O5" s="1119" t="s">
        <v>1627</v>
      </c>
      <c r="P5" s="1120" t="str">
        <f>Principal!$P$5</f>
        <v>1 + 2</v>
      </c>
      <c r="Q5" s="1121"/>
      <c r="R5" s="2618"/>
      <c r="S5" s="2290"/>
      <c r="T5" s="2290"/>
      <c r="U5" s="520"/>
      <c r="V5" s="4705"/>
      <c r="W5" s="4706"/>
      <c r="X5" s="4706"/>
      <c r="Y5" s="4706"/>
      <c r="Z5" s="4706"/>
      <c r="AA5" s="4706"/>
      <c r="AB5" s="1117"/>
      <c r="AC5" s="4697" t="s">
        <v>1626</v>
      </c>
      <c r="AD5" s="4698"/>
      <c r="AE5" s="4699" t="str">
        <f>Principal!$L$5</f>
        <v>Guerrero</v>
      </c>
      <c r="AF5" s="4700"/>
      <c r="AG5" s="4700"/>
      <c r="AH5" s="1119" t="s">
        <v>1627</v>
      </c>
      <c r="AI5" s="1120" t="str">
        <f>Principal!$P$5</f>
        <v>1 + 2</v>
      </c>
      <c r="AJ5" s="1121"/>
      <c r="AK5" s="1114"/>
      <c r="AL5" s="1108"/>
    </row>
    <row r="6" spans="1:45" ht="12" customHeight="1">
      <c r="A6" s="1108"/>
      <c r="B6" s="2631"/>
      <c r="C6" s="4705"/>
      <c r="D6" s="4706"/>
      <c r="E6" s="4706"/>
      <c r="F6" s="4706"/>
      <c r="G6" s="4706"/>
      <c r="H6" s="4706"/>
      <c r="I6" s="2464"/>
      <c r="J6" s="4701" t="s">
        <v>1902</v>
      </c>
      <c r="K6" s="4702"/>
      <c r="L6" s="4702"/>
      <c r="M6" s="4702"/>
      <c r="N6" s="4702"/>
      <c r="O6" s="4702"/>
      <c r="P6" s="4702"/>
      <c r="Q6" s="1121"/>
      <c r="R6" s="2618"/>
      <c r="S6" s="2290"/>
      <c r="T6" s="2290"/>
      <c r="U6" s="520"/>
      <c r="V6" s="4705"/>
      <c r="W6" s="4706"/>
      <c r="X6" s="4706"/>
      <c r="Y6" s="4706"/>
      <c r="Z6" s="4706"/>
      <c r="AA6" s="4706"/>
      <c r="AB6" s="1117"/>
      <c r="AC6" s="4701" t="s">
        <v>1903</v>
      </c>
      <c r="AD6" s="4702"/>
      <c r="AE6" s="4702"/>
      <c r="AF6" s="4702"/>
      <c r="AG6" s="4702"/>
      <c r="AH6" s="4702"/>
      <c r="AI6" s="4702"/>
      <c r="AJ6" s="1121"/>
      <c r="AK6" s="1114"/>
      <c r="AL6" s="1108"/>
    </row>
    <row r="7" spans="1:45" ht="12" customHeight="1">
      <c r="A7" s="1108"/>
      <c r="B7" s="2631"/>
      <c r="C7" s="4705"/>
      <c r="D7" s="4706"/>
      <c r="E7" s="4706"/>
      <c r="F7" s="4706"/>
      <c r="G7" s="4706"/>
      <c r="H7" s="4706"/>
      <c r="I7" s="2464"/>
      <c r="J7" s="4702"/>
      <c r="K7" s="4702"/>
      <c r="L7" s="4702"/>
      <c r="M7" s="4702"/>
      <c r="N7" s="4702"/>
      <c r="O7" s="4702"/>
      <c r="P7" s="4702"/>
      <c r="Q7" s="1121"/>
      <c r="R7" s="2618"/>
      <c r="S7" s="2290"/>
      <c r="T7" s="2290"/>
      <c r="U7" s="520"/>
      <c r="V7" s="4705"/>
      <c r="W7" s="4706"/>
      <c r="X7" s="4706"/>
      <c r="Y7" s="4706"/>
      <c r="Z7" s="4706"/>
      <c r="AA7" s="4706"/>
      <c r="AB7" s="1117"/>
      <c r="AC7" s="4702"/>
      <c r="AD7" s="4702"/>
      <c r="AE7" s="4702"/>
      <c r="AF7" s="4702"/>
      <c r="AG7" s="4702"/>
      <c r="AH7" s="4702"/>
      <c r="AI7" s="4702"/>
      <c r="AJ7" s="1121"/>
      <c r="AK7" s="1114"/>
      <c r="AL7" s="1108"/>
    </row>
    <row r="8" spans="1:45" ht="12" customHeight="1" thickBot="1">
      <c r="A8" s="1108"/>
      <c r="B8" s="2631"/>
      <c r="C8" s="4707"/>
      <c r="D8" s="4708"/>
      <c r="E8" s="4708"/>
      <c r="F8" s="4708"/>
      <c r="G8" s="4708"/>
      <c r="H8" s="4708"/>
      <c r="I8" s="2465"/>
      <c r="J8" s="2465"/>
      <c r="K8" s="2465"/>
      <c r="L8" s="2465"/>
      <c r="M8" s="2465"/>
      <c r="N8" s="2465"/>
      <c r="O8" s="2465"/>
      <c r="P8" s="2465"/>
      <c r="Q8" s="1127"/>
      <c r="R8" s="2618"/>
      <c r="S8" s="2290"/>
      <c r="T8" s="2290"/>
      <c r="U8" s="520"/>
      <c r="V8" s="4707"/>
      <c r="W8" s="4708"/>
      <c r="X8" s="4708"/>
      <c r="Y8" s="4708"/>
      <c r="Z8" s="4708"/>
      <c r="AA8" s="4708"/>
      <c r="AB8" s="1126"/>
      <c r="AC8" s="1126"/>
      <c r="AD8" s="1126"/>
      <c r="AE8" s="1126"/>
      <c r="AF8" s="1126"/>
      <c r="AG8" s="1126"/>
      <c r="AH8" s="1126"/>
      <c r="AI8" s="1126"/>
      <c r="AJ8" s="1127"/>
      <c r="AK8" s="1114"/>
      <c r="AL8" s="1108"/>
      <c r="AM8" s="1187"/>
      <c r="AN8" s="1187"/>
      <c r="AO8" s="1187"/>
      <c r="AP8" s="1187"/>
      <c r="AQ8" s="1187"/>
    </row>
    <row r="9" spans="1:45" ht="12" customHeight="1" thickBot="1">
      <c r="A9" s="1108"/>
      <c r="B9" s="2631"/>
      <c r="C9" s="646"/>
      <c r="D9" s="646"/>
      <c r="E9" s="646"/>
      <c r="F9" s="646"/>
      <c r="G9" s="646"/>
      <c r="H9" s="646"/>
      <c r="I9" s="646"/>
      <c r="J9" s="646"/>
      <c r="K9" s="646"/>
      <c r="L9" s="646"/>
      <c r="M9" s="646"/>
      <c r="N9" s="646"/>
      <c r="O9" s="646"/>
      <c r="P9" s="646"/>
      <c r="Q9" s="646"/>
      <c r="R9" s="2618"/>
      <c r="S9" s="2290"/>
      <c r="T9" s="2290"/>
      <c r="U9" s="520"/>
      <c r="V9" s="4711" t="str">
        <f>IF(Tablas!G488+Tablas!G489+Tablas!G551+Tablas!G534+Tablas!G552&gt;0,"Empatía hacia elemento: -5 CM al coste de cada efecto relacionado con elemento afín (Coste mínimo 5 CM)","")</f>
        <v/>
      </c>
      <c r="W9" s="4711"/>
      <c r="X9" s="4711"/>
      <c r="Y9" s="4711"/>
      <c r="Z9" s="4711"/>
      <c r="AA9" s="4711"/>
      <c r="AB9" s="4711"/>
      <c r="AC9" s="4711"/>
      <c r="AD9" s="4711"/>
      <c r="AE9" s="4711"/>
      <c r="AF9" s="4711"/>
      <c r="AG9" s="4711"/>
      <c r="AH9" s="4711"/>
      <c r="AI9" s="4711"/>
      <c r="AJ9" s="4711"/>
      <c r="AK9" s="1114"/>
      <c r="AL9" s="1108"/>
      <c r="AM9" s="1188"/>
      <c r="AN9" s="1188"/>
      <c r="AO9" s="1188"/>
      <c r="AP9" s="1188"/>
      <c r="AQ9" s="1189"/>
    </row>
    <row r="10" spans="1:45" ht="12" customHeight="1" thickBot="1">
      <c r="A10" s="1108"/>
      <c r="B10" s="2631"/>
      <c r="C10" s="4720" t="s">
        <v>1904</v>
      </c>
      <c r="D10" s="4721"/>
      <c r="E10" s="4721"/>
      <c r="F10" s="4721"/>
      <c r="G10" s="2679"/>
      <c r="H10" s="2680" t="s">
        <v>9974</v>
      </c>
      <c r="I10" s="2681" t="s">
        <v>2446</v>
      </c>
      <c r="J10" s="2623"/>
      <c r="K10" s="4712" t="s">
        <v>1905</v>
      </c>
      <c r="L10" s="4713"/>
      <c r="M10" s="4713"/>
      <c r="N10" s="4713"/>
      <c r="O10" s="4713"/>
      <c r="P10" s="4716">
        <f>IF(Q10=0,40,"-")</f>
        <v>40</v>
      </c>
      <c r="Q10" s="4718"/>
      <c r="R10" s="4763" t="b">
        <f t="shared" ref="R10:R11" si="0">P10="-"</f>
        <v>0</v>
      </c>
      <c r="S10" s="2290"/>
      <c r="T10" s="2290"/>
      <c r="U10" s="520"/>
      <c r="V10" s="4720" t="s">
        <v>1906</v>
      </c>
      <c r="W10" s="4721"/>
      <c r="X10" s="4721"/>
      <c r="Y10" s="4722"/>
      <c r="Z10" s="1167"/>
      <c r="AA10" s="4720" t="s">
        <v>1907</v>
      </c>
      <c r="AB10" s="4721"/>
      <c r="AC10" s="4721"/>
      <c r="AD10" s="4721"/>
      <c r="AE10" s="4721"/>
      <c r="AF10" s="4721"/>
      <c r="AG10" s="4721"/>
      <c r="AH10" s="4721"/>
      <c r="AI10" s="4721"/>
      <c r="AJ10" s="4722"/>
      <c r="AK10" s="1114"/>
      <c r="AL10" s="1108"/>
    </row>
    <row r="11" spans="1:45" ht="12" customHeight="1" thickBot="1">
      <c r="A11" s="1108"/>
      <c r="B11" s="2631"/>
      <c r="C11" s="1190"/>
      <c r="D11" s="610" t="s">
        <v>1908</v>
      </c>
      <c r="E11" s="1191" t="s">
        <v>1909</v>
      </c>
      <c r="F11" s="4723" t="s">
        <v>1910</v>
      </c>
      <c r="G11" s="4724"/>
      <c r="H11" s="4724"/>
      <c r="I11" s="4725"/>
      <c r="J11" s="2623"/>
      <c r="K11" s="4714"/>
      <c r="L11" s="4715"/>
      <c r="M11" s="4715"/>
      <c r="N11" s="4715"/>
      <c r="O11" s="4715"/>
      <c r="P11" s="4717"/>
      <c r="Q11" s="4719"/>
      <c r="R11" s="4763" t="b">
        <f t="shared" si="0"/>
        <v>0</v>
      </c>
      <c r="S11" s="2290"/>
      <c r="T11" s="2290"/>
      <c r="U11" s="520"/>
      <c r="V11" s="4727" t="s">
        <v>1911</v>
      </c>
      <c r="W11" s="4762"/>
      <c r="X11" s="4760"/>
      <c r="Y11" s="4740"/>
      <c r="Z11" s="1192"/>
      <c r="AA11" s="4749" t="s">
        <v>1912</v>
      </c>
      <c r="AB11" s="4595"/>
      <c r="AC11" s="4750"/>
      <c r="AD11" s="4595" t="s">
        <v>1913</v>
      </c>
      <c r="AE11" s="4595"/>
      <c r="AF11" s="4595"/>
      <c r="AG11" s="4595"/>
      <c r="AH11" s="4595"/>
      <c r="AI11" s="4595"/>
      <c r="AJ11" s="4596"/>
      <c r="AK11" s="1114"/>
      <c r="AL11" s="1108"/>
    </row>
    <row r="12" spans="1:45" ht="12" customHeight="1">
      <c r="A12" s="1108"/>
      <c r="B12" s="2631"/>
      <c r="C12" s="4726" t="s">
        <v>1682</v>
      </c>
      <c r="D12" s="4728">
        <f>PDs!$AA33</f>
        <v>0</v>
      </c>
      <c r="E12" s="4730" t="str">
        <f>IF(OR(Tablas!$G$375&gt;0,Tablas!$G$17378&gt;0,$I$10&lt;&gt;"No"),"-",PDs!$AA$27)</f>
        <v>-</v>
      </c>
      <c r="F12" s="4732"/>
      <c r="G12" s="4733"/>
      <c r="H12" s="4733"/>
      <c r="I12" s="4734"/>
      <c r="J12" s="2623"/>
      <c r="K12" s="4738" t="s">
        <v>1914</v>
      </c>
      <c r="L12" s="4739"/>
      <c r="M12" s="4739"/>
      <c r="N12" s="4739"/>
      <c r="O12" s="4739"/>
      <c r="P12" s="2466">
        <f>IF(Q12=0,30,"-")</f>
        <v>30</v>
      </c>
      <c r="Q12" s="2467"/>
      <c r="R12" s="2619" t="b">
        <f>P12="-"</f>
        <v>0</v>
      </c>
      <c r="S12" s="2290"/>
      <c r="T12" s="2290"/>
      <c r="U12" s="520"/>
      <c r="V12" s="4727"/>
      <c r="W12" s="4762"/>
      <c r="X12" s="4760"/>
      <c r="Y12" s="4740"/>
      <c r="Z12" s="1192"/>
      <c r="AA12" s="4743"/>
      <c r="AB12" s="4744"/>
      <c r="AC12" s="4745"/>
      <c r="AD12" s="4755"/>
      <c r="AE12" s="4755"/>
      <c r="AF12" s="4755"/>
      <c r="AG12" s="4755"/>
      <c r="AH12" s="4755"/>
      <c r="AI12" s="4755"/>
      <c r="AJ12" s="4756"/>
      <c r="AK12" s="1114"/>
      <c r="AL12" s="1108"/>
    </row>
    <row r="13" spans="1:45" ht="12" customHeight="1">
      <c r="A13" s="1108"/>
      <c r="B13" s="2631"/>
      <c r="C13" s="4727"/>
      <c r="D13" s="4729"/>
      <c r="E13" s="4731"/>
      <c r="F13" s="4735"/>
      <c r="G13" s="4736"/>
      <c r="H13" s="4736"/>
      <c r="I13" s="4737"/>
      <c r="J13" s="2623"/>
      <c r="K13" s="1193" t="s">
        <v>1915</v>
      </c>
      <c r="L13" s="4757" t="s">
        <v>1916</v>
      </c>
      <c r="M13" s="4757"/>
      <c r="N13" s="4757"/>
      <c r="O13" s="4757"/>
      <c r="P13" s="2466">
        <f>IF(Q13=0,20,"-")</f>
        <v>20</v>
      </c>
      <c r="Q13" s="2467"/>
      <c r="R13" s="2619" t="b">
        <f t="shared" ref="R13:R62" si="1">P13="-"</f>
        <v>0</v>
      </c>
      <c r="S13" s="2290"/>
      <c r="T13" s="2290"/>
      <c r="U13" s="520"/>
      <c r="V13" s="4727" t="s">
        <v>1917</v>
      </c>
      <c r="W13" s="4762"/>
      <c r="X13" s="4760"/>
      <c r="Y13" s="4740"/>
      <c r="Z13" s="651"/>
      <c r="AA13" s="4746"/>
      <c r="AB13" s="4747"/>
      <c r="AC13" s="4748"/>
      <c r="AD13" s="4758"/>
      <c r="AE13" s="4758"/>
      <c r="AF13" s="4758"/>
      <c r="AG13" s="4758"/>
      <c r="AH13" s="4758"/>
      <c r="AI13" s="4758"/>
      <c r="AJ13" s="4759"/>
      <c r="AK13" s="1114"/>
      <c r="AL13" s="1108"/>
    </row>
    <row r="14" spans="1:45" ht="12" customHeight="1">
      <c r="A14" s="1108"/>
      <c r="B14" s="2631"/>
      <c r="C14" s="4741" t="s">
        <v>1809</v>
      </c>
      <c r="D14" s="4742">
        <f>PDs!$AA34</f>
        <v>0</v>
      </c>
      <c r="E14" s="4751" t="str">
        <f>IF(OR(Tablas!$G$375&gt;0,Tablas!$G$17378&gt;0,$I$10&lt;&gt;"No"),"-",PDs!$AA$28)</f>
        <v>-</v>
      </c>
      <c r="F14" s="4752"/>
      <c r="G14" s="4753"/>
      <c r="H14" s="4753"/>
      <c r="I14" s="4754"/>
      <c r="J14" s="2623"/>
      <c r="K14" s="1193" t="s">
        <v>1918</v>
      </c>
      <c r="L14" s="1194" t="s">
        <v>1919</v>
      </c>
      <c r="M14" s="4761" t="s">
        <v>1920</v>
      </c>
      <c r="N14" s="4761"/>
      <c r="O14" s="4761"/>
      <c r="P14" s="2466">
        <f>IF(Q14=0,10,"-")</f>
        <v>10</v>
      </c>
      <c r="Q14" s="2467"/>
      <c r="R14" s="2619" t="b">
        <f t="shared" si="1"/>
        <v>0</v>
      </c>
      <c r="S14" s="2290"/>
      <c r="T14" s="2290"/>
      <c r="U14" s="520"/>
      <c r="V14" s="4727"/>
      <c r="W14" s="4762"/>
      <c r="X14" s="4760"/>
      <c r="Y14" s="4740"/>
      <c r="Z14" s="1171"/>
      <c r="AA14" s="4746"/>
      <c r="AB14" s="4747"/>
      <c r="AC14" s="4748"/>
      <c r="AD14" s="4758"/>
      <c r="AE14" s="4758"/>
      <c r="AF14" s="4758"/>
      <c r="AG14" s="4758"/>
      <c r="AH14" s="4758"/>
      <c r="AI14" s="4758"/>
      <c r="AJ14" s="4759"/>
      <c r="AK14" s="1114"/>
      <c r="AL14" s="1108"/>
    </row>
    <row r="15" spans="1:45" ht="12" customHeight="1">
      <c r="A15" s="1108"/>
      <c r="B15" s="2631"/>
      <c r="C15" s="4741"/>
      <c r="D15" s="4742"/>
      <c r="E15" s="4751"/>
      <c r="F15" s="4752"/>
      <c r="G15" s="4753"/>
      <c r="H15" s="4753"/>
      <c r="I15" s="4754"/>
      <c r="J15" s="2623"/>
      <c r="K15" s="1193" t="s">
        <v>1915</v>
      </c>
      <c r="L15" s="4761" t="s">
        <v>1921</v>
      </c>
      <c r="M15" s="4761"/>
      <c r="N15" s="4761"/>
      <c r="O15" s="4761"/>
      <c r="P15" s="2466">
        <f>IF(Q15=0,40,"-")</f>
        <v>40</v>
      </c>
      <c r="Q15" s="2467"/>
      <c r="R15" s="2619" t="b">
        <f t="shared" si="1"/>
        <v>0</v>
      </c>
      <c r="S15" s="2290"/>
      <c r="T15" s="2290"/>
      <c r="U15" s="520"/>
      <c r="V15" s="4727" t="s">
        <v>1922</v>
      </c>
      <c r="W15" s="4762"/>
      <c r="X15" s="4760"/>
      <c r="Y15" s="4740"/>
      <c r="Z15" s="1195"/>
      <c r="AA15" s="4746"/>
      <c r="AB15" s="4747"/>
      <c r="AC15" s="4748"/>
      <c r="AD15" s="4758"/>
      <c r="AE15" s="4758"/>
      <c r="AF15" s="4758"/>
      <c r="AG15" s="4758"/>
      <c r="AH15" s="4758"/>
      <c r="AI15" s="4758"/>
      <c r="AJ15" s="4759"/>
      <c r="AK15" s="1114"/>
      <c r="AL15" s="1108"/>
    </row>
    <row r="16" spans="1:45" ht="12" customHeight="1">
      <c r="A16" s="1108"/>
      <c r="B16" s="2631"/>
      <c r="C16" s="4727" t="s">
        <v>1687</v>
      </c>
      <c r="D16" s="4729">
        <f>PDs!$AA35</f>
        <v>0</v>
      </c>
      <c r="E16" s="4731" t="str">
        <f>IF(OR(Tablas!$G$375&gt;0,Tablas!$G$17378&gt;0,$I$10&lt;&gt;"No"),"-",PDs!$AA$29)</f>
        <v>-</v>
      </c>
      <c r="F16" s="4735"/>
      <c r="G16" s="4736"/>
      <c r="H16" s="4736"/>
      <c r="I16" s="4737"/>
      <c r="J16" s="2623"/>
      <c r="K16" s="1193" t="s">
        <v>1915</v>
      </c>
      <c r="L16" s="4761" t="s">
        <v>1923</v>
      </c>
      <c r="M16" s="4761"/>
      <c r="N16" s="4761"/>
      <c r="O16" s="4761"/>
      <c r="P16" s="2466">
        <f>IF(Q16=0,10,"-")</f>
        <v>10</v>
      </c>
      <c r="Q16" s="2467"/>
      <c r="R16" s="2619" t="b">
        <f t="shared" si="1"/>
        <v>0</v>
      </c>
      <c r="S16" s="2290"/>
      <c r="T16" s="2290"/>
      <c r="U16" s="520"/>
      <c r="V16" s="4727"/>
      <c r="W16" s="4762"/>
      <c r="X16" s="4760"/>
      <c r="Y16" s="4740"/>
      <c r="Z16" s="1195"/>
      <c r="AA16" s="4746"/>
      <c r="AB16" s="4747"/>
      <c r="AC16" s="4748"/>
      <c r="AD16" s="4758"/>
      <c r="AE16" s="4758"/>
      <c r="AF16" s="4758"/>
      <c r="AG16" s="4758"/>
      <c r="AH16" s="4758"/>
      <c r="AI16" s="4758"/>
      <c r="AJ16" s="4759"/>
      <c r="AK16" s="1114"/>
      <c r="AL16" s="1108"/>
      <c r="AO16" s="646"/>
      <c r="AP16" s="646"/>
      <c r="AQ16" s="646"/>
      <c r="AR16" s="646"/>
      <c r="AS16" s="646"/>
    </row>
    <row r="17" spans="1:47" ht="12" customHeight="1">
      <c r="A17" s="1108"/>
      <c r="B17" s="2631"/>
      <c r="C17" s="4727"/>
      <c r="D17" s="4729"/>
      <c r="E17" s="4731"/>
      <c r="F17" s="4735"/>
      <c r="G17" s="4736"/>
      <c r="H17" s="4736"/>
      <c r="I17" s="4737"/>
      <c r="J17" s="2623"/>
      <c r="K17" s="1193" t="s">
        <v>1918</v>
      </c>
      <c r="L17" s="1196" t="s">
        <v>1915</v>
      </c>
      <c r="M17" s="4757" t="s">
        <v>1924</v>
      </c>
      <c r="N17" s="4757"/>
      <c r="O17" s="4757"/>
      <c r="P17" s="2466">
        <f>IF(Q17=0,30,"-")</f>
        <v>30</v>
      </c>
      <c r="Q17" s="2467"/>
      <c r="R17" s="2619" t="b">
        <f t="shared" si="1"/>
        <v>0</v>
      </c>
      <c r="S17" s="2290"/>
      <c r="T17" s="2290"/>
      <c r="U17" s="520"/>
      <c r="V17" s="4727" t="s">
        <v>1925</v>
      </c>
      <c r="W17" s="4762"/>
      <c r="X17" s="4760"/>
      <c r="Y17" s="4740"/>
      <c r="Z17" s="1197"/>
      <c r="AA17" s="4746"/>
      <c r="AB17" s="4747"/>
      <c r="AC17" s="4748"/>
      <c r="AD17" s="4758"/>
      <c r="AE17" s="4758"/>
      <c r="AF17" s="4758"/>
      <c r="AG17" s="4758"/>
      <c r="AH17" s="4758"/>
      <c r="AI17" s="4758"/>
      <c r="AJ17" s="4759"/>
      <c r="AK17" s="1114"/>
      <c r="AL17" s="1108"/>
      <c r="AO17" s="646"/>
      <c r="AP17" s="646"/>
      <c r="AQ17" s="646"/>
      <c r="AR17" s="646"/>
      <c r="AS17" s="646"/>
    </row>
    <row r="18" spans="1:47" ht="12" customHeight="1">
      <c r="A18" s="1108"/>
      <c r="B18" s="2631"/>
      <c r="C18" s="4741" t="s">
        <v>1692</v>
      </c>
      <c r="D18" s="4742">
        <f>PDs!$AA36</f>
        <v>0</v>
      </c>
      <c r="E18" s="4751" t="str">
        <f>IF(OR(Tablas!$G$375&gt;0,Tablas!$G$17378&gt;0,$I$10&lt;&gt;"No"),"-",PDs!$AA$30)</f>
        <v>-</v>
      </c>
      <c r="F18" s="4752"/>
      <c r="G18" s="4753"/>
      <c r="H18" s="4753"/>
      <c r="I18" s="4754"/>
      <c r="J18" s="2623"/>
      <c r="K18" s="1193" t="s">
        <v>1918</v>
      </c>
      <c r="L18" s="1196" t="s">
        <v>1918</v>
      </c>
      <c r="M18" s="1196" t="s">
        <v>1926</v>
      </c>
      <c r="N18" s="4764" t="s">
        <v>1927</v>
      </c>
      <c r="O18" s="4764"/>
      <c r="P18" s="2466">
        <f>IF(Q18=0,20,"-")</f>
        <v>20</v>
      </c>
      <c r="Q18" s="2467"/>
      <c r="R18" s="2619" t="b">
        <f t="shared" si="1"/>
        <v>0</v>
      </c>
      <c r="S18" s="2290"/>
      <c r="T18" s="2290"/>
      <c r="U18" s="520"/>
      <c r="V18" s="4727"/>
      <c r="W18" s="4762"/>
      <c r="X18" s="4760"/>
      <c r="Y18" s="4740"/>
      <c r="Z18" s="1198"/>
      <c r="AA18" s="4746"/>
      <c r="AB18" s="4747"/>
      <c r="AC18" s="4748"/>
      <c r="AD18" s="4758"/>
      <c r="AE18" s="4758"/>
      <c r="AF18" s="4758"/>
      <c r="AG18" s="4758"/>
      <c r="AH18" s="4758"/>
      <c r="AI18" s="4758"/>
      <c r="AJ18" s="4759"/>
      <c r="AK18" s="1114"/>
      <c r="AL18" s="1108"/>
      <c r="AO18" s="646"/>
      <c r="AP18" s="646"/>
      <c r="AQ18" s="646"/>
      <c r="AR18" s="646"/>
      <c r="AS18" s="646"/>
    </row>
    <row r="19" spans="1:47" ht="12" customHeight="1">
      <c r="A19" s="1108"/>
      <c r="B19" s="2631"/>
      <c r="C19" s="4741"/>
      <c r="D19" s="4742"/>
      <c r="E19" s="4751"/>
      <c r="F19" s="4752"/>
      <c r="G19" s="4753"/>
      <c r="H19" s="4753"/>
      <c r="I19" s="4754"/>
      <c r="J19" s="2623"/>
      <c r="K19" s="1193" t="s">
        <v>1918</v>
      </c>
      <c r="L19" s="1196" t="s">
        <v>1915</v>
      </c>
      <c r="M19" s="4757" t="s">
        <v>1928</v>
      </c>
      <c r="N19" s="4757"/>
      <c r="O19" s="4757"/>
      <c r="P19" s="2466">
        <f>IF(Q19=0,30,"-")</f>
        <v>30</v>
      </c>
      <c r="Q19" s="2467"/>
      <c r="R19" s="2619" t="b">
        <f t="shared" si="1"/>
        <v>0</v>
      </c>
      <c r="S19" s="2290"/>
      <c r="T19" s="2290"/>
      <c r="U19" s="520"/>
      <c r="V19" s="4727" t="s">
        <v>1929</v>
      </c>
      <c r="W19" s="4762"/>
      <c r="X19" s="4770"/>
      <c r="Y19" s="4740"/>
      <c r="Z19" s="1198"/>
      <c r="AA19" s="4746"/>
      <c r="AB19" s="4747"/>
      <c r="AC19" s="4748"/>
      <c r="AD19" s="4758"/>
      <c r="AE19" s="4758"/>
      <c r="AF19" s="4758"/>
      <c r="AG19" s="4758"/>
      <c r="AH19" s="4758"/>
      <c r="AI19" s="4758"/>
      <c r="AJ19" s="4759"/>
      <c r="AK19" s="1114"/>
      <c r="AL19" s="1108"/>
      <c r="AM19" s="1153"/>
      <c r="AO19" s="646"/>
      <c r="AP19" s="646"/>
      <c r="AQ19" s="646"/>
      <c r="AR19" s="646"/>
      <c r="AS19" s="646"/>
    </row>
    <row r="20" spans="1:47" ht="12" customHeight="1" thickBot="1">
      <c r="A20" s="1108"/>
      <c r="B20" s="2631"/>
      <c r="C20" s="4727" t="s">
        <v>1700</v>
      </c>
      <c r="D20" s="4729">
        <f>PDs!$AA37</f>
        <v>0</v>
      </c>
      <c r="E20" s="4731" t="str">
        <f>IF(OR(Tablas!$G$375&gt;0,Tablas!$G$17378&gt;0,$I$10&lt;&gt;"No"),"-",PDs!$AA$31)</f>
        <v>-</v>
      </c>
      <c r="F20" s="4735"/>
      <c r="G20" s="4736"/>
      <c r="H20" s="4736"/>
      <c r="I20" s="4737"/>
      <c r="J20" s="2623"/>
      <c r="K20" s="1193" t="s">
        <v>1918</v>
      </c>
      <c r="L20" s="1196" t="s">
        <v>1918</v>
      </c>
      <c r="M20" s="1196" t="s">
        <v>1915</v>
      </c>
      <c r="N20" s="4761" t="s">
        <v>1930</v>
      </c>
      <c r="O20" s="4761"/>
      <c r="P20" s="2466">
        <f>IF(Q20=0,30,"-")</f>
        <v>30</v>
      </c>
      <c r="Q20" s="2467"/>
      <c r="R20" s="2619" t="b">
        <f t="shared" si="1"/>
        <v>0</v>
      </c>
      <c r="S20" s="2290"/>
      <c r="T20" s="2290"/>
      <c r="U20" s="520"/>
      <c r="V20" s="4768"/>
      <c r="W20" s="4769"/>
      <c r="X20" s="4771"/>
      <c r="Y20" s="4772"/>
      <c r="Z20" s="1198"/>
      <c r="AA20" s="4765"/>
      <c r="AB20" s="4766"/>
      <c r="AC20" s="4767"/>
      <c r="AD20" s="4784"/>
      <c r="AE20" s="4784"/>
      <c r="AF20" s="4784"/>
      <c r="AG20" s="4784"/>
      <c r="AH20" s="4784"/>
      <c r="AI20" s="4784"/>
      <c r="AJ20" s="4785"/>
      <c r="AK20" s="1114"/>
      <c r="AL20" s="1108"/>
      <c r="AM20" s="1167"/>
      <c r="AN20" s="1156"/>
      <c r="AO20" s="1156"/>
      <c r="AP20" s="1156"/>
      <c r="AQ20" s="1156"/>
      <c r="AR20" s="1156"/>
      <c r="AS20" s="1156"/>
      <c r="AT20" s="1156"/>
      <c r="AU20" s="1156"/>
    </row>
    <row r="21" spans="1:47" ht="12" customHeight="1" thickBot="1">
      <c r="A21" s="1108"/>
      <c r="B21" s="2631"/>
      <c r="C21" s="4727"/>
      <c r="D21" s="4729"/>
      <c r="E21" s="4731"/>
      <c r="F21" s="4735"/>
      <c r="G21" s="4736"/>
      <c r="H21" s="4736"/>
      <c r="I21" s="4737"/>
      <c r="J21" s="2623"/>
      <c r="K21" s="1193" t="s">
        <v>1918</v>
      </c>
      <c r="L21" s="1196" t="s">
        <v>1918</v>
      </c>
      <c r="M21" s="1196" t="s">
        <v>1918</v>
      </c>
      <c r="N21" s="4757" t="s">
        <v>1931</v>
      </c>
      <c r="O21" s="4757"/>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c r="A22" s="1108"/>
      <c r="B22" s="2631"/>
      <c r="C22" s="4741" t="s">
        <v>1701</v>
      </c>
      <c r="D22" s="4742">
        <f>PDs!$AA38</f>
        <v>0</v>
      </c>
      <c r="E22" s="4751" t="str">
        <f>IF(OR(Tablas!$G$375&gt;0,Tablas!$G$17378&gt;0,$I$10&lt;&gt;"No"),"-",PDs!$AA$32)</f>
        <v>-</v>
      </c>
      <c r="F22" s="4752"/>
      <c r="G22" s="4753"/>
      <c r="H22" s="4753"/>
      <c r="I22" s="4754"/>
      <c r="J22" s="2623"/>
      <c r="K22" s="1193" t="s">
        <v>1918</v>
      </c>
      <c r="L22" s="1196" t="s">
        <v>1918</v>
      </c>
      <c r="M22" s="1196" t="s">
        <v>1926</v>
      </c>
      <c r="N22" s="4761" t="s">
        <v>1932</v>
      </c>
      <c r="O22" s="4761"/>
      <c r="P22" s="2466">
        <f>IF(Q22=0,30,"-")</f>
        <v>30</v>
      </c>
      <c r="Q22" s="2467"/>
      <c r="R22" s="2619" t="b">
        <f t="shared" si="1"/>
        <v>0</v>
      </c>
      <c r="S22" s="2290"/>
      <c r="T22" s="2290"/>
      <c r="U22" s="520"/>
      <c r="V22" s="4475" t="s">
        <v>1903</v>
      </c>
      <c r="W22" s="4476"/>
      <c r="X22" s="4476"/>
      <c r="Y22" s="4476"/>
      <c r="Z22" s="4476"/>
      <c r="AA22" s="4477"/>
      <c r="AB22" s="1230" t="s">
        <v>1811</v>
      </c>
      <c r="AD22" s="4475" t="s">
        <v>1903</v>
      </c>
      <c r="AE22" s="4476"/>
      <c r="AF22" s="4476"/>
      <c r="AG22" s="4476"/>
      <c r="AH22" s="4476"/>
      <c r="AI22" s="4477"/>
      <c r="AJ22" s="1230" t="s">
        <v>1811</v>
      </c>
      <c r="AK22" s="1114"/>
      <c r="AL22" s="1108"/>
      <c r="AM22" s="1167"/>
      <c r="AN22" s="1156"/>
      <c r="AO22" s="1156"/>
      <c r="AP22" s="1156"/>
      <c r="AQ22" s="1156"/>
      <c r="AR22" s="1156"/>
      <c r="AS22" s="1156"/>
      <c r="AT22" s="1156"/>
      <c r="AU22" s="1156"/>
    </row>
    <row r="23" spans="1:47" ht="12" customHeight="1">
      <c r="A23" s="1108"/>
      <c r="B23" s="2631"/>
      <c r="C23" s="4778"/>
      <c r="D23" s="4779"/>
      <c r="E23" s="4780"/>
      <c r="F23" s="4781"/>
      <c r="G23" s="4782"/>
      <c r="H23" s="4782"/>
      <c r="I23" s="4783"/>
      <c r="J23" s="2623"/>
      <c r="K23" s="1193" t="s">
        <v>1918</v>
      </c>
      <c r="L23" s="1196" t="s">
        <v>1918</v>
      </c>
      <c r="M23" s="1199"/>
      <c r="N23" s="4757" t="s">
        <v>1933</v>
      </c>
      <c r="O23" s="4757"/>
      <c r="P23" s="2466">
        <f>IF(Q23=0,40,"-")</f>
        <v>40</v>
      </c>
      <c r="Q23" s="2467"/>
      <c r="R23" s="2619" t="b">
        <f t="shared" si="1"/>
        <v>0</v>
      </c>
      <c r="S23" s="2290"/>
      <c r="T23" s="2290"/>
      <c r="U23" s="1200">
        <f>IF(V23=0,0,1)</f>
        <v>0</v>
      </c>
      <c r="V23" s="4773"/>
      <c r="W23" s="4774"/>
      <c r="X23" s="4774"/>
      <c r="Y23" s="4774"/>
      <c r="Z23" s="4774"/>
      <c r="AA23" s="4775"/>
      <c r="AB23" s="4776" t="str">
        <f>IF(V23="","",VLOOKUP(V23,TablasTec!$AD$5:$AI$188,3,FALSE))</f>
        <v/>
      </c>
      <c r="AD23" s="4773"/>
      <c r="AE23" s="4774"/>
      <c r="AF23" s="4774"/>
      <c r="AG23" s="4774"/>
      <c r="AH23" s="4774"/>
      <c r="AI23" s="4775"/>
      <c r="AJ23" s="4776" t="str">
        <f>IF(AD23="","",VLOOKUP(AD23,TablasTec!$AD$5:$AI$188,3,FALSE))</f>
        <v/>
      </c>
      <c r="AK23" s="1114"/>
      <c r="AL23" s="1108"/>
      <c r="AM23" s="1167"/>
      <c r="AN23" s="1156"/>
      <c r="AO23" s="1156"/>
      <c r="AP23" s="1156"/>
      <c r="AQ23" s="1156"/>
      <c r="AR23" s="1156"/>
      <c r="AS23" s="1156"/>
      <c r="AT23" s="1156"/>
      <c r="AU23" s="1156"/>
    </row>
    <row r="24" spans="1:47" ht="12" customHeight="1">
      <c r="A24" s="1108"/>
      <c r="B24" s="2631"/>
      <c r="C24" s="2624" t="s">
        <v>1934</v>
      </c>
      <c r="D24" s="4728">
        <f>D12+D14+D16+D18+D20+D22</f>
        <v>0</v>
      </c>
      <c r="E24" s="4730">
        <f>IF(OR(Tablas!$G$375&gt;0,Tablas!$H$1384&gt;0),((PDs!AA31*6)+(PDs!V27+PDs!V28+PDs!V29+PDs!V30+PDs!V31+PDs!V32)),SUM(PDs!$AA$27:$AA$32))</f>
        <v>0</v>
      </c>
      <c r="F24" s="4788" t="str">
        <f>IF(I10&lt;&gt;"no","Nota: Las acumulaciones no se unifican con Unificación del Ki","")</f>
        <v>Nota: Las acumulaciones no se unifican con Unificación del Ki</v>
      </c>
      <c r="G24" s="4789"/>
      <c r="H24" s="4789"/>
      <c r="I24" s="4790"/>
      <c r="J24" s="2623"/>
      <c r="K24" s="1193" t="s">
        <v>1918</v>
      </c>
      <c r="L24" s="1196" t="s">
        <v>1926</v>
      </c>
      <c r="M24" s="4761" t="s">
        <v>1935</v>
      </c>
      <c r="N24" s="4761"/>
      <c r="O24" s="4761"/>
      <c r="P24" s="2466">
        <f>IF(Q24=0,20,"-")</f>
        <v>20</v>
      </c>
      <c r="Q24" s="2467"/>
      <c r="R24" s="2619" t="b">
        <f t="shared" si="1"/>
        <v>0</v>
      </c>
      <c r="S24" s="2290"/>
      <c r="T24" s="2290"/>
      <c r="U24" s="1200"/>
      <c r="V24" s="4794" t="str">
        <f>IF(V23="","",VLOOKUP(V23,TablasTec!$AD$5:$AI$188,4,FALSE))</f>
        <v/>
      </c>
      <c r="W24" s="4795"/>
      <c r="X24" s="4795"/>
      <c r="Y24" s="4795"/>
      <c r="Z24" s="1255" t="s">
        <v>1627</v>
      </c>
      <c r="AA24" s="1352" t="str">
        <f>IF(V23="","",VLOOKUP(V23,TablasTec!$AD$5:$AI$188,2,FALSE))</f>
        <v/>
      </c>
      <c r="AB24" s="4777"/>
      <c r="AD24" s="4794" t="str">
        <f>IF(AD23="","",VLOOKUP(AD23,TablasTec!$AD$5:$AI$188,4,FALSE))</f>
        <v/>
      </c>
      <c r="AE24" s="4795"/>
      <c r="AF24" s="4795"/>
      <c r="AG24" s="4795"/>
      <c r="AH24" s="1235" t="s">
        <v>1627</v>
      </c>
      <c r="AI24" s="1237" t="str">
        <f>IF(AD23="","",VLOOKUP(AD23,TablasTec!$AD$5:$AI$188,2,FALSE))</f>
        <v/>
      </c>
      <c r="AJ24" s="4777"/>
      <c r="AK24" s="1114"/>
      <c r="AL24" s="1108"/>
      <c r="AM24" s="1156"/>
      <c r="AN24" s="1156"/>
      <c r="AO24" s="1156"/>
      <c r="AP24" s="1156"/>
      <c r="AQ24" s="1156"/>
      <c r="AR24" s="1156"/>
      <c r="AS24" s="1156"/>
      <c r="AT24" s="1156"/>
      <c r="AU24" s="1156"/>
    </row>
    <row r="25" spans="1:47" ht="12" customHeight="1" thickBot="1">
      <c r="A25" s="1108"/>
      <c r="B25" s="2631"/>
      <c r="C25" s="1201" t="s">
        <v>1658</v>
      </c>
      <c r="D25" s="4786"/>
      <c r="E25" s="4787"/>
      <c r="F25" s="4791"/>
      <c r="G25" s="4792"/>
      <c r="H25" s="4792"/>
      <c r="I25" s="4793"/>
      <c r="J25" s="2623"/>
      <c r="K25" s="1193" t="s">
        <v>1915</v>
      </c>
      <c r="L25" s="4761" t="s">
        <v>1936</v>
      </c>
      <c r="M25" s="4761"/>
      <c r="N25" s="4761"/>
      <c r="O25" s="4761"/>
      <c r="P25" s="2466">
        <f>IF(Q25=0,50,"-")</f>
        <v>50</v>
      </c>
      <c r="Q25" s="2467"/>
      <c r="R25" s="2619" t="b">
        <f t="shared" si="1"/>
        <v>0</v>
      </c>
      <c r="S25" s="2290"/>
      <c r="T25" s="2290"/>
      <c r="U25" s="1200">
        <f t="shared" ref="U25:U63" si="2">IF(V25=0,0,1)</f>
        <v>0</v>
      </c>
      <c r="V25" s="4796"/>
      <c r="W25" s="4753"/>
      <c r="X25" s="4753"/>
      <c r="Y25" s="4753"/>
      <c r="Z25" s="4753"/>
      <c r="AA25" s="4797"/>
      <c r="AB25" s="4798" t="str">
        <f>IF(V25="","",VLOOKUP(V25,TablasTec!$AD$5:$AI$188,3,FALSE))</f>
        <v/>
      </c>
      <c r="AD25" s="4796"/>
      <c r="AE25" s="4753"/>
      <c r="AF25" s="4753"/>
      <c r="AG25" s="4753"/>
      <c r="AH25" s="4753"/>
      <c r="AI25" s="4797"/>
      <c r="AJ25" s="4798" t="str">
        <f>IF(AD25="","",VLOOKUP(AD25,TablasTec!$AD$5:$AI$188,3,FALSE))</f>
        <v/>
      </c>
      <c r="AK25" s="1114"/>
      <c r="AL25" s="1108"/>
      <c r="AM25" s="1156"/>
      <c r="AN25" s="1156"/>
      <c r="AO25" s="1156"/>
      <c r="AP25" s="1156"/>
      <c r="AQ25" s="1156"/>
      <c r="AR25" s="1156"/>
      <c r="AS25" s="1156"/>
      <c r="AT25" s="1156"/>
      <c r="AU25" s="1156"/>
    </row>
    <row r="26" spans="1:47" ht="12" customHeight="1" thickBot="1">
      <c r="A26" s="1108"/>
      <c r="B26" s="2631"/>
      <c r="C26" s="646"/>
      <c r="D26" s="646"/>
      <c r="E26" s="646"/>
      <c r="F26" s="646"/>
      <c r="G26" s="646"/>
      <c r="H26" s="646"/>
      <c r="I26" s="646"/>
      <c r="J26" s="2623"/>
      <c r="K26" s="1193" t="s">
        <v>1926</v>
      </c>
      <c r="L26" s="4761" t="s">
        <v>1937</v>
      </c>
      <c r="M26" s="4761"/>
      <c r="N26" s="4761"/>
      <c r="O26" s="4761"/>
      <c r="P26" s="2466">
        <f>IF(Q26=0,20,"-")</f>
        <v>20</v>
      </c>
      <c r="Q26" s="2467"/>
      <c r="R26" s="2619" t="b">
        <f t="shared" si="1"/>
        <v>0</v>
      </c>
      <c r="S26" s="2290"/>
      <c r="T26" s="2290"/>
      <c r="U26" s="1200"/>
      <c r="V26" s="4801" t="str">
        <f>IF(V25="","",VLOOKUP(V25,TablasTec!$AD$5:$AI$188,4,FALSE))</f>
        <v/>
      </c>
      <c r="W26" s="4802"/>
      <c r="X26" s="4802"/>
      <c r="Y26" s="4802"/>
      <c r="Z26" s="1171" t="s">
        <v>1627</v>
      </c>
      <c r="AA26" s="1202" t="str">
        <f>IF(V25="","",VLOOKUP(V25,TablasTec!$AD$5:$AI$188,2,FALSE))</f>
        <v/>
      </c>
      <c r="AB26" s="4798"/>
      <c r="AD26" s="4801" t="str">
        <f>IF(AD25="","",VLOOKUP(AD25,TablasTec!$AD$5:$AI$188,4,FALSE))</f>
        <v/>
      </c>
      <c r="AE26" s="4802"/>
      <c r="AF26" s="4802"/>
      <c r="AG26" s="4802"/>
      <c r="AH26" s="1171" t="s">
        <v>1627</v>
      </c>
      <c r="AI26" s="1202" t="str">
        <f>IF(AD25="","",VLOOKUP(AD25,TablasTec!$AD$5:$AI$188,2,FALSE))</f>
        <v/>
      </c>
      <c r="AJ26" s="4798"/>
      <c r="AK26" s="1114"/>
      <c r="AL26" s="1108"/>
      <c r="AM26" s="1156"/>
      <c r="AN26" s="1156"/>
      <c r="AO26" s="1156"/>
      <c r="AP26" s="1156"/>
      <c r="AQ26" s="1156"/>
      <c r="AR26" s="1156"/>
      <c r="AS26" s="1156"/>
      <c r="AT26" s="1156"/>
      <c r="AU26" s="1156"/>
    </row>
    <row r="27" spans="1:47" ht="12" customHeight="1" thickBot="1">
      <c r="A27" s="1108"/>
      <c r="B27" s="2631"/>
      <c r="C27" s="4544" t="s">
        <v>1938</v>
      </c>
      <c r="D27" s="4545"/>
      <c r="E27" s="4545"/>
      <c r="F27" s="4546"/>
      <c r="G27" s="2198"/>
      <c r="H27" s="4720" t="s">
        <v>1939</v>
      </c>
      <c r="I27" s="4722"/>
      <c r="J27" s="2623"/>
      <c r="K27" s="4738" t="s">
        <v>1940</v>
      </c>
      <c r="L27" s="4808"/>
      <c r="M27" s="4808"/>
      <c r="N27" s="4808"/>
      <c r="O27" s="4808"/>
      <c r="P27" s="2466">
        <f>IF(Q27=0,10,"-")</f>
        <v>10</v>
      </c>
      <c r="Q27" s="2467"/>
      <c r="R27" s="2619" t="b">
        <f t="shared" si="1"/>
        <v>0</v>
      </c>
      <c r="S27" s="2290"/>
      <c r="T27" s="2290"/>
      <c r="U27" s="1200">
        <f t="shared" si="2"/>
        <v>0</v>
      </c>
      <c r="V27" s="4799"/>
      <c r="W27" s="4736"/>
      <c r="X27" s="4736"/>
      <c r="Y27" s="4736"/>
      <c r="Z27" s="4736"/>
      <c r="AA27" s="4800"/>
      <c r="AB27" s="4777" t="str">
        <f>IF(V27="","",VLOOKUP(V27,TablasTec!$AD$5:$AI$188,3,FALSE))</f>
        <v/>
      </c>
      <c r="AD27" s="4799"/>
      <c r="AE27" s="4736"/>
      <c r="AF27" s="4736"/>
      <c r="AG27" s="4736"/>
      <c r="AH27" s="4736"/>
      <c r="AI27" s="4800"/>
      <c r="AJ27" s="4777" t="str">
        <f>IF(AD27="","",VLOOKUP(AD27,TablasTec!$AD$5:$AI$188,3,FALSE))</f>
        <v/>
      </c>
      <c r="AK27" s="1114"/>
      <c r="AL27" s="1108"/>
      <c r="AM27" s="1156"/>
      <c r="AN27" s="1156"/>
      <c r="AO27" s="1156"/>
      <c r="AP27" s="1156"/>
      <c r="AQ27" s="1156"/>
      <c r="AR27" s="1156"/>
      <c r="AS27" s="1156"/>
      <c r="AT27" s="1156"/>
      <c r="AU27" s="1156"/>
    </row>
    <row r="28" spans="1:47" ht="12" customHeight="1">
      <c r="A28" s="1108"/>
      <c r="B28" s="2631"/>
      <c r="C28" s="4817" t="s">
        <v>1941</v>
      </c>
      <c r="D28" s="4818"/>
      <c r="E28" s="4819" t="s">
        <v>1942</v>
      </c>
      <c r="F28" s="4820"/>
      <c r="G28" s="2855">
        <f>Tablas!H967</f>
        <v>0</v>
      </c>
      <c r="H28" s="4821"/>
      <c r="I28" s="4822"/>
      <c r="J28" s="2623"/>
      <c r="K28" s="1193" t="s">
        <v>1926</v>
      </c>
      <c r="L28" s="4761" t="s">
        <v>1943</v>
      </c>
      <c r="M28" s="4761"/>
      <c r="N28" s="4761"/>
      <c r="O28" s="4761"/>
      <c r="P28" s="2466">
        <f>IF(Q28=0,20,"-")</f>
        <v>20</v>
      </c>
      <c r="Q28" s="2467"/>
      <c r="R28" s="2619" t="b">
        <f t="shared" si="1"/>
        <v>0</v>
      </c>
      <c r="S28" s="2290"/>
      <c r="T28" s="2290"/>
      <c r="U28" s="1200"/>
      <c r="V28" s="4599" t="str">
        <f>IF(V27="","",VLOOKUP(V27,TablasTec!$AD$5:$AI$188,4,FALSE))</f>
        <v/>
      </c>
      <c r="W28" s="4547"/>
      <c r="X28" s="4547"/>
      <c r="Y28" s="4547"/>
      <c r="Z28" s="1235" t="s">
        <v>1627</v>
      </c>
      <c r="AA28" s="1237" t="str">
        <f>IF(V27="","",VLOOKUP(V27,TablasTec!$AD$5:$AI$188,2,FALSE))</f>
        <v/>
      </c>
      <c r="AB28" s="4777"/>
      <c r="AD28" s="4599" t="str">
        <f>IF(AD27="","",VLOOKUP(AD27,TablasTec!$AD$5:$AI$188,4,FALSE))</f>
        <v/>
      </c>
      <c r="AE28" s="4547"/>
      <c r="AF28" s="4547"/>
      <c r="AG28" s="4547"/>
      <c r="AH28" s="1235" t="s">
        <v>1627</v>
      </c>
      <c r="AI28" s="1237" t="str">
        <f>IF(AD27="","",VLOOKUP(AD27,TablasTec!$AD$5:$AI$188,2,FALSE))</f>
        <v/>
      </c>
      <c r="AJ28" s="4777"/>
      <c r="AK28" s="1114"/>
      <c r="AL28" s="1108"/>
      <c r="AM28" s="1156"/>
      <c r="AN28" s="1156"/>
      <c r="AO28" s="1156"/>
      <c r="AP28" s="1156"/>
      <c r="AQ28" s="1156"/>
      <c r="AR28" s="1156"/>
      <c r="AS28" s="1156"/>
      <c r="AT28" s="1156"/>
      <c r="AU28" s="1156"/>
    </row>
    <row r="29" spans="1:47" ht="12" customHeight="1">
      <c r="A29" s="1108"/>
      <c r="B29" s="2631"/>
      <c r="C29" s="4809">
        <f>CM_final</f>
        <v>25</v>
      </c>
      <c r="D29" s="4810"/>
      <c r="E29" s="4810">
        <f>SUM(Q10:Q64)+SUM(I43:I64)+IF(I40="",0,I40)+IF(I41="",0,I41)+SUM(PDs!$AA$78:$AA$82)+IF(X11=0,0,30)+IF(X13=0,0,30)+IF(X15=0,0,30)+IF(X17=0,0,30)+IF(X19=0,0,30)+IF(Y11=0,0,60)+IF(Y13=0,0,60)+IF(Y15=0,0,60)+IF(Y17=0,0,60)+IF(Y19=0,0,60)+IF(H28=0,0,5)+IF(H29=0,0,5)+IF(H30=0,0,10)+IF(H31=0,0,10)+IF(H32=0,0,15)+IF(H33=0,0,15)+IF(H34=0,0,20)+IF(H35=0,0,20)+IF(H36=0,0,25)+IF(H37=0,0,25)+SUM(AB23:AB64)+SUM(AJ23:AJ64)</f>
        <v>0</v>
      </c>
      <c r="F29" s="4813"/>
      <c r="G29" s="2198"/>
      <c r="H29" s="4815"/>
      <c r="I29" s="4816"/>
      <c r="J29" s="2623"/>
      <c r="K29" s="1203"/>
      <c r="L29" s="1196" t="s">
        <v>1915</v>
      </c>
      <c r="M29" s="4761" t="s">
        <v>1944</v>
      </c>
      <c r="N29" s="4761"/>
      <c r="O29" s="4761"/>
      <c r="P29" s="2466">
        <f>IF(Q29=0,10,"-")</f>
        <v>10</v>
      </c>
      <c r="Q29" s="2467"/>
      <c r="R29" s="2619" t="b">
        <f t="shared" si="1"/>
        <v>0</v>
      </c>
      <c r="S29" s="2290"/>
      <c r="T29" s="2290"/>
      <c r="U29" s="1200">
        <f t="shared" si="2"/>
        <v>0</v>
      </c>
      <c r="V29" s="4796"/>
      <c r="W29" s="4753"/>
      <c r="X29" s="4753"/>
      <c r="Y29" s="4753"/>
      <c r="Z29" s="4753"/>
      <c r="AA29" s="4797"/>
      <c r="AB29" s="4798" t="str">
        <f>IF(V29="","",VLOOKUP(V29,TablasTec!$AD$5:$AI$188,3,FALSE))</f>
        <v/>
      </c>
      <c r="AD29" s="4796"/>
      <c r="AE29" s="4753"/>
      <c r="AF29" s="4753"/>
      <c r="AG29" s="4753"/>
      <c r="AH29" s="4753"/>
      <c r="AI29" s="4797"/>
      <c r="AJ29" s="4798" t="str">
        <f>IF(AD29="","",VLOOKUP(AD29,TablasTec!$AD$5:$AI$188,3,FALSE))</f>
        <v/>
      </c>
      <c r="AK29" s="1114"/>
      <c r="AL29" s="1108"/>
      <c r="AM29" s="1156"/>
      <c r="AN29" s="1156"/>
      <c r="AO29" s="1156"/>
      <c r="AP29" s="1156"/>
      <c r="AQ29" s="1156"/>
      <c r="AR29" s="1156"/>
      <c r="AS29" s="1156"/>
      <c r="AT29" s="1156"/>
      <c r="AU29" s="1156"/>
    </row>
    <row r="30" spans="1:47" ht="12" customHeight="1">
      <c r="A30" s="1108"/>
      <c r="B30" s="2631"/>
      <c r="C30" s="4811"/>
      <c r="D30" s="4812"/>
      <c r="E30" s="4812"/>
      <c r="F30" s="4814"/>
      <c r="G30" s="2198"/>
      <c r="H30" s="4803"/>
      <c r="I30" s="4804"/>
      <c r="J30" s="2623"/>
      <c r="K30" s="1203"/>
      <c r="L30" s="1196" t="s">
        <v>1918</v>
      </c>
      <c r="M30" s="1196" t="s">
        <v>1926</v>
      </c>
      <c r="N30" s="2673" t="s">
        <v>9970</v>
      </c>
      <c r="O30" s="2673"/>
      <c r="P30" s="2466">
        <f>IF(Q30=0,20,"-")</f>
        <v>20</v>
      </c>
      <c r="Q30" s="2467"/>
      <c r="R30" s="2619" t="b">
        <f t="shared" si="1"/>
        <v>0</v>
      </c>
      <c r="S30" s="2290"/>
      <c r="T30" s="2290"/>
      <c r="U30" s="1200"/>
      <c r="V30" s="4801" t="str">
        <f>IF(V29="","",VLOOKUP(V29,TablasTec!$AD$5:$AI$188,4,FALSE))</f>
        <v/>
      </c>
      <c r="W30" s="4802"/>
      <c r="X30" s="4802"/>
      <c r="Y30" s="4802"/>
      <c r="Z30" s="1171" t="s">
        <v>1627</v>
      </c>
      <c r="AA30" s="1202" t="str">
        <f>IF(V29="","",VLOOKUP(V29,TablasTec!$AD$5:$AI$188,2,FALSE))</f>
        <v/>
      </c>
      <c r="AB30" s="4798"/>
      <c r="AD30" s="4801" t="str">
        <f>IF(AD29="","",VLOOKUP(AD29,TablasTec!$AD$5:$AI$188,4,FALSE))</f>
        <v/>
      </c>
      <c r="AE30" s="4802"/>
      <c r="AF30" s="4802"/>
      <c r="AG30" s="4802"/>
      <c r="AH30" s="1171" t="s">
        <v>1627</v>
      </c>
      <c r="AI30" s="1202" t="str">
        <f>IF(AD29="","",VLOOKUP(AD29,TablasTec!$AD$5:$AI$188,2,FALSE))</f>
        <v/>
      </c>
      <c r="AJ30" s="4798"/>
      <c r="AK30" s="1114"/>
      <c r="AL30" s="1108"/>
      <c r="AM30" s="1156"/>
      <c r="AN30" s="1156"/>
      <c r="AO30" s="1156"/>
      <c r="AP30" s="1156"/>
      <c r="AQ30" s="1156"/>
      <c r="AR30" s="1156"/>
      <c r="AS30" s="1156"/>
      <c r="AT30" s="1156"/>
      <c r="AU30" s="1156"/>
    </row>
    <row r="31" spans="1:47" ht="12" customHeight="1" thickBot="1">
      <c r="A31" s="1108"/>
      <c r="B31" s="2631"/>
      <c r="C31" s="4805" t="str">
        <f>IF(E29&gt;C29,"Exceso de CM",IF(Tablas!$X$21,IF(E29&gt;C29*VLOOKUP(Nivel_Sobrenatural,Tablas!$S$9:$X$12,4,FALSE),"Exceso de CM inicial",""),""))</f>
        <v/>
      </c>
      <c r="D31" s="4806"/>
      <c r="E31" s="4806"/>
      <c r="F31" s="4807"/>
      <c r="G31" s="2198"/>
      <c r="H31" s="4803"/>
      <c r="I31" s="4804"/>
      <c r="J31" s="2623"/>
      <c r="K31" s="1203"/>
      <c r="L31" s="1196" t="s">
        <v>1926</v>
      </c>
      <c r="M31" s="4761" t="s">
        <v>1945</v>
      </c>
      <c r="N31" s="4761"/>
      <c r="O31" s="4761"/>
      <c r="P31" s="2466">
        <f>IF(Q31=0,20,"-")</f>
        <v>20</v>
      </c>
      <c r="Q31" s="2467"/>
      <c r="R31" s="2619" t="b">
        <f t="shared" si="1"/>
        <v>0</v>
      </c>
      <c r="S31" s="2290"/>
      <c r="T31" s="2290"/>
      <c r="U31" s="1200">
        <f t="shared" si="2"/>
        <v>0</v>
      </c>
      <c r="V31" s="4799"/>
      <c r="W31" s="4736"/>
      <c r="X31" s="4736"/>
      <c r="Y31" s="4736"/>
      <c r="Z31" s="4736"/>
      <c r="AA31" s="4800"/>
      <c r="AB31" s="4777" t="str">
        <f>IF(V31="","",VLOOKUP(V31,TablasTec!$AD$5:$AI$188,3,FALSE))</f>
        <v/>
      </c>
      <c r="AD31" s="4799"/>
      <c r="AE31" s="4736"/>
      <c r="AF31" s="4736"/>
      <c r="AG31" s="4736"/>
      <c r="AH31" s="4736"/>
      <c r="AI31" s="4800"/>
      <c r="AJ31" s="4777" t="str">
        <f>IF(AD31="","",VLOOKUP(AD31,TablasTec!$AD$5:$AI$188,3,FALSE))</f>
        <v/>
      </c>
      <c r="AK31" s="1114"/>
      <c r="AL31" s="1108"/>
      <c r="AM31" s="1167"/>
      <c r="AN31" s="1156"/>
      <c r="AO31" s="1156"/>
      <c r="AP31" s="1156"/>
      <c r="AQ31" s="1156"/>
      <c r="AR31" s="1156"/>
      <c r="AS31" s="1156"/>
      <c r="AT31" s="1156"/>
      <c r="AU31" s="1156"/>
    </row>
    <row r="32" spans="1:47" ht="12" customHeight="1" thickBot="1">
      <c r="A32" s="1108"/>
      <c r="B32" s="2631"/>
      <c r="C32" s="646"/>
      <c r="D32" s="646"/>
      <c r="E32" s="646"/>
      <c r="F32" s="646"/>
      <c r="G32" s="2198"/>
      <c r="H32" s="4815"/>
      <c r="I32" s="4816"/>
      <c r="J32" s="2623"/>
      <c r="K32" s="4738" t="s">
        <v>1946</v>
      </c>
      <c r="L32" s="4739"/>
      <c r="M32" s="4739"/>
      <c r="N32" s="4739"/>
      <c r="O32" s="4739"/>
      <c r="P32" s="2466">
        <f>IF(Q32=0,10,"-")</f>
        <v>10</v>
      </c>
      <c r="Q32" s="2467"/>
      <c r="R32" s="2619" t="b">
        <f t="shared" si="1"/>
        <v>0</v>
      </c>
      <c r="S32" s="2290"/>
      <c r="T32" s="2290"/>
      <c r="U32" s="1200"/>
      <c r="V32" s="4599" t="str">
        <f>IF(V31="","",VLOOKUP(V31,TablasTec!$AD$5:$AI$188,4,FALSE))</f>
        <v/>
      </c>
      <c r="W32" s="4547"/>
      <c r="X32" s="4547"/>
      <c r="Y32" s="4547"/>
      <c r="Z32" s="1235" t="s">
        <v>1627</v>
      </c>
      <c r="AA32" s="1237" t="str">
        <f>IF(V31="","",VLOOKUP(V31,TablasTec!$AD$5:$AI$188,2,FALSE))</f>
        <v/>
      </c>
      <c r="AB32" s="4777"/>
      <c r="AD32" s="4599" t="str">
        <f>IF(AD31="","",VLOOKUP(AD31,TablasTec!$AD$5:$AI$188,4,FALSE))</f>
        <v/>
      </c>
      <c r="AE32" s="4547"/>
      <c r="AF32" s="4547"/>
      <c r="AG32" s="4547"/>
      <c r="AH32" s="1235" t="s">
        <v>1627</v>
      </c>
      <c r="AI32" s="1237" t="str">
        <f>IF(AD31="","",VLOOKUP(AD31,TablasTec!$AD$5:$AI$188,2,FALSE))</f>
        <v/>
      </c>
      <c r="AJ32" s="4777"/>
      <c r="AK32" s="1114"/>
      <c r="AL32" s="1108"/>
      <c r="AM32" s="1156"/>
      <c r="AN32" s="1156"/>
      <c r="AO32" s="1156"/>
      <c r="AP32" s="1156"/>
      <c r="AQ32" s="1156"/>
      <c r="AR32" s="1156"/>
      <c r="AS32" s="1156"/>
      <c r="AT32" s="1156"/>
      <c r="AU32" s="1156"/>
    </row>
    <row r="33" spans="1:50" ht="12" customHeight="1" thickBot="1">
      <c r="A33" s="1108"/>
      <c r="B33" s="2631"/>
      <c r="C33" s="4544" t="s">
        <v>1947</v>
      </c>
      <c r="D33" s="4545"/>
      <c r="E33" s="4545"/>
      <c r="F33" s="4546"/>
      <c r="G33" s="2198"/>
      <c r="H33" s="4815"/>
      <c r="I33" s="4816"/>
      <c r="J33" s="2623"/>
      <c r="K33" s="1193" t="s">
        <v>1915</v>
      </c>
      <c r="L33" s="4808" t="s">
        <v>1948</v>
      </c>
      <c r="M33" s="4739"/>
      <c r="N33" s="4739"/>
      <c r="O33" s="4739"/>
      <c r="P33" s="2466">
        <f t="shared" ref="P33:P40" si="3">IF(Q33=0,10,"-")</f>
        <v>10</v>
      </c>
      <c r="Q33" s="2467"/>
      <c r="R33" s="2619" t="b">
        <f t="shared" si="1"/>
        <v>0</v>
      </c>
      <c r="S33" s="2290"/>
      <c r="T33" s="2290"/>
      <c r="U33" s="1200">
        <f t="shared" si="2"/>
        <v>0</v>
      </c>
      <c r="V33" s="4796"/>
      <c r="W33" s="4753"/>
      <c r="X33" s="4753"/>
      <c r="Y33" s="4753"/>
      <c r="Z33" s="4753"/>
      <c r="AA33" s="4797"/>
      <c r="AB33" s="4798" t="str">
        <f>IF(V33="","",VLOOKUP(V33,TablasTec!$AD$5:$AI$188,3,FALSE))</f>
        <v/>
      </c>
      <c r="AD33" s="4796"/>
      <c r="AE33" s="4753"/>
      <c r="AF33" s="4753"/>
      <c r="AG33" s="4753"/>
      <c r="AH33" s="4753"/>
      <c r="AI33" s="4797"/>
      <c r="AJ33" s="4798" t="str">
        <f>IF(AD33="","",VLOOKUP(AD33,TablasTec!$AD$5:$AI$188,3,FALSE))</f>
        <v/>
      </c>
      <c r="AK33" s="1114"/>
      <c r="AL33" s="1108"/>
      <c r="AM33" s="1156"/>
      <c r="AN33" s="1156"/>
      <c r="AO33" s="1156"/>
      <c r="AP33" s="1156"/>
      <c r="AQ33" s="1156"/>
      <c r="AR33" s="1156"/>
      <c r="AS33" s="1156"/>
      <c r="AT33" s="1156"/>
      <c r="AU33" s="1156"/>
    </row>
    <row r="34" spans="1:50" ht="12" customHeight="1">
      <c r="A34" s="1108"/>
      <c r="B34" s="2631"/>
      <c r="C34" s="4826" t="s">
        <v>1684</v>
      </c>
      <c r="D34" s="4827"/>
      <c r="E34" s="2468" t="s">
        <v>1728</v>
      </c>
      <c r="F34" s="1204" t="s">
        <v>1658</v>
      </c>
      <c r="G34" s="2198"/>
      <c r="H34" s="4803"/>
      <c r="I34" s="4804"/>
      <c r="J34" s="2623"/>
      <c r="K34" s="1193" t="s">
        <v>1949</v>
      </c>
      <c r="L34" s="1196" t="s">
        <v>1926</v>
      </c>
      <c r="M34" s="4808" t="s">
        <v>1950</v>
      </c>
      <c r="N34" s="4808"/>
      <c r="O34" s="4808"/>
      <c r="P34" s="2466">
        <f t="shared" si="3"/>
        <v>10</v>
      </c>
      <c r="Q34" s="2467"/>
      <c r="R34" s="2619" t="b">
        <f t="shared" si="1"/>
        <v>0</v>
      </c>
      <c r="S34" s="2290"/>
      <c r="T34" s="2290"/>
      <c r="U34" s="1200"/>
      <c r="V34" s="4801" t="str">
        <f>IF(V33="","",VLOOKUP(V33,TablasTec!$AD$5:$AI$188,4,FALSE))</f>
        <v/>
      </c>
      <c r="W34" s="4802"/>
      <c r="X34" s="4802"/>
      <c r="Y34" s="4802"/>
      <c r="Z34" s="1171" t="s">
        <v>1627</v>
      </c>
      <c r="AA34" s="1202" t="str">
        <f>IF(V33="","",VLOOKUP(V33,TablasTec!$AD$5:$AI$188,2,FALSE))</f>
        <v/>
      </c>
      <c r="AB34" s="4798"/>
      <c r="AD34" s="4801" t="str">
        <f>IF(AD33="","",VLOOKUP(AD33,TablasTec!$AD$5:$AI$188,4,FALSE))</f>
        <v/>
      </c>
      <c r="AE34" s="4802"/>
      <c r="AF34" s="4802"/>
      <c r="AG34" s="4802"/>
      <c r="AH34" s="1171" t="s">
        <v>1627</v>
      </c>
      <c r="AI34" s="1202" t="str">
        <f>IF(AD33="","",VLOOKUP(AD33,TablasTec!$AD$5:$AI$188,2,FALSE))</f>
        <v/>
      </c>
      <c r="AJ34" s="4798"/>
      <c r="AK34" s="1114"/>
      <c r="AL34" s="1108"/>
      <c r="AM34" s="1156"/>
      <c r="AN34" s="1156"/>
      <c r="AO34" s="1156"/>
      <c r="AP34" s="1156"/>
      <c r="AQ34" s="1156"/>
      <c r="AR34" s="1156"/>
      <c r="AS34" s="1156"/>
      <c r="AT34" s="1156"/>
      <c r="AU34" s="1156"/>
    </row>
    <row r="35" spans="1:50" ht="12" customHeight="1">
      <c r="A35" s="1108"/>
      <c r="B35" s="2631"/>
      <c r="C35" s="4823" t="s">
        <v>1951</v>
      </c>
      <c r="D35" s="4824"/>
      <c r="E35" s="2625"/>
      <c r="F35" s="1205" t="str">
        <f>IF(Ki!P13="-",TRUNC((Ki!C29+Advertir_final)/2+E35+Tablas!$CD$225+IF(Tablas!$G$379&gt;0,10*PDs!$R$15,0),0),"-")</f>
        <v>-</v>
      </c>
      <c r="G35" s="2198"/>
      <c r="H35" s="4803"/>
      <c r="I35" s="4804"/>
      <c r="J35" s="2626"/>
      <c r="K35" s="1193" t="s">
        <v>1949</v>
      </c>
      <c r="L35" s="1206"/>
      <c r="M35" s="1196" t="s">
        <v>1926</v>
      </c>
      <c r="N35" s="4825" t="s">
        <v>1952</v>
      </c>
      <c r="O35" s="4825"/>
      <c r="P35" s="2466">
        <f t="shared" si="3"/>
        <v>10</v>
      </c>
      <c r="Q35" s="2467"/>
      <c r="R35" s="2619" t="b">
        <f t="shared" si="1"/>
        <v>0</v>
      </c>
      <c r="S35" s="2290"/>
      <c r="T35" s="2290"/>
      <c r="U35" s="1200">
        <f t="shared" si="2"/>
        <v>0</v>
      </c>
      <c r="V35" s="4799"/>
      <c r="W35" s="4736"/>
      <c r="X35" s="4736"/>
      <c r="Y35" s="4736"/>
      <c r="Z35" s="4736"/>
      <c r="AA35" s="4800"/>
      <c r="AB35" s="4777" t="str">
        <f>IF(V35="","",VLOOKUP(V35,TablasTec!$AD$5:$AI$188,3,FALSE))</f>
        <v/>
      </c>
      <c r="AD35" s="4799"/>
      <c r="AE35" s="4736"/>
      <c r="AF35" s="4736"/>
      <c r="AG35" s="4736"/>
      <c r="AH35" s="4736"/>
      <c r="AI35" s="4800"/>
      <c r="AJ35" s="4777" t="str">
        <f>IF(AD35="","",VLOOKUP(AD35,TablasTec!$AD$5:$AI$188,3,FALSE))</f>
        <v/>
      </c>
      <c r="AK35" s="1114"/>
      <c r="AL35" s="1108"/>
      <c r="AM35" s="1156"/>
      <c r="AN35" s="1156"/>
      <c r="AO35" s="1156"/>
      <c r="AP35" s="1156"/>
      <c r="AQ35" s="1156"/>
      <c r="AR35" s="1156"/>
      <c r="AS35" s="1156"/>
      <c r="AT35" s="1156"/>
      <c r="AU35" s="1156"/>
    </row>
    <row r="36" spans="1:50" ht="12" customHeight="1">
      <c r="A36" s="1108"/>
      <c r="B36" s="2631"/>
      <c r="C36" s="4828" t="s">
        <v>1953</v>
      </c>
      <c r="D36" s="4829"/>
      <c r="E36" s="2627"/>
      <c r="F36" s="635" t="str">
        <f>IF(OcultacióndelKi,TRUNC((Ocultarse_final+Ki!$C$29)/2+E36+IF(Raza="D'Anjayni",50,0)+IF(Raza="Nephilim D'Anjayni",30,0)+Tablas!$CE$225+IF(Tablas!$G$374&gt;0,10*PDs!$R$15,0),0),"-")</f>
        <v>-</v>
      </c>
      <c r="G36" s="2198"/>
      <c r="H36" s="4815"/>
      <c r="I36" s="4816"/>
      <c r="J36" s="2626"/>
      <c r="K36" s="1193" t="s">
        <v>1915</v>
      </c>
      <c r="L36" s="4808" t="s">
        <v>1954</v>
      </c>
      <c r="M36" s="4739"/>
      <c r="N36" s="4739"/>
      <c r="O36" s="4739"/>
      <c r="P36" s="2466">
        <f t="shared" si="3"/>
        <v>10</v>
      </c>
      <c r="Q36" s="2467"/>
      <c r="R36" s="2619" t="b">
        <f t="shared" si="1"/>
        <v>0</v>
      </c>
      <c r="S36" s="2290"/>
      <c r="T36" s="2290"/>
      <c r="U36" s="1200"/>
      <c r="V36" s="4599" t="str">
        <f>IF(V35="","",VLOOKUP(V35,TablasTec!$AD$5:$AI$188,4,FALSE))</f>
        <v/>
      </c>
      <c r="W36" s="4547"/>
      <c r="X36" s="4547"/>
      <c r="Y36" s="4547"/>
      <c r="Z36" s="1235" t="s">
        <v>1627</v>
      </c>
      <c r="AA36" s="1237" t="str">
        <f>IF(V35="","",VLOOKUP(V35,TablasTec!$AD$5:$AI$188,2,FALSE))</f>
        <v/>
      </c>
      <c r="AB36" s="4777"/>
      <c r="AD36" s="4599" t="str">
        <f>IF(AD35="","",VLOOKUP(AD35,TablasTec!$AD$5:$AI$188,4,FALSE))</f>
        <v/>
      </c>
      <c r="AE36" s="4547"/>
      <c r="AF36" s="4547"/>
      <c r="AG36" s="4547"/>
      <c r="AH36" s="1235" t="s">
        <v>1627</v>
      </c>
      <c r="AI36" s="1237" t="str">
        <f>IF(AD35="","",VLOOKUP(AD35,TablasTec!$AD$5:$AI$188,2,FALSE))</f>
        <v/>
      </c>
      <c r="AJ36" s="4777"/>
      <c r="AK36" s="1114"/>
      <c r="AL36" s="1108"/>
      <c r="AM36" s="1156"/>
      <c r="AN36" s="1156"/>
      <c r="AO36" s="1156"/>
      <c r="AP36" s="1156"/>
      <c r="AQ36" s="1156"/>
      <c r="AR36" s="1156"/>
      <c r="AS36" s="1156"/>
      <c r="AT36" s="1156"/>
      <c r="AU36" s="1156"/>
    </row>
    <row r="37" spans="1:50" ht="12" customHeight="1" thickBot="1">
      <c r="A37" s="1108"/>
      <c r="B37" s="2631"/>
      <c r="C37" s="4830"/>
      <c r="D37" s="4831"/>
      <c r="E37" s="4831"/>
      <c r="F37" s="4832"/>
      <c r="G37" s="2198"/>
      <c r="H37" s="4833"/>
      <c r="I37" s="4834"/>
      <c r="J37" s="2626"/>
      <c r="K37" s="1193" t="s">
        <v>1949</v>
      </c>
      <c r="L37" s="1196" t="s">
        <v>1915</v>
      </c>
      <c r="M37" s="4808" t="s">
        <v>1955</v>
      </c>
      <c r="N37" s="4808"/>
      <c r="O37" s="4808"/>
      <c r="P37" s="2466">
        <f t="shared" si="3"/>
        <v>10</v>
      </c>
      <c r="Q37" s="2467"/>
      <c r="R37" s="2619" t="b">
        <f t="shared" si="1"/>
        <v>0</v>
      </c>
      <c r="S37" s="2290"/>
      <c r="T37" s="2290"/>
      <c r="U37" s="1200">
        <f t="shared" si="2"/>
        <v>0</v>
      </c>
      <c r="V37" s="4796"/>
      <c r="W37" s="4753"/>
      <c r="X37" s="4753"/>
      <c r="Y37" s="4753"/>
      <c r="Z37" s="4753"/>
      <c r="AA37" s="4797"/>
      <c r="AB37" s="4798" t="str">
        <f>IF(V37="","",VLOOKUP(V37,TablasTec!$AD$5:$AI$188,3,FALSE))</f>
        <v/>
      </c>
      <c r="AD37" s="4796"/>
      <c r="AE37" s="4753"/>
      <c r="AF37" s="4753"/>
      <c r="AG37" s="4753"/>
      <c r="AH37" s="4753"/>
      <c r="AI37" s="4797"/>
      <c r="AJ37" s="4798" t="str">
        <f>IF(AD37="","",VLOOKUP(AD37,TablasTec!$AD$5:$AI$188,3,FALSE))</f>
        <v/>
      </c>
      <c r="AK37" s="1114"/>
      <c r="AL37" s="1108"/>
      <c r="AM37" s="1156"/>
      <c r="AN37" s="1156"/>
      <c r="AO37" s="1156"/>
      <c r="AP37" s="1156"/>
      <c r="AQ37" s="1156"/>
      <c r="AR37" s="1156"/>
      <c r="AS37" s="1156"/>
      <c r="AT37" s="1156"/>
      <c r="AU37" s="1156"/>
      <c r="AW37" s="1207"/>
    </row>
    <row r="38" spans="1:50" ht="12" customHeight="1" thickBot="1">
      <c r="A38" s="1108"/>
      <c r="B38" s="2631"/>
      <c r="C38" s="646"/>
      <c r="D38" s="646"/>
      <c r="E38" s="646"/>
      <c r="F38" s="646"/>
      <c r="G38" s="2198"/>
      <c r="H38" s="646"/>
      <c r="I38" s="646"/>
      <c r="J38" s="2626"/>
      <c r="K38" s="1193" t="s">
        <v>1949</v>
      </c>
      <c r="L38" s="1196" t="s">
        <v>1915</v>
      </c>
      <c r="M38" s="4808" t="s">
        <v>1956</v>
      </c>
      <c r="N38" s="4808"/>
      <c r="O38" s="4808"/>
      <c r="P38" s="2466">
        <f t="shared" si="3"/>
        <v>10</v>
      </c>
      <c r="Q38" s="2467"/>
      <c r="R38" s="2619" t="b">
        <f t="shared" si="1"/>
        <v>0</v>
      </c>
      <c r="S38" s="2290"/>
      <c r="T38" s="2290"/>
      <c r="U38" s="1200"/>
      <c r="V38" s="4801" t="str">
        <f>IF(V37="","",VLOOKUP(V37,TablasTec!$AD$5:$AI$188,4,FALSE))</f>
        <v/>
      </c>
      <c r="W38" s="4802"/>
      <c r="X38" s="4802"/>
      <c r="Y38" s="4802"/>
      <c r="Z38" s="1171" t="s">
        <v>1627</v>
      </c>
      <c r="AA38" s="1202" t="str">
        <f>IF(V37="","",VLOOKUP(V37,TablasTec!$AD$5:$AI$188,2,FALSE))</f>
        <v/>
      </c>
      <c r="AB38" s="4798"/>
      <c r="AD38" s="4801" t="str">
        <f>IF(AD37="","",VLOOKUP(AD37,TablasTec!$AD$5:$AI$188,4,FALSE))</f>
        <v/>
      </c>
      <c r="AE38" s="4802"/>
      <c r="AF38" s="4802"/>
      <c r="AG38" s="4802"/>
      <c r="AH38" s="1171" t="s">
        <v>1627</v>
      </c>
      <c r="AI38" s="1202" t="str">
        <f>IF(AD37="","",VLOOKUP(AD37,TablasTec!$AD$5:$AI$188,2,FALSE))</f>
        <v/>
      </c>
      <c r="AJ38" s="4798"/>
      <c r="AK38" s="1114"/>
      <c r="AL38" s="1108"/>
      <c r="AM38" s="1156"/>
      <c r="AN38" s="1156"/>
      <c r="AO38" s="1156"/>
      <c r="AP38" s="1156"/>
      <c r="AQ38" s="1156"/>
      <c r="AR38" s="1156"/>
      <c r="AS38" s="1156"/>
      <c r="AT38" s="1156"/>
      <c r="AU38" s="1156"/>
      <c r="AW38" s="1174"/>
    </row>
    <row r="39" spans="1:50" ht="12" customHeight="1" thickBot="1">
      <c r="A39" s="1108"/>
      <c r="B39" s="2631"/>
      <c r="C39" s="4838" t="s">
        <v>1957</v>
      </c>
      <c r="D39" s="4839"/>
      <c r="E39" s="4839"/>
      <c r="F39" s="4840"/>
      <c r="G39" s="4841" t="s">
        <v>1958</v>
      </c>
      <c r="H39" s="4841"/>
      <c r="I39" s="1208">
        <f>IF(Tablas!$G$535&gt;0,2,1)-IF(Ki!C40="",0,1)-IF(Ki!C41="",0,1)</f>
        <v>1</v>
      </c>
      <c r="J39" s="2626"/>
      <c r="K39" s="1193" t="s">
        <v>1949</v>
      </c>
      <c r="L39" s="1196" t="s">
        <v>1915</v>
      </c>
      <c r="M39" s="4808" t="str">
        <f>"Alcance incrementado"</f>
        <v>Alcance incrementado</v>
      </c>
      <c r="N39" s="4808"/>
      <c r="O39" s="4808"/>
      <c r="P39" s="2466">
        <f t="shared" si="3"/>
        <v>10</v>
      </c>
      <c r="Q39" s="2467"/>
      <c r="R39" s="2619" t="b">
        <f t="shared" si="1"/>
        <v>0</v>
      </c>
      <c r="S39" s="2290"/>
      <c r="T39" s="2290"/>
      <c r="U39" s="1200">
        <f t="shared" si="2"/>
        <v>0</v>
      </c>
      <c r="V39" s="4799"/>
      <c r="W39" s="4736"/>
      <c r="X39" s="4736"/>
      <c r="Y39" s="4736"/>
      <c r="Z39" s="4736"/>
      <c r="AA39" s="4800"/>
      <c r="AB39" s="4777" t="str">
        <f>IF(V39="","",VLOOKUP(V39,TablasTec!$AD$5:$AI$188,3,FALSE))</f>
        <v/>
      </c>
      <c r="AD39" s="4799"/>
      <c r="AE39" s="4736"/>
      <c r="AF39" s="4736"/>
      <c r="AG39" s="4736"/>
      <c r="AH39" s="4736"/>
      <c r="AI39" s="4800"/>
      <c r="AJ39" s="4777" t="str">
        <f>IF(AD39="","",VLOOKUP(AD39,TablasTec!$AD$5:$AI$188,3,FALSE))</f>
        <v/>
      </c>
      <c r="AK39" s="1114"/>
      <c r="AL39" s="1108"/>
      <c r="AM39" s="1156"/>
      <c r="AN39" s="1156"/>
      <c r="AO39" s="1156"/>
      <c r="AP39" s="1156"/>
      <c r="AQ39" s="1156"/>
      <c r="AR39" s="1156"/>
      <c r="AS39" s="1156"/>
      <c r="AT39" s="1156"/>
      <c r="AU39" s="1156"/>
    </row>
    <row r="40" spans="1:50" ht="12" customHeight="1">
      <c r="A40" s="1108"/>
      <c r="B40" s="2631"/>
      <c r="C40" s="4835"/>
      <c r="D40" s="4836"/>
      <c r="E40" s="4836"/>
      <c r="F40" s="4836"/>
      <c r="G40" s="4836"/>
      <c r="H40" s="4837"/>
      <c r="I40" s="1209" t="str">
        <f>IF(C40=0,"",VLOOKUP(C40,Tablas!$D$1013:$M$1019,2))</f>
        <v/>
      </c>
      <c r="J40" s="2626"/>
      <c r="K40" s="1193" t="s">
        <v>1949</v>
      </c>
      <c r="L40" s="1196" t="s">
        <v>1926</v>
      </c>
      <c r="M40" s="4808" t="s">
        <v>1959</v>
      </c>
      <c r="N40" s="4808"/>
      <c r="O40" s="4808"/>
      <c r="P40" s="2466">
        <f t="shared" si="3"/>
        <v>10</v>
      </c>
      <c r="Q40" s="2467"/>
      <c r="R40" s="2619" t="b">
        <f t="shared" si="1"/>
        <v>0</v>
      </c>
      <c r="S40" s="2290"/>
      <c r="T40" s="2290"/>
      <c r="U40" s="1200"/>
      <c r="V40" s="4599" t="str">
        <f>IF(V39="","",VLOOKUP(V39,TablasTec!$AD$5:$AI$188,4,FALSE))</f>
        <v/>
      </c>
      <c r="W40" s="4547"/>
      <c r="X40" s="4547"/>
      <c r="Y40" s="4547"/>
      <c r="Z40" s="1235" t="s">
        <v>1627</v>
      </c>
      <c r="AA40" s="1237" t="str">
        <f>IF(V39="","",VLOOKUP(V39,TablasTec!$AD$5:$AI$188,2,FALSE))</f>
        <v/>
      </c>
      <c r="AB40" s="4777"/>
      <c r="AD40" s="4599" t="str">
        <f>IF(AD39="","",VLOOKUP(AD39,TablasTec!$AD$5:$AI$188,4,FALSE))</f>
        <v/>
      </c>
      <c r="AE40" s="4547"/>
      <c r="AF40" s="4547"/>
      <c r="AG40" s="4547"/>
      <c r="AH40" s="1235" t="s">
        <v>1627</v>
      </c>
      <c r="AI40" s="1237" t="str">
        <f>IF(AD39="","",VLOOKUP(AD39,TablasTec!$AD$5:$AI$188,2,FALSE))</f>
        <v/>
      </c>
      <c r="AJ40" s="4777"/>
      <c r="AK40" s="1114"/>
      <c r="AL40" s="1108"/>
      <c r="AM40" s="1156"/>
      <c r="AN40" s="1156"/>
      <c r="AO40" s="1156"/>
      <c r="AP40" s="1156"/>
      <c r="AQ40" s="1156"/>
      <c r="AR40" s="1156"/>
      <c r="AS40" s="1156"/>
      <c r="AT40" s="1156"/>
      <c r="AU40" s="1156"/>
      <c r="AW40" s="1175"/>
      <c r="AX40" s="1175"/>
    </row>
    <row r="41" spans="1:50" ht="12" customHeight="1" thickBot="1">
      <c r="A41" s="1108"/>
      <c r="B41" s="2631"/>
      <c r="C41" s="4842"/>
      <c r="D41" s="4843"/>
      <c r="E41" s="4843"/>
      <c r="F41" s="4843"/>
      <c r="G41" s="4843"/>
      <c r="H41" s="4843"/>
      <c r="I41" s="1210" t="str">
        <f>IF(C41=0,"",VLOOKUP(C41,Tablas!$D$1013:$M$1019,2))</f>
        <v/>
      </c>
      <c r="J41" s="2626"/>
      <c r="K41" s="1193" t="s">
        <v>1915</v>
      </c>
      <c r="L41" s="4808" t="s">
        <v>1960</v>
      </c>
      <c r="M41" s="4739"/>
      <c r="N41" s="4739"/>
      <c r="O41" s="4739"/>
      <c r="P41" s="2466">
        <f>IF(Q41=0,20,"-")</f>
        <v>20</v>
      </c>
      <c r="Q41" s="2467"/>
      <c r="R41" s="2619" t="b">
        <f t="shared" si="1"/>
        <v>0</v>
      </c>
      <c r="S41" s="2290"/>
      <c r="T41" s="2290"/>
      <c r="U41" s="1200">
        <f t="shared" si="2"/>
        <v>0</v>
      </c>
      <c r="V41" s="4796"/>
      <c r="W41" s="4753"/>
      <c r="X41" s="4753"/>
      <c r="Y41" s="4753"/>
      <c r="Z41" s="4753"/>
      <c r="AA41" s="4797"/>
      <c r="AB41" s="4798" t="str">
        <f>IF(V41="","",VLOOKUP(V41,TablasTec!$AD$5:$AI$188,3,FALSE))</f>
        <v/>
      </c>
      <c r="AD41" s="4796"/>
      <c r="AE41" s="4753"/>
      <c r="AF41" s="4753"/>
      <c r="AG41" s="4753"/>
      <c r="AH41" s="4753"/>
      <c r="AI41" s="4797"/>
      <c r="AJ41" s="4798" t="str">
        <f>IF(AD41="","",VLOOKUP(AD41,TablasTec!$AD$5:$AI$188,3,FALSE))</f>
        <v/>
      </c>
      <c r="AK41" s="1114"/>
      <c r="AL41" s="1108"/>
      <c r="AM41" s="1156"/>
      <c r="AN41" s="1156"/>
      <c r="AO41" s="1156"/>
      <c r="AP41" s="1156"/>
      <c r="AQ41" s="1156"/>
      <c r="AR41" s="1156"/>
      <c r="AS41" s="1156"/>
      <c r="AT41" s="1156"/>
      <c r="AU41" s="1156"/>
      <c r="AW41" s="1188"/>
      <c r="AX41" s="1188"/>
    </row>
    <row r="42" spans="1:50" ht="12" customHeight="1" thickBot="1">
      <c r="A42" s="1108"/>
      <c r="B42" s="2631"/>
      <c r="C42" s="646"/>
      <c r="D42" s="646"/>
      <c r="E42" s="646"/>
      <c r="F42" s="646"/>
      <c r="G42" s="646"/>
      <c r="H42" s="646"/>
      <c r="I42" s="646"/>
      <c r="J42" s="2628"/>
      <c r="K42" s="1193" t="s">
        <v>1915</v>
      </c>
      <c r="L42" s="4808" t="s">
        <v>1961</v>
      </c>
      <c r="M42" s="4739"/>
      <c r="N42" s="4739"/>
      <c r="O42" s="4739"/>
      <c r="P42" s="2466">
        <f>IF(Q42=0,30,"-")</f>
        <v>30</v>
      </c>
      <c r="Q42" s="2467"/>
      <c r="R42" s="2619" t="b">
        <f t="shared" si="1"/>
        <v>0</v>
      </c>
      <c r="S42" s="2290"/>
      <c r="T42" s="2290"/>
      <c r="U42" s="1200"/>
      <c r="V42" s="4801" t="str">
        <f>IF(V41="","",VLOOKUP(V41,TablasTec!$AD$5:$AI$188,4,FALSE))</f>
        <v/>
      </c>
      <c r="W42" s="4802"/>
      <c r="X42" s="4802"/>
      <c r="Y42" s="4802"/>
      <c r="Z42" s="1171" t="s">
        <v>1627</v>
      </c>
      <c r="AA42" s="1202" t="str">
        <f>IF(V41="","",VLOOKUP(V41,TablasTec!$AD$5:$AI$188,2,FALSE))</f>
        <v/>
      </c>
      <c r="AB42" s="4798"/>
      <c r="AD42" s="4801" t="str">
        <f>IF(AD41="","",VLOOKUP(AD41,TablasTec!$AD$5:$AI$188,4,FALSE))</f>
        <v/>
      </c>
      <c r="AE42" s="4802"/>
      <c r="AF42" s="4802"/>
      <c r="AG42" s="4802"/>
      <c r="AH42" s="1171" t="s">
        <v>1627</v>
      </c>
      <c r="AI42" s="1202" t="str">
        <f>IF(AD41="","",VLOOKUP(AD41,TablasTec!$AD$5:$AI$188,2,FALSE))</f>
        <v/>
      </c>
      <c r="AJ42" s="4798"/>
      <c r="AK42" s="1114"/>
      <c r="AL42" s="1108"/>
      <c r="AM42" s="1156"/>
      <c r="AN42" s="1156"/>
      <c r="AO42" s="1156"/>
      <c r="AP42" s="1156"/>
      <c r="AQ42" s="1156"/>
      <c r="AR42" s="1156"/>
      <c r="AS42" s="1156"/>
      <c r="AT42" s="1156"/>
      <c r="AU42" s="1156"/>
      <c r="AW42" s="1188"/>
      <c r="AX42" s="1188"/>
    </row>
    <row r="43" spans="1:50" ht="12" customHeight="1">
      <c r="A43" s="1108"/>
      <c r="B43" s="2631"/>
      <c r="C43" s="4712" t="s">
        <v>1962</v>
      </c>
      <c r="D43" s="4713"/>
      <c r="E43" s="4713"/>
      <c r="F43" s="4713"/>
      <c r="G43" s="4713"/>
      <c r="H43" s="4716">
        <f>IF(I43=0,70,"-")</f>
        <v>70</v>
      </c>
      <c r="I43" s="4718"/>
      <c r="J43" s="2628"/>
      <c r="K43" s="1193" t="s">
        <v>1926</v>
      </c>
      <c r="L43" s="4808" t="s">
        <v>1963</v>
      </c>
      <c r="M43" s="4739"/>
      <c r="N43" s="4739"/>
      <c r="O43" s="4739"/>
      <c r="P43" s="2466">
        <f>IF(Q43=0,10,"-")</f>
        <v>10</v>
      </c>
      <c r="Q43" s="2467"/>
      <c r="R43" s="2619" t="b">
        <f t="shared" si="1"/>
        <v>0</v>
      </c>
      <c r="S43" s="2290"/>
      <c r="T43" s="2290"/>
      <c r="U43" s="1200">
        <f t="shared" si="2"/>
        <v>0</v>
      </c>
      <c r="V43" s="4799"/>
      <c r="W43" s="4736"/>
      <c r="X43" s="4736"/>
      <c r="Y43" s="4736"/>
      <c r="Z43" s="4736"/>
      <c r="AA43" s="4800"/>
      <c r="AB43" s="4777" t="str">
        <f>IF(V43="","",VLOOKUP(V43,TablasTec!$AD$5:$AI$188,3,FALSE))</f>
        <v/>
      </c>
      <c r="AD43" s="4799"/>
      <c r="AE43" s="4736"/>
      <c r="AF43" s="4736"/>
      <c r="AG43" s="4736"/>
      <c r="AH43" s="4736"/>
      <c r="AI43" s="4800"/>
      <c r="AJ43" s="4777" t="str">
        <f>IF(AD43="","",VLOOKUP(AD43,TablasTec!$AD$5:$AI$188,3,FALSE))</f>
        <v/>
      </c>
      <c r="AK43" s="1114"/>
      <c r="AL43" s="1108"/>
      <c r="AM43" s="1156"/>
      <c r="AN43" s="1156"/>
      <c r="AO43" s="1156"/>
      <c r="AP43" s="1156"/>
      <c r="AQ43" s="1156"/>
      <c r="AR43" s="1156"/>
      <c r="AS43" s="1156"/>
      <c r="AT43" s="1156"/>
      <c r="AU43" s="1156"/>
      <c r="AW43" s="4844"/>
      <c r="AX43" s="646"/>
    </row>
    <row r="44" spans="1:50" ht="12" customHeight="1" thickBot="1">
      <c r="A44" s="1108"/>
      <c r="B44" s="2631"/>
      <c r="C44" s="4714"/>
      <c r="D44" s="4715"/>
      <c r="E44" s="4715"/>
      <c r="F44" s="4715"/>
      <c r="G44" s="4715"/>
      <c r="H44" s="4717"/>
      <c r="I44" s="4719"/>
      <c r="J44" s="2628"/>
      <c r="K44" s="4738" t="s">
        <v>1964</v>
      </c>
      <c r="L44" s="4739"/>
      <c r="M44" s="4739"/>
      <c r="N44" s="4739"/>
      <c r="O44" s="4739"/>
      <c r="P44" s="2466">
        <f t="shared" ref="P44:P53" si="4">IF(Q44=0,10,"-")</f>
        <v>10</v>
      </c>
      <c r="Q44" s="2467"/>
      <c r="R44" s="2619" t="b">
        <f t="shared" si="1"/>
        <v>0</v>
      </c>
      <c r="S44" s="2290"/>
      <c r="T44" s="2290"/>
      <c r="U44" s="1200"/>
      <c r="V44" s="4599" t="str">
        <f>IF(V43="","",VLOOKUP(V43,TablasTec!$AD$5:$AI$188,4,FALSE))</f>
        <v/>
      </c>
      <c r="W44" s="4547"/>
      <c r="X44" s="4547"/>
      <c r="Y44" s="4547"/>
      <c r="Z44" s="1235" t="s">
        <v>1627</v>
      </c>
      <c r="AA44" s="1237" t="str">
        <f>IF(V43="","",VLOOKUP(V43,TablasTec!$AD$5:$AI$188,2,FALSE))</f>
        <v/>
      </c>
      <c r="AB44" s="4777"/>
      <c r="AD44" s="4599" t="str">
        <f>IF(AD43="","",VLOOKUP(AD43,TablasTec!$AD$5:$AI$188,4,FALSE))</f>
        <v/>
      </c>
      <c r="AE44" s="4547"/>
      <c r="AF44" s="4547"/>
      <c r="AG44" s="4547"/>
      <c r="AH44" s="1235" t="s">
        <v>1627</v>
      </c>
      <c r="AI44" s="1237" t="str">
        <f>IF(AD43="","",VLOOKUP(AD43,TablasTec!$AD$5:$AI$188,2,FALSE))</f>
        <v/>
      </c>
      <c r="AJ44" s="4777"/>
      <c r="AK44" s="1114"/>
      <c r="AL44" s="1108"/>
      <c r="AM44" s="1156"/>
      <c r="AN44" s="1156"/>
      <c r="AO44" s="1156"/>
      <c r="AP44" s="1156"/>
      <c r="AQ44" s="1156"/>
      <c r="AR44" s="1156"/>
      <c r="AS44" s="1156"/>
      <c r="AT44" s="1156"/>
      <c r="AU44" s="1156"/>
      <c r="AW44" s="4844"/>
      <c r="AX44" s="1211"/>
    </row>
    <row r="45" spans="1:50" ht="12" customHeight="1">
      <c r="A45" s="1108"/>
      <c r="B45" s="2619" t="b">
        <f t="shared" ref="B45:B62" si="5">H45="-"</f>
        <v>0</v>
      </c>
      <c r="C45" s="4738" t="s">
        <v>1965</v>
      </c>
      <c r="D45" s="4739"/>
      <c r="E45" s="4739"/>
      <c r="F45" s="4739"/>
      <c r="G45" s="4739"/>
      <c r="H45" s="2466">
        <f>IF(I45=0,20,"-")</f>
        <v>20</v>
      </c>
      <c r="I45" s="2467"/>
      <c r="J45" s="646"/>
      <c r="K45" s="1193" t="s">
        <v>1915</v>
      </c>
      <c r="L45" s="4808" t="s">
        <v>1966</v>
      </c>
      <c r="M45" s="4739"/>
      <c r="N45" s="4739"/>
      <c r="O45" s="4739"/>
      <c r="P45" s="2466">
        <f t="shared" si="4"/>
        <v>10</v>
      </c>
      <c r="Q45" s="2467"/>
      <c r="R45" s="2619" t="b">
        <f t="shared" si="1"/>
        <v>0</v>
      </c>
      <c r="S45" s="2290"/>
      <c r="T45" s="2290"/>
      <c r="U45" s="1200">
        <f t="shared" si="2"/>
        <v>0</v>
      </c>
      <c r="V45" s="4796"/>
      <c r="W45" s="4753"/>
      <c r="X45" s="4753"/>
      <c r="Y45" s="4753"/>
      <c r="Z45" s="4753"/>
      <c r="AA45" s="4797"/>
      <c r="AB45" s="4798" t="str">
        <f>IF(V45="","",VLOOKUP(V45,TablasTec!$AD$5:$AI$188,3,FALSE))</f>
        <v/>
      </c>
      <c r="AD45" s="4796"/>
      <c r="AE45" s="4753"/>
      <c r="AF45" s="4753"/>
      <c r="AG45" s="4753"/>
      <c r="AH45" s="4753"/>
      <c r="AI45" s="4797"/>
      <c r="AJ45" s="4798" t="str">
        <f>IF(AD45="","",VLOOKUP(AD45,TablasTec!$AD$5:$AI$188,3,FALSE))</f>
        <v/>
      </c>
      <c r="AK45" s="1114"/>
      <c r="AL45" s="1108"/>
      <c r="AM45" s="1156"/>
      <c r="AN45" s="1156"/>
      <c r="AO45" s="1156"/>
      <c r="AP45" s="1156"/>
      <c r="AQ45" s="1156"/>
      <c r="AR45" s="1156"/>
      <c r="AS45" s="1156"/>
      <c r="AT45" s="1156"/>
      <c r="AU45" s="1156"/>
    </row>
    <row r="46" spans="1:50" ht="12" customHeight="1">
      <c r="A46" s="1108"/>
      <c r="B46" s="2619" t="b">
        <f t="shared" si="5"/>
        <v>0</v>
      </c>
      <c r="C46" s="1193" t="s">
        <v>1926</v>
      </c>
      <c r="D46" s="4808" t="s">
        <v>1967</v>
      </c>
      <c r="E46" s="4739"/>
      <c r="F46" s="4739"/>
      <c r="G46" s="4739"/>
      <c r="H46" s="2466">
        <f>IF(I46=0,30,"-")</f>
        <v>30</v>
      </c>
      <c r="I46" s="2467"/>
      <c r="J46" s="646"/>
      <c r="K46" s="1193" t="s">
        <v>1949</v>
      </c>
      <c r="L46" s="1196" t="s">
        <v>1915</v>
      </c>
      <c r="M46" s="4808" t="s">
        <v>1968</v>
      </c>
      <c r="N46" s="4808"/>
      <c r="O46" s="4808"/>
      <c r="P46" s="2466">
        <f t="shared" si="4"/>
        <v>10</v>
      </c>
      <c r="Q46" s="2467"/>
      <c r="R46" s="2619" t="b">
        <f t="shared" si="1"/>
        <v>0</v>
      </c>
      <c r="S46" s="2290"/>
      <c r="T46" s="2290"/>
      <c r="U46" s="1200"/>
      <c r="V46" s="4801" t="str">
        <f>IF(V45="","",VLOOKUP(V45,TablasTec!$AD$5:$AI$188,4,FALSE))</f>
        <v/>
      </c>
      <c r="W46" s="4802"/>
      <c r="X46" s="4802"/>
      <c r="Y46" s="4802"/>
      <c r="Z46" s="1171" t="s">
        <v>1627</v>
      </c>
      <c r="AA46" s="1202" t="str">
        <f>IF(V45="","",VLOOKUP(V45,TablasTec!$AD$5:$AI$188,2,FALSE))</f>
        <v/>
      </c>
      <c r="AB46" s="4798"/>
      <c r="AD46" s="4801" t="str">
        <f>IF(AD45="","",VLOOKUP(AD45,TablasTec!$AD$5:$AI$188,4,FALSE))</f>
        <v/>
      </c>
      <c r="AE46" s="4802"/>
      <c r="AF46" s="4802"/>
      <c r="AG46" s="4802"/>
      <c r="AH46" s="1171" t="s">
        <v>1627</v>
      </c>
      <c r="AI46" s="1202" t="str">
        <f>IF(AD45="","",VLOOKUP(AD45,TablasTec!$AD$5:$AI$188,2,FALSE))</f>
        <v/>
      </c>
      <c r="AJ46" s="4798"/>
      <c r="AK46" s="1114"/>
      <c r="AL46" s="1108"/>
      <c r="AM46" s="1156"/>
      <c r="AN46" s="1156"/>
      <c r="AO46" s="1156"/>
      <c r="AP46" s="1156"/>
      <c r="AQ46" s="1156"/>
      <c r="AR46" s="1156"/>
      <c r="AS46" s="1156"/>
      <c r="AT46" s="1156"/>
      <c r="AU46" s="1156"/>
    </row>
    <row r="47" spans="1:50" ht="12" customHeight="1">
      <c r="A47" s="1108"/>
      <c r="B47" s="2619" t="b">
        <f t="shared" si="5"/>
        <v>0</v>
      </c>
      <c r="C47" s="4738" t="s">
        <v>1969</v>
      </c>
      <c r="D47" s="4808"/>
      <c r="E47" s="4808"/>
      <c r="F47" s="4808"/>
      <c r="G47" s="4808"/>
      <c r="H47" s="2466">
        <f>IF(I47=0,30,"-")</f>
        <v>30</v>
      </c>
      <c r="I47" s="2467"/>
      <c r="J47" s="646"/>
      <c r="K47" s="1193" t="s">
        <v>1949</v>
      </c>
      <c r="L47" s="1196" t="s">
        <v>1926</v>
      </c>
      <c r="M47" s="4808" t="s">
        <v>1970</v>
      </c>
      <c r="N47" s="4808"/>
      <c r="O47" s="4808"/>
      <c r="P47" s="2466">
        <f t="shared" si="4"/>
        <v>10</v>
      </c>
      <c r="Q47" s="2467"/>
      <c r="R47" s="2619" t="b">
        <f t="shared" si="1"/>
        <v>0</v>
      </c>
      <c r="S47" s="2290"/>
      <c r="T47" s="2290"/>
      <c r="U47" s="1200">
        <f t="shared" si="2"/>
        <v>0</v>
      </c>
      <c r="V47" s="4799"/>
      <c r="W47" s="4736"/>
      <c r="X47" s="4736"/>
      <c r="Y47" s="4736"/>
      <c r="Z47" s="4736"/>
      <c r="AA47" s="4800"/>
      <c r="AB47" s="4777" t="str">
        <f>IF(V47="","",VLOOKUP(V47,TablasTec!$AD$5:$AI$188,3,FALSE))</f>
        <v/>
      </c>
      <c r="AD47" s="4799"/>
      <c r="AE47" s="4736"/>
      <c r="AF47" s="4736"/>
      <c r="AG47" s="4736"/>
      <c r="AH47" s="4736"/>
      <c r="AI47" s="4800"/>
      <c r="AJ47" s="4777" t="str">
        <f>IF(AD47="","",VLOOKUP(AD47,TablasTec!$AD$5:$AI$188,3,FALSE))</f>
        <v/>
      </c>
      <c r="AK47" s="1114"/>
      <c r="AL47" s="1108"/>
      <c r="AM47" s="1156"/>
      <c r="AN47" s="1156"/>
      <c r="AO47" s="1156"/>
      <c r="AP47" s="1156"/>
      <c r="AQ47" s="1156"/>
      <c r="AR47" s="1156"/>
      <c r="AS47" s="1156"/>
      <c r="AT47" s="1156"/>
      <c r="AU47" s="1156"/>
    </row>
    <row r="48" spans="1:50" ht="12" customHeight="1">
      <c r="A48" s="1108"/>
      <c r="B48" s="2619" t="b">
        <f t="shared" si="5"/>
        <v>0</v>
      </c>
      <c r="C48" s="1193" t="s">
        <v>1926</v>
      </c>
      <c r="D48" s="4808" t="s">
        <v>1971</v>
      </c>
      <c r="E48" s="4808"/>
      <c r="F48" s="4808"/>
      <c r="G48" s="4808"/>
      <c r="H48" s="2466">
        <f>IF(I48=0,20,"-")</f>
        <v>20</v>
      </c>
      <c r="I48" s="2467"/>
      <c r="J48" s="646"/>
      <c r="K48" s="1193" t="s">
        <v>1926</v>
      </c>
      <c r="L48" s="4808" t="s">
        <v>1972</v>
      </c>
      <c r="M48" s="4739"/>
      <c r="N48" s="4739"/>
      <c r="O48" s="4739"/>
      <c r="P48" s="2466">
        <f t="shared" si="4"/>
        <v>10</v>
      </c>
      <c r="Q48" s="2467"/>
      <c r="R48" s="2619" t="b">
        <f t="shared" si="1"/>
        <v>0</v>
      </c>
      <c r="S48" s="2290"/>
      <c r="T48" s="2290"/>
      <c r="U48" s="1200"/>
      <c r="V48" s="4599" t="str">
        <f>IF(V47="","",VLOOKUP(V47,TablasTec!$AD$5:$AI$188,4,FALSE))</f>
        <v/>
      </c>
      <c r="W48" s="4547"/>
      <c r="X48" s="4547"/>
      <c r="Y48" s="4547"/>
      <c r="Z48" s="1235" t="s">
        <v>1627</v>
      </c>
      <c r="AA48" s="1237" t="str">
        <f>IF(V47="","",VLOOKUP(V47,TablasTec!$AD$5:$AI$188,2,FALSE))</f>
        <v/>
      </c>
      <c r="AB48" s="4777"/>
      <c r="AD48" s="4599" t="str">
        <f>IF(AD47="","",VLOOKUP(AD47,TablasTec!$AD$5:$AI$188,4,FALSE))</f>
        <v/>
      </c>
      <c r="AE48" s="4547"/>
      <c r="AF48" s="4547"/>
      <c r="AG48" s="4547"/>
      <c r="AH48" s="1235" t="s">
        <v>1627</v>
      </c>
      <c r="AI48" s="1237" t="str">
        <f>IF(AD47="","",VLOOKUP(AD47,TablasTec!$AD$5:$AI$188,2,FALSE))</f>
        <v/>
      </c>
      <c r="AJ48" s="4777"/>
      <c r="AK48" s="1114"/>
      <c r="AL48" s="1108"/>
      <c r="AM48" s="1156"/>
      <c r="AN48" s="1156"/>
      <c r="AO48" s="1156"/>
      <c r="AP48" s="1156"/>
      <c r="AQ48" s="1156"/>
      <c r="AR48" s="1156"/>
      <c r="AS48" s="1156"/>
      <c r="AT48" s="1156"/>
      <c r="AU48" s="1156"/>
    </row>
    <row r="49" spans="1:47" ht="12" customHeight="1">
      <c r="A49" s="1108"/>
      <c r="B49" s="2619" t="b">
        <f t="shared" si="5"/>
        <v>0</v>
      </c>
      <c r="C49" s="4738" t="s">
        <v>1973</v>
      </c>
      <c r="D49" s="4808"/>
      <c r="E49" s="4808"/>
      <c r="F49" s="4808"/>
      <c r="G49" s="4808"/>
      <c r="H49" s="2466">
        <f>IF(I49=0,30,"-")</f>
        <v>30</v>
      </c>
      <c r="I49" s="2467"/>
      <c r="J49" s="646"/>
      <c r="K49" s="4738" t="s">
        <v>1974</v>
      </c>
      <c r="L49" s="4739"/>
      <c r="M49" s="4739"/>
      <c r="N49" s="4739"/>
      <c r="O49" s="4739"/>
      <c r="P49" s="2466">
        <f t="shared" si="4"/>
        <v>10</v>
      </c>
      <c r="Q49" s="2467"/>
      <c r="R49" s="2619" t="b">
        <f t="shared" si="1"/>
        <v>0</v>
      </c>
      <c r="S49" s="2290"/>
      <c r="T49" s="2290"/>
      <c r="U49" s="1200">
        <f t="shared" si="2"/>
        <v>0</v>
      </c>
      <c r="V49" s="4796"/>
      <c r="W49" s="4753"/>
      <c r="X49" s="4753"/>
      <c r="Y49" s="4753"/>
      <c r="Z49" s="4753"/>
      <c r="AA49" s="4797"/>
      <c r="AB49" s="4798" t="str">
        <f>IF(V49="","",VLOOKUP(V49,TablasTec!$AD$5:$AI$188,3,FALSE))</f>
        <v/>
      </c>
      <c r="AD49" s="4796"/>
      <c r="AE49" s="4753"/>
      <c r="AF49" s="4753"/>
      <c r="AG49" s="4753"/>
      <c r="AH49" s="4753"/>
      <c r="AI49" s="4797"/>
      <c r="AJ49" s="4798" t="str">
        <f>IF(AD49="","",VLOOKUP(AD49,TablasTec!$AD$5:$AI$188,3,FALSE))</f>
        <v/>
      </c>
      <c r="AK49" s="1114"/>
      <c r="AL49" s="1108"/>
      <c r="AM49" s="1156"/>
      <c r="AN49" s="1156"/>
      <c r="AO49" s="1156"/>
      <c r="AP49" s="1156"/>
      <c r="AQ49" s="1156"/>
      <c r="AR49" s="1156"/>
      <c r="AS49" s="1156"/>
      <c r="AT49" s="1156"/>
      <c r="AU49" s="1156"/>
    </row>
    <row r="50" spans="1:47" ht="12" customHeight="1">
      <c r="A50" s="1108"/>
      <c r="B50" s="2619" t="b">
        <f t="shared" si="5"/>
        <v>0</v>
      </c>
      <c r="C50" s="1193" t="s">
        <v>1926</v>
      </c>
      <c r="D50" s="4808" t="s">
        <v>1975</v>
      </c>
      <c r="E50" s="4808"/>
      <c r="F50" s="4808"/>
      <c r="G50" s="4808"/>
      <c r="H50" s="2466">
        <f>IF(I50=0,20,"-")</f>
        <v>20</v>
      </c>
      <c r="I50" s="2467"/>
      <c r="J50" s="646"/>
      <c r="K50" s="1193" t="s">
        <v>1915</v>
      </c>
      <c r="L50" s="4808" t="s">
        <v>1976</v>
      </c>
      <c r="M50" s="4739"/>
      <c r="N50" s="4739"/>
      <c r="O50" s="4739"/>
      <c r="P50" s="2466">
        <f>IF(Q50=0,10,"-")</f>
        <v>10</v>
      </c>
      <c r="Q50" s="2467"/>
      <c r="R50" s="2619" t="b">
        <f>OR(P50="-",Raza="D'Anjayni",Nephilim="Nephilim D'Anjayni")</f>
        <v>0</v>
      </c>
      <c r="S50" s="2290"/>
      <c r="T50" s="2290"/>
      <c r="U50" s="1200"/>
      <c r="V50" s="4801" t="str">
        <f>IF(V49="","",VLOOKUP(V49,TablasTec!$AD$5:$AI$188,4,FALSE))</f>
        <v/>
      </c>
      <c r="W50" s="4802"/>
      <c r="X50" s="4802"/>
      <c r="Y50" s="4802"/>
      <c r="Z50" s="1171" t="s">
        <v>1627</v>
      </c>
      <c r="AA50" s="1202" t="str">
        <f>IF(V49="","",VLOOKUP(V49,TablasTec!$AD$5:$AI$188,2,FALSE))</f>
        <v/>
      </c>
      <c r="AB50" s="4798"/>
      <c r="AD50" s="4801" t="str">
        <f>IF(AD49="","",VLOOKUP(AD49,TablasTec!$AD$5:$AI$188,4,FALSE))</f>
        <v/>
      </c>
      <c r="AE50" s="4802"/>
      <c r="AF50" s="4802"/>
      <c r="AG50" s="4802"/>
      <c r="AH50" s="1171" t="s">
        <v>1627</v>
      </c>
      <c r="AI50" s="1202" t="str">
        <f>IF(AD49="","",VLOOKUP(AD49,TablasTec!$AD$5:$AI$188,2,FALSE))</f>
        <v/>
      </c>
      <c r="AJ50" s="4798"/>
      <c r="AK50" s="1114"/>
      <c r="AL50" s="1108"/>
      <c r="AM50" s="1156"/>
      <c r="AN50" s="1156"/>
      <c r="AO50" s="1156"/>
      <c r="AP50" s="1156"/>
      <c r="AQ50" s="1156"/>
      <c r="AR50" s="1156"/>
      <c r="AS50" s="1156"/>
      <c r="AT50" s="1156"/>
      <c r="AU50" s="1156"/>
    </row>
    <row r="51" spans="1:47" ht="12" customHeight="1">
      <c r="A51" s="1108"/>
      <c r="B51" s="2619" t="b">
        <f t="shared" si="5"/>
        <v>0</v>
      </c>
      <c r="C51" s="4738" t="s">
        <v>1977</v>
      </c>
      <c r="D51" s="4808"/>
      <c r="E51" s="4808"/>
      <c r="F51" s="4808"/>
      <c r="G51" s="4808"/>
      <c r="H51" s="2466">
        <f>IF(I51=0,30,"-")</f>
        <v>30</v>
      </c>
      <c r="I51" s="2467"/>
      <c r="J51" s="646"/>
      <c r="K51" s="1193" t="s">
        <v>1949</v>
      </c>
      <c r="L51" s="1196" t="s">
        <v>1915</v>
      </c>
      <c r="M51" s="4808" t="s">
        <v>1978</v>
      </c>
      <c r="N51" s="4808"/>
      <c r="O51" s="4808"/>
      <c r="P51" s="2466">
        <f t="shared" si="4"/>
        <v>10</v>
      </c>
      <c r="Q51" s="2467"/>
      <c r="R51" s="2619" t="b">
        <f t="shared" si="1"/>
        <v>0</v>
      </c>
      <c r="S51" s="2290"/>
      <c r="T51" s="2290"/>
      <c r="U51" s="1200">
        <f t="shared" si="2"/>
        <v>0</v>
      </c>
      <c r="V51" s="4799"/>
      <c r="W51" s="4736"/>
      <c r="X51" s="4736"/>
      <c r="Y51" s="4736"/>
      <c r="Z51" s="4736"/>
      <c r="AA51" s="4800"/>
      <c r="AB51" s="4777" t="str">
        <f>IF(V51="","",VLOOKUP(V51,TablasTec!$AD$5:$AI$188,3,FALSE))</f>
        <v/>
      </c>
      <c r="AD51" s="4799"/>
      <c r="AE51" s="4736"/>
      <c r="AF51" s="4736"/>
      <c r="AG51" s="4736"/>
      <c r="AH51" s="4736"/>
      <c r="AI51" s="4800"/>
      <c r="AJ51" s="4777" t="str">
        <f>IF(AD51="","",VLOOKUP(AD51,TablasTec!$AD$5:$AI$188,3,FALSE))</f>
        <v/>
      </c>
      <c r="AK51" s="1114"/>
      <c r="AL51" s="1108"/>
      <c r="AM51" s="1156"/>
      <c r="AN51" s="1156"/>
      <c r="AO51" s="1156"/>
      <c r="AP51" s="1156"/>
      <c r="AQ51" s="1156"/>
      <c r="AR51" s="1156"/>
      <c r="AS51" s="1156"/>
      <c r="AT51" s="1156"/>
      <c r="AU51" s="1156"/>
    </row>
    <row r="52" spans="1:47" ht="12" customHeight="1">
      <c r="A52" s="1108"/>
      <c r="B52" s="2619" t="b">
        <f t="shared" si="5"/>
        <v>0</v>
      </c>
      <c r="C52" s="1193" t="s">
        <v>1926</v>
      </c>
      <c r="D52" s="4808" t="s">
        <v>1979</v>
      </c>
      <c r="E52" s="4808"/>
      <c r="F52" s="4808"/>
      <c r="G52" s="4808"/>
      <c r="H52" s="2466">
        <f>IF(I52=0,20,"-")</f>
        <v>20</v>
      </c>
      <c r="I52" s="2467"/>
      <c r="J52" s="646"/>
      <c r="K52" s="1193" t="s">
        <v>1949</v>
      </c>
      <c r="L52" s="1196" t="s">
        <v>1926</v>
      </c>
      <c r="M52" s="4808" t="s">
        <v>1980</v>
      </c>
      <c r="N52" s="4808"/>
      <c r="O52" s="4808"/>
      <c r="P52" s="2466">
        <f t="shared" si="4"/>
        <v>10</v>
      </c>
      <c r="Q52" s="2467"/>
      <c r="R52" s="2619" t="b">
        <f t="shared" si="1"/>
        <v>0</v>
      </c>
      <c r="S52" s="2290"/>
      <c r="T52" s="2290"/>
      <c r="U52" s="1200"/>
      <c r="V52" s="4599" t="str">
        <f>IF(V51="","",VLOOKUP(V51,TablasTec!$AD$5:$AI$188,4,FALSE))</f>
        <v/>
      </c>
      <c r="W52" s="4547"/>
      <c r="X52" s="4547"/>
      <c r="Y52" s="4547"/>
      <c r="Z52" s="1235" t="s">
        <v>1627</v>
      </c>
      <c r="AA52" s="1237" t="str">
        <f>IF(V51="","",VLOOKUP(V51,TablasTec!$AD$5:$AI$188,2,FALSE))</f>
        <v/>
      </c>
      <c r="AB52" s="4777"/>
      <c r="AD52" s="4599" t="str">
        <f>IF(AD51="","",VLOOKUP(AD51,TablasTec!$AD$5:$AI$188,4,FALSE))</f>
        <v/>
      </c>
      <c r="AE52" s="4547"/>
      <c r="AF52" s="4547"/>
      <c r="AG52" s="4547"/>
      <c r="AH52" s="1235" t="s">
        <v>1627</v>
      </c>
      <c r="AI52" s="1237" t="str">
        <f>IF(AD51="","",VLOOKUP(AD51,TablasTec!$AD$5:$AI$188,2,FALSE))</f>
        <v/>
      </c>
      <c r="AJ52" s="4777"/>
      <c r="AK52" s="1114"/>
      <c r="AL52" s="1108"/>
      <c r="AM52" s="1156"/>
      <c r="AN52" s="1156"/>
      <c r="AO52" s="1156"/>
      <c r="AP52" s="1156"/>
      <c r="AQ52" s="1156"/>
      <c r="AR52" s="1156"/>
      <c r="AS52" s="1156"/>
      <c r="AT52" s="1156"/>
      <c r="AU52" s="1156"/>
    </row>
    <row r="53" spans="1:47" ht="12" customHeight="1">
      <c r="A53" s="1108"/>
      <c r="B53" s="2619" t="b">
        <f t="shared" si="5"/>
        <v>0</v>
      </c>
      <c r="C53" s="4738" t="s">
        <v>1981</v>
      </c>
      <c r="D53" s="4739"/>
      <c r="E53" s="4739"/>
      <c r="F53" s="4739"/>
      <c r="G53" s="4739"/>
      <c r="H53" s="2466">
        <f>IF(I53=0,30,"-")</f>
        <v>30</v>
      </c>
      <c r="I53" s="2467"/>
      <c r="J53" s="646"/>
      <c r="K53" s="1193" t="s">
        <v>1915</v>
      </c>
      <c r="L53" s="4808" t="s">
        <v>1982</v>
      </c>
      <c r="M53" s="4739"/>
      <c r="N53" s="4739"/>
      <c r="O53" s="4739"/>
      <c r="P53" s="2466">
        <f t="shared" si="4"/>
        <v>10</v>
      </c>
      <c r="Q53" s="2467"/>
      <c r="R53" s="2619" t="b">
        <f t="shared" si="1"/>
        <v>0</v>
      </c>
      <c r="S53" s="2290"/>
      <c r="T53" s="2290"/>
      <c r="U53" s="1200">
        <f t="shared" si="2"/>
        <v>0</v>
      </c>
      <c r="V53" s="4796"/>
      <c r="W53" s="4753"/>
      <c r="X53" s="4753"/>
      <c r="Y53" s="4753"/>
      <c r="Z53" s="4753"/>
      <c r="AA53" s="4797"/>
      <c r="AB53" s="4798" t="str">
        <f>IF(V53="","",VLOOKUP(V53,TablasTec!$AD$5:$AI$188,3,FALSE))</f>
        <v/>
      </c>
      <c r="AD53" s="4796"/>
      <c r="AE53" s="4753"/>
      <c r="AF53" s="4753"/>
      <c r="AG53" s="4753"/>
      <c r="AH53" s="4753"/>
      <c r="AI53" s="4797"/>
      <c r="AJ53" s="4798" t="str">
        <f>IF(AD53="","",VLOOKUP(AD53,TablasTec!$AD$5:$AI$188,3,FALSE))</f>
        <v/>
      </c>
      <c r="AK53" s="1114"/>
      <c r="AL53" s="1108"/>
      <c r="AM53" s="1156"/>
      <c r="AN53" s="1156"/>
      <c r="AO53" s="1156"/>
      <c r="AP53" s="1156"/>
      <c r="AQ53" s="1156"/>
      <c r="AR53" s="1156"/>
      <c r="AS53" s="1156"/>
      <c r="AT53" s="1156"/>
      <c r="AU53" s="1156"/>
    </row>
    <row r="54" spans="1:47" ht="12" customHeight="1">
      <c r="A54" s="1108"/>
      <c r="B54" s="2619" t="b">
        <f t="shared" si="5"/>
        <v>0</v>
      </c>
      <c r="C54" s="4738" t="s">
        <v>1983</v>
      </c>
      <c r="D54" s="4739"/>
      <c r="E54" s="4739"/>
      <c r="F54" s="4739"/>
      <c r="G54" s="4739"/>
      <c r="H54" s="2466">
        <f>IF(I54=0,30,"-")</f>
        <v>30</v>
      </c>
      <c r="I54" s="2467"/>
      <c r="J54" s="646"/>
      <c r="K54" s="1193" t="s">
        <v>1949</v>
      </c>
      <c r="L54" s="1196" t="s">
        <v>1915</v>
      </c>
      <c r="M54" s="4808" t="s">
        <v>1984</v>
      </c>
      <c r="N54" s="4808"/>
      <c r="O54" s="4808"/>
      <c r="P54" s="2466">
        <f>IF(Q54=0,20,"-")</f>
        <v>20</v>
      </c>
      <c r="Q54" s="2467"/>
      <c r="R54" s="2619" t="b">
        <f t="shared" si="1"/>
        <v>0</v>
      </c>
      <c r="S54" s="2290"/>
      <c r="T54" s="2290"/>
      <c r="U54" s="1200"/>
      <c r="V54" s="4801" t="str">
        <f>IF(V53="","",VLOOKUP(V53,TablasTec!$AD$5:$AI$188,4,FALSE))</f>
        <v/>
      </c>
      <c r="W54" s="4802"/>
      <c r="X54" s="4802"/>
      <c r="Y54" s="4802"/>
      <c r="Z54" s="1171" t="s">
        <v>1627</v>
      </c>
      <c r="AA54" s="1202" t="str">
        <f>IF(V53="","",VLOOKUP(V53,TablasTec!$AD$5:$AI$188,2,FALSE))</f>
        <v/>
      </c>
      <c r="AB54" s="4798"/>
      <c r="AD54" s="4801" t="str">
        <f>IF(AD53="","",VLOOKUP(AD53,TablasTec!$AD$5:$AI$188,4,FALSE))</f>
        <v/>
      </c>
      <c r="AE54" s="4802"/>
      <c r="AF54" s="4802"/>
      <c r="AG54" s="4802"/>
      <c r="AH54" s="1171" t="s">
        <v>1627</v>
      </c>
      <c r="AI54" s="1202" t="str">
        <f>IF(AD53="","",VLOOKUP(AD53,TablasTec!$AD$5:$AI$188,2,FALSE))</f>
        <v/>
      </c>
      <c r="AJ54" s="4798"/>
      <c r="AK54" s="1114"/>
      <c r="AL54" s="1108"/>
      <c r="AM54" s="1156"/>
      <c r="AN54" s="1156"/>
      <c r="AO54" s="1156"/>
      <c r="AP54" s="1156"/>
      <c r="AQ54" s="1156"/>
      <c r="AR54" s="1156"/>
      <c r="AS54" s="1156"/>
      <c r="AT54" s="1156"/>
      <c r="AU54" s="1156"/>
    </row>
    <row r="55" spans="1:47" ht="12" customHeight="1">
      <c r="A55" s="1108"/>
      <c r="B55" s="2619" t="b">
        <f t="shared" si="5"/>
        <v>0</v>
      </c>
      <c r="C55" s="1193" t="s">
        <v>1926</v>
      </c>
      <c r="D55" s="4808" t="s">
        <v>1985</v>
      </c>
      <c r="E55" s="4739"/>
      <c r="F55" s="4739"/>
      <c r="G55" s="4739"/>
      <c r="H55" s="2466">
        <f>IF(I55=0,30,"-")</f>
        <v>30</v>
      </c>
      <c r="I55" s="2467"/>
      <c r="J55" s="646"/>
      <c r="K55" s="1193" t="s">
        <v>1949</v>
      </c>
      <c r="L55" s="1196" t="s">
        <v>1915</v>
      </c>
      <c r="M55" s="4808" t="s">
        <v>1986</v>
      </c>
      <c r="N55" s="4808"/>
      <c r="O55" s="4808"/>
      <c r="P55" s="2466">
        <f>IF(Q55=0,20,"-")</f>
        <v>20</v>
      </c>
      <c r="Q55" s="2467"/>
      <c r="R55" s="2619" t="b">
        <f t="shared" si="1"/>
        <v>0</v>
      </c>
      <c r="S55" s="2290"/>
      <c r="T55" s="2290"/>
      <c r="U55" s="1200">
        <f t="shared" si="2"/>
        <v>0</v>
      </c>
      <c r="V55" s="4799"/>
      <c r="W55" s="4736"/>
      <c r="X55" s="4736"/>
      <c r="Y55" s="4736"/>
      <c r="Z55" s="4736"/>
      <c r="AA55" s="4800"/>
      <c r="AB55" s="4777" t="str">
        <f>IF(V55="","",VLOOKUP(V55,TablasTec!$AD$5:$AI$188,3,FALSE))</f>
        <v/>
      </c>
      <c r="AD55" s="4799"/>
      <c r="AE55" s="4736"/>
      <c r="AF55" s="4736"/>
      <c r="AG55" s="4736"/>
      <c r="AH55" s="4736"/>
      <c r="AI55" s="4800"/>
      <c r="AJ55" s="4777" t="str">
        <f>IF(AD55="","",VLOOKUP(AD55,TablasTec!$AD$5:$AI$188,3,FALSE))</f>
        <v/>
      </c>
      <c r="AK55" s="1114"/>
      <c r="AL55" s="1108"/>
      <c r="AM55" s="1156"/>
      <c r="AN55" s="1156"/>
      <c r="AO55" s="1156"/>
      <c r="AP55" s="1156"/>
      <c r="AQ55" s="1156"/>
      <c r="AR55" s="1156"/>
      <c r="AS55" s="1156"/>
      <c r="AT55" s="1156"/>
      <c r="AU55" s="1156"/>
    </row>
    <row r="56" spans="1:47" ht="12" customHeight="1">
      <c r="A56" s="1108"/>
      <c r="B56" s="2619" t="b">
        <f t="shared" si="5"/>
        <v>0</v>
      </c>
      <c r="C56" s="4738" t="s">
        <v>1987</v>
      </c>
      <c r="D56" s="4739"/>
      <c r="E56" s="4739"/>
      <c r="F56" s="4739"/>
      <c r="G56" s="4739"/>
      <c r="H56" s="2466">
        <f>IF(I56=0,10,"-")</f>
        <v>10</v>
      </c>
      <c r="I56" s="2467"/>
      <c r="J56" s="646"/>
      <c r="K56" s="1193" t="s">
        <v>1949</v>
      </c>
      <c r="L56" s="1196" t="s">
        <v>1926</v>
      </c>
      <c r="M56" s="4808" t="s">
        <v>1988</v>
      </c>
      <c r="N56" s="4808"/>
      <c r="O56" s="4808"/>
      <c r="P56" s="2466">
        <f>IF(Q56=0,20,"-")</f>
        <v>20</v>
      </c>
      <c r="Q56" s="2467"/>
      <c r="R56" s="2619" t="b">
        <f t="shared" si="1"/>
        <v>0</v>
      </c>
      <c r="S56" s="2290"/>
      <c r="T56" s="2290"/>
      <c r="U56" s="1200"/>
      <c r="V56" s="4599" t="str">
        <f>IF(V55="","",VLOOKUP(V55,TablasTec!$AD$5:$AI$188,4,FALSE))</f>
        <v/>
      </c>
      <c r="W56" s="4547"/>
      <c r="X56" s="4547"/>
      <c r="Y56" s="4547"/>
      <c r="Z56" s="1235" t="s">
        <v>1627</v>
      </c>
      <c r="AA56" s="1237" t="str">
        <f>IF(V55="","",VLOOKUP(V55,TablasTec!$AD$5:$AI$188,2,FALSE))</f>
        <v/>
      </c>
      <c r="AB56" s="4777"/>
      <c r="AD56" s="4599" t="str">
        <f>IF(AD55="","",VLOOKUP(AD55,TablasTec!$AD$5:$AI$188,4,FALSE))</f>
        <v/>
      </c>
      <c r="AE56" s="4547"/>
      <c r="AF56" s="4547"/>
      <c r="AG56" s="4547"/>
      <c r="AH56" s="1235" t="s">
        <v>1627</v>
      </c>
      <c r="AI56" s="1237" t="str">
        <f>IF(AD55="","",VLOOKUP(AD55,TablasTec!$AD$5:$AI$188,2,FALSE))</f>
        <v/>
      </c>
      <c r="AJ56" s="4777"/>
      <c r="AK56" s="1114"/>
      <c r="AL56" s="1108"/>
      <c r="AM56" s="1156"/>
      <c r="AN56" s="1156"/>
      <c r="AO56" s="1156"/>
      <c r="AP56" s="1156"/>
      <c r="AQ56" s="1156"/>
      <c r="AR56" s="1156"/>
      <c r="AS56" s="1156"/>
      <c r="AT56" s="1156"/>
      <c r="AU56" s="1156"/>
    </row>
    <row r="57" spans="1:47" ht="12" customHeight="1">
      <c r="A57" s="1108"/>
      <c r="B57" s="2619" t="b">
        <f t="shared" si="5"/>
        <v>0</v>
      </c>
      <c r="C57" s="1193" t="s">
        <v>1915</v>
      </c>
      <c r="D57" s="4808" t="s">
        <v>1989</v>
      </c>
      <c r="E57" s="4739"/>
      <c r="F57" s="4739"/>
      <c r="G57" s="4739"/>
      <c r="H57" s="2466">
        <f>IF(I57=0,10,"-")</f>
        <v>10</v>
      </c>
      <c r="I57" s="2467"/>
      <c r="J57" s="646"/>
      <c r="K57" s="1193" t="s">
        <v>1915</v>
      </c>
      <c r="L57" s="4808" t="s">
        <v>1990</v>
      </c>
      <c r="M57" s="4739"/>
      <c r="N57" s="4739"/>
      <c r="O57" s="4739"/>
      <c r="P57" s="2466">
        <f>IF(Q57=0,20,"-")</f>
        <v>20</v>
      </c>
      <c r="Q57" s="2467"/>
      <c r="R57" s="2619" t="b">
        <f t="shared" si="1"/>
        <v>0</v>
      </c>
      <c r="S57" s="2290"/>
      <c r="T57" s="2290"/>
      <c r="U57" s="1200">
        <f t="shared" si="2"/>
        <v>0</v>
      </c>
      <c r="V57" s="4796"/>
      <c r="W57" s="4753"/>
      <c r="X57" s="4753"/>
      <c r="Y57" s="4753"/>
      <c r="Z57" s="4753"/>
      <c r="AA57" s="4797"/>
      <c r="AB57" s="4798" t="str">
        <f>IF(V57="","",VLOOKUP(V57,TablasTec!$AD$5:$AI$188,3,FALSE))</f>
        <v/>
      </c>
      <c r="AD57" s="4796"/>
      <c r="AE57" s="4753"/>
      <c r="AF57" s="4753"/>
      <c r="AG57" s="4753"/>
      <c r="AH57" s="4753"/>
      <c r="AI57" s="4797"/>
      <c r="AJ57" s="4798" t="str">
        <f>IF(AD57="","",VLOOKUP(AD57,TablasTec!$AD$5:$AI$188,3,FALSE))</f>
        <v/>
      </c>
      <c r="AK57" s="1114"/>
      <c r="AL57" s="1108"/>
      <c r="AM57" s="1167"/>
      <c r="AN57" s="1156"/>
      <c r="AO57" s="1156"/>
      <c r="AP57" s="1156"/>
      <c r="AQ57" s="1156"/>
      <c r="AR57" s="1156"/>
      <c r="AS57" s="1156"/>
      <c r="AT57" s="1156"/>
      <c r="AU57" s="1156"/>
    </row>
    <row r="58" spans="1:47" ht="12" customHeight="1">
      <c r="A58" s="1108"/>
      <c r="B58" s="2619" t="b">
        <f t="shared" si="5"/>
        <v>0</v>
      </c>
      <c r="C58" s="1193" t="s">
        <v>1915</v>
      </c>
      <c r="D58" s="4808" t="s">
        <v>1991</v>
      </c>
      <c r="E58" s="4739"/>
      <c r="F58" s="4739"/>
      <c r="G58" s="4739"/>
      <c r="H58" s="2466">
        <f>IF(I58=0,20,"-")</f>
        <v>20</v>
      </c>
      <c r="I58" s="2467"/>
      <c r="J58" s="646"/>
      <c r="K58" s="1193" t="s">
        <v>1949</v>
      </c>
      <c r="L58" s="1196" t="s">
        <v>1926</v>
      </c>
      <c r="M58" s="4808" t="s">
        <v>1992</v>
      </c>
      <c r="N58" s="4808"/>
      <c r="O58" s="4808"/>
      <c r="P58" s="2466">
        <f>IF(Q58=0,20,"-")</f>
        <v>20</v>
      </c>
      <c r="Q58" s="2467"/>
      <c r="R58" s="2619" t="b">
        <f t="shared" si="1"/>
        <v>0</v>
      </c>
      <c r="S58" s="2290"/>
      <c r="T58" s="2290"/>
      <c r="U58" s="1200"/>
      <c r="V58" s="4801" t="str">
        <f>IF(V57="","",VLOOKUP(V57,TablasTec!$AD$5:$AI$188,4,FALSE))</f>
        <v/>
      </c>
      <c r="W58" s="4802"/>
      <c r="X58" s="4802"/>
      <c r="Y58" s="4802"/>
      <c r="Z58" s="1171" t="s">
        <v>1627</v>
      </c>
      <c r="AA58" s="1202" t="str">
        <f>IF(V57="","",VLOOKUP(V57,TablasTec!$AD$5:$AI$188,2,FALSE))</f>
        <v/>
      </c>
      <c r="AB58" s="4798"/>
      <c r="AD58" s="4801" t="str">
        <f>IF(AD57="","",VLOOKUP(AD57,TablasTec!$AD$5:$AI$188,4,FALSE))</f>
        <v/>
      </c>
      <c r="AE58" s="4802"/>
      <c r="AF58" s="4802"/>
      <c r="AG58" s="4802"/>
      <c r="AH58" s="1171" t="s">
        <v>1627</v>
      </c>
      <c r="AI58" s="1202" t="str">
        <f>IF(AD57="","",VLOOKUP(AD57,TablasTec!$AD$5:$AI$188,2,FALSE))</f>
        <v/>
      </c>
      <c r="AJ58" s="4798"/>
      <c r="AK58" s="1114"/>
      <c r="AL58" s="1108"/>
      <c r="AM58" s="1156"/>
      <c r="AN58" s="1156"/>
      <c r="AO58" s="1156"/>
      <c r="AP58" s="1156"/>
      <c r="AQ58" s="1156"/>
      <c r="AR58" s="1156"/>
      <c r="AS58" s="1156"/>
      <c r="AT58" s="1156"/>
      <c r="AU58" s="1156"/>
    </row>
    <row r="59" spans="1:47" ht="12" customHeight="1">
      <c r="A59" s="1108"/>
      <c r="B59" s="2619" t="b">
        <f t="shared" si="5"/>
        <v>0</v>
      </c>
      <c r="C59" s="1193" t="s">
        <v>1926</v>
      </c>
      <c r="D59" s="4808" t="s">
        <v>1993</v>
      </c>
      <c r="E59" s="4739"/>
      <c r="F59" s="4739"/>
      <c r="G59" s="4739"/>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799"/>
      <c r="W59" s="4736"/>
      <c r="X59" s="4736"/>
      <c r="Y59" s="4736"/>
      <c r="Z59" s="4736"/>
      <c r="AA59" s="4800"/>
      <c r="AB59" s="4777" t="str">
        <f>IF(V59="","",VLOOKUP(V59,TablasTec!$AD$5:$AI$188,3,FALSE))</f>
        <v/>
      </c>
      <c r="AD59" s="4799"/>
      <c r="AE59" s="4736"/>
      <c r="AF59" s="4736"/>
      <c r="AG59" s="4736"/>
      <c r="AH59" s="4736"/>
      <c r="AI59" s="4800"/>
      <c r="AJ59" s="4777" t="str">
        <f>IF(AD59="","",VLOOKUP(AD59,TablasTec!$AD$5:$AI$188,3,FALSE))</f>
        <v/>
      </c>
      <c r="AK59" s="1114"/>
      <c r="AL59" s="1108"/>
      <c r="AM59" s="1156"/>
      <c r="AN59" s="1156"/>
      <c r="AO59" s="1156"/>
      <c r="AP59" s="1156"/>
      <c r="AQ59" s="1156"/>
      <c r="AR59" s="1156"/>
      <c r="AS59" s="1156"/>
      <c r="AT59" s="1156"/>
      <c r="AU59" s="1156"/>
    </row>
    <row r="60" spans="1:47" ht="12" customHeight="1">
      <c r="A60" s="1108"/>
      <c r="B60" s="2619" t="b">
        <f t="shared" si="5"/>
        <v>0</v>
      </c>
      <c r="C60" s="1212"/>
      <c r="D60" s="1196" t="s">
        <v>1926</v>
      </c>
      <c r="E60" s="4808" t="s">
        <v>1995</v>
      </c>
      <c r="F60" s="4808"/>
      <c r="G60" s="4808"/>
      <c r="H60" s="2466">
        <f>IF(I60=0,40,"-")</f>
        <v>40</v>
      </c>
      <c r="I60" s="2467"/>
      <c r="J60" s="646"/>
      <c r="K60" s="1193" t="s">
        <v>1926</v>
      </c>
      <c r="L60" s="4808" t="s">
        <v>1996</v>
      </c>
      <c r="M60" s="4808"/>
      <c r="N60" s="4808"/>
      <c r="O60" s="4808"/>
      <c r="P60" s="2466">
        <f>IF(Q60=0,20,"-")</f>
        <v>20</v>
      </c>
      <c r="Q60" s="2467"/>
      <c r="R60" s="2619" t="b">
        <f t="shared" si="1"/>
        <v>0</v>
      </c>
      <c r="S60" s="2290"/>
      <c r="T60" s="2290"/>
      <c r="U60" s="1200"/>
      <c r="V60" s="4599" t="str">
        <f>IF(V59="","",VLOOKUP(V59,TablasTec!$AD$5:$AI$188,4,FALSE))</f>
        <v/>
      </c>
      <c r="W60" s="4547"/>
      <c r="X60" s="4547"/>
      <c r="Y60" s="4547"/>
      <c r="Z60" s="1235" t="s">
        <v>1627</v>
      </c>
      <c r="AA60" s="1237" t="str">
        <f>IF(V59="","",VLOOKUP(V59,TablasTec!$AD$5:$AI$188,2,FALSE))</f>
        <v/>
      </c>
      <c r="AB60" s="4777"/>
      <c r="AD60" s="4599" t="str">
        <f>IF(AD59="","",VLOOKUP(AD59,TablasTec!$AD$5:$AI$188,4,FALSE))</f>
        <v/>
      </c>
      <c r="AE60" s="4547"/>
      <c r="AF60" s="4547"/>
      <c r="AG60" s="4547"/>
      <c r="AH60" s="1235" t="s">
        <v>1627</v>
      </c>
      <c r="AI60" s="1237" t="str">
        <f>IF(AD59="","",VLOOKUP(AD59,TablasTec!$AD$5:$AI$188,2,FALSE))</f>
        <v/>
      </c>
      <c r="AJ60" s="4777"/>
      <c r="AK60" s="1114"/>
      <c r="AL60" s="1108"/>
      <c r="AM60" s="1156"/>
      <c r="AN60" s="1156"/>
      <c r="AO60" s="1156"/>
      <c r="AP60" s="1156"/>
      <c r="AQ60" s="1156"/>
      <c r="AR60" s="1156"/>
      <c r="AS60" s="1156"/>
      <c r="AT60" s="1156"/>
      <c r="AU60" s="1156"/>
    </row>
    <row r="61" spans="1:47" ht="12" customHeight="1">
      <c r="A61" s="1108"/>
      <c r="B61" s="2619" t="b">
        <f t="shared" si="5"/>
        <v>0</v>
      </c>
      <c r="C61" s="4738" t="s">
        <v>1997</v>
      </c>
      <c r="D61" s="4739"/>
      <c r="E61" s="4739"/>
      <c r="F61" s="4739"/>
      <c r="G61" s="4739"/>
      <c r="H61" s="2466">
        <f>IF(I61=0,30,"-")</f>
        <v>30</v>
      </c>
      <c r="I61" s="2467"/>
      <c r="J61" s="646"/>
      <c r="K61" s="1213"/>
      <c r="L61" s="1196" t="s">
        <v>1926</v>
      </c>
      <c r="M61" s="4808" t="s">
        <v>1998</v>
      </c>
      <c r="N61" s="4808"/>
      <c r="O61" s="4808"/>
      <c r="P61" s="2466">
        <f>IF(Q61=0,20,"-")</f>
        <v>20</v>
      </c>
      <c r="Q61" s="2467"/>
      <c r="R61" s="2619" t="b">
        <f t="shared" si="1"/>
        <v>0</v>
      </c>
      <c r="S61" s="2290"/>
      <c r="T61" s="2290"/>
      <c r="U61" s="1200">
        <f t="shared" si="2"/>
        <v>0</v>
      </c>
      <c r="V61" s="4796"/>
      <c r="W61" s="4753"/>
      <c r="X61" s="4753"/>
      <c r="Y61" s="4753"/>
      <c r="Z61" s="4753"/>
      <c r="AA61" s="4797"/>
      <c r="AB61" s="4798" t="str">
        <f>IF(V61="","",VLOOKUP(V61,TablasTec!$AD$5:$AI$188,3,FALSE))</f>
        <v/>
      </c>
      <c r="AD61" s="4796"/>
      <c r="AE61" s="4753"/>
      <c r="AF61" s="4753"/>
      <c r="AG61" s="4753"/>
      <c r="AH61" s="4753"/>
      <c r="AI61" s="4797"/>
      <c r="AJ61" s="4798" t="str">
        <f>IF(AD61="","",VLOOKUP(AD61,TablasTec!$AD$5:$AI$188,3,FALSE))</f>
        <v/>
      </c>
      <c r="AK61" s="1114"/>
      <c r="AL61" s="1108"/>
      <c r="AM61" s="1156"/>
      <c r="AN61" s="1156"/>
      <c r="AO61" s="1156"/>
      <c r="AP61" s="1156"/>
      <c r="AQ61" s="1156"/>
      <c r="AR61" s="1156"/>
      <c r="AS61" s="1156"/>
      <c r="AT61" s="1156"/>
      <c r="AU61" s="1156"/>
    </row>
    <row r="62" spans="1:47" ht="12" customHeight="1">
      <c r="A62" s="1108"/>
      <c r="B62" s="2619" t="b">
        <f t="shared" si="5"/>
        <v>0</v>
      </c>
      <c r="C62" s="4738" t="s">
        <v>1999</v>
      </c>
      <c r="D62" s="4739"/>
      <c r="E62" s="4739"/>
      <c r="F62" s="4739"/>
      <c r="G62" s="4739"/>
      <c r="H62" s="2466">
        <f>IF(I62=0,10,"-")</f>
        <v>10</v>
      </c>
      <c r="I62" s="2467"/>
      <c r="J62" s="646"/>
      <c r="K62" s="4738" t="s">
        <v>2000</v>
      </c>
      <c r="L62" s="4739"/>
      <c r="M62" s="4739"/>
      <c r="N62" s="4739"/>
      <c r="O62" s="4739"/>
      <c r="P62" s="2466">
        <f>IF(Q62=0,50,"-")</f>
        <v>50</v>
      </c>
      <c r="Q62" s="2467"/>
      <c r="R62" s="2619" t="b">
        <f t="shared" si="1"/>
        <v>0</v>
      </c>
      <c r="S62" s="2290"/>
      <c r="T62" s="2290"/>
      <c r="U62" s="1200"/>
      <c r="V62" s="4801" t="str">
        <f>IF(V61="","",VLOOKUP(V61,TablasTec!$AD$5:$AI$188,4,FALSE))</f>
        <v/>
      </c>
      <c r="W62" s="4802"/>
      <c r="X62" s="4802"/>
      <c r="Y62" s="4802"/>
      <c r="Z62" s="1171" t="s">
        <v>1627</v>
      </c>
      <c r="AA62" s="1202" t="str">
        <f>IF(V61="","",VLOOKUP(V61,TablasTec!$AD$5:$AI$188,2,FALSE))</f>
        <v/>
      </c>
      <c r="AB62" s="4798"/>
      <c r="AD62" s="4801" t="str">
        <f>IF(AD61="","",VLOOKUP(AD61,TablasTec!$AD$5:$AI$188,4,FALSE))</f>
        <v/>
      </c>
      <c r="AE62" s="4802"/>
      <c r="AF62" s="4802"/>
      <c r="AG62" s="4802"/>
      <c r="AH62" s="1171" t="s">
        <v>1627</v>
      </c>
      <c r="AI62" s="1202" t="str">
        <f>IF(AD61="","",VLOOKUP(AD61,TablasTec!$AD$5:$AI$188,2,FALSE))</f>
        <v/>
      </c>
      <c r="AJ62" s="4798"/>
      <c r="AK62" s="1114"/>
      <c r="AL62" s="1108"/>
      <c r="AM62" s="1156"/>
      <c r="AN62" s="1156"/>
      <c r="AO62" s="1156"/>
      <c r="AP62" s="1156"/>
      <c r="AQ62" s="1156"/>
      <c r="AR62" s="1156"/>
      <c r="AS62" s="1156"/>
      <c r="AT62" s="1156"/>
      <c r="AU62" s="1156"/>
    </row>
    <row r="63" spans="1:47" ht="12" customHeight="1">
      <c r="A63" s="1108"/>
      <c r="B63" s="2632">
        <f>IF(COUNTIF(HabilidadesEsenciales_Adquiridas,"Inhumanidad")+COUNTIF(Principal!V30:AE35,"Inhumanidad")&gt;0,1,0)</f>
        <v>0</v>
      </c>
      <c r="C63" s="4738" t="s">
        <v>2001</v>
      </c>
      <c r="D63" s="4739"/>
      <c r="E63" s="4739"/>
      <c r="F63" s="4739"/>
      <c r="G63" s="4739"/>
      <c r="H63" s="2466">
        <f>IF(I63=0,20,"-")</f>
        <v>20</v>
      </c>
      <c r="I63" s="2467"/>
      <c r="J63" s="646"/>
      <c r="K63" s="4738" t="s">
        <v>2001</v>
      </c>
      <c r="L63" s="4808"/>
      <c r="M63" s="4808"/>
      <c r="N63" s="4808"/>
      <c r="O63" s="4808"/>
      <c r="P63" s="2466">
        <f>IF(Q63=0,30,"-")</f>
        <v>30</v>
      </c>
      <c r="Q63" s="2467"/>
      <c r="R63" s="2619" t="b">
        <f>OR(Ki!$P63="-",Ki!$H63="-",Tablas!$H$1256&gt;0,Raza="Duk'zarist",Tablas!$P$258&gt;0,Tablas!P259&gt;0)</f>
        <v>0</v>
      </c>
      <c r="S63" s="2290"/>
      <c r="T63" s="2290"/>
      <c r="U63" s="1200">
        <f t="shared" si="2"/>
        <v>0</v>
      </c>
      <c r="V63" s="4799"/>
      <c r="W63" s="4736"/>
      <c r="X63" s="4736"/>
      <c r="Y63" s="4736"/>
      <c r="Z63" s="4736"/>
      <c r="AA63" s="4800"/>
      <c r="AB63" s="4777" t="str">
        <f>IF(V63="","",VLOOKUP(V63,TablasTec!$AD$5:$AI$188,3,FALSE))</f>
        <v/>
      </c>
      <c r="AD63" s="4799"/>
      <c r="AE63" s="4736"/>
      <c r="AF63" s="4736"/>
      <c r="AG63" s="4736"/>
      <c r="AH63" s="4736"/>
      <c r="AI63" s="4800"/>
      <c r="AJ63" s="4777" t="str">
        <f>IF(AD63="","",VLOOKUP(AD63,TablasTec!$AD$5:$AI$188,3,FALSE))</f>
        <v/>
      </c>
      <c r="AK63" s="1114"/>
      <c r="AL63" s="1108"/>
      <c r="AM63" s="1156"/>
      <c r="AN63" s="1156"/>
      <c r="AO63" s="1156"/>
      <c r="AP63" s="1156"/>
      <c r="AQ63" s="1156"/>
      <c r="AR63" s="1156"/>
      <c r="AS63" s="1156"/>
      <c r="AT63" s="1156"/>
      <c r="AU63" s="1156"/>
    </row>
    <row r="64" spans="1:47" ht="12" customHeight="1" thickBot="1">
      <c r="A64" s="1108"/>
      <c r="B64" s="2632">
        <f>IF(COUNTIF(HabilidadesEsenciales_Adquiridas,"Zen")+COUNTIF(Principal!V30:AE35,"Zen")&gt;0,1,0)</f>
        <v>0</v>
      </c>
      <c r="C64" s="1214" t="s">
        <v>1926</v>
      </c>
      <c r="D64" s="4846" t="s">
        <v>2002</v>
      </c>
      <c r="E64" s="4847"/>
      <c r="F64" s="4847"/>
      <c r="G64" s="4847"/>
      <c r="H64" s="1215">
        <f>IF(I64=0,40,"-")</f>
        <v>40</v>
      </c>
      <c r="I64" s="2469"/>
      <c r="J64" s="646"/>
      <c r="K64" s="1214" t="s">
        <v>1926</v>
      </c>
      <c r="L64" s="4846" t="s">
        <v>2002</v>
      </c>
      <c r="M64" s="4846"/>
      <c r="N64" s="4846"/>
      <c r="O64" s="4846"/>
      <c r="P64" s="1215">
        <f t="shared" ref="P64" si="6">IF(Q64=0,50,"-")</f>
        <v>50</v>
      </c>
      <c r="Q64" s="2469"/>
      <c r="R64" s="2619" t="b">
        <f>OR(Ki!$P64="-",Ki!$H64="-",Tablas!$H$1257&gt;0)</f>
        <v>0</v>
      </c>
      <c r="S64" s="2290"/>
      <c r="T64" s="2290"/>
      <c r="U64" s="1216"/>
      <c r="V64" s="4605" t="str">
        <f>IF(V63="","",VLOOKUP(V63,TablasTec!$AD$5:$AI$188,4,FALSE))</f>
        <v/>
      </c>
      <c r="W64" s="4564"/>
      <c r="X64" s="4564"/>
      <c r="Y64" s="4564"/>
      <c r="Z64" s="1217" t="s">
        <v>1627</v>
      </c>
      <c r="AA64" s="1238" t="str">
        <f>IF(V63="","",VLOOKUP(V63,TablasTec!$AD$5:$AI$188,2,FALSE))</f>
        <v/>
      </c>
      <c r="AB64" s="4845"/>
      <c r="AD64" s="4605" t="str">
        <f>IF(AD63="","",VLOOKUP(AD63,TablasTec!$AD$5:$AI$188,4,FALSE))</f>
        <v/>
      </c>
      <c r="AE64" s="4564"/>
      <c r="AF64" s="4564"/>
      <c r="AG64" s="4564"/>
      <c r="AH64" s="1217" t="s">
        <v>1627</v>
      </c>
      <c r="AI64" s="1238" t="str">
        <f>IF(AD63="","",VLOOKUP(AD63,TablasTec!$AD$5:$AI$188,2,FALSE))</f>
        <v/>
      </c>
      <c r="AJ64" s="4845"/>
      <c r="AK64" s="1114"/>
      <c r="AL64" s="1108"/>
      <c r="AM64" s="1156"/>
      <c r="AN64" s="1156"/>
      <c r="AO64" s="1156"/>
      <c r="AP64" s="1156"/>
      <c r="AQ64" s="1156"/>
      <c r="AR64" s="1156"/>
      <c r="AS64" s="1156"/>
      <c r="AT64" s="1156"/>
      <c r="AU64" s="1156"/>
    </row>
    <row r="65" spans="1:47" ht="12" customHeight="1" thickBot="1">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4"/>
      <c r="C83" s="546"/>
      <c r="D83" s="607"/>
      <c r="E83" s="1218"/>
      <c r="F83" s="1220"/>
      <c r="G83" s="607"/>
      <c r="H83" s="607"/>
      <c r="I83" s="607"/>
      <c r="J83" s="607"/>
      <c r="K83" s="607"/>
      <c r="L83" s="607"/>
      <c r="M83" s="607"/>
      <c r="N83" s="607"/>
      <c r="O83" s="607"/>
    </row>
    <row r="84" spans="1:47" ht="12" customHeight="1">
      <c r="A84" s="607"/>
      <c r="B84" s="2634"/>
      <c r="C84" s="546"/>
      <c r="D84" s="607"/>
      <c r="E84" s="1218"/>
      <c r="F84" s="1220"/>
      <c r="G84" s="607"/>
      <c r="H84" s="607"/>
      <c r="I84" s="607"/>
      <c r="J84" s="607"/>
      <c r="K84" s="607"/>
      <c r="L84" s="607"/>
      <c r="M84" s="607"/>
      <c r="N84" s="607"/>
      <c r="O84" s="607"/>
    </row>
    <row r="85" spans="1:47" ht="12" customHeight="1">
      <c r="A85" s="607"/>
      <c r="B85" s="2634"/>
      <c r="C85" s="546"/>
      <c r="D85" s="607"/>
      <c r="E85" s="1220"/>
      <c r="F85" s="1220"/>
      <c r="G85" s="607"/>
      <c r="H85" s="607"/>
      <c r="I85" s="607"/>
      <c r="J85" s="607"/>
      <c r="K85" s="607"/>
      <c r="L85" s="607"/>
      <c r="M85" s="607"/>
      <c r="N85" s="607"/>
      <c r="O85" s="607"/>
    </row>
    <row r="86" spans="1:47" ht="12" customHeight="1">
      <c r="A86" s="607"/>
      <c r="B86" s="2634"/>
      <c r="C86" s="1218"/>
      <c r="D86" s="607"/>
      <c r="E86" s="1218"/>
      <c r="F86" s="1220"/>
      <c r="G86" s="607"/>
      <c r="H86" s="607"/>
      <c r="I86" s="607"/>
      <c r="J86" s="607"/>
      <c r="K86" s="607"/>
      <c r="L86" s="607"/>
      <c r="M86" s="607"/>
      <c r="N86" s="607"/>
      <c r="O86" s="607"/>
      <c r="P86" s="607"/>
      <c r="Q86" s="607"/>
      <c r="U86" s="607"/>
    </row>
    <row r="87" spans="1:47" ht="12" customHeight="1">
      <c r="A87" s="607"/>
      <c r="B87" s="2634"/>
      <c r="C87" s="546"/>
      <c r="D87" s="607"/>
      <c r="E87" s="1218"/>
      <c r="F87" s="1220"/>
      <c r="G87" s="607"/>
      <c r="H87" s="607"/>
      <c r="I87" s="607"/>
      <c r="J87" s="607"/>
      <c r="K87" s="607"/>
      <c r="L87" s="607"/>
      <c r="M87" s="607"/>
      <c r="N87" s="607"/>
      <c r="O87" s="607"/>
      <c r="P87" s="607"/>
      <c r="Q87" s="607"/>
      <c r="U87" s="607"/>
    </row>
    <row r="88" spans="1:47" ht="12" customHeight="1">
      <c r="A88" s="607"/>
      <c r="B88" s="2634"/>
      <c r="C88" s="546"/>
      <c r="D88" s="607"/>
      <c r="E88" s="1218"/>
      <c r="F88" s="1220"/>
      <c r="G88" s="607"/>
      <c r="H88" s="607"/>
      <c r="I88" s="607"/>
      <c r="J88" s="607"/>
      <c r="K88" s="607"/>
      <c r="L88" s="607"/>
      <c r="M88" s="607"/>
      <c r="N88" s="607"/>
      <c r="O88" s="607"/>
      <c r="P88" s="607"/>
      <c r="Q88" s="607"/>
      <c r="U88" s="607"/>
    </row>
    <row r="89" spans="1:47" ht="12" customHeight="1">
      <c r="A89" s="607"/>
      <c r="B89" s="2634"/>
      <c r="C89" s="546"/>
      <c r="D89" s="607"/>
      <c r="E89" s="1167"/>
      <c r="F89" s="607"/>
      <c r="G89" s="607"/>
      <c r="H89" s="607"/>
      <c r="I89" s="607"/>
      <c r="J89" s="607"/>
      <c r="K89" s="607"/>
      <c r="L89" s="607"/>
      <c r="M89" s="607"/>
      <c r="N89" s="607"/>
      <c r="O89" s="607"/>
    </row>
    <row r="90" spans="1:47" ht="12" customHeight="1">
      <c r="A90" s="607"/>
      <c r="B90" s="2634"/>
      <c r="C90" s="546"/>
      <c r="D90" s="607"/>
      <c r="E90" s="607"/>
      <c r="F90" s="607"/>
      <c r="G90" s="607"/>
      <c r="H90" s="607"/>
      <c r="I90" s="607"/>
      <c r="J90" s="607"/>
      <c r="K90" s="607"/>
      <c r="L90" s="607"/>
      <c r="M90" s="607"/>
      <c r="N90" s="607"/>
      <c r="O90" s="607"/>
    </row>
    <row r="91" spans="1:47" ht="12" customHeight="1">
      <c r="A91" s="607"/>
      <c r="B91" s="2634"/>
      <c r="C91" s="546"/>
      <c r="D91" s="607"/>
      <c r="E91" s="607"/>
      <c r="F91" s="607"/>
      <c r="G91" s="607"/>
      <c r="H91" s="607"/>
      <c r="I91" s="607"/>
      <c r="J91" s="607"/>
      <c r="K91" s="607"/>
      <c r="L91" s="607"/>
      <c r="M91" s="607"/>
      <c r="N91" s="607"/>
      <c r="O91" s="607"/>
    </row>
    <row r="92" spans="1:47" ht="12" customHeight="1">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4"/>
      <c r="C93" s="546"/>
      <c r="D93" s="607"/>
      <c r="E93" s="607"/>
      <c r="F93" s="607"/>
      <c r="G93" s="607"/>
      <c r="H93" s="607"/>
      <c r="I93" s="607"/>
      <c r="J93" s="607"/>
      <c r="K93" s="607"/>
      <c r="L93" s="607"/>
      <c r="M93" s="607"/>
      <c r="N93" s="607"/>
      <c r="O93" s="607"/>
    </row>
    <row r="94" spans="1:47" ht="12" customHeight="1">
      <c r="A94" s="607"/>
      <c r="B94" s="2634"/>
      <c r="C94" s="546"/>
      <c r="D94" s="562"/>
      <c r="E94" s="1220"/>
      <c r="F94" s="562"/>
      <c r="G94" s="562"/>
      <c r="H94" s="562"/>
      <c r="I94" s="607"/>
      <c r="J94" s="607"/>
      <c r="K94" s="607"/>
      <c r="L94" s="607"/>
      <c r="M94" s="607"/>
      <c r="N94" s="607"/>
      <c r="O94" s="607"/>
    </row>
    <row r="95" spans="1:47" ht="12" customHeight="1">
      <c r="A95" s="607"/>
      <c r="B95" s="2634"/>
      <c r="C95" s="546"/>
      <c r="D95" s="562"/>
      <c r="E95" s="1218"/>
      <c r="F95" s="562"/>
      <c r="G95" s="562"/>
      <c r="H95" s="562"/>
      <c r="I95" s="607"/>
      <c r="J95" s="607"/>
      <c r="K95" s="607"/>
      <c r="L95" s="607"/>
      <c r="M95" s="607"/>
      <c r="N95" s="607"/>
      <c r="O95" s="607"/>
    </row>
    <row r="96" spans="1:47" ht="12" customHeight="1">
      <c r="A96" s="607"/>
      <c r="B96" s="2634"/>
      <c r="C96" s="546"/>
      <c r="D96" s="562"/>
      <c r="E96" s="1218"/>
      <c r="F96" s="607"/>
      <c r="G96" s="1177"/>
      <c r="H96" s="607"/>
      <c r="I96" s="607"/>
      <c r="J96" s="607"/>
      <c r="K96" s="607"/>
      <c r="L96" s="607"/>
      <c r="M96" s="607"/>
      <c r="N96" s="607"/>
      <c r="O96" s="607"/>
    </row>
    <row r="97" spans="1:15" ht="12" customHeight="1">
      <c r="A97" s="607"/>
      <c r="B97" s="2634"/>
      <c r="C97" s="546"/>
      <c r="D97" s="562"/>
      <c r="E97" s="1218"/>
      <c r="F97" s="607"/>
      <c r="G97" s="562"/>
      <c r="H97" s="607"/>
      <c r="I97" s="607"/>
      <c r="J97" s="607"/>
      <c r="K97" s="607"/>
      <c r="L97" s="607"/>
      <c r="M97" s="607"/>
      <c r="N97" s="607"/>
      <c r="O97" s="607"/>
    </row>
    <row r="98" spans="1:15" ht="12" customHeight="1">
      <c r="A98" s="607"/>
      <c r="B98" s="2634"/>
      <c r="C98" s="546"/>
      <c r="D98" s="562"/>
      <c r="E98" s="1218"/>
      <c r="F98" s="607"/>
      <c r="G98" s="562"/>
      <c r="H98" s="607"/>
      <c r="I98" s="607"/>
      <c r="J98" s="607"/>
      <c r="K98" s="607"/>
      <c r="L98" s="607"/>
      <c r="M98" s="607"/>
      <c r="N98" s="607"/>
      <c r="O98" s="607"/>
    </row>
    <row r="99" spans="1:15" ht="12" customHeight="1">
      <c r="A99" s="607"/>
      <c r="B99" s="2634"/>
      <c r="C99" s="1218"/>
      <c r="D99" s="562"/>
      <c r="E99" s="1218"/>
      <c r="F99" s="607"/>
      <c r="G99" s="562"/>
      <c r="H99" s="607"/>
      <c r="I99" s="607"/>
      <c r="J99" s="607"/>
      <c r="K99" s="607"/>
      <c r="L99" s="607"/>
      <c r="M99" s="607"/>
      <c r="N99" s="607"/>
      <c r="O99" s="607"/>
    </row>
    <row r="100" spans="1:15" ht="12" customHeight="1">
      <c r="A100" s="607"/>
      <c r="B100" s="2634"/>
      <c r="C100" s="546"/>
      <c r="D100" s="562"/>
      <c r="E100" s="562"/>
      <c r="F100" s="562"/>
      <c r="G100" s="1224"/>
      <c r="H100" s="607"/>
      <c r="I100" s="607"/>
      <c r="J100" s="607"/>
      <c r="K100" s="607"/>
      <c r="L100" s="607"/>
      <c r="M100" s="607"/>
      <c r="N100" s="607"/>
      <c r="O100" s="607"/>
    </row>
    <row r="101" spans="1:15" ht="12" customHeight="1">
      <c r="A101" s="607"/>
      <c r="B101" s="2634"/>
      <c r="C101" s="1218"/>
      <c r="D101" s="562"/>
      <c r="E101" s="562"/>
      <c r="F101" s="562"/>
      <c r="G101" s="562"/>
      <c r="H101" s="607"/>
      <c r="I101" s="607"/>
      <c r="J101" s="607"/>
      <c r="K101" s="607"/>
      <c r="L101" s="607"/>
      <c r="M101" s="607"/>
      <c r="N101" s="607"/>
      <c r="O101" s="607"/>
    </row>
    <row r="102" spans="1:15" ht="12" customHeight="1">
      <c r="A102" s="607"/>
      <c r="B102" s="2634"/>
      <c r="C102" s="1218"/>
      <c r="D102" s="562"/>
      <c r="E102" s="562"/>
      <c r="F102" s="562"/>
      <c r="G102" s="562"/>
      <c r="H102" s="607"/>
      <c r="I102" s="607"/>
      <c r="J102" s="607"/>
      <c r="K102" s="607"/>
      <c r="L102" s="607"/>
      <c r="M102" s="607"/>
      <c r="N102" s="607"/>
      <c r="O102" s="607"/>
    </row>
    <row r="103" spans="1:15" ht="12" customHeight="1">
      <c r="A103" s="607"/>
      <c r="B103" s="2634"/>
      <c r="C103" s="1218"/>
      <c r="D103" s="562"/>
      <c r="E103" s="562"/>
      <c r="F103" s="562"/>
      <c r="G103" s="562"/>
      <c r="H103" s="607"/>
      <c r="I103" s="607"/>
      <c r="J103" s="607"/>
      <c r="K103" s="607"/>
      <c r="L103" s="607"/>
      <c r="M103" s="607"/>
      <c r="N103" s="607"/>
      <c r="O103" s="607"/>
    </row>
    <row r="104" spans="1:15" ht="12" customHeight="1">
      <c r="A104" s="607"/>
      <c r="B104" s="2634"/>
      <c r="C104" s="546"/>
      <c r="D104" s="562"/>
      <c r="E104" s="1168"/>
      <c r="F104" s="562"/>
      <c r="G104" s="562"/>
      <c r="H104" s="607"/>
      <c r="I104" s="607"/>
      <c r="J104" s="607"/>
      <c r="K104" s="607"/>
      <c r="L104" s="607"/>
      <c r="M104" s="607"/>
      <c r="N104" s="607"/>
      <c r="O104" s="607"/>
    </row>
    <row r="105" spans="1:15" ht="12" customHeight="1">
      <c r="A105" s="607"/>
      <c r="B105" s="2634"/>
      <c r="C105" s="1218"/>
      <c r="D105" s="562"/>
      <c r="E105" s="1225"/>
      <c r="F105" s="562"/>
      <c r="G105" s="562"/>
      <c r="H105" s="607"/>
      <c r="I105" s="607"/>
      <c r="J105" s="607"/>
      <c r="K105" s="607"/>
      <c r="L105" s="607"/>
      <c r="M105" s="607"/>
      <c r="N105" s="607"/>
      <c r="O105" s="607"/>
    </row>
    <row r="106" spans="1:15" ht="12" customHeight="1">
      <c r="A106" s="607"/>
      <c r="B106" s="2634"/>
      <c r="C106" s="546"/>
      <c r="D106" s="562"/>
      <c r="E106" s="1226"/>
      <c r="F106" s="562"/>
      <c r="G106" s="562"/>
      <c r="H106" s="607"/>
      <c r="I106" s="607"/>
      <c r="J106" s="607"/>
      <c r="K106" s="607"/>
      <c r="L106" s="607"/>
      <c r="M106" s="607"/>
      <c r="N106" s="607"/>
      <c r="O106" s="607"/>
    </row>
    <row r="107" spans="1:15" ht="12" customHeight="1">
      <c r="A107" s="607"/>
      <c r="B107" s="2634"/>
      <c r="C107" s="1218"/>
      <c r="D107" s="562"/>
      <c r="E107" s="562"/>
      <c r="F107" s="562"/>
      <c r="G107" s="562"/>
      <c r="H107" s="607"/>
      <c r="I107" s="607"/>
      <c r="J107" s="607"/>
      <c r="K107" s="607"/>
      <c r="L107" s="607"/>
      <c r="M107" s="607"/>
      <c r="N107" s="607"/>
      <c r="O107" s="607"/>
    </row>
    <row r="108" spans="1:15" ht="12" customHeight="1">
      <c r="A108" s="607"/>
      <c r="B108" s="2634"/>
      <c r="C108" s="546"/>
      <c r="D108" s="562"/>
      <c r="E108" s="562"/>
      <c r="F108" s="562"/>
      <c r="G108" s="562"/>
      <c r="H108" s="607"/>
      <c r="I108" s="607"/>
      <c r="J108" s="607"/>
      <c r="K108" s="607"/>
      <c r="L108" s="607"/>
      <c r="M108" s="607"/>
      <c r="N108" s="607"/>
      <c r="O108" s="607"/>
    </row>
    <row r="109" spans="1:15" ht="12" customHeight="1">
      <c r="A109" s="607"/>
      <c r="B109" s="2634"/>
      <c r="C109" s="1218"/>
      <c r="D109" s="562"/>
      <c r="E109" s="1154"/>
      <c r="F109" s="562"/>
      <c r="G109" s="562"/>
      <c r="H109" s="607"/>
      <c r="I109" s="607"/>
      <c r="J109" s="607"/>
      <c r="K109" s="607"/>
      <c r="L109" s="607"/>
      <c r="M109" s="607"/>
      <c r="N109" s="607"/>
      <c r="O109" s="607"/>
    </row>
    <row r="110" spans="1:15" ht="12" customHeight="1">
      <c r="A110" s="607"/>
      <c r="B110" s="2634"/>
      <c r="C110" s="546"/>
      <c r="D110" s="562"/>
      <c r="E110" s="1154"/>
      <c r="F110" s="562"/>
      <c r="G110" s="562"/>
      <c r="H110" s="607"/>
      <c r="I110" s="607"/>
      <c r="J110" s="607"/>
      <c r="K110" s="607"/>
      <c r="L110" s="607"/>
      <c r="M110" s="607"/>
      <c r="N110" s="607"/>
      <c r="O110" s="607"/>
    </row>
    <row r="111" spans="1:15" ht="12" customHeight="1">
      <c r="A111" s="607"/>
      <c r="B111" s="2634"/>
      <c r="C111" s="546"/>
      <c r="D111" s="562"/>
      <c r="E111" s="1154"/>
      <c r="F111" s="562"/>
      <c r="G111" s="562"/>
      <c r="H111" s="607"/>
      <c r="I111" s="607"/>
      <c r="J111" s="607"/>
      <c r="K111" s="607"/>
      <c r="L111" s="607"/>
      <c r="M111" s="607"/>
      <c r="N111" s="607"/>
      <c r="O111" s="607"/>
    </row>
    <row r="112" spans="1:15" ht="12" customHeight="1">
      <c r="A112" s="607"/>
      <c r="B112" s="2634"/>
      <c r="C112" s="546"/>
      <c r="D112" s="562"/>
      <c r="E112" s="1154"/>
      <c r="F112" s="562"/>
      <c r="G112" s="562"/>
      <c r="H112" s="1227"/>
      <c r="I112" s="607"/>
      <c r="J112" s="607"/>
      <c r="K112" s="607"/>
      <c r="L112" s="607"/>
      <c r="M112" s="607"/>
      <c r="N112" s="607"/>
      <c r="O112" s="607"/>
    </row>
    <row r="113" spans="1:36" ht="12" customHeight="1">
      <c r="A113" s="607"/>
      <c r="B113" s="2634"/>
      <c r="C113" s="546"/>
      <c r="D113" s="562"/>
      <c r="E113" s="1154"/>
      <c r="F113" s="562"/>
      <c r="G113" s="562"/>
      <c r="H113" s="1167"/>
      <c r="I113" s="607"/>
      <c r="J113" s="607"/>
      <c r="K113" s="607"/>
      <c r="L113" s="607"/>
      <c r="M113" s="607"/>
      <c r="N113" s="607"/>
      <c r="O113" s="607"/>
    </row>
    <row r="114" spans="1:36" ht="12" customHeight="1">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4"/>
      <c r="C115" s="1218"/>
      <c r="D115" s="562"/>
      <c r="E115" s="1154"/>
      <c r="F115" s="562"/>
      <c r="G115" s="562"/>
      <c r="H115" s="1167"/>
      <c r="I115" s="607"/>
      <c r="J115" s="607"/>
      <c r="K115" s="607"/>
      <c r="L115" s="607"/>
      <c r="M115" s="607"/>
      <c r="N115" s="607"/>
      <c r="O115" s="607"/>
    </row>
    <row r="116" spans="1:36" ht="12" customHeight="1">
      <c r="A116" s="607"/>
      <c r="B116" s="2634"/>
      <c r="C116" s="546"/>
      <c r="D116" s="562"/>
      <c r="E116" s="1154"/>
      <c r="F116" s="562"/>
      <c r="G116" s="562"/>
      <c r="H116" s="1167"/>
      <c r="I116" s="607"/>
      <c r="J116" s="607"/>
      <c r="K116" s="607"/>
      <c r="L116" s="607"/>
      <c r="M116" s="607"/>
      <c r="N116" s="607"/>
      <c r="O116" s="607"/>
    </row>
    <row r="117" spans="1:36" ht="12" customHeight="1">
      <c r="A117" s="607"/>
      <c r="B117" s="2634"/>
      <c r="C117" s="1218"/>
      <c r="D117" s="562"/>
      <c r="E117" s="1154"/>
      <c r="F117" s="562"/>
      <c r="G117" s="562"/>
      <c r="H117" s="1228"/>
      <c r="I117" s="607"/>
      <c r="J117" s="607"/>
      <c r="K117" s="607"/>
      <c r="L117" s="607"/>
      <c r="M117" s="607"/>
      <c r="N117" s="607"/>
      <c r="O117" s="607"/>
    </row>
    <row r="118" spans="1:36" ht="12" customHeight="1">
      <c r="A118" s="607"/>
      <c r="B118" s="2634"/>
      <c r="C118" s="546"/>
      <c r="D118" s="562"/>
      <c r="E118" s="1154"/>
      <c r="F118" s="562"/>
      <c r="G118" s="562"/>
      <c r="H118" s="562"/>
      <c r="I118" s="607"/>
      <c r="J118" s="607"/>
      <c r="K118" s="607"/>
      <c r="L118" s="607"/>
      <c r="M118" s="607"/>
      <c r="N118" s="607"/>
      <c r="O118" s="607"/>
    </row>
    <row r="119" spans="1:36" ht="12" customHeight="1">
      <c r="A119" s="607"/>
      <c r="B119" s="2634"/>
      <c r="C119" s="1218"/>
      <c r="D119" s="607"/>
      <c r="E119" s="1150"/>
      <c r="F119" s="607"/>
      <c r="G119" s="607"/>
      <c r="H119" s="607"/>
      <c r="I119" s="607"/>
      <c r="J119" s="607"/>
      <c r="K119" s="607"/>
      <c r="L119" s="607"/>
      <c r="M119" s="607"/>
      <c r="N119" s="607"/>
      <c r="O119" s="607"/>
    </row>
    <row r="120" spans="1:36" ht="12" customHeight="1">
      <c r="A120" s="607"/>
      <c r="B120" s="2634"/>
      <c r="C120" s="546"/>
      <c r="D120" s="607"/>
      <c r="E120" s="1150"/>
      <c r="F120" s="607"/>
      <c r="G120" s="607"/>
      <c r="H120" s="607"/>
      <c r="I120" s="607"/>
      <c r="J120" s="607"/>
      <c r="K120" s="607"/>
      <c r="L120" s="607"/>
      <c r="M120" s="607"/>
      <c r="N120" s="607"/>
      <c r="O120" s="607"/>
    </row>
    <row r="121" spans="1:36" ht="12" customHeight="1">
      <c r="A121" s="607"/>
      <c r="B121" s="2634"/>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408" priority="94" stopIfTrue="1">
      <formula>H28=0</formula>
    </cfRule>
  </conditionalFormatting>
  <conditionalFormatting sqref="Y11:Y20">
    <cfRule type="expression" dxfId="407" priority="93" stopIfTrue="1">
      <formula>X11=0</formula>
    </cfRule>
  </conditionalFormatting>
  <conditionalFormatting sqref="C56:G56">
    <cfRule type="expression" dxfId="406" priority="91" stopIfTrue="1">
      <formula>AND(NOT($H$43="-"),$H$56="-")</formula>
    </cfRule>
    <cfRule type="expression" dxfId="405" priority="92" stopIfTrue="1">
      <formula>$H$56="-"</formula>
    </cfRule>
  </conditionalFormatting>
  <conditionalFormatting sqref="D57:G57">
    <cfRule type="expression" dxfId="404" priority="90" stopIfTrue="1">
      <formula>AND(NOT($H$56="-"),$H$57="-")</formula>
    </cfRule>
  </conditionalFormatting>
  <conditionalFormatting sqref="D58:G58">
    <cfRule type="expression" dxfId="403" priority="88" stopIfTrue="1">
      <formula>AND(NOT($H$56="-"),$H$58="-")</formula>
    </cfRule>
    <cfRule type="expression" dxfId="402" priority="89" stopIfTrue="1">
      <formula>$H$58="-"</formula>
    </cfRule>
  </conditionalFormatting>
  <conditionalFormatting sqref="H28:I28">
    <cfRule type="expression" dxfId="401" priority="87" stopIfTrue="1">
      <formula>$G$28=0</formula>
    </cfRule>
  </conditionalFormatting>
  <conditionalFormatting sqref="K12:O12">
    <cfRule type="expression" dxfId="400" priority="86" stopIfTrue="1">
      <formula>AND(NOT($P$10="-"),$P$12="-")</formula>
    </cfRule>
  </conditionalFormatting>
  <conditionalFormatting sqref="L13:O13">
    <cfRule type="expression" dxfId="399" priority="84" stopIfTrue="1">
      <formula>AND(NOT($P$12="-"),$P$13="-")</formula>
    </cfRule>
    <cfRule type="expression" dxfId="398" priority="85" stopIfTrue="1">
      <formula>$P$13="-"</formula>
    </cfRule>
  </conditionalFormatting>
  <conditionalFormatting sqref="M14:O14">
    <cfRule type="expression" dxfId="397" priority="83" stopIfTrue="1">
      <formula>AND(NOT($P$13="-"),$P$14="-")</formula>
    </cfRule>
  </conditionalFormatting>
  <conditionalFormatting sqref="L15:O15">
    <cfRule type="expression" dxfId="396" priority="82" stopIfTrue="1">
      <formula>AND(NOT($P$12="-"),$P$15="-")</formula>
    </cfRule>
  </conditionalFormatting>
  <conditionalFormatting sqref="L16:O16">
    <cfRule type="expression" dxfId="395" priority="80" stopIfTrue="1">
      <formula>AND(NOT($P$12="-"),$P$16="-")</formula>
    </cfRule>
    <cfRule type="expression" dxfId="394" priority="81" stopIfTrue="1">
      <formula>$P$16="-"</formula>
    </cfRule>
  </conditionalFormatting>
  <conditionalFormatting sqref="M17:O17">
    <cfRule type="expression" dxfId="393" priority="79" stopIfTrue="1">
      <formula>AND(NOT($P$16="-"),$P$17="-")</formula>
    </cfRule>
  </conditionalFormatting>
  <conditionalFormatting sqref="N18:O18">
    <cfRule type="expression" dxfId="392" priority="78" stopIfTrue="1">
      <formula>AND(NOT($P$17="-"),$P$18="-")</formula>
    </cfRule>
  </conditionalFormatting>
  <conditionalFormatting sqref="M19:O19">
    <cfRule type="expression" dxfId="391" priority="77" stopIfTrue="1">
      <formula>AND(NOT($P$16="-"),$P$19="-")</formula>
    </cfRule>
  </conditionalFormatting>
  <conditionalFormatting sqref="N20:O20">
    <cfRule type="expression" dxfId="390" priority="76" stopIfTrue="1">
      <formula>AND(NOT($P$19="-"),$P$20="-")</formula>
    </cfRule>
  </conditionalFormatting>
  <conditionalFormatting sqref="N21:O21">
    <cfRule type="expression" dxfId="389" priority="75" stopIfTrue="1">
      <formula>AND(NOT($P$20="-"),$P$21="-")</formula>
    </cfRule>
  </conditionalFormatting>
  <conditionalFormatting sqref="N22:O22">
    <cfRule type="expression" dxfId="388" priority="74" stopIfTrue="1">
      <formula>AND(NOT($P$19="-"),$P$22="-")</formula>
    </cfRule>
  </conditionalFormatting>
  <conditionalFormatting sqref="N23:O23">
    <cfRule type="expression" dxfId="387" priority="73" stopIfTrue="1">
      <formula>AND(NOT($P$22="-"),$P$23="-")</formula>
    </cfRule>
  </conditionalFormatting>
  <conditionalFormatting sqref="M24:O24">
    <cfRule type="expression" dxfId="386" priority="72" stopIfTrue="1">
      <formula>AND(NOT($P$16="-"),$P$24="-")</formula>
    </cfRule>
  </conditionalFormatting>
  <conditionalFormatting sqref="L25:O25">
    <cfRule type="expression" dxfId="385" priority="71" stopIfTrue="1">
      <formula>AND(NOT($P$12="-"),$P$25="-")</formula>
    </cfRule>
  </conditionalFormatting>
  <conditionalFormatting sqref="L26:O26">
    <cfRule type="expression" dxfId="384" priority="70" stopIfTrue="1">
      <formula>AND(NOT($P$12="-"),$P$26="-")</formula>
    </cfRule>
  </conditionalFormatting>
  <conditionalFormatting sqref="K27:O27">
    <cfRule type="expression" dxfId="383" priority="69" stopIfTrue="1">
      <formula>AND(NOT($P$10="-"),$P$27="-")</formula>
    </cfRule>
  </conditionalFormatting>
  <conditionalFormatting sqref="L28:O28">
    <cfRule type="expression" dxfId="382" priority="68" stopIfTrue="1">
      <formula>AND(NOT($P$27="-"),$P$28="-")</formula>
    </cfRule>
  </conditionalFormatting>
  <conditionalFormatting sqref="M29:O29">
    <cfRule type="expression" dxfId="381" priority="67" stopIfTrue="1">
      <formula>AND(NOT($P$28="-"),$P$29="-")</formula>
    </cfRule>
  </conditionalFormatting>
  <conditionalFormatting sqref="N30:O30">
    <cfRule type="expression" dxfId="380" priority="66" stopIfTrue="1">
      <formula>AND(NOT($P$28="-"),$P$30="-")</formula>
    </cfRule>
  </conditionalFormatting>
  <conditionalFormatting sqref="M31:O31">
    <cfRule type="expression" dxfId="379" priority="65" stopIfTrue="1">
      <formula>AND(NOT($P$28="-"),$P$31="-")</formula>
    </cfRule>
  </conditionalFormatting>
  <conditionalFormatting sqref="K32:O32">
    <cfRule type="expression" dxfId="378" priority="64" stopIfTrue="1">
      <formula>AND(NOT($P$10="-"),$P$32="-")</formula>
    </cfRule>
  </conditionalFormatting>
  <conditionalFormatting sqref="L33:O33">
    <cfRule type="expression" dxfId="377" priority="62" stopIfTrue="1">
      <formula>AND(NOT($P$32="-"),$P$33="-")</formula>
    </cfRule>
    <cfRule type="expression" dxfId="376" priority="63" stopIfTrue="1">
      <formula>$P$33="-"</formula>
    </cfRule>
  </conditionalFormatting>
  <conditionalFormatting sqref="M37:O37">
    <cfRule type="expression" dxfId="375" priority="61" stopIfTrue="1">
      <formula>AND(NOT($P$36="-"),$P$37="-")</formula>
    </cfRule>
  </conditionalFormatting>
  <conditionalFormatting sqref="M38:O38">
    <cfRule type="expression" dxfId="374" priority="59" stopIfTrue="1">
      <formula>AND(NOT($P$36="-"),$P$38="-")</formula>
    </cfRule>
    <cfRule type="expression" dxfId="373" priority="60" stopIfTrue="1">
      <formula>$P$38="-"</formula>
    </cfRule>
  </conditionalFormatting>
  <conditionalFormatting sqref="M40:O40">
    <cfRule type="expression" dxfId="372" priority="57" stopIfTrue="1">
      <formula>AND(NOT($P$36="-"),$P$40="-")</formula>
    </cfRule>
    <cfRule type="expression" dxfId="371" priority="58" stopIfTrue="1">
      <formula>$P$40="-"</formula>
    </cfRule>
  </conditionalFormatting>
  <conditionalFormatting sqref="L41:O41">
    <cfRule type="expression" dxfId="370" priority="56" stopIfTrue="1">
      <formula>AND(NOT($P$32="-"),$P$41="-")</formula>
    </cfRule>
  </conditionalFormatting>
  <conditionalFormatting sqref="L42:O42">
    <cfRule type="expression" dxfId="369" priority="55" stopIfTrue="1">
      <formula>AND(NOT($P$32="-"),$P$42="-")</formula>
    </cfRule>
  </conditionalFormatting>
  <conditionalFormatting sqref="L43:O43">
    <cfRule type="expression" dxfId="368" priority="54" stopIfTrue="1">
      <formula>AND(NOT($P$32="-"),$P$43="-")</formula>
    </cfRule>
  </conditionalFormatting>
  <conditionalFormatting sqref="K44:O44">
    <cfRule type="expression" dxfId="367" priority="53" stopIfTrue="1">
      <formula>AND(NOT($P$10="-"),$P$44="-")</formula>
    </cfRule>
  </conditionalFormatting>
  <conditionalFormatting sqref="L45:O45">
    <cfRule type="expression" dxfId="366" priority="52" stopIfTrue="1">
      <formula>AND(NOT($P$44="-"),$P$45="-")</formula>
    </cfRule>
  </conditionalFormatting>
  <conditionalFormatting sqref="M46:O46">
    <cfRule type="expression" dxfId="365" priority="51" stopIfTrue="1">
      <formula>AND(NOT($P$45="-"),$P$46="-")</formula>
    </cfRule>
  </conditionalFormatting>
  <conditionalFormatting sqref="M47:O47">
    <cfRule type="expression" dxfId="364" priority="50" stopIfTrue="1">
      <formula>AND(NOT($P$45="-"),$P$47="-")</formula>
    </cfRule>
  </conditionalFormatting>
  <conditionalFormatting sqref="L48:O48">
    <cfRule type="expression" dxfId="363" priority="49" stopIfTrue="1">
      <formula>AND(NOT($P$44="-"),$P$48="-")</formula>
    </cfRule>
  </conditionalFormatting>
  <conditionalFormatting sqref="K49:O49">
    <cfRule type="expression" dxfId="362" priority="48" stopIfTrue="1">
      <formula>AND(NOT($P$10="-"),$P$49="-")</formula>
    </cfRule>
  </conditionalFormatting>
  <conditionalFormatting sqref="L50:O50">
    <cfRule type="expression" dxfId="361" priority="46" stopIfTrue="1">
      <formula>AND(NOT($P$49="-"),Raza&lt;&gt;"D'Anjayni",Nephilim&lt;&gt;"Nephilim D'Anjayni",$P$50="-")</formula>
    </cfRule>
  </conditionalFormatting>
  <conditionalFormatting sqref="M51:O52">
    <cfRule type="expression" dxfId="360" priority="44" stopIfTrue="1">
      <formula>AND(NOT(OcultacióndelKi),$P51="-")</formula>
    </cfRule>
  </conditionalFormatting>
  <conditionalFormatting sqref="L53:O53">
    <cfRule type="expression" dxfId="359" priority="43" stopIfTrue="1">
      <formula>AND(NOT($P$49="-"),$P$53="-")</formula>
    </cfRule>
  </conditionalFormatting>
  <conditionalFormatting sqref="M54:O54">
    <cfRule type="expression" dxfId="358" priority="42" stopIfTrue="1">
      <formula>AND(NOT($P$53="-"),$P$54="-")</formula>
    </cfRule>
  </conditionalFormatting>
  <conditionalFormatting sqref="M55:O55">
    <cfRule type="expression" dxfId="357" priority="41" stopIfTrue="1">
      <formula>AND(NOT($P$53="-"),$P$55="-")</formula>
    </cfRule>
  </conditionalFormatting>
  <conditionalFormatting sqref="M56:O56">
    <cfRule type="expression" dxfId="356" priority="40" stopIfTrue="1">
      <formula>AND(NOT($P$53="-"),$P$56="-")</formula>
    </cfRule>
  </conditionalFormatting>
  <conditionalFormatting sqref="L57:O57">
    <cfRule type="expression" dxfId="355" priority="38" stopIfTrue="1">
      <formula>AND(NOT($P$49="-"),$P$57="-")</formula>
    </cfRule>
    <cfRule type="expression" dxfId="354" priority="39" stopIfTrue="1">
      <formula>$P$57="-"</formula>
    </cfRule>
  </conditionalFormatting>
  <conditionalFormatting sqref="M58:O58">
    <cfRule type="expression" dxfId="353" priority="37" stopIfTrue="1">
      <formula>AND(NOT($P$57="-"),$P$58="-")</formula>
    </cfRule>
  </conditionalFormatting>
  <conditionalFormatting sqref="N59:O59">
    <cfRule type="expression" dxfId="352" priority="36" stopIfTrue="1">
      <formula>AND(NOT($P$57="-"),$P$59="-")</formula>
    </cfRule>
  </conditionalFormatting>
  <conditionalFormatting sqref="L60:O60">
    <cfRule type="expression" dxfId="351" priority="35" stopIfTrue="1">
      <formula>AND(NOT($P$49="-"),$P$60="-")</formula>
    </cfRule>
  </conditionalFormatting>
  <conditionalFormatting sqref="M61:O61">
    <cfRule type="expression" dxfId="350" priority="34" stopIfTrue="1">
      <formula>AND(NOT($P$60="-"),$P$61="-")</formula>
    </cfRule>
  </conditionalFormatting>
  <conditionalFormatting sqref="K62:O62">
    <cfRule type="expression" dxfId="349" priority="33" stopIfTrue="1">
      <formula>AND(NOT($P$10="-"),$P$62="-")</formula>
    </cfRule>
  </conditionalFormatting>
  <conditionalFormatting sqref="C45:G45">
    <cfRule type="expression" dxfId="348" priority="32" stopIfTrue="1">
      <formula>AND(NOT($H$43="-"),$H$45="-")</formula>
    </cfRule>
  </conditionalFormatting>
  <conditionalFormatting sqref="D46:G46">
    <cfRule type="expression" dxfId="347" priority="31" stopIfTrue="1">
      <formula>AND(NOT($H$45="-"),$H$46="-")</formula>
    </cfRule>
  </conditionalFormatting>
  <conditionalFormatting sqref="C47:G47">
    <cfRule type="expression" dxfId="346" priority="30" stopIfTrue="1">
      <formula>AND(NOT($H$43="-"),$H$47="-")</formula>
    </cfRule>
  </conditionalFormatting>
  <conditionalFormatting sqref="D48:G48">
    <cfRule type="expression" dxfId="345" priority="29" stopIfTrue="1">
      <formula>AND(NOT($H$47="-"),$H$48="-")</formula>
    </cfRule>
  </conditionalFormatting>
  <conditionalFormatting sqref="C49:G49">
    <cfRule type="expression" dxfId="344" priority="28" stopIfTrue="1">
      <formula>AND(NOT($H$43="-"),$H$49="-")</formula>
    </cfRule>
  </conditionalFormatting>
  <conditionalFormatting sqref="D50:G50">
    <cfRule type="expression" dxfId="343" priority="27" stopIfTrue="1">
      <formula>AND(NOT($H$49="-"),$H$50="-")</formula>
    </cfRule>
  </conditionalFormatting>
  <conditionalFormatting sqref="C51:G51">
    <cfRule type="expression" dxfId="342" priority="26" stopIfTrue="1">
      <formula>AND(NOT($H$43="-"),$H$51="-")</formula>
    </cfRule>
  </conditionalFormatting>
  <conditionalFormatting sqref="D52:G52">
    <cfRule type="expression" dxfId="341" priority="25" stopIfTrue="1">
      <formula>AND(NOT($H$51="-"),$H$52="-")</formula>
    </cfRule>
  </conditionalFormatting>
  <conditionalFormatting sqref="C53:G53">
    <cfRule type="expression" dxfId="340" priority="24" stopIfTrue="1">
      <formula>AND(NOT($H$43="-"),$H$53="-")</formula>
    </cfRule>
  </conditionalFormatting>
  <conditionalFormatting sqref="C54:G54">
    <cfRule type="expression" dxfId="339" priority="23" stopIfTrue="1">
      <formula>AND(NOT($H$43="-"),$H$54="-")</formula>
    </cfRule>
  </conditionalFormatting>
  <conditionalFormatting sqref="D59:G59">
    <cfRule type="expression" dxfId="338" priority="22" stopIfTrue="1">
      <formula>AND(NOT($H$56="-"),$H$59="-")</formula>
    </cfRule>
  </conditionalFormatting>
  <conditionalFormatting sqref="E60:G60">
    <cfRule type="expression" dxfId="337" priority="21" stopIfTrue="1">
      <formula>AND(NOT($H$59="-"),$H$60="-")</formula>
    </cfRule>
  </conditionalFormatting>
  <conditionalFormatting sqref="I39">
    <cfRule type="cellIs" dxfId="336" priority="20" stopIfTrue="1" operator="lessThan">
      <formula>0</formula>
    </cfRule>
  </conditionalFormatting>
  <conditionalFormatting sqref="C61:G61">
    <cfRule type="expression" dxfId="335" priority="19" stopIfTrue="1">
      <formula>AND(NOT($H$43="-"),$H$61="-")</formula>
    </cfRule>
  </conditionalFormatting>
  <conditionalFormatting sqref="C62:G62">
    <cfRule type="expression" dxfId="334" priority="18" stopIfTrue="1">
      <formula>AND(NOT($H$43="-"),$H$62="-")</formula>
    </cfRule>
  </conditionalFormatting>
  <conditionalFormatting sqref="E29:F30">
    <cfRule type="cellIs" dxfId="333" priority="17" stopIfTrue="1" operator="greaterThan">
      <formula>$C$29</formula>
    </cfRule>
  </conditionalFormatting>
  <conditionalFormatting sqref="M34:O34">
    <cfRule type="expression" dxfId="332" priority="16" stopIfTrue="1">
      <formula>AND(NOT($P$33="-"),$P$34="-")</formula>
    </cfRule>
  </conditionalFormatting>
  <conditionalFormatting sqref="N35:O35">
    <cfRule type="expression" dxfId="331" priority="14" stopIfTrue="1">
      <formula>AND(NOT($P$34="-"),$P$35="-")</formula>
    </cfRule>
    <cfRule type="expression" dxfId="330" priority="15" stopIfTrue="1">
      <formula>$P$35="-"</formula>
    </cfRule>
  </conditionalFormatting>
  <conditionalFormatting sqref="L36:O36">
    <cfRule type="expression" dxfId="329" priority="12" stopIfTrue="1">
      <formula>AND(NOT($P$32="-"),$P$36="-")</formula>
    </cfRule>
    <cfRule type="expression" dxfId="328" priority="13" stopIfTrue="1">
      <formula>AND($P$36="-",$M$39="Alcance incrementado")</formula>
    </cfRule>
  </conditionalFormatting>
  <conditionalFormatting sqref="M39:O39">
    <cfRule type="expression" dxfId="327" priority="10" stopIfTrue="1">
      <formula>AND(NOT($P$36="-"),$P$39="-")</formula>
    </cfRule>
    <cfRule type="expression" dxfId="326" priority="11" stopIfTrue="1">
      <formula>AND($P$39="-",$M$39="Aura incrementada")</formula>
    </cfRule>
  </conditionalFormatting>
  <conditionalFormatting sqref="D55:G55">
    <cfRule type="expression" dxfId="325" priority="9" stopIfTrue="1">
      <formula>AND(NOT($H$54="-"),$H$55="-")</formula>
    </cfRule>
  </conditionalFormatting>
  <conditionalFormatting sqref="K63:O63">
    <cfRule type="expression" dxfId="324" priority="4812" stopIfTrue="1">
      <formula>AND(NOT($P$10="-"),$P$63="-",NOT($B$63=1))</formula>
    </cfRule>
    <cfRule type="expression" dxfId="323" priority="4813" stopIfTrue="1">
      <formula>$P$63="-"</formula>
    </cfRule>
  </conditionalFormatting>
  <conditionalFormatting sqref="L64:O64">
    <cfRule type="expression" dxfId="322" priority="4814" stopIfTrue="1">
      <formula>AND(NOT($P$63="-"),$P$64="-",NOT($B$64=1))</formula>
    </cfRule>
    <cfRule type="expression" dxfId="321" priority="4815" stopIfTrue="1">
      <formula>$P$64="-"</formula>
    </cfRule>
  </conditionalFormatting>
  <conditionalFormatting sqref="C63:G63">
    <cfRule type="expression" dxfId="320" priority="4816" stopIfTrue="1">
      <formula>AND(NOT($H$43="-"),$H$63="-",NOT($B$63=1))</formula>
    </cfRule>
    <cfRule type="expression" dxfId="319" priority="4817" stopIfTrue="1">
      <formula>$H$63="-"</formula>
    </cfRule>
  </conditionalFormatting>
  <conditionalFormatting sqref="D64:G64">
    <cfRule type="expression" dxfId="318" priority="4818" stopIfTrue="1">
      <formula>AND(NOT($H$63="-"),$H$64="-",NOT($B$64=1))</formula>
    </cfRule>
    <cfRule type="expression" dxfId="317"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TablasTec!$AD$5:$AD$188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64BF0-5CA8-4A85-AA52-1B2E40ABD1C8}">
  <sheetPr codeName="Hoja12">
    <tabColor theme="0" tint="-0.499984740745262"/>
  </sheetPr>
  <dimension ref="A1:AY767"/>
  <sheetViews>
    <sheetView topLeftCell="A130" zoomScale="115" zoomScaleNormal="115" workbookViewId="0">
      <selection activeCell="G71" sqref="G71"/>
    </sheetView>
  </sheetViews>
  <sheetFormatPr defaultColWidth="11.42578125" defaultRowHeight="12" customHeight="1"/>
  <cols>
    <col min="1" max="1" width="5.7109375" style="3196" customWidth="1"/>
    <col min="2" max="2" width="31.5703125" style="3195" customWidth="1"/>
    <col min="3" max="3" width="22.28515625" style="3195" customWidth="1"/>
    <col min="4" max="4" width="17.28515625" style="3195" customWidth="1"/>
    <col min="5" max="14" width="5.7109375" style="3195" customWidth="1"/>
    <col min="15" max="15" width="17.85546875" style="3195" customWidth="1"/>
    <col min="16" max="16" width="11.140625" style="3195" customWidth="1"/>
    <col min="17" max="24" width="5.7109375" style="3195" customWidth="1"/>
    <col min="25" max="29" width="11.42578125" style="3197"/>
    <col min="30" max="30" width="5.7109375" style="3195" customWidth="1"/>
    <col min="31" max="51" width="11.42578125" style="3197"/>
    <col min="52" max="16384" width="11.42578125" style="3195"/>
  </cols>
  <sheetData>
    <row r="1" spans="1:51" ht="12" customHeight="1">
      <c r="W1" s="470"/>
      <c r="X1" s="470"/>
      <c r="AD1" s="470"/>
    </row>
    <row r="2" spans="1:51" ht="12" customHeight="1">
      <c r="B2" s="4848" t="s">
        <v>10310</v>
      </c>
      <c r="C2" s="4848"/>
      <c r="AD2" s="470"/>
    </row>
    <row r="3" spans="1:51" ht="12" customHeight="1">
      <c r="A3" s="470"/>
      <c r="B3" s="3198" t="s">
        <v>10309</v>
      </c>
      <c r="C3" s="3198" t="s">
        <v>10323</v>
      </c>
      <c r="D3" s="3198" t="s">
        <v>1708</v>
      </c>
      <c r="E3" s="3198" t="s">
        <v>1679</v>
      </c>
      <c r="F3" s="3208" t="s">
        <v>10324</v>
      </c>
      <c r="G3" s="3198" t="s">
        <v>10325</v>
      </c>
      <c r="H3" s="3198" t="s">
        <v>10323</v>
      </c>
      <c r="I3" s="3198" t="s">
        <v>10323</v>
      </c>
      <c r="AD3" s="470"/>
    </row>
    <row r="4" spans="1:51" ht="12" customHeight="1">
      <c r="A4" s="470"/>
      <c r="B4" s="1971" t="s">
        <v>3290</v>
      </c>
      <c r="C4" s="1971" t="s">
        <v>1766</v>
      </c>
      <c r="D4" s="1971" t="s">
        <v>1766</v>
      </c>
      <c r="E4" s="1971" t="s">
        <v>1766</v>
      </c>
      <c r="F4" s="1971" t="s">
        <v>1766</v>
      </c>
      <c r="G4" s="1971" t="s">
        <v>1766</v>
      </c>
      <c r="H4" s="1971" t="s">
        <v>1766</v>
      </c>
      <c r="I4" s="1971" t="s">
        <v>1766</v>
      </c>
      <c r="AD4" s="443"/>
    </row>
    <row r="5" spans="1:51" ht="12" customHeight="1">
      <c r="A5" s="470"/>
      <c r="B5" s="1971" t="s">
        <v>10261</v>
      </c>
      <c r="C5" s="1971" t="str">
        <f t="shared" ref="C5:C36" si="0">"'Tablas Técnicas'!"&amp;ADDRESS(ROW($P$5)+MATCH(B5,$O$6:$O$661,0),COLUMN($P$5))&amp;":"&amp;ADDRESS(ROW($P$5)+MATCH(B5,$O$6:$O$661,0)+COUNTIF($O$6:$O$661,B5)-1,COLUMN($P$5))</f>
        <v>'Tablas Técnicas'!$P$6:$P$16</v>
      </c>
      <c r="D5" s="1971" t="s">
        <v>3301</v>
      </c>
      <c r="E5" s="1971" t="s">
        <v>1534</v>
      </c>
      <c r="F5" s="1971" t="s">
        <v>1687</v>
      </c>
      <c r="G5" s="1971" t="s">
        <v>10326</v>
      </c>
      <c r="H5" s="1971" t="s">
        <v>1766</v>
      </c>
      <c r="I5" s="1971" t="s">
        <v>1766</v>
      </c>
      <c r="O5" s="3195" t="s">
        <v>1536</v>
      </c>
      <c r="P5" s="3195" t="s">
        <v>10260</v>
      </c>
      <c r="Q5" s="3195" t="s">
        <v>1789</v>
      </c>
      <c r="R5" s="3195" t="s">
        <v>1790</v>
      </c>
      <c r="S5" s="3195" t="s">
        <v>1811</v>
      </c>
      <c r="T5" s="3195" t="s">
        <v>3332</v>
      </c>
      <c r="U5" s="3195" t="s">
        <v>3333</v>
      </c>
      <c r="V5" s="3195" t="s">
        <v>3334</v>
      </c>
      <c r="W5" s="3195" t="s">
        <v>3302</v>
      </c>
      <c r="X5" s="3195" t="s">
        <v>1708</v>
      </c>
      <c r="Y5" s="3195" t="s">
        <v>1679</v>
      </c>
      <c r="Z5" s="3195" t="s">
        <v>3335</v>
      </c>
      <c r="AA5" s="3195" t="s">
        <v>3336</v>
      </c>
      <c r="AB5" s="3195"/>
      <c r="AC5" s="3195"/>
      <c r="AE5" s="3195"/>
      <c r="AF5" s="3195"/>
      <c r="AG5" s="3195"/>
      <c r="AH5" s="3195"/>
      <c r="AI5" s="470" t="s">
        <v>3337</v>
      </c>
      <c r="AJ5" s="470"/>
    </row>
    <row r="6" spans="1:51" ht="12" customHeight="1">
      <c r="A6" s="470"/>
      <c r="B6" s="1971" t="s">
        <v>10262</v>
      </c>
      <c r="C6" s="1971" t="str">
        <f t="shared" si="0"/>
        <v>'Tablas Técnicas'!$P$17:$P$23</v>
      </c>
      <c r="O6" s="3195" t="s">
        <v>10261</v>
      </c>
      <c r="P6" s="3199" t="s">
        <v>9113</v>
      </c>
      <c r="Q6" s="3195">
        <v>2</v>
      </c>
      <c r="R6" s="3195">
        <v>4</v>
      </c>
      <c r="S6" s="3195">
        <v>5</v>
      </c>
      <c r="T6" s="3195">
        <v>1</v>
      </c>
      <c r="U6" s="3195">
        <v>2</v>
      </c>
      <c r="V6" s="3195">
        <v>4</v>
      </c>
      <c r="W6" s="3195">
        <v>1</v>
      </c>
      <c r="X6" s="3195" t="s">
        <v>3301</v>
      </c>
      <c r="Y6" s="3195" t="s">
        <v>1534</v>
      </c>
      <c r="Z6" s="3195" t="s">
        <v>1687</v>
      </c>
      <c r="AA6" s="3195" t="s">
        <v>1682</v>
      </c>
      <c r="AB6" s="3195" t="s">
        <v>3349</v>
      </c>
      <c r="AC6" s="3195" t="s">
        <v>1692</v>
      </c>
      <c r="AD6" s="3195" t="s">
        <v>3349</v>
      </c>
      <c r="AE6" s="3195" t="s">
        <v>1700</v>
      </c>
      <c r="AF6" s="3195" t="s">
        <v>3349</v>
      </c>
      <c r="AG6" s="3195" t="s">
        <v>1701</v>
      </c>
      <c r="AH6" s="3195" t="s">
        <v>3350</v>
      </c>
      <c r="AI6" s="3195" t="s">
        <v>1922</v>
      </c>
      <c r="AJ6" s="2060" t="s">
        <v>1929</v>
      </c>
      <c r="AK6" s="3195" t="s">
        <v>2020</v>
      </c>
      <c r="AL6" s="3195"/>
      <c r="AM6" s="3195"/>
      <c r="AN6" s="3195"/>
      <c r="AO6" s="3195"/>
      <c r="AP6" s="3195"/>
      <c r="AQ6" s="3195"/>
      <c r="AR6" s="3195"/>
      <c r="AS6" s="3195"/>
      <c r="AT6" s="3195"/>
      <c r="AU6" s="3195"/>
      <c r="AV6" s="3195"/>
      <c r="AW6" s="3195"/>
      <c r="AX6" s="3195"/>
      <c r="AY6" s="3195"/>
    </row>
    <row r="7" spans="1:51" ht="12" customHeight="1">
      <c r="A7" s="470"/>
      <c r="B7" s="1971" t="s">
        <v>10263</v>
      </c>
      <c r="C7" s="1971" t="e">
        <f t="shared" si="0"/>
        <v>#N/A</v>
      </c>
      <c r="E7" s="3195" t="str">
        <f t="array" ref="E7:L7">TRANSPOSE(Características)</f>
        <v>AGI</v>
      </c>
      <c r="F7" s="3195" t="str">
        <v>CON</v>
      </c>
      <c r="G7" s="3195" t="str">
        <v>DES</v>
      </c>
      <c r="H7" s="3195" t="str">
        <v>FUE</v>
      </c>
      <c r="I7" s="3195" t="str">
        <v>INT</v>
      </c>
      <c r="J7" s="3195" t="str">
        <v>PER</v>
      </c>
      <c r="K7" s="3195" t="str">
        <v>POD</v>
      </c>
      <c r="L7" s="3195" t="str">
        <v>VOL</v>
      </c>
      <c r="O7" s="3195" t="s">
        <v>10261</v>
      </c>
      <c r="P7" s="3199" t="s">
        <v>9267</v>
      </c>
      <c r="Q7" s="3195">
        <v>3</v>
      </c>
      <c r="R7" s="3195">
        <v>5</v>
      </c>
      <c r="S7" s="3195">
        <v>5</v>
      </c>
      <c r="T7" s="3195">
        <v>2</v>
      </c>
      <c r="U7" s="3195">
        <v>4</v>
      </c>
      <c r="V7" s="3195">
        <v>7</v>
      </c>
      <c r="W7" s="3195">
        <v>1</v>
      </c>
      <c r="X7" s="3195" t="s">
        <v>3301</v>
      </c>
      <c r="Y7" s="3195" t="s">
        <v>1534</v>
      </c>
      <c r="Z7" s="3195" t="s">
        <v>1687</v>
      </c>
      <c r="AA7" s="3195" t="s">
        <v>1682</v>
      </c>
      <c r="AB7" s="3195" t="s">
        <v>3349</v>
      </c>
      <c r="AC7" s="3195" t="s">
        <v>1692</v>
      </c>
      <c r="AD7" s="3195" t="s">
        <v>3349</v>
      </c>
      <c r="AE7" s="3195" t="s">
        <v>1700</v>
      </c>
      <c r="AF7" s="3195" t="s">
        <v>3349</v>
      </c>
      <c r="AG7" s="3195" t="s">
        <v>1701</v>
      </c>
      <c r="AH7" s="3195" t="s">
        <v>3350</v>
      </c>
      <c r="AI7" s="3195" t="s">
        <v>1922</v>
      </c>
      <c r="AJ7" s="2060" t="s">
        <v>1929</v>
      </c>
      <c r="AK7" s="3195" t="s">
        <v>2020</v>
      </c>
      <c r="AL7" s="3195"/>
      <c r="AM7" s="3195"/>
      <c r="AN7" s="3195"/>
      <c r="AO7" s="3195"/>
      <c r="AP7" s="3195"/>
      <c r="AQ7" s="3195"/>
      <c r="AR7" s="3195"/>
      <c r="AS7" s="3195"/>
      <c r="AT7" s="3195"/>
      <c r="AU7" s="3195"/>
      <c r="AV7" s="3195"/>
      <c r="AW7" s="3195"/>
      <c r="AX7" s="3195"/>
      <c r="AY7" s="3195"/>
    </row>
    <row r="8" spans="1:51" ht="12" customHeight="1">
      <c r="A8" s="470"/>
      <c r="B8" s="1971" t="s">
        <v>10264</v>
      </c>
      <c r="C8" s="1971" t="str">
        <f t="shared" si="0"/>
        <v>'Tablas Técnicas'!$P$34:$P$44</v>
      </c>
      <c r="O8" s="3195" t="s">
        <v>10261</v>
      </c>
      <c r="P8" s="3199" t="s">
        <v>9115</v>
      </c>
      <c r="Q8" s="3195">
        <v>4</v>
      </c>
      <c r="R8" s="3195">
        <v>6</v>
      </c>
      <c r="S8" s="3195">
        <v>10</v>
      </c>
      <c r="T8" s="3195">
        <v>3</v>
      </c>
      <c r="U8" s="3195">
        <v>6</v>
      </c>
      <c r="V8" s="3195">
        <v>11</v>
      </c>
      <c r="W8" s="3195">
        <v>1</v>
      </c>
      <c r="X8" s="3195" t="s">
        <v>3301</v>
      </c>
      <c r="Y8" s="3195" t="s">
        <v>1534</v>
      </c>
      <c r="Z8" s="3195" t="s">
        <v>1687</v>
      </c>
      <c r="AA8" s="3195" t="s">
        <v>1682</v>
      </c>
      <c r="AB8" s="3195" t="s">
        <v>3349</v>
      </c>
      <c r="AC8" s="3195" t="s">
        <v>1692</v>
      </c>
      <c r="AD8" s="3195" t="s">
        <v>3349</v>
      </c>
      <c r="AE8" s="3195" t="s">
        <v>1700</v>
      </c>
      <c r="AF8" s="3195" t="s">
        <v>3349</v>
      </c>
      <c r="AG8" s="3195" t="s">
        <v>1701</v>
      </c>
      <c r="AH8" s="3195" t="s">
        <v>3350</v>
      </c>
      <c r="AI8" s="3195" t="s">
        <v>1922</v>
      </c>
      <c r="AJ8" s="2060" t="s">
        <v>1929</v>
      </c>
      <c r="AK8" s="3195" t="s">
        <v>2020</v>
      </c>
      <c r="AL8" s="3195"/>
      <c r="AM8" s="3195"/>
      <c r="AN8" s="3195"/>
      <c r="AO8" s="3195"/>
      <c r="AP8" s="3195"/>
      <c r="AQ8" s="3195"/>
      <c r="AR8" s="3195"/>
      <c r="AS8" s="3195"/>
      <c r="AT8" s="3195"/>
      <c r="AU8" s="3195"/>
      <c r="AV8" s="3195"/>
      <c r="AW8" s="3195"/>
      <c r="AX8" s="3195"/>
      <c r="AY8" s="3195"/>
    </row>
    <row r="9" spans="1:51" ht="12" customHeight="1">
      <c r="B9" s="1971" t="s">
        <v>10265</v>
      </c>
      <c r="C9" s="1971" t="str">
        <f t="shared" si="0"/>
        <v>'Tablas Técnicas'!$P$46:$P$51</v>
      </c>
      <c r="O9" s="3195" t="s">
        <v>10261</v>
      </c>
      <c r="P9" s="3199" t="s">
        <v>9116</v>
      </c>
      <c r="Q9" s="3195">
        <v>5</v>
      </c>
      <c r="R9" s="3195">
        <v>8</v>
      </c>
      <c r="S9" s="3195">
        <v>15</v>
      </c>
      <c r="T9" s="3195">
        <v>4</v>
      </c>
      <c r="U9" s="3195">
        <v>8</v>
      </c>
      <c r="V9" s="3195">
        <v>14</v>
      </c>
      <c r="W9" s="3195">
        <v>1</v>
      </c>
      <c r="X9" s="3195" t="s">
        <v>3301</v>
      </c>
      <c r="Y9" s="3195" t="s">
        <v>1534</v>
      </c>
      <c r="Z9" s="3195" t="s">
        <v>1687</v>
      </c>
      <c r="AA9" s="3195" t="s">
        <v>1682</v>
      </c>
      <c r="AB9" s="3195" t="s">
        <v>3349</v>
      </c>
      <c r="AC9" s="3195" t="s">
        <v>1692</v>
      </c>
      <c r="AD9" s="3195" t="s">
        <v>3349</v>
      </c>
      <c r="AE9" s="3195" t="s">
        <v>1700</v>
      </c>
      <c r="AF9" s="3195" t="s">
        <v>3349</v>
      </c>
      <c r="AG9" s="3195" t="s">
        <v>1701</v>
      </c>
      <c r="AH9" s="3195" t="s">
        <v>3350</v>
      </c>
      <c r="AI9" s="3195" t="s">
        <v>1922</v>
      </c>
      <c r="AJ9" s="2060" t="s">
        <v>1929</v>
      </c>
      <c r="AK9" s="3195" t="s">
        <v>2020</v>
      </c>
      <c r="AL9" s="3195"/>
      <c r="AM9" s="3195"/>
      <c r="AN9" s="3195"/>
      <c r="AO9" s="3195"/>
      <c r="AP9" s="3195"/>
      <c r="AQ9" s="3195"/>
      <c r="AR9" s="3195"/>
      <c r="AS9" s="3195"/>
      <c r="AT9" s="3195"/>
      <c r="AU9" s="3195"/>
      <c r="AV9" s="3195"/>
      <c r="AW9" s="3195"/>
      <c r="AX9" s="3195"/>
      <c r="AY9" s="3195"/>
    </row>
    <row r="10" spans="1:51" ht="12" customHeight="1">
      <c r="B10" s="1971" t="s">
        <v>10266</v>
      </c>
      <c r="C10" s="1971" t="str">
        <f t="shared" si="0"/>
        <v>'Tablas Técnicas'!$P$53:$P$55</v>
      </c>
      <c r="O10" s="3195" t="s">
        <v>10261</v>
      </c>
      <c r="P10" s="3199" t="s">
        <v>10311</v>
      </c>
      <c r="Q10" s="3195">
        <v>9</v>
      </c>
      <c r="R10" s="3195">
        <v>12</v>
      </c>
      <c r="S10" s="3195">
        <v>20</v>
      </c>
      <c r="T10" s="3195">
        <v>6</v>
      </c>
      <c r="U10" s="3195">
        <v>12</v>
      </c>
      <c r="V10" s="3195">
        <v>21</v>
      </c>
      <c r="W10" s="3195">
        <v>1</v>
      </c>
      <c r="X10" s="3195" t="s">
        <v>3301</v>
      </c>
      <c r="Y10" s="3195" t="s">
        <v>1534</v>
      </c>
      <c r="Z10" s="3195" t="s">
        <v>1687</v>
      </c>
      <c r="AA10" s="3195" t="s">
        <v>1682</v>
      </c>
      <c r="AB10" s="3195" t="s">
        <v>3349</v>
      </c>
      <c r="AC10" s="3195" t="s">
        <v>1692</v>
      </c>
      <c r="AD10" s="3195" t="s">
        <v>3349</v>
      </c>
      <c r="AE10" s="3195" t="s">
        <v>1700</v>
      </c>
      <c r="AF10" s="3195" t="s">
        <v>3349</v>
      </c>
      <c r="AG10" s="3195" t="s">
        <v>1701</v>
      </c>
      <c r="AH10" s="3195" t="s">
        <v>3350</v>
      </c>
      <c r="AI10" s="3195" t="s">
        <v>1922</v>
      </c>
      <c r="AJ10" s="2060" t="s">
        <v>1929</v>
      </c>
      <c r="AK10" s="3195" t="s">
        <v>2020</v>
      </c>
      <c r="AL10" s="3195"/>
      <c r="AM10" s="3195"/>
      <c r="AN10" s="3195"/>
      <c r="AO10" s="3195"/>
      <c r="AP10" s="3195"/>
      <c r="AQ10" s="3195"/>
      <c r="AR10" s="3195"/>
      <c r="AS10" s="3195"/>
      <c r="AT10" s="3195"/>
      <c r="AU10" s="3195"/>
      <c r="AV10" s="3195"/>
      <c r="AW10" s="3195"/>
      <c r="AX10" s="3195"/>
      <c r="AY10" s="3195"/>
    </row>
    <row r="11" spans="1:51" ht="12" customHeight="1">
      <c r="B11" s="1971" t="s">
        <v>10267</v>
      </c>
      <c r="C11" s="1971" t="str">
        <f t="shared" si="0"/>
        <v>'Tablas Técnicas'!$P$57:$P$59</v>
      </c>
      <c r="O11" s="3195" t="s">
        <v>10261</v>
      </c>
      <c r="P11" s="3199" t="s">
        <v>10312</v>
      </c>
      <c r="Q11" s="3196">
        <v>12</v>
      </c>
      <c r="R11" s="3196">
        <v>15</v>
      </c>
      <c r="S11" s="3196">
        <v>25</v>
      </c>
      <c r="T11" s="3196">
        <v>8</v>
      </c>
      <c r="U11" s="3196">
        <v>16</v>
      </c>
      <c r="V11" s="3196">
        <v>28</v>
      </c>
      <c r="W11" s="3196">
        <v>1</v>
      </c>
      <c r="X11" s="3196" t="s">
        <v>3301</v>
      </c>
      <c r="Y11" s="3196" t="s">
        <v>1534</v>
      </c>
      <c r="Z11" s="3196" t="s">
        <v>1687</v>
      </c>
      <c r="AA11" s="3196" t="s">
        <v>1682</v>
      </c>
      <c r="AB11" s="3196" t="s">
        <v>3349</v>
      </c>
      <c r="AC11" s="3196" t="s">
        <v>1692</v>
      </c>
      <c r="AD11" s="3195" t="s">
        <v>3349</v>
      </c>
      <c r="AE11" s="3195" t="s">
        <v>1700</v>
      </c>
      <c r="AF11" s="3195" t="s">
        <v>3349</v>
      </c>
      <c r="AG11" s="3195" t="s">
        <v>1701</v>
      </c>
      <c r="AH11" s="3195" t="s">
        <v>3350</v>
      </c>
      <c r="AI11" s="3195" t="s">
        <v>1922</v>
      </c>
      <c r="AJ11" s="2060" t="s">
        <v>1929</v>
      </c>
      <c r="AK11" s="3195" t="s">
        <v>2020</v>
      </c>
      <c r="AL11" s="3195"/>
      <c r="AM11" s="3195"/>
      <c r="AN11" s="3195"/>
      <c r="AO11" s="3195"/>
      <c r="AP11" s="3195"/>
      <c r="AQ11" s="3195"/>
      <c r="AR11" s="3195"/>
      <c r="AS11" s="3195"/>
      <c r="AT11" s="3195"/>
      <c r="AU11" s="3195"/>
      <c r="AV11" s="3195"/>
      <c r="AW11" s="3195"/>
      <c r="AX11" s="3195"/>
      <c r="AY11" s="3195"/>
    </row>
    <row r="12" spans="1:51" ht="12" customHeight="1">
      <c r="B12" s="1971" t="s">
        <v>10268</v>
      </c>
      <c r="C12" s="1971" t="e">
        <f t="shared" si="0"/>
        <v>#N/A</v>
      </c>
      <c r="H12" s="3195">
        <f>MATCH(B5,$O$6:$O$510,1)</f>
        <v>334</v>
      </c>
      <c r="O12" s="3195" t="s">
        <v>10261</v>
      </c>
      <c r="P12" s="3199" t="s">
        <v>10313</v>
      </c>
      <c r="Q12" s="3196">
        <v>14</v>
      </c>
      <c r="R12" s="3196">
        <v>18</v>
      </c>
      <c r="S12" s="3196">
        <v>30</v>
      </c>
      <c r="T12" s="3196">
        <v>10</v>
      </c>
      <c r="U12" s="3196">
        <v>20</v>
      </c>
      <c r="V12" s="3196">
        <v>35</v>
      </c>
      <c r="W12" s="3196">
        <v>1</v>
      </c>
      <c r="X12" s="3196" t="s">
        <v>3301</v>
      </c>
      <c r="Y12" s="3196" t="s">
        <v>1534</v>
      </c>
      <c r="Z12" s="3196" t="s">
        <v>1687</v>
      </c>
      <c r="AA12" s="3196" t="s">
        <v>1682</v>
      </c>
      <c r="AB12" s="3196" t="s">
        <v>3349</v>
      </c>
      <c r="AC12" s="3196" t="s">
        <v>1692</v>
      </c>
      <c r="AD12" s="3195" t="s">
        <v>3349</v>
      </c>
      <c r="AE12" s="3195" t="s">
        <v>1700</v>
      </c>
      <c r="AF12" s="3195" t="s">
        <v>3349</v>
      </c>
      <c r="AG12" s="3195" t="s">
        <v>1701</v>
      </c>
      <c r="AH12" s="3195" t="s">
        <v>3350</v>
      </c>
      <c r="AI12" s="3195" t="s">
        <v>1922</v>
      </c>
      <c r="AJ12" s="2060" t="s">
        <v>1929</v>
      </c>
      <c r="AK12" s="3195" t="s">
        <v>2020</v>
      </c>
      <c r="AL12" s="3195"/>
      <c r="AM12" s="3195"/>
      <c r="AN12" s="3195"/>
      <c r="AO12" s="3195"/>
      <c r="AP12" s="3195"/>
      <c r="AQ12" s="3195"/>
      <c r="AR12" s="3195"/>
      <c r="AS12" s="3195"/>
      <c r="AT12" s="3195"/>
      <c r="AU12" s="3195"/>
      <c r="AV12" s="3195"/>
      <c r="AW12" s="3195"/>
      <c r="AX12" s="3195"/>
      <c r="AY12" s="3195"/>
    </row>
    <row r="13" spans="1:51" ht="12" customHeight="1">
      <c r="A13" s="3195"/>
      <c r="B13" s="1971" t="s">
        <v>3329</v>
      </c>
      <c r="C13" s="1971" t="e">
        <f t="shared" si="0"/>
        <v>#N/A</v>
      </c>
      <c r="O13" s="3195" t="s">
        <v>10261</v>
      </c>
      <c r="P13" s="3199" t="s">
        <v>10314</v>
      </c>
      <c r="Q13" s="3195">
        <v>18</v>
      </c>
      <c r="R13" s="3195">
        <v>22</v>
      </c>
      <c r="S13" s="3195">
        <v>35</v>
      </c>
      <c r="T13" s="3195">
        <v>12</v>
      </c>
      <c r="U13" s="3195">
        <v>24</v>
      </c>
      <c r="V13" s="3195">
        <v>42</v>
      </c>
      <c r="W13" s="3195">
        <v>2</v>
      </c>
      <c r="X13" s="3195" t="s">
        <v>3301</v>
      </c>
      <c r="Y13" s="3195" t="s">
        <v>1534</v>
      </c>
      <c r="Z13" s="3195" t="s">
        <v>1687</v>
      </c>
      <c r="AA13" s="3195" t="s">
        <v>1682</v>
      </c>
      <c r="AB13" s="3195" t="s">
        <v>3349</v>
      </c>
      <c r="AC13" s="3195" t="s">
        <v>1692</v>
      </c>
      <c r="AD13" s="3195" t="s">
        <v>3349</v>
      </c>
      <c r="AE13" s="3195" t="s">
        <v>1700</v>
      </c>
      <c r="AF13" s="3195" t="s">
        <v>3349</v>
      </c>
      <c r="AG13" s="3195" t="s">
        <v>1701</v>
      </c>
      <c r="AH13" s="3195" t="s">
        <v>3350</v>
      </c>
      <c r="AI13" s="3195" t="s">
        <v>1922</v>
      </c>
      <c r="AJ13" s="2060" t="s">
        <v>1929</v>
      </c>
      <c r="AK13" s="3195" t="s">
        <v>2020</v>
      </c>
      <c r="AL13" s="3195"/>
      <c r="AM13" s="3195"/>
      <c r="AN13" s="3195"/>
      <c r="AO13" s="3195"/>
      <c r="AP13" s="3195"/>
      <c r="AQ13" s="3195"/>
      <c r="AR13" s="3195"/>
      <c r="AS13" s="3195"/>
      <c r="AT13" s="3195"/>
      <c r="AU13" s="3195"/>
      <c r="AV13" s="3195"/>
      <c r="AW13" s="3195"/>
      <c r="AX13" s="3195"/>
      <c r="AY13" s="3195"/>
    </row>
    <row r="14" spans="1:51" ht="12" customHeight="1">
      <c r="A14" s="3195"/>
      <c r="B14" s="1971" t="s">
        <v>3271</v>
      </c>
      <c r="C14" s="1971" t="str">
        <f t="shared" si="0"/>
        <v>'Tablas Técnicas'!$P$71:$P$81</v>
      </c>
      <c r="O14" s="3195" t="s">
        <v>10261</v>
      </c>
      <c r="P14" s="3199" t="s">
        <v>10315</v>
      </c>
      <c r="Q14" s="3195">
        <v>22</v>
      </c>
      <c r="R14" s="3195">
        <v>26</v>
      </c>
      <c r="S14" s="3195">
        <v>40</v>
      </c>
      <c r="T14" s="3195">
        <v>14</v>
      </c>
      <c r="U14" s="3195">
        <v>28</v>
      </c>
      <c r="V14" s="3195">
        <v>49</v>
      </c>
      <c r="W14" s="3195">
        <v>2</v>
      </c>
      <c r="X14" s="3195" t="s">
        <v>3301</v>
      </c>
      <c r="Y14" s="3195" t="s">
        <v>1534</v>
      </c>
      <c r="Z14" s="3195" t="s">
        <v>1687</v>
      </c>
      <c r="AA14" s="3195" t="s">
        <v>1682</v>
      </c>
      <c r="AB14" s="3195" t="s">
        <v>3349</v>
      </c>
      <c r="AC14" s="3195" t="s">
        <v>1692</v>
      </c>
      <c r="AD14" s="3195" t="s">
        <v>3349</v>
      </c>
      <c r="AE14" s="3195" t="s">
        <v>1700</v>
      </c>
      <c r="AF14" s="3195" t="s">
        <v>3349</v>
      </c>
      <c r="AG14" s="3195" t="s">
        <v>1701</v>
      </c>
      <c r="AH14" s="3195" t="s">
        <v>3350</v>
      </c>
      <c r="AI14" s="3195" t="s">
        <v>1922</v>
      </c>
      <c r="AJ14" s="2060" t="s">
        <v>1929</v>
      </c>
      <c r="AK14" s="3195" t="s">
        <v>2020</v>
      </c>
      <c r="AL14" s="3195"/>
      <c r="AM14" s="3195"/>
      <c r="AN14" s="3195"/>
      <c r="AO14" s="3195"/>
      <c r="AP14" s="3195"/>
      <c r="AQ14" s="3195"/>
      <c r="AR14" s="3195"/>
      <c r="AS14" s="3195"/>
      <c r="AT14" s="3195"/>
      <c r="AU14" s="3195"/>
      <c r="AV14" s="3195"/>
      <c r="AW14" s="3195"/>
      <c r="AX14" s="3195"/>
      <c r="AY14" s="3195"/>
    </row>
    <row r="15" spans="1:51" ht="12" customHeight="1">
      <c r="B15" s="1971" t="s">
        <v>10269</v>
      </c>
      <c r="C15" s="1971" t="str">
        <f t="shared" si="0"/>
        <v>'Tablas Técnicas'!$P$83:$P$89</v>
      </c>
      <c r="O15" s="3195" t="s">
        <v>10261</v>
      </c>
      <c r="P15" s="3199" t="s">
        <v>10316</v>
      </c>
      <c r="Q15" s="3195">
        <v>26</v>
      </c>
      <c r="R15" s="3195">
        <v>32</v>
      </c>
      <c r="S15" s="3196">
        <v>45</v>
      </c>
      <c r="T15" s="3196">
        <v>16</v>
      </c>
      <c r="U15" s="3196">
        <v>32</v>
      </c>
      <c r="V15" s="3196">
        <v>56</v>
      </c>
      <c r="W15" s="3196">
        <v>3</v>
      </c>
      <c r="X15" s="3196" t="s">
        <v>3301</v>
      </c>
      <c r="Y15" s="3196" t="s">
        <v>1534</v>
      </c>
      <c r="Z15" s="3196" t="s">
        <v>1687</v>
      </c>
      <c r="AA15" s="3196" t="s">
        <v>1682</v>
      </c>
      <c r="AB15" s="3196" t="s">
        <v>3349</v>
      </c>
      <c r="AC15" s="3196" t="s">
        <v>1692</v>
      </c>
      <c r="AD15" s="3195" t="s">
        <v>3349</v>
      </c>
      <c r="AE15" s="3195" t="s">
        <v>1700</v>
      </c>
      <c r="AF15" s="3195" t="s">
        <v>3349</v>
      </c>
      <c r="AG15" s="3195" t="s">
        <v>1701</v>
      </c>
      <c r="AH15" s="3195" t="s">
        <v>3350</v>
      </c>
      <c r="AI15" s="3195" t="s">
        <v>1922</v>
      </c>
      <c r="AJ15" s="2060" t="s">
        <v>1929</v>
      </c>
      <c r="AK15" s="3195" t="s">
        <v>2020</v>
      </c>
      <c r="AL15" s="3195"/>
      <c r="AM15" s="3195"/>
      <c r="AN15" s="3195"/>
      <c r="AO15" s="3195"/>
      <c r="AP15" s="3195"/>
      <c r="AQ15" s="3195"/>
      <c r="AR15" s="3195"/>
      <c r="AS15" s="3195"/>
      <c r="AT15" s="3195"/>
      <c r="AU15" s="3195"/>
      <c r="AV15" s="3195"/>
      <c r="AW15" s="3195"/>
      <c r="AX15" s="3195"/>
      <c r="AY15" s="3195"/>
    </row>
    <row r="16" spans="1:51" ht="12" customHeight="1">
      <c r="B16" s="1971" t="s">
        <v>10270</v>
      </c>
      <c r="C16" s="1971" t="str">
        <f t="shared" si="0"/>
        <v>'Tablas Técnicas'!$P$91:$P$101</v>
      </c>
      <c r="O16" s="3195" t="s">
        <v>10261</v>
      </c>
      <c r="P16" s="3199" t="s">
        <v>10317</v>
      </c>
      <c r="Q16" s="3195">
        <v>30</v>
      </c>
      <c r="R16" s="3195">
        <v>36</v>
      </c>
      <c r="S16" s="3196">
        <v>50</v>
      </c>
      <c r="T16" s="3196">
        <v>18</v>
      </c>
      <c r="U16" s="3196">
        <v>36</v>
      </c>
      <c r="V16" s="3196">
        <v>63</v>
      </c>
      <c r="W16" s="3196">
        <v>3</v>
      </c>
      <c r="X16" s="3196" t="s">
        <v>3301</v>
      </c>
      <c r="Y16" s="3196" t="s">
        <v>1534</v>
      </c>
      <c r="Z16" s="3196" t="s">
        <v>1687</v>
      </c>
      <c r="AA16" s="3196" t="s">
        <v>1682</v>
      </c>
      <c r="AB16" s="3196" t="s">
        <v>3349</v>
      </c>
      <c r="AC16" s="3196" t="s">
        <v>1692</v>
      </c>
      <c r="AD16" s="3195" t="s">
        <v>3349</v>
      </c>
      <c r="AE16" s="3195" t="s">
        <v>1700</v>
      </c>
      <c r="AF16" s="3195" t="s">
        <v>3349</v>
      </c>
      <c r="AG16" s="443" t="s">
        <v>1701</v>
      </c>
      <c r="AH16" s="3195" t="s">
        <v>3350</v>
      </c>
      <c r="AI16" s="3195" t="s">
        <v>1922</v>
      </c>
      <c r="AJ16" s="2060" t="s">
        <v>1929</v>
      </c>
      <c r="AK16" s="3195" t="s">
        <v>2020</v>
      </c>
      <c r="AL16" s="3195"/>
      <c r="AM16" s="3195"/>
      <c r="AN16" s="3195"/>
      <c r="AO16" s="3195"/>
      <c r="AP16" s="3195"/>
      <c r="AQ16" s="3195"/>
      <c r="AR16" s="3195"/>
      <c r="AS16" s="3195"/>
      <c r="AT16" s="3195"/>
      <c r="AU16" s="3195"/>
      <c r="AV16" s="3195"/>
      <c r="AW16" s="3195"/>
      <c r="AX16" s="3195"/>
      <c r="AY16" s="3195"/>
    </row>
    <row r="17" spans="1:36" s="3195" customFormat="1" ht="12" customHeight="1">
      <c r="A17" s="3196"/>
      <c r="B17" s="1971" t="s">
        <v>3268</v>
      </c>
      <c r="C17" s="1971" t="str">
        <f t="shared" si="0"/>
        <v>'Tablas Técnicas'!$P$103:$P$113</v>
      </c>
      <c r="O17" s="3195" t="str">
        <f t="shared" ref="O17:O24" si="1">LEFT(T17,FIND(" +",T17)-1)</f>
        <v>Habilidad de Ataque Completa</v>
      </c>
      <c r="P17" s="3195" t="str">
        <f t="shared" ref="P17:P24" si="2">MID(T17,FIND("+",T17),20)</f>
        <v>+10</v>
      </c>
      <c r="R17" s="3196"/>
      <c r="S17" s="3196"/>
      <c r="T17" s="3195" t="s">
        <v>3404</v>
      </c>
      <c r="U17" s="3196"/>
      <c r="V17" s="3196"/>
      <c r="W17" s="3196"/>
      <c r="X17" s="3196"/>
      <c r="Y17" s="3196"/>
      <c r="Z17" s="3196"/>
      <c r="AA17" s="3196"/>
      <c r="AB17" s="3196"/>
      <c r="AF17" s="470"/>
      <c r="AI17" s="2060"/>
    </row>
    <row r="18" spans="1:36" s="3195" customFormat="1" ht="12" customHeight="1">
      <c r="A18" s="3196"/>
      <c r="B18" s="1971" t="s">
        <v>10271</v>
      </c>
      <c r="C18" s="1971" t="str">
        <f t="shared" si="0"/>
        <v>'Tablas Técnicas'!$P$115:$P$121</v>
      </c>
      <c r="O18" s="3195" t="str">
        <f t="shared" si="1"/>
        <v>Habilidad de Ataque Completa</v>
      </c>
      <c r="P18" s="3195" t="str">
        <f t="shared" si="2"/>
        <v>+25</v>
      </c>
      <c r="T18" s="3195" t="s">
        <v>3409</v>
      </c>
      <c r="AJ18" s="3197"/>
    </row>
    <row r="19" spans="1:36" s="3195" customFormat="1" ht="12" customHeight="1">
      <c r="A19" s="3196"/>
      <c r="B19" s="1971" t="s">
        <v>10272</v>
      </c>
      <c r="C19" s="1971" t="str">
        <f t="shared" si="0"/>
        <v>'Tablas Técnicas'!$P$123:$P$133</v>
      </c>
      <c r="O19" s="3195" t="str">
        <f t="shared" si="1"/>
        <v>Habilidad de Ataque Completa</v>
      </c>
      <c r="P19" s="3195" t="str">
        <f t="shared" si="2"/>
        <v>+40</v>
      </c>
      <c r="T19" s="3195" t="s">
        <v>3412</v>
      </c>
      <c r="Z19" s="3198" t="s">
        <v>3266</v>
      </c>
      <c r="AH19" s="470"/>
      <c r="AI19" s="470"/>
      <c r="AJ19" s="3197"/>
    </row>
    <row r="20" spans="1:36" s="3195" customFormat="1" ht="12" customHeight="1">
      <c r="A20" s="3196"/>
      <c r="B20" s="1971" t="s">
        <v>10273</v>
      </c>
      <c r="C20" s="1971" t="e">
        <f t="shared" si="0"/>
        <v>#N/A</v>
      </c>
      <c r="O20" s="3195" t="str">
        <f t="shared" si="1"/>
        <v>Habilidad de Ataque Completa</v>
      </c>
      <c r="P20" s="3195" t="str">
        <f t="shared" si="2"/>
        <v>+50</v>
      </c>
      <c r="T20" s="3196" t="s">
        <v>3417</v>
      </c>
      <c r="Z20" s="3194" t="s">
        <v>1766</v>
      </c>
      <c r="AH20" s="470"/>
      <c r="AI20" s="470"/>
      <c r="AJ20" s="3197"/>
    </row>
    <row r="21" spans="1:36" s="3195" customFormat="1" ht="12" customHeight="1">
      <c r="A21" s="3196"/>
      <c r="B21" s="1971" t="s">
        <v>10274</v>
      </c>
      <c r="C21" s="1971" t="str">
        <f t="shared" si="0"/>
        <v>'Tablas Técnicas'!$P$144:$P$159</v>
      </c>
      <c r="O21" s="3195" t="str">
        <f t="shared" si="1"/>
        <v>Habilidad de Ataque Completa</v>
      </c>
      <c r="P21" s="3195" t="str">
        <f t="shared" si="2"/>
        <v>+75</v>
      </c>
      <c r="T21" s="3195" t="s">
        <v>3422</v>
      </c>
      <c r="Z21" s="3194" t="s">
        <v>7137</v>
      </c>
      <c r="AH21" s="470"/>
      <c r="AI21" s="2060"/>
      <c r="AJ21" s="3197"/>
    </row>
    <row r="22" spans="1:36" s="3195" customFormat="1" ht="12" customHeight="1">
      <c r="A22" s="3196"/>
      <c r="B22" s="1971" t="s">
        <v>10275</v>
      </c>
      <c r="C22" s="1971" t="str">
        <f t="shared" si="0"/>
        <v>'Tablas Técnicas'!$P$163:$P$169</v>
      </c>
      <c r="O22" s="3195" t="str">
        <f t="shared" si="1"/>
        <v>Habilidad de Ataque Completa</v>
      </c>
      <c r="P22" s="3195" t="str">
        <f t="shared" si="2"/>
        <v>+90</v>
      </c>
      <c r="T22" s="3196" t="s">
        <v>3427</v>
      </c>
      <c r="Z22" s="3194" t="s">
        <v>10321</v>
      </c>
    </row>
    <row r="23" spans="1:36" s="3195" customFormat="1" ht="12" customHeight="1">
      <c r="A23" s="3196"/>
      <c r="B23" s="1971" t="s">
        <v>10276</v>
      </c>
      <c r="C23" s="1971" t="e">
        <f t="shared" si="0"/>
        <v>#N/A</v>
      </c>
      <c r="O23" s="3195" t="str">
        <f t="shared" si="1"/>
        <v>Habilidad de Ataque Completa</v>
      </c>
      <c r="P23" s="3195" t="str">
        <f t="shared" si="2"/>
        <v>+100</v>
      </c>
      <c r="T23" s="3196" t="s">
        <v>3432</v>
      </c>
      <c r="Z23" s="3194" t="s">
        <v>10322</v>
      </c>
    </row>
    <row r="24" spans="1:36" s="3195" customFormat="1" ht="12" customHeight="1">
      <c r="A24" s="3196"/>
      <c r="B24" s="1971" t="s">
        <v>10277</v>
      </c>
      <c r="C24" s="1971" t="e">
        <f t="shared" si="0"/>
        <v>#N/A</v>
      </c>
      <c r="O24" s="3195" t="e">
        <f t="shared" si="1"/>
        <v>#VALUE!</v>
      </c>
      <c r="P24" s="3195" t="e">
        <f t="shared" si="2"/>
        <v>#VALUE!</v>
      </c>
      <c r="T24" s="3196" t="s">
        <v>3310</v>
      </c>
    </row>
    <row r="25" spans="1:36" s="3195" customFormat="1" ht="12" customHeight="1">
      <c r="A25" s="3196"/>
      <c r="B25" s="1971" t="s">
        <v>10278</v>
      </c>
      <c r="C25" s="1971" t="e">
        <f t="shared" si="0"/>
        <v>#N/A</v>
      </c>
      <c r="O25" s="3195" t="str">
        <f t="shared" ref="O25:O33" si="3">LEFT(T25,FIND("ado",T25)+3)</f>
        <v xml:space="preserve">Ataque Predeterminado </v>
      </c>
      <c r="P25" s="3195" t="str">
        <f>MID(T25,FIND("ado",T25)+4,20)</f>
        <v>Media (80)</v>
      </c>
      <c r="T25" s="3196" t="s">
        <v>3439</v>
      </c>
    </row>
    <row r="26" spans="1:36" s="3195" customFormat="1" ht="12" customHeight="1">
      <c r="B26" s="1971" t="s">
        <v>10279</v>
      </c>
      <c r="C26" s="1971" t="e">
        <f t="shared" si="0"/>
        <v>#N/A</v>
      </c>
      <c r="O26" s="3195" t="str">
        <f t="shared" si="3"/>
        <v xml:space="preserve">Ataque Predeterminado </v>
      </c>
      <c r="P26" s="3195" t="str">
        <f t="shared" ref="P26:P32" si="4">MID(T26,FIND("ado",T26)+4,20)</f>
        <v>Difícil (120)</v>
      </c>
      <c r="T26" s="3196" t="s">
        <v>3445</v>
      </c>
    </row>
    <row r="27" spans="1:36" s="3195" customFormat="1" ht="12" customHeight="1">
      <c r="A27" s="3196"/>
      <c r="B27" s="1971" t="s">
        <v>3390</v>
      </c>
      <c r="C27" s="1971" t="e">
        <f t="shared" si="0"/>
        <v>#N/A</v>
      </c>
      <c r="O27" s="3195" t="str">
        <f t="shared" si="3"/>
        <v xml:space="preserve">Ataque Predeterminado </v>
      </c>
      <c r="P27" s="3195" t="str">
        <f t="shared" si="4"/>
        <v>Muy Difícil (140)</v>
      </c>
      <c r="T27" s="3196" t="s">
        <v>3450</v>
      </c>
    </row>
    <row r="28" spans="1:36" s="3195" customFormat="1" ht="12" customHeight="1">
      <c r="A28" s="3196"/>
      <c r="B28" s="1971" t="s">
        <v>10280</v>
      </c>
      <c r="C28" s="1971" t="str">
        <f t="shared" si="0"/>
        <v>'Tablas Técnicas'!$P$195:$P$199</v>
      </c>
      <c r="O28" s="3195" t="str">
        <f t="shared" si="3"/>
        <v xml:space="preserve">Ataque Predeterminado </v>
      </c>
      <c r="P28" s="3195" t="str">
        <f t="shared" si="4"/>
        <v>Absurdo (180)</v>
      </c>
      <c r="T28" s="3196" t="s">
        <v>3455</v>
      </c>
    </row>
    <row r="29" spans="1:36" s="3195" customFormat="1" ht="12" customHeight="1">
      <c r="A29" s="3196"/>
      <c r="B29" s="1971" t="s">
        <v>10281</v>
      </c>
      <c r="C29" s="1971" t="str">
        <f t="shared" si="0"/>
        <v>'Tablas Técnicas'!$P$208:$P$215</v>
      </c>
      <c r="O29" s="3195" t="str">
        <f t="shared" si="3"/>
        <v xml:space="preserve">Ataque Predeterminado </v>
      </c>
      <c r="P29" s="3195" t="str">
        <f t="shared" si="4"/>
        <v>Casi Imposible (240)</v>
      </c>
      <c r="T29" s="3196" t="s">
        <v>3460</v>
      </c>
    </row>
    <row r="30" spans="1:36" s="3195" customFormat="1" ht="12" customHeight="1">
      <c r="A30" s="3196"/>
      <c r="B30" s="1971" t="s">
        <v>10282</v>
      </c>
      <c r="C30" s="1971" t="str">
        <f t="shared" si="0"/>
        <v>'Tablas Técnicas'!$P$219:$P$225</v>
      </c>
      <c r="O30" s="3195" t="str">
        <f t="shared" si="3"/>
        <v xml:space="preserve">Ataque Predeterminado </v>
      </c>
      <c r="P30" s="3195" t="str">
        <f t="shared" si="4"/>
        <v>Imposible (280)</v>
      </c>
      <c r="T30" s="3195" t="s">
        <v>3465</v>
      </c>
    </row>
    <row r="31" spans="1:36" s="3195" customFormat="1" ht="12" customHeight="1">
      <c r="A31" s="3196"/>
      <c r="B31" s="1971" t="s">
        <v>10283</v>
      </c>
      <c r="C31" s="1971" t="str">
        <f t="shared" si="0"/>
        <v>'Tablas Técnicas'!$P$230:$P$237</v>
      </c>
      <c r="O31" s="3195" t="str">
        <f t="shared" si="3"/>
        <v xml:space="preserve">Ataque Predeterminado </v>
      </c>
      <c r="P31" s="3195" t="str">
        <f t="shared" si="4"/>
        <v>Inhumano (320)</v>
      </c>
      <c r="T31" s="3196" t="s">
        <v>3468</v>
      </c>
    </row>
    <row r="32" spans="1:36" s="3195" customFormat="1" ht="12" customHeight="1">
      <c r="A32" s="3196"/>
      <c r="B32" s="1971" t="s">
        <v>3413</v>
      </c>
      <c r="C32" s="1971" t="e">
        <f t="shared" si="0"/>
        <v>#N/A</v>
      </c>
      <c r="O32" s="3195" t="str">
        <f t="shared" si="3"/>
        <v xml:space="preserve">Ataque Predeterminado </v>
      </c>
      <c r="P32" s="3195" t="str">
        <f t="shared" si="4"/>
        <v>Zen (440)</v>
      </c>
      <c r="T32" s="3196" t="s">
        <v>3473</v>
      </c>
    </row>
    <row r="33" spans="1:35" s="3195" customFormat="1" ht="12" customHeight="1">
      <c r="A33" s="3196"/>
      <c r="B33" s="1971" t="s">
        <v>10284</v>
      </c>
      <c r="C33" s="1971" t="str">
        <f t="shared" si="0"/>
        <v>'Tablas Técnicas'!$P$242:$P$249</v>
      </c>
      <c r="O33" s="3195" t="e">
        <f t="shared" si="3"/>
        <v>#VALUE!</v>
      </c>
      <c r="P33" s="3195" t="e">
        <f t="shared" ref="P33:P45" si="5">MID(T33,FIND("+",T33),20)</f>
        <v>#VALUE!</v>
      </c>
      <c r="R33" s="3196"/>
      <c r="S33" s="3196"/>
      <c r="T33" s="3196" t="s">
        <v>3314</v>
      </c>
      <c r="U33" s="3196"/>
      <c r="V33" s="3196"/>
      <c r="W33" s="3196"/>
      <c r="X33" s="3196"/>
      <c r="Y33" s="3196"/>
      <c r="Z33" s="3196"/>
      <c r="AA33" s="3196"/>
      <c r="AB33" s="3196"/>
      <c r="AI33" s="2060"/>
    </row>
    <row r="34" spans="1:35" s="3195" customFormat="1" ht="12" customHeight="1">
      <c r="B34" s="1971" t="s">
        <v>4080</v>
      </c>
      <c r="C34" s="1971" t="e">
        <f t="shared" si="0"/>
        <v>#N/A</v>
      </c>
      <c r="O34" s="3195" t="str">
        <f t="shared" ref="O34:O44" si="6">LEFT(T34,FIND(" +",T34)-1)</f>
        <v>Habilidad de Contraataque</v>
      </c>
      <c r="P34" s="3195" t="str">
        <f t="shared" si="5"/>
        <v>+10</v>
      </c>
      <c r="T34" s="3196" t="s">
        <v>3482</v>
      </c>
      <c r="AI34" s="2060"/>
    </row>
    <row r="35" spans="1:35" s="3195" customFormat="1" ht="12" customHeight="1">
      <c r="A35" s="3196"/>
      <c r="B35" s="1971" t="s">
        <v>3428</v>
      </c>
      <c r="C35" s="1971" t="e">
        <f t="shared" si="0"/>
        <v>#N/A</v>
      </c>
      <c r="O35" s="3195" t="str">
        <f t="shared" si="6"/>
        <v>Habilidad de Contraataque</v>
      </c>
      <c r="P35" s="3195" t="str">
        <f t="shared" si="5"/>
        <v>+25</v>
      </c>
      <c r="R35" s="3196"/>
      <c r="S35" s="3196"/>
      <c r="T35" s="3196" t="s">
        <v>3487</v>
      </c>
      <c r="U35" s="3196"/>
      <c r="V35" s="3196"/>
      <c r="W35" s="3196"/>
      <c r="X35" s="3196"/>
      <c r="Y35" s="3196"/>
      <c r="Z35" s="3196"/>
      <c r="AA35" s="3196"/>
      <c r="AB35" s="3196"/>
      <c r="AI35" s="2060"/>
    </row>
    <row r="36" spans="1:35" s="3195" customFormat="1" ht="12" customHeight="1">
      <c r="A36" s="3196"/>
      <c r="B36" s="1971" t="s">
        <v>3433</v>
      </c>
      <c r="C36" s="1971" t="e">
        <f t="shared" si="0"/>
        <v>#N/A</v>
      </c>
      <c r="O36" s="3195" t="str">
        <f t="shared" si="6"/>
        <v>Habilidad de Contraataque</v>
      </c>
      <c r="P36" s="3195" t="str">
        <f t="shared" si="5"/>
        <v>+40</v>
      </c>
      <c r="R36" s="3196"/>
      <c r="S36" s="3196"/>
      <c r="T36" s="3196" t="s">
        <v>3492</v>
      </c>
      <c r="U36" s="3196"/>
      <c r="V36" s="3196"/>
      <c r="W36" s="3196"/>
      <c r="X36" s="3196"/>
      <c r="Y36" s="3196"/>
      <c r="Z36" s="3196"/>
      <c r="AA36" s="3196"/>
      <c r="AB36" s="3196"/>
      <c r="AI36" s="2060"/>
    </row>
    <row r="37" spans="1:35" s="3195" customFormat="1" ht="12" customHeight="1">
      <c r="A37" s="3196"/>
      <c r="B37" s="1971" t="s">
        <v>10285</v>
      </c>
      <c r="C37" s="1971" t="e">
        <f t="shared" ref="C37:C68" si="7">"'Tablas Técnicas'!"&amp;ADDRESS(ROW($P$5)+MATCH(B37,$O$6:$O$661,0),COLUMN($P$5))&amp;":"&amp;ADDRESS(ROW($P$5)+MATCH(B37,$O$6:$O$661,0)+COUNTIF($O$6:$O$661,B37)-1,COLUMN($P$5))</f>
        <v>#N/A</v>
      </c>
      <c r="O37" s="3195" t="str">
        <f t="shared" si="6"/>
        <v>Habilidad de Contraataque</v>
      </c>
      <c r="P37" s="3195" t="str">
        <f t="shared" si="5"/>
        <v>+50</v>
      </c>
      <c r="R37" s="3196"/>
      <c r="S37" s="3196"/>
      <c r="T37" s="3196" t="s">
        <v>3495</v>
      </c>
      <c r="U37" s="3196"/>
      <c r="V37" s="3196"/>
      <c r="W37" s="3196"/>
      <c r="X37" s="3196"/>
      <c r="Y37" s="3196"/>
      <c r="Z37" s="3196"/>
      <c r="AA37" s="3196"/>
      <c r="AB37" s="3196"/>
      <c r="AI37" s="2060"/>
    </row>
    <row r="38" spans="1:35" s="3195" customFormat="1" ht="12" customHeight="1">
      <c r="A38" s="3196"/>
      <c r="B38" s="1971" t="s">
        <v>10286</v>
      </c>
      <c r="C38" s="1971" t="e">
        <f t="shared" si="7"/>
        <v>#N/A</v>
      </c>
      <c r="O38" s="3195" t="str">
        <f t="shared" si="6"/>
        <v>Habilidad de Contraataque</v>
      </c>
      <c r="P38" s="3195" t="str">
        <f t="shared" si="5"/>
        <v>+75</v>
      </c>
      <c r="R38" s="3196"/>
      <c r="S38" s="3196"/>
      <c r="T38" s="3196" t="s">
        <v>3500</v>
      </c>
      <c r="U38" s="3196"/>
      <c r="V38" s="3196"/>
      <c r="W38" s="3196"/>
      <c r="X38" s="3196"/>
      <c r="Y38" s="3196"/>
      <c r="Z38" s="3196"/>
      <c r="AA38" s="3196"/>
      <c r="AB38" s="3196"/>
      <c r="AI38" s="2060"/>
    </row>
    <row r="39" spans="1:35" s="3195" customFormat="1" ht="12" customHeight="1">
      <c r="A39" s="3196"/>
      <c r="B39" s="1971" t="s">
        <v>10287</v>
      </c>
      <c r="C39" s="1971" t="e">
        <f t="shared" si="7"/>
        <v>#N/A</v>
      </c>
      <c r="O39" s="3195" t="str">
        <f t="shared" si="6"/>
        <v>Habilidad de Contraataque</v>
      </c>
      <c r="P39" s="3195" t="str">
        <f t="shared" si="5"/>
        <v>+90</v>
      </c>
      <c r="R39" s="3196"/>
      <c r="S39" s="3196"/>
      <c r="T39" s="3196" t="s">
        <v>3505</v>
      </c>
      <c r="U39" s="3196"/>
      <c r="V39" s="3196"/>
      <c r="W39" s="3196"/>
      <c r="X39" s="3196"/>
      <c r="Y39" s="3196"/>
      <c r="Z39" s="3196"/>
      <c r="AA39" s="3196"/>
      <c r="AB39" s="3196"/>
      <c r="AI39" s="2060"/>
    </row>
    <row r="40" spans="1:35" s="3195" customFormat="1" ht="12" customHeight="1">
      <c r="A40" s="3196"/>
      <c r="B40" s="1971" t="s">
        <v>10288</v>
      </c>
      <c r="C40" s="1971" t="e">
        <f t="shared" si="7"/>
        <v>#N/A</v>
      </c>
      <c r="O40" s="3195" t="str">
        <f t="shared" si="6"/>
        <v>Habilidad de Contraataque</v>
      </c>
      <c r="P40" s="3195" t="str">
        <f t="shared" si="5"/>
        <v>+100</v>
      </c>
      <c r="R40" s="3196"/>
      <c r="S40" s="3196"/>
      <c r="T40" s="3196" t="s">
        <v>3510</v>
      </c>
      <c r="U40" s="3196"/>
      <c r="V40" s="3196"/>
      <c r="W40" s="3196"/>
      <c r="X40" s="3196"/>
      <c r="Y40" s="3196"/>
      <c r="Z40" s="3196"/>
      <c r="AA40" s="3196"/>
      <c r="AB40" s="3196"/>
      <c r="AI40" s="2060"/>
    </row>
    <row r="41" spans="1:35" s="3195" customFormat="1" ht="12" customHeight="1">
      <c r="A41" s="3196"/>
      <c r="B41" s="1971" t="s">
        <v>10289</v>
      </c>
      <c r="C41" s="1971" t="e">
        <f t="shared" si="7"/>
        <v>#N/A</v>
      </c>
      <c r="O41" s="3195" t="str">
        <f t="shared" si="6"/>
        <v>Habilidad de Contraataque</v>
      </c>
      <c r="P41" s="3195" t="str">
        <f t="shared" si="5"/>
        <v>+125</v>
      </c>
      <c r="R41" s="3196"/>
      <c r="S41" s="3196"/>
      <c r="T41" s="3196" t="s">
        <v>3515</v>
      </c>
      <c r="U41" s="3196"/>
      <c r="V41" s="3196"/>
      <c r="W41" s="3196"/>
      <c r="X41" s="3196"/>
      <c r="Y41" s="3196"/>
      <c r="Z41" s="3196"/>
      <c r="AA41" s="3196"/>
      <c r="AB41" s="3196"/>
      <c r="AI41" s="2060"/>
    </row>
    <row r="42" spans="1:35" s="3195" customFormat="1" ht="12" customHeight="1">
      <c r="A42" s="3196"/>
      <c r="B42" s="1971" t="s">
        <v>10290</v>
      </c>
      <c r="C42" s="1971" t="e">
        <f t="shared" si="7"/>
        <v>#N/A</v>
      </c>
      <c r="O42" s="3195" t="str">
        <f t="shared" si="6"/>
        <v>Habilidad de Contraataque</v>
      </c>
      <c r="P42" s="3195" t="str">
        <f t="shared" si="5"/>
        <v>+150</v>
      </c>
      <c r="R42" s="3196"/>
      <c r="S42" s="3196"/>
      <c r="T42" s="3195" t="s">
        <v>3521</v>
      </c>
      <c r="U42" s="3196"/>
      <c r="V42" s="3196"/>
      <c r="W42" s="3196"/>
      <c r="X42" s="3196"/>
      <c r="Y42" s="3196"/>
      <c r="Z42" s="3196"/>
      <c r="AA42" s="3196"/>
      <c r="AB42" s="3196"/>
      <c r="AI42" s="2060"/>
    </row>
    <row r="43" spans="1:35" s="3195" customFormat="1" ht="12" customHeight="1">
      <c r="B43" s="1971" t="s">
        <v>3466</v>
      </c>
      <c r="C43" s="1971" t="e">
        <f t="shared" si="7"/>
        <v>#N/A</v>
      </c>
      <c r="O43" s="3195" t="str">
        <f t="shared" si="6"/>
        <v>Habilidad de Contraataque</v>
      </c>
      <c r="P43" s="3195" t="str">
        <f t="shared" si="5"/>
        <v>+175</v>
      </c>
      <c r="T43" s="3196" t="s">
        <v>3527</v>
      </c>
      <c r="AI43" s="2060"/>
    </row>
    <row r="44" spans="1:35" s="3195" customFormat="1" ht="12" customHeight="1">
      <c r="A44" s="3196"/>
      <c r="B44" s="1971" t="s">
        <v>10291</v>
      </c>
      <c r="C44" s="1971" t="str">
        <f t="shared" si="7"/>
        <v>'Tablas Técnicas'!$P$324:$P$331</v>
      </c>
      <c r="O44" s="3195" t="str">
        <f t="shared" si="6"/>
        <v>Habilidad de Contraataque</v>
      </c>
      <c r="P44" s="3195" t="str">
        <f t="shared" si="5"/>
        <v>+200</v>
      </c>
      <c r="R44" s="3196"/>
      <c r="S44" s="3196"/>
      <c r="T44" s="3196" t="s">
        <v>3530</v>
      </c>
      <c r="U44" s="3196"/>
      <c r="V44" s="3196"/>
      <c r="W44" s="3196"/>
      <c r="X44" s="3196"/>
      <c r="Y44" s="3196"/>
      <c r="Z44" s="3196"/>
      <c r="AA44" s="3196"/>
      <c r="AB44" s="3196"/>
      <c r="AI44" s="2060"/>
    </row>
    <row r="45" spans="1:35" s="3195" customFormat="1" ht="12" customHeight="1">
      <c r="A45" s="3196"/>
      <c r="B45" s="1971" t="s">
        <v>10292</v>
      </c>
      <c r="C45" s="1971" t="str">
        <f t="shared" si="7"/>
        <v>'Tablas Técnicas'!$P$333:$P$339</v>
      </c>
      <c r="O45" s="3195" t="e">
        <f>LEFT(T45,FIND(" -",T45)-1)</f>
        <v>#VALUE!</v>
      </c>
      <c r="P45" s="3195" t="e">
        <f t="shared" si="5"/>
        <v>#VALUE!</v>
      </c>
      <c r="R45" s="3196"/>
      <c r="S45" s="3196"/>
      <c r="T45" s="3196" t="s">
        <v>3318</v>
      </c>
      <c r="U45" s="3196"/>
      <c r="V45" s="3196"/>
      <c r="W45" s="3196"/>
      <c r="X45" s="3196"/>
      <c r="Y45" s="3196"/>
      <c r="Z45" s="3196"/>
      <c r="AA45" s="3196"/>
      <c r="AB45" s="3196"/>
      <c r="AI45" s="2060"/>
    </row>
    <row r="46" spans="1:35" s="3195" customFormat="1" ht="12" customHeight="1">
      <c r="A46" s="3196"/>
      <c r="B46" s="1971" t="s">
        <v>10293</v>
      </c>
      <c r="C46" s="1971" t="e">
        <f t="shared" si="7"/>
        <v>#N/A</v>
      </c>
      <c r="O46" s="3195" t="str">
        <f t="shared" ref="O46:O55" si="8">LEFT(T46,FIND(" -",T46)-1)</f>
        <v>Maniobras de Combate y Apuntar</v>
      </c>
      <c r="P46" s="3195" t="str">
        <f>MID(T46,FIND("-",T46),20)</f>
        <v>-10</v>
      </c>
      <c r="R46" s="3196"/>
      <c r="S46" s="3196"/>
      <c r="T46" s="3196" t="s">
        <v>3539</v>
      </c>
      <c r="U46" s="3196"/>
      <c r="V46" s="3196"/>
      <c r="W46" s="3196"/>
      <c r="X46" s="3196"/>
      <c r="Y46" s="3196"/>
      <c r="Z46" s="3196"/>
      <c r="AA46" s="3196"/>
      <c r="AB46" s="3196"/>
      <c r="AI46" s="2060"/>
    </row>
    <row r="47" spans="1:35" s="3195" customFormat="1" ht="12" customHeight="1">
      <c r="A47" s="3196"/>
      <c r="B47" s="1971" t="s">
        <v>1860</v>
      </c>
      <c r="C47" s="1971" t="e">
        <f t="shared" si="7"/>
        <v>#N/A</v>
      </c>
      <c r="O47" s="3195" t="str">
        <f t="shared" si="8"/>
        <v>Maniobras de Combate y Apuntar</v>
      </c>
      <c r="P47" s="3195" t="str">
        <f t="shared" ref="P47:P55" si="9">MID(T47,FIND("-",T47),20)</f>
        <v>-25</v>
      </c>
      <c r="R47" s="3196"/>
      <c r="S47" s="3196"/>
      <c r="T47" s="3196" t="s">
        <v>3545</v>
      </c>
      <c r="U47" s="3196"/>
      <c r="V47" s="3196"/>
      <c r="W47" s="3196"/>
      <c r="X47" s="3196"/>
      <c r="Y47" s="3196"/>
      <c r="Z47" s="3196"/>
      <c r="AA47" s="3196"/>
      <c r="AB47" s="3196"/>
      <c r="AI47" s="2060"/>
    </row>
    <row r="48" spans="1:35" s="3195" customFormat="1" ht="12" customHeight="1">
      <c r="A48" s="3196"/>
      <c r="B48" s="1971" t="s">
        <v>3488</v>
      </c>
      <c r="C48" s="1971" t="e">
        <f t="shared" si="7"/>
        <v>#N/A</v>
      </c>
      <c r="O48" s="3195" t="str">
        <f t="shared" si="8"/>
        <v>Maniobras de Combate y Apuntar</v>
      </c>
      <c r="P48" s="3195" t="str">
        <f t="shared" si="9"/>
        <v>-50</v>
      </c>
      <c r="R48" s="3196"/>
      <c r="S48" s="3196"/>
      <c r="T48" s="3196" t="s">
        <v>3551</v>
      </c>
      <c r="U48" s="3196"/>
      <c r="V48" s="3196"/>
      <c r="W48" s="3196"/>
      <c r="X48" s="3196"/>
      <c r="Y48" s="3196"/>
      <c r="Z48" s="3196"/>
      <c r="AA48" s="3196"/>
      <c r="AB48" s="3196"/>
      <c r="AI48" s="2060"/>
    </row>
    <row r="49" spans="1:35" s="3195" customFormat="1" ht="12" customHeight="1">
      <c r="A49" s="3196"/>
      <c r="B49" s="1971" t="s">
        <v>10294</v>
      </c>
      <c r="C49" s="1971" t="str">
        <f t="shared" si="7"/>
        <v>'Tablas Técnicas'!$P$367:$P$371</v>
      </c>
      <c r="O49" s="3195" t="str">
        <f t="shared" si="8"/>
        <v>Maniobras de Combate y Apuntar</v>
      </c>
      <c r="P49" s="3195" t="str">
        <f t="shared" si="9"/>
        <v>-75</v>
      </c>
      <c r="R49" s="3196"/>
      <c r="S49" s="3196"/>
      <c r="T49" s="3195" t="s">
        <v>3557</v>
      </c>
      <c r="U49" s="3196"/>
      <c r="V49" s="3196"/>
      <c r="W49" s="3196"/>
      <c r="X49" s="3196"/>
      <c r="Y49" s="3196"/>
      <c r="Z49" s="3196"/>
      <c r="AA49" s="3196"/>
      <c r="AB49" s="3196"/>
      <c r="AI49" s="2060"/>
    </row>
    <row r="50" spans="1:35" s="3195" customFormat="1" ht="12" customHeight="1">
      <c r="A50" s="3196"/>
      <c r="B50" s="1971" t="s">
        <v>10295</v>
      </c>
      <c r="C50" s="1971" t="str">
        <f t="shared" si="7"/>
        <v>'Tablas Técnicas'!$P$373:$P$378</v>
      </c>
      <c r="O50" s="3195" t="str">
        <f t="shared" si="8"/>
        <v>Maniobras de Combate y Apuntar</v>
      </c>
      <c r="P50" s="3195" t="str">
        <f t="shared" si="9"/>
        <v>-100</v>
      </c>
      <c r="R50" s="3196"/>
      <c r="S50" s="3196"/>
      <c r="T50" s="3196" t="s">
        <v>3560</v>
      </c>
      <c r="U50" s="3196"/>
      <c r="V50" s="3196"/>
      <c r="W50" s="3196"/>
      <c r="X50" s="3196"/>
      <c r="Y50" s="3196"/>
      <c r="Z50" s="3196"/>
      <c r="AA50" s="3196"/>
      <c r="AB50" s="3196"/>
      <c r="AI50" s="2060"/>
    </row>
    <row r="51" spans="1:35" s="3195" customFormat="1" ht="12" customHeight="1">
      <c r="A51" s="3196"/>
      <c r="B51" s="1971" t="s">
        <v>10296</v>
      </c>
      <c r="C51" s="1971" t="e">
        <f t="shared" si="7"/>
        <v>#N/A</v>
      </c>
      <c r="O51" s="3195" t="str">
        <f t="shared" si="8"/>
        <v>Maniobras de Combate y Apuntar</v>
      </c>
      <c r="P51" s="3195" t="str">
        <f t="shared" si="9"/>
        <v>-120</v>
      </c>
      <c r="R51" s="3196"/>
      <c r="S51" s="3196"/>
      <c r="T51" s="3196" t="s">
        <v>3565</v>
      </c>
      <c r="U51" s="3196"/>
      <c r="V51" s="3196"/>
      <c r="W51" s="3196"/>
      <c r="X51" s="3196"/>
      <c r="Y51" s="3196"/>
      <c r="Z51" s="3196"/>
      <c r="AA51" s="3196"/>
      <c r="AB51" s="3196"/>
      <c r="AI51" s="2060"/>
    </row>
    <row r="52" spans="1:35" s="3195" customFormat="1" ht="12" customHeight="1">
      <c r="A52" s="3196"/>
      <c r="B52" s="1971" t="s">
        <v>10297</v>
      </c>
      <c r="C52" s="1971" t="e">
        <f t="shared" si="7"/>
        <v>#N/A</v>
      </c>
      <c r="O52" s="3195" t="e">
        <f t="shared" si="8"/>
        <v>#VALUE!</v>
      </c>
      <c r="P52" s="3195" t="e">
        <f t="shared" si="9"/>
        <v>#VALUE!</v>
      </c>
      <c r="R52" s="3196"/>
      <c r="S52" s="3196"/>
      <c r="T52" s="3196" t="s">
        <v>3322</v>
      </c>
      <c r="U52" s="3196"/>
      <c r="V52" s="3196"/>
      <c r="W52" s="3196"/>
      <c r="X52" s="3196"/>
      <c r="Y52" s="3196"/>
      <c r="Z52" s="3196"/>
      <c r="AA52" s="3196"/>
      <c r="AB52" s="3196"/>
      <c r="AI52" s="2060"/>
    </row>
    <row r="53" spans="1:35" s="3195" customFormat="1" ht="12" customHeight="1">
      <c r="A53" s="3196"/>
      <c r="B53" s="1971" t="s">
        <v>10298</v>
      </c>
      <c r="C53" s="1971" t="e">
        <f t="shared" si="7"/>
        <v>#N/A</v>
      </c>
      <c r="O53" s="3195" t="str">
        <f t="shared" si="8"/>
        <v>Maniobras de Combate y Apuntar Reales</v>
      </c>
      <c r="P53" s="3195" t="str">
        <f t="shared" si="9"/>
        <v>-10</v>
      </c>
      <c r="R53" s="3196"/>
      <c r="S53" s="3196"/>
      <c r="T53" s="3195" t="s">
        <v>3575</v>
      </c>
      <c r="U53" s="3196"/>
      <c r="V53" s="3196"/>
      <c r="W53" s="3196"/>
      <c r="X53" s="3196"/>
      <c r="Y53" s="3196"/>
      <c r="Z53" s="3196"/>
      <c r="AA53" s="3196"/>
      <c r="AB53" s="3196"/>
      <c r="AI53" s="2060"/>
    </row>
    <row r="54" spans="1:35" s="3195" customFormat="1" ht="12" customHeight="1">
      <c r="A54" s="3196"/>
      <c r="B54" s="1971" t="s">
        <v>10299</v>
      </c>
      <c r="C54" s="1971" t="e">
        <f t="shared" si="7"/>
        <v>#N/A</v>
      </c>
      <c r="O54" s="3195" t="str">
        <f t="shared" si="8"/>
        <v>Maniobras de Combate y Apuntar Reales</v>
      </c>
      <c r="P54" s="3195" t="str">
        <f t="shared" si="9"/>
        <v>-25</v>
      </c>
      <c r="R54" s="3196"/>
      <c r="S54" s="3196"/>
      <c r="T54" s="3196" t="s">
        <v>3580</v>
      </c>
      <c r="U54" s="3196"/>
      <c r="V54" s="3196"/>
      <c r="W54" s="3196"/>
      <c r="X54" s="3196"/>
      <c r="Y54" s="3196"/>
      <c r="Z54" s="3196"/>
      <c r="AA54" s="3196"/>
      <c r="AB54" s="3196"/>
      <c r="AI54" s="2060"/>
    </row>
    <row r="55" spans="1:35" s="3195" customFormat="1" ht="12" customHeight="1">
      <c r="B55" s="1971" t="s">
        <v>10300</v>
      </c>
      <c r="C55" s="1971" t="e">
        <f t="shared" si="7"/>
        <v>#N/A</v>
      </c>
      <c r="O55" s="3195" t="str">
        <f t="shared" si="8"/>
        <v>Maniobras de Combate y Apuntar Reales</v>
      </c>
      <c r="P55" s="3195" t="str">
        <f t="shared" si="9"/>
        <v>-50</v>
      </c>
      <c r="T55" s="3196" t="s">
        <v>3586</v>
      </c>
      <c r="AI55" s="2060"/>
    </row>
    <row r="56" spans="1:35" s="3195" customFormat="1" ht="12" customHeight="1">
      <c r="A56" s="3196"/>
      <c r="B56" s="1971" t="s">
        <v>10301</v>
      </c>
      <c r="C56" s="1971" t="e">
        <f t="shared" si="7"/>
        <v>#N/A</v>
      </c>
      <c r="O56" s="3195" t="e">
        <f>LEFT(T56,FIND(" +",T56)-1)</f>
        <v>#VALUE!</v>
      </c>
      <c r="P56" s="3195" t="e">
        <f>MID(T56,FIND("+",T56),20)</f>
        <v>#VALUE!</v>
      </c>
      <c r="R56" s="3196"/>
      <c r="S56" s="3196"/>
      <c r="T56" s="3196" t="s">
        <v>3325</v>
      </c>
      <c r="U56" s="3196"/>
      <c r="V56" s="3196"/>
      <c r="W56" s="3196"/>
      <c r="X56" s="3196"/>
      <c r="Y56" s="3196"/>
      <c r="Z56" s="3196"/>
      <c r="AI56" s="2060"/>
    </row>
    <row r="57" spans="1:35" s="3195" customFormat="1" ht="12" customHeight="1">
      <c r="A57" s="3196"/>
      <c r="B57" s="1971" t="s">
        <v>10302</v>
      </c>
      <c r="C57" s="1971" t="e">
        <f t="shared" si="7"/>
        <v>#N/A</v>
      </c>
      <c r="O57" s="3195" t="s">
        <v>10267</v>
      </c>
      <c r="P57" s="3195" t="s">
        <v>10318</v>
      </c>
      <c r="R57" s="3196"/>
      <c r="S57" s="3196"/>
      <c r="T57" s="3195" t="s">
        <v>3594</v>
      </c>
      <c r="U57" s="3196"/>
      <c r="V57" s="3196"/>
      <c r="W57" s="3196"/>
      <c r="X57" s="3196"/>
      <c r="Y57" s="3196"/>
      <c r="Z57" s="3196"/>
      <c r="AI57" s="2060"/>
    </row>
    <row r="58" spans="1:35" s="3195" customFormat="1" ht="12" customHeight="1">
      <c r="A58" s="3196"/>
      <c r="B58" s="1971" t="s">
        <v>3535</v>
      </c>
      <c r="C58" s="1971" t="e">
        <f t="shared" si="7"/>
        <v>#N/A</v>
      </c>
      <c r="O58" s="3195" t="s">
        <v>10267</v>
      </c>
      <c r="P58" s="3195" t="s">
        <v>10319</v>
      </c>
      <c r="R58" s="3196"/>
      <c r="S58" s="3196"/>
      <c r="T58" s="3196" t="s">
        <v>3600</v>
      </c>
      <c r="U58" s="3196"/>
      <c r="V58" s="3196"/>
      <c r="W58" s="3196"/>
      <c r="X58" s="3196"/>
      <c r="Y58" s="3196"/>
      <c r="Z58" s="3196"/>
      <c r="AI58" s="2060"/>
    </row>
    <row r="59" spans="1:35" s="3195" customFormat="1" ht="12" customHeight="1">
      <c r="A59" s="3196"/>
      <c r="B59" s="1971" t="s">
        <v>4248</v>
      </c>
      <c r="C59" s="1971" t="e">
        <f t="shared" si="7"/>
        <v>#N/A</v>
      </c>
      <c r="O59" s="3195" t="s">
        <v>10267</v>
      </c>
      <c r="P59" s="3195" t="s">
        <v>10320</v>
      </c>
      <c r="R59" s="3196"/>
      <c r="S59" s="3196"/>
      <c r="T59" s="3196" t="s">
        <v>3607</v>
      </c>
      <c r="U59" s="3196"/>
      <c r="V59" s="3196"/>
      <c r="W59" s="3196"/>
      <c r="X59" s="3196"/>
      <c r="Y59" s="3196"/>
      <c r="Z59" s="3196"/>
      <c r="AI59" s="2060"/>
    </row>
    <row r="60" spans="1:35" s="3195" customFormat="1" ht="12" customHeight="1">
      <c r="A60" s="3196"/>
      <c r="B60" s="1971" t="s">
        <v>4249</v>
      </c>
      <c r="C60" s="1971" t="e">
        <f t="shared" si="7"/>
        <v>#N/A</v>
      </c>
      <c r="O60" s="3195" t="e">
        <f>LEFT(T60,FIND(" +",T60)-1)</f>
        <v>#VALUE!</v>
      </c>
      <c r="P60" s="3195" t="e">
        <f>MID(T60,FIND("+",T60),20)</f>
        <v>#VALUE!</v>
      </c>
      <c r="R60" s="3196"/>
      <c r="S60" s="3196"/>
      <c r="T60" s="3196" t="s">
        <v>3327</v>
      </c>
      <c r="U60" s="3196"/>
      <c r="V60" s="3196"/>
      <c r="W60" s="3196"/>
      <c r="X60" s="3196"/>
      <c r="Y60" s="3196"/>
      <c r="Z60" s="3196"/>
      <c r="AI60" s="2060"/>
    </row>
    <row r="61" spans="1:35" s="3195" customFormat="1" ht="12" customHeight="1">
      <c r="A61" s="3196"/>
      <c r="B61" s="1971" t="s">
        <v>10303</v>
      </c>
      <c r="C61" s="1971" t="str">
        <f t="shared" si="7"/>
        <v>'Tablas Técnicas'!$P$450:$P$454</v>
      </c>
      <c r="O61" s="3195" t="str">
        <f>LEFT(T61,FIND("que",T61)+3)</f>
        <v xml:space="preserve">Camuflar Ataque </v>
      </c>
      <c r="P61" s="3195" t="str">
        <f>MID(T61,FIND("que",T61)+4,20)</f>
        <v>Media (80)</v>
      </c>
      <c r="R61" s="3196"/>
      <c r="S61" s="3196"/>
      <c r="T61" s="3196" t="s">
        <v>3618</v>
      </c>
      <c r="U61" s="3196"/>
      <c r="V61" s="3196"/>
      <c r="W61" s="3196"/>
      <c r="X61" s="3196"/>
      <c r="Y61" s="3196"/>
      <c r="Z61" s="3196"/>
      <c r="AI61" s="2060"/>
    </row>
    <row r="62" spans="1:35" s="3195" customFormat="1" ht="12" customHeight="1">
      <c r="B62" s="1971" t="s">
        <v>4262</v>
      </c>
      <c r="C62" s="1971" t="e">
        <f t="shared" si="7"/>
        <v>#N/A</v>
      </c>
      <c r="O62" s="3195" t="str">
        <f t="shared" ref="O62:O68" si="10">LEFT(T62,FIND("que",T62)+3)</f>
        <v xml:space="preserve">Camuflar Ataque </v>
      </c>
      <c r="P62" s="3195" t="str">
        <f t="shared" ref="P62:P68" si="11">MID(T62,FIND("que",T62)+4,20)</f>
        <v>Difícil (120)</v>
      </c>
      <c r="T62" s="3196" t="s">
        <v>3624</v>
      </c>
      <c r="AI62" s="2060"/>
    </row>
    <row r="63" spans="1:35" s="3195" customFormat="1" ht="12" customHeight="1">
      <c r="A63" s="3196"/>
      <c r="B63" s="1971" t="s">
        <v>10304</v>
      </c>
      <c r="C63" s="1971" t="e">
        <f t="shared" si="7"/>
        <v>#N/A</v>
      </c>
      <c r="O63" s="3195" t="str">
        <f t="shared" si="10"/>
        <v xml:space="preserve">Camuflar Ataque </v>
      </c>
      <c r="P63" s="3195" t="str">
        <f t="shared" si="11"/>
        <v>Muy Difícil (140)</v>
      </c>
      <c r="R63" s="3196"/>
      <c r="S63" s="3196"/>
      <c r="T63" s="3196" t="s">
        <v>3627</v>
      </c>
      <c r="U63" s="3196"/>
      <c r="V63" s="3196"/>
      <c r="W63" s="3196"/>
      <c r="X63" s="3196"/>
      <c r="Y63" s="3196"/>
      <c r="Z63" s="3196"/>
      <c r="AI63" s="2060"/>
    </row>
    <row r="64" spans="1:35" s="3195" customFormat="1" ht="12" customHeight="1">
      <c r="A64" s="3196"/>
      <c r="B64" s="1971" t="s">
        <v>3566</v>
      </c>
      <c r="C64" s="1971" t="e">
        <f t="shared" si="7"/>
        <v>#N/A</v>
      </c>
      <c r="O64" s="3195" t="str">
        <f t="shared" si="10"/>
        <v xml:space="preserve">Camuflar Ataque </v>
      </c>
      <c r="P64" s="3195" t="str">
        <f t="shared" si="11"/>
        <v>Absurdo (180)</v>
      </c>
      <c r="R64" s="3196"/>
      <c r="S64" s="3196"/>
      <c r="T64" s="3196" t="s">
        <v>3632</v>
      </c>
      <c r="U64" s="3196"/>
      <c r="V64" s="3196"/>
      <c r="W64" s="3196"/>
      <c r="X64" s="3196"/>
      <c r="Y64" s="3196"/>
      <c r="Z64" s="3196"/>
      <c r="AI64" s="2060"/>
    </row>
    <row r="65" spans="1:35" s="3195" customFormat="1" ht="12" customHeight="1">
      <c r="A65" s="3196"/>
      <c r="B65" s="1971" t="s">
        <v>4280</v>
      </c>
      <c r="C65" s="1971" t="e">
        <f t="shared" si="7"/>
        <v>#N/A</v>
      </c>
      <c r="O65" s="3195" t="str">
        <f t="shared" si="10"/>
        <v xml:space="preserve">Camuflar Ataque </v>
      </c>
      <c r="P65" s="3195" t="str">
        <f t="shared" si="11"/>
        <v>Casi Imposible (240)</v>
      </c>
      <c r="R65" s="3196"/>
      <c r="S65" s="3196"/>
      <c r="T65" s="3196" t="s">
        <v>3636</v>
      </c>
      <c r="U65" s="3196"/>
      <c r="V65" s="3196"/>
      <c r="W65" s="3196"/>
      <c r="X65" s="3196"/>
      <c r="Y65" s="3196"/>
      <c r="Z65" s="3196"/>
      <c r="AI65" s="2060"/>
    </row>
    <row r="66" spans="1:35" s="3195" customFormat="1" ht="12" customHeight="1">
      <c r="B66" s="1971" t="s">
        <v>2005</v>
      </c>
      <c r="C66" s="1971" t="e">
        <f t="shared" si="7"/>
        <v>#N/A</v>
      </c>
      <c r="O66" s="3195" t="str">
        <f t="shared" si="10"/>
        <v xml:space="preserve">Camuflar Ataque </v>
      </c>
      <c r="P66" s="3195" t="str">
        <f t="shared" si="11"/>
        <v>Imposible (280)</v>
      </c>
      <c r="T66" s="3195" t="s">
        <v>3640</v>
      </c>
      <c r="AI66" s="2060"/>
    </row>
    <row r="67" spans="1:35" s="3195" customFormat="1" ht="12" customHeight="1">
      <c r="A67" s="3196"/>
      <c r="B67" s="1971" t="s">
        <v>3581</v>
      </c>
      <c r="C67" s="1971" t="e">
        <f t="shared" si="7"/>
        <v>#N/A</v>
      </c>
      <c r="O67" s="3195" t="str">
        <f t="shared" si="10"/>
        <v xml:space="preserve">Camuflar Ataque </v>
      </c>
      <c r="P67" s="3195" t="str">
        <f t="shared" si="11"/>
        <v>Inhumano (320)</v>
      </c>
      <c r="R67" s="3196"/>
      <c r="S67" s="3196"/>
      <c r="T67" s="3195" t="s">
        <v>3644</v>
      </c>
      <c r="U67" s="3196"/>
      <c r="V67" s="3196"/>
      <c r="W67" s="3196"/>
      <c r="X67" s="3196"/>
      <c r="Y67" s="3196"/>
      <c r="Z67" s="3196"/>
      <c r="AA67" s="3196"/>
      <c r="AB67" s="3196"/>
      <c r="AI67" s="2060"/>
    </row>
    <row r="68" spans="1:35" s="3195" customFormat="1" ht="12" customHeight="1">
      <c r="A68" s="3196"/>
      <c r="B68" s="1971" t="s">
        <v>10305</v>
      </c>
      <c r="C68" s="1971" t="e">
        <f t="shared" si="7"/>
        <v>#N/A</v>
      </c>
      <c r="O68" s="3195" t="str">
        <f t="shared" si="10"/>
        <v xml:space="preserve">Camuflar Ataque </v>
      </c>
      <c r="P68" s="3195" t="str">
        <f t="shared" si="11"/>
        <v>Zen (440)</v>
      </c>
      <c r="R68" s="3196"/>
      <c r="S68" s="3196"/>
      <c r="T68" s="3196" t="s">
        <v>3649</v>
      </c>
      <c r="U68" s="3196"/>
      <c r="V68" s="3196"/>
      <c r="W68" s="3196"/>
      <c r="X68" s="3196"/>
      <c r="Y68" s="3196"/>
      <c r="Z68" s="3196"/>
      <c r="AA68" s="3196"/>
      <c r="AB68" s="3196"/>
      <c r="AI68" s="2060"/>
    </row>
    <row r="69" spans="1:35" s="3195" customFormat="1" ht="12" customHeight="1">
      <c r="A69" s="3196"/>
      <c r="B69" s="1971" t="s">
        <v>10306</v>
      </c>
      <c r="C69" s="1971" t="str">
        <f t="shared" ref="C69:C76" si="12">"'Tablas Técnicas'!"&amp;ADDRESS(ROW($P$5)+MATCH(B69,$O$6:$O$661,0),COLUMN($P$5))&amp;":"&amp;ADDRESS(ROW($P$5)+MATCH(B69,$O$6:$O$661,0)+COUNTIF($O$6:$O$661,B69)-1,COLUMN($P$5))</f>
        <v>'Tablas Técnicas'!$P$538:$P$594</v>
      </c>
      <c r="R69" s="3196"/>
      <c r="S69" s="3196"/>
      <c r="T69" s="3195" t="s">
        <v>3329</v>
      </c>
      <c r="U69" s="3196"/>
      <c r="V69" s="3196"/>
      <c r="W69" s="3196"/>
      <c r="X69" s="3196"/>
      <c r="Y69" s="3196"/>
      <c r="Z69" s="3196"/>
      <c r="AA69" s="3196"/>
      <c r="AB69" s="3196"/>
      <c r="AI69" s="2060"/>
    </row>
    <row r="70" spans="1:35" s="3195" customFormat="1" ht="12" customHeight="1">
      <c r="B70" s="1971" t="s">
        <v>3595</v>
      </c>
      <c r="C70" s="1971" t="e">
        <f t="shared" si="12"/>
        <v>#N/A</v>
      </c>
      <c r="T70" s="3195" t="s">
        <v>3338</v>
      </c>
      <c r="AI70" s="2060"/>
    </row>
    <row r="71" spans="1:35" s="3195" customFormat="1" ht="12" customHeight="1">
      <c r="A71" s="3196"/>
      <c r="B71" s="1971" t="s">
        <v>3601</v>
      </c>
      <c r="C71" s="1971" t="e">
        <f t="shared" si="12"/>
        <v>#N/A</v>
      </c>
      <c r="O71" s="3195" t="str">
        <f>LEFT(T71,FIND(" +",T71)-1)</f>
        <v>Habilidad de Parada</v>
      </c>
      <c r="P71" s="3195" t="str">
        <f>MID(T71,FIND("+",T71),20)</f>
        <v>+10</v>
      </c>
      <c r="R71" s="3196"/>
      <c r="S71" s="3196"/>
      <c r="T71" s="3195" t="s">
        <v>3658</v>
      </c>
      <c r="U71" s="3196"/>
      <c r="V71" s="3196"/>
      <c r="W71" s="3196"/>
      <c r="X71" s="3196"/>
      <c r="Y71" s="3196"/>
      <c r="Z71" s="3196"/>
      <c r="AA71" s="3196"/>
      <c r="AB71" s="3196"/>
      <c r="AI71" s="2060"/>
    </row>
    <row r="72" spans="1:35" s="3195" customFormat="1" ht="12" customHeight="1">
      <c r="A72" s="3196"/>
      <c r="B72" s="1971" t="s">
        <v>3608</v>
      </c>
      <c r="C72" s="1971" t="e">
        <f t="shared" si="12"/>
        <v>#N/A</v>
      </c>
      <c r="O72" s="3195" t="str">
        <f t="shared" ref="O72:O135" si="13">LEFT(T72,FIND(" +",T72)-1)</f>
        <v>Habilidad de Parada</v>
      </c>
      <c r="P72" s="3195" t="str">
        <f t="shared" ref="P72:P135" si="14">MID(T72,FIND("+",T72),20)</f>
        <v>+25</v>
      </c>
      <c r="R72" s="3196"/>
      <c r="S72" s="3196"/>
      <c r="T72" s="3195" t="s">
        <v>3662</v>
      </c>
      <c r="U72" s="3196"/>
      <c r="V72" s="3196"/>
      <c r="W72" s="3196"/>
      <c r="X72" s="3196"/>
      <c r="Y72" s="3196"/>
      <c r="Z72" s="3196"/>
      <c r="AA72" s="3196"/>
      <c r="AB72" s="3196"/>
      <c r="AI72" s="2060"/>
    </row>
    <row r="73" spans="1:35" s="3195" customFormat="1" ht="12" customHeight="1">
      <c r="A73" s="3196"/>
      <c r="B73" s="1971" t="s">
        <v>3613</v>
      </c>
      <c r="C73" s="1971" t="e">
        <f t="shared" si="12"/>
        <v>#N/A</v>
      </c>
      <c r="O73" s="3195" t="str">
        <f t="shared" si="13"/>
        <v>Habilidad de Parada</v>
      </c>
      <c r="P73" s="3195" t="str">
        <f t="shared" si="14"/>
        <v>+40</v>
      </c>
      <c r="R73" s="3196"/>
      <c r="S73" s="3196"/>
      <c r="T73" s="3195" t="s">
        <v>3667</v>
      </c>
      <c r="U73" s="3196"/>
      <c r="V73" s="3196"/>
      <c r="W73" s="3196"/>
      <c r="X73" s="3196"/>
      <c r="Y73" s="3196"/>
      <c r="Z73" s="3196"/>
      <c r="AA73" s="3196"/>
      <c r="AB73" s="3196"/>
      <c r="AI73" s="2060"/>
    </row>
    <row r="74" spans="1:35" s="3195" customFormat="1" ht="12" customHeight="1">
      <c r="A74" s="3196"/>
      <c r="B74" s="1971" t="s">
        <v>10307</v>
      </c>
      <c r="C74" s="1971" t="str">
        <f t="shared" si="12"/>
        <v>'Tablas Técnicas'!$P$633:$P$643</v>
      </c>
      <c r="O74" s="3195" t="str">
        <f t="shared" si="13"/>
        <v>Habilidad de Parada</v>
      </c>
      <c r="P74" s="3195" t="str">
        <f t="shared" si="14"/>
        <v>+50</v>
      </c>
      <c r="R74" s="3196"/>
      <c r="S74" s="3196"/>
      <c r="T74" s="3195" t="s">
        <v>3672</v>
      </c>
      <c r="U74" s="3196"/>
      <c r="V74" s="3196"/>
      <c r="W74" s="3196"/>
      <c r="X74" s="3196"/>
      <c r="Y74" s="3196"/>
      <c r="Z74" s="3196"/>
      <c r="AA74" s="3196"/>
      <c r="AB74" s="3196"/>
      <c r="AI74" s="2060"/>
    </row>
    <row r="75" spans="1:35" s="3195" customFormat="1" ht="12" customHeight="1">
      <c r="A75" s="3196"/>
      <c r="B75" s="1971" t="s">
        <v>10308</v>
      </c>
      <c r="C75" s="1971" t="str">
        <f t="shared" si="12"/>
        <v>'Tablas Técnicas'!$P$647:$P$653</v>
      </c>
      <c r="O75" s="3195" t="str">
        <f t="shared" si="13"/>
        <v>Habilidad de Parada</v>
      </c>
      <c r="P75" s="3195" t="str">
        <f t="shared" si="14"/>
        <v>+75</v>
      </c>
      <c r="R75" s="3196"/>
      <c r="S75" s="3196"/>
      <c r="T75" s="3195" t="s">
        <v>3674</v>
      </c>
      <c r="U75" s="3196"/>
      <c r="V75" s="3196"/>
      <c r="W75" s="3196"/>
      <c r="X75" s="3196"/>
      <c r="Y75" s="3196"/>
      <c r="Z75" s="3196"/>
      <c r="AA75" s="3196"/>
      <c r="AB75" s="3196"/>
      <c r="AI75" s="2060"/>
    </row>
    <row r="76" spans="1:35" s="3195" customFormat="1" ht="12" customHeight="1">
      <c r="A76" s="3196"/>
      <c r="B76" s="1971" t="s">
        <v>4427</v>
      </c>
      <c r="C76" s="1971" t="e">
        <f t="shared" si="12"/>
        <v>#N/A</v>
      </c>
      <c r="O76" s="3195" t="str">
        <f t="shared" si="13"/>
        <v>Habilidad de Parada</v>
      </c>
      <c r="P76" s="3195" t="str">
        <f t="shared" si="14"/>
        <v>+90</v>
      </c>
      <c r="R76" s="3196"/>
      <c r="S76" s="3196"/>
      <c r="T76" s="3195" t="s">
        <v>3678</v>
      </c>
      <c r="U76" s="3196"/>
      <c r="V76" s="3196"/>
      <c r="W76" s="3196"/>
      <c r="X76" s="3196"/>
      <c r="Y76" s="3196"/>
      <c r="Z76" s="3196"/>
      <c r="AA76" s="3196"/>
      <c r="AB76" s="3196"/>
      <c r="AI76" s="2060"/>
    </row>
    <row r="77" spans="1:35" s="3195" customFormat="1" ht="12" customHeight="1">
      <c r="A77" s="3196"/>
      <c r="O77" s="3195" t="str">
        <f t="shared" si="13"/>
        <v>Habilidad de Parada</v>
      </c>
      <c r="P77" s="3195" t="str">
        <f t="shared" si="14"/>
        <v>+100</v>
      </c>
      <c r="R77" s="3196"/>
      <c r="S77" s="3196"/>
      <c r="T77" s="3195" t="s">
        <v>3682</v>
      </c>
      <c r="U77" s="3196"/>
      <c r="V77" s="3196"/>
      <c r="W77" s="3196"/>
      <c r="X77" s="3196"/>
      <c r="Y77" s="3196"/>
      <c r="Z77" s="3196"/>
      <c r="AA77" s="3196"/>
      <c r="AB77" s="3196"/>
      <c r="AI77" s="2060"/>
    </row>
    <row r="78" spans="1:35" s="3195" customFormat="1" ht="12" customHeight="1">
      <c r="A78" s="3196"/>
      <c r="O78" s="3195" t="str">
        <f t="shared" si="13"/>
        <v>Habilidad de Parada</v>
      </c>
      <c r="P78" s="3195" t="str">
        <f t="shared" si="14"/>
        <v>+125</v>
      </c>
      <c r="R78" s="3196"/>
      <c r="S78" s="3196"/>
      <c r="T78" s="3195" t="s">
        <v>3686</v>
      </c>
      <c r="U78" s="3196"/>
      <c r="V78" s="3196"/>
      <c r="W78" s="3196"/>
      <c r="X78" s="3196"/>
      <c r="Y78" s="3196"/>
      <c r="Z78" s="3196"/>
      <c r="AA78" s="3196"/>
      <c r="AB78" s="3196"/>
      <c r="AI78" s="2060"/>
    </row>
    <row r="79" spans="1:35" s="3195" customFormat="1" ht="12" customHeight="1">
      <c r="O79" s="3195" t="str">
        <f t="shared" si="13"/>
        <v>Habilidad de Parada</v>
      </c>
      <c r="P79" s="3195" t="str">
        <f t="shared" si="14"/>
        <v>+150</v>
      </c>
      <c r="T79" s="3195" t="s">
        <v>3691</v>
      </c>
      <c r="AI79" s="2060"/>
    </row>
    <row r="80" spans="1:35" s="3195" customFormat="1" ht="12" customHeight="1">
      <c r="O80" s="3195" t="str">
        <f t="shared" si="13"/>
        <v>Habilidad de Parada</v>
      </c>
      <c r="P80" s="3195" t="str">
        <f t="shared" si="14"/>
        <v>+175</v>
      </c>
      <c r="T80" s="3195" t="s">
        <v>3695</v>
      </c>
      <c r="AI80" s="2060"/>
    </row>
    <row r="81" spans="1:35" s="3195" customFormat="1" ht="12" customHeight="1">
      <c r="A81" s="3196"/>
      <c r="O81" s="3195" t="str">
        <f t="shared" si="13"/>
        <v>Habilidad de Parada</v>
      </c>
      <c r="P81" s="3195" t="str">
        <f t="shared" si="14"/>
        <v>+200</v>
      </c>
      <c r="R81" s="3196"/>
      <c r="S81" s="3196"/>
      <c r="T81" s="3195" t="s">
        <v>3697</v>
      </c>
      <c r="U81" s="3196"/>
      <c r="V81" s="3196"/>
      <c r="W81" s="3196"/>
      <c r="X81" s="3196"/>
      <c r="Y81" s="3196"/>
      <c r="Z81" s="3196"/>
      <c r="AA81" s="3196"/>
      <c r="AB81" s="3196"/>
      <c r="AI81" s="2060"/>
    </row>
    <row r="82" spans="1:35" s="3195" customFormat="1" ht="12" customHeight="1">
      <c r="A82" s="3196"/>
      <c r="O82" s="3195" t="e">
        <f t="shared" si="13"/>
        <v>#VALUE!</v>
      </c>
      <c r="P82" s="3195" t="e">
        <f t="shared" si="14"/>
        <v>#VALUE!</v>
      </c>
      <c r="R82" s="3196"/>
      <c r="S82" s="3196"/>
      <c r="T82" s="3196" t="s">
        <v>3341</v>
      </c>
      <c r="U82" s="3196"/>
      <c r="V82" s="3196"/>
      <c r="W82" s="3196"/>
      <c r="X82" s="3196"/>
      <c r="Y82" s="3196"/>
      <c r="Z82" s="3196"/>
      <c r="AA82" s="3196"/>
      <c r="AB82" s="3196"/>
      <c r="AI82" s="2060"/>
    </row>
    <row r="83" spans="1:35" s="3195" customFormat="1" ht="12" customHeight="1">
      <c r="A83" s="3196"/>
      <c r="O83" s="3195" t="str">
        <f t="shared" si="13"/>
        <v>Habilidad de Parada Completa</v>
      </c>
      <c r="P83" s="3195" t="str">
        <f t="shared" si="14"/>
        <v>+10</v>
      </c>
      <c r="R83" s="3196"/>
      <c r="S83" s="3196"/>
      <c r="T83" s="3196" t="s">
        <v>3705</v>
      </c>
      <c r="U83" s="3196"/>
      <c r="V83" s="3196"/>
      <c r="W83" s="3196"/>
      <c r="X83" s="3196"/>
      <c r="Y83" s="3196"/>
      <c r="Z83" s="3196"/>
      <c r="AA83" s="3196"/>
      <c r="AB83" s="3196"/>
      <c r="AI83" s="2060"/>
    </row>
    <row r="84" spans="1:35" s="3195" customFormat="1" ht="12" customHeight="1">
      <c r="A84" s="3196"/>
      <c r="O84" s="3195" t="str">
        <f t="shared" si="13"/>
        <v>Habilidad de Parada Completa</v>
      </c>
      <c r="P84" s="3195" t="str">
        <f t="shared" si="14"/>
        <v>+25</v>
      </c>
      <c r="R84" s="3196"/>
      <c r="S84" s="3196"/>
      <c r="T84" s="3196" t="s">
        <v>3710</v>
      </c>
      <c r="U84" s="3196"/>
      <c r="V84" s="3196"/>
      <c r="W84" s="3196"/>
      <c r="X84" s="3196"/>
      <c r="Y84" s="3196"/>
      <c r="Z84" s="3196"/>
      <c r="AA84" s="3196"/>
      <c r="AB84" s="3196"/>
    </row>
    <row r="85" spans="1:35" s="3195" customFormat="1" ht="12" customHeight="1">
      <c r="A85" s="3196"/>
      <c r="O85" s="3195" t="str">
        <f t="shared" si="13"/>
        <v>Habilidad de Parada Completa</v>
      </c>
      <c r="P85" s="3195" t="str">
        <f t="shared" si="14"/>
        <v>+40</v>
      </c>
      <c r="R85" s="3196"/>
      <c r="S85" s="3196"/>
      <c r="T85" s="3196" t="s">
        <v>3714</v>
      </c>
      <c r="U85" s="3196"/>
      <c r="V85" s="3196"/>
      <c r="W85" s="3196"/>
      <c r="X85" s="3196"/>
      <c r="Y85" s="3196"/>
      <c r="Z85" s="3196"/>
      <c r="AA85" s="3196"/>
      <c r="AB85" s="3196"/>
    </row>
    <row r="86" spans="1:35" s="3195" customFormat="1" ht="12" customHeight="1">
      <c r="A86" s="3196"/>
      <c r="O86" s="3195" t="str">
        <f t="shared" si="13"/>
        <v>Habilidad de Parada Completa</v>
      </c>
      <c r="P86" s="3195" t="str">
        <f t="shared" si="14"/>
        <v>+50</v>
      </c>
      <c r="R86" s="3196"/>
      <c r="S86" s="3196"/>
      <c r="T86" s="3196" t="s">
        <v>3718</v>
      </c>
      <c r="U86" s="3196"/>
      <c r="V86" s="3196"/>
      <c r="W86" s="3196"/>
      <c r="X86" s="3196"/>
      <c r="Y86" s="3196"/>
      <c r="Z86" s="3196"/>
      <c r="AA86" s="3196"/>
      <c r="AB86" s="3196"/>
    </row>
    <row r="87" spans="1:35" s="3195" customFormat="1" ht="12" customHeight="1">
      <c r="A87" s="3196"/>
      <c r="O87" s="3195" t="str">
        <f t="shared" si="13"/>
        <v>Habilidad de Parada Completa</v>
      </c>
      <c r="P87" s="3195" t="str">
        <f t="shared" si="14"/>
        <v>+75</v>
      </c>
      <c r="R87" s="3196"/>
      <c r="S87" s="3196"/>
      <c r="T87" s="3196" t="s">
        <v>3720</v>
      </c>
      <c r="U87" s="3196"/>
      <c r="V87" s="3196"/>
      <c r="W87" s="3196"/>
      <c r="X87" s="3196"/>
      <c r="Y87" s="3196"/>
      <c r="Z87" s="3196"/>
      <c r="AA87" s="3196"/>
      <c r="AB87" s="3196"/>
    </row>
    <row r="88" spans="1:35" s="3195" customFormat="1" ht="12" customHeight="1">
      <c r="A88" s="3196"/>
      <c r="O88" s="3195" t="str">
        <f t="shared" si="13"/>
        <v>Habilidad de Parada Completa</v>
      </c>
      <c r="P88" s="3195" t="str">
        <f t="shared" si="14"/>
        <v>+90</v>
      </c>
      <c r="R88" s="3196"/>
      <c r="S88" s="3196"/>
      <c r="T88" s="3196" t="s">
        <v>3724</v>
      </c>
      <c r="U88" s="3196"/>
      <c r="V88" s="3196"/>
      <c r="W88" s="3196"/>
      <c r="X88" s="3196"/>
      <c r="Y88" s="3196"/>
      <c r="Z88" s="3196"/>
      <c r="AA88" s="3196"/>
      <c r="AB88" s="3196"/>
    </row>
    <row r="89" spans="1:35" s="3195" customFormat="1" ht="12" customHeight="1">
      <c r="A89" s="3196"/>
      <c r="O89" s="3195" t="str">
        <f t="shared" si="13"/>
        <v>Habilidad de Parada Completa</v>
      </c>
      <c r="P89" s="3195" t="str">
        <f t="shared" si="14"/>
        <v>+100</v>
      </c>
      <c r="R89" s="3196"/>
      <c r="S89" s="3196"/>
      <c r="T89" s="3196" t="s">
        <v>3729</v>
      </c>
      <c r="U89" s="3196"/>
      <c r="V89" s="3196"/>
      <c r="W89" s="3196"/>
      <c r="X89" s="3196"/>
      <c r="Y89" s="3196"/>
      <c r="Z89" s="3196"/>
      <c r="AA89" s="3196"/>
      <c r="AB89" s="3196"/>
    </row>
    <row r="90" spans="1:35" s="3195" customFormat="1" ht="12" customHeight="1">
      <c r="A90" s="3196"/>
      <c r="O90" s="3195" t="e">
        <f t="shared" si="13"/>
        <v>#VALUE!</v>
      </c>
      <c r="P90" s="3195" t="e">
        <f t="shared" si="14"/>
        <v>#VALUE!</v>
      </c>
      <c r="R90" s="3196"/>
      <c r="S90" s="3196"/>
      <c r="T90" s="3196" t="s">
        <v>3343</v>
      </c>
      <c r="U90" s="3196"/>
      <c r="V90" s="3196"/>
      <c r="W90" s="3196"/>
      <c r="X90" s="3196"/>
      <c r="Y90" s="3196"/>
      <c r="Z90" s="3196"/>
      <c r="AA90" s="3196"/>
      <c r="AB90" s="3196"/>
    </row>
    <row r="91" spans="1:35" s="3195" customFormat="1" ht="12" customHeight="1">
      <c r="A91" s="3196"/>
      <c r="O91" s="3195" t="str">
        <f t="shared" si="13"/>
        <v>Habilidad de Parada Limitada</v>
      </c>
      <c r="P91" s="3195" t="str">
        <f t="shared" si="14"/>
        <v>+10</v>
      </c>
      <c r="R91" s="3196"/>
      <c r="S91" s="3196"/>
      <c r="T91" s="3196" t="s">
        <v>3736</v>
      </c>
      <c r="U91" s="3196"/>
      <c r="V91" s="3196"/>
      <c r="W91" s="3196"/>
      <c r="X91" s="3196"/>
      <c r="Y91" s="3196"/>
      <c r="Z91" s="3196"/>
      <c r="AA91" s="3196"/>
      <c r="AB91" s="3196"/>
    </row>
    <row r="92" spans="1:35" s="3195" customFormat="1" ht="12" customHeight="1">
      <c r="O92" s="3195" t="str">
        <f t="shared" si="13"/>
        <v>Habilidad de Parada Limitada</v>
      </c>
      <c r="P92" s="3195" t="str">
        <f t="shared" si="14"/>
        <v>+25</v>
      </c>
      <c r="T92" s="3195" t="s">
        <v>3740</v>
      </c>
    </row>
    <row r="93" spans="1:35" s="3195" customFormat="1" ht="12" customHeight="1">
      <c r="A93" s="3196"/>
      <c r="O93" s="3195" t="str">
        <f t="shared" si="13"/>
        <v>Habilidad de Parada Limitada</v>
      </c>
      <c r="P93" s="3195" t="str">
        <f t="shared" si="14"/>
        <v>+40</v>
      </c>
      <c r="R93" s="3196"/>
      <c r="S93" s="3196"/>
      <c r="T93" s="3196" t="s">
        <v>3745</v>
      </c>
      <c r="U93" s="3196"/>
      <c r="V93" s="3196"/>
      <c r="W93" s="3196"/>
      <c r="X93" s="3196"/>
      <c r="Y93" s="3196"/>
      <c r="Z93" s="3196"/>
      <c r="AA93" s="3196"/>
      <c r="AB93" s="3196"/>
    </row>
    <row r="94" spans="1:35" s="3195" customFormat="1" ht="12" customHeight="1">
      <c r="A94" s="3196"/>
      <c r="O94" s="3195" t="str">
        <f t="shared" si="13"/>
        <v>Habilidad de Parada Limitada</v>
      </c>
      <c r="P94" s="3195" t="str">
        <f t="shared" si="14"/>
        <v>+50</v>
      </c>
      <c r="R94" s="3196"/>
      <c r="S94" s="3196"/>
      <c r="T94" s="3196" t="s">
        <v>3750</v>
      </c>
      <c r="U94" s="3196"/>
      <c r="V94" s="3196"/>
      <c r="W94" s="3196"/>
      <c r="X94" s="3196"/>
      <c r="Y94" s="3196"/>
      <c r="Z94" s="3196"/>
      <c r="AA94" s="3196"/>
      <c r="AB94" s="3196"/>
    </row>
    <row r="95" spans="1:35" s="3195" customFormat="1" ht="12" customHeight="1">
      <c r="A95" s="3196"/>
      <c r="O95" s="3195" t="str">
        <f t="shared" si="13"/>
        <v>Habilidad de Parada Limitada</v>
      </c>
      <c r="P95" s="3195" t="str">
        <f t="shared" si="14"/>
        <v>+75</v>
      </c>
      <c r="R95" s="3196"/>
      <c r="S95" s="3196"/>
      <c r="T95" s="3196" t="s">
        <v>3752</v>
      </c>
      <c r="U95" s="3196"/>
      <c r="V95" s="3196"/>
      <c r="W95" s="3196"/>
      <c r="X95" s="3196"/>
      <c r="Y95" s="3196"/>
      <c r="Z95" s="3196"/>
      <c r="AA95" s="3196"/>
      <c r="AB95" s="3196"/>
    </row>
    <row r="96" spans="1:35" s="3195" customFormat="1" ht="12" customHeight="1">
      <c r="A96" s="3196"/>
      <c r="O96" s="3195" t="str">
        <f t="shared" si="13"/>
        <v>Habilidad de Parada Limitada</v>
      </c>
      <c r="P96" s="3195" t="str">
        <f t="shared" si="14"/>
        <v>+90</v>
      </c>
      <c r="R96" s="3196"/>
      <c r="S96" s="3196"/>
      <c r="T96" s="3196" t="s">
        <v>3756</v>
      </c>
      <c r="U96" s="3196"/>
      <c r="V96" s="3196"/>
      <c r="W96" s="3196"/>
      <c r="X96" s="3196"/>
      <c r="Y96" s="3196"/>
      <c r="Z96" s="3196"/>
      <c r="AA96" s="3196"/>
      <c r="AB96" s="3196"/>
    </row>
    <row r="97" spans="1:28" s="3195" customFormat="1" ht="12" customHeight="1">
      <c r="A97" s="3196"/>
      <c r="O97" s="3195" t="str">
        <f t="shared" si="13"/>
        <v>Habilidad de Parada Limitada</v>
      </c>
      <c r="P97" s="3195" t="str">
        <f t="shared" si="14"/>
        <v>+100</v>
      </c>
      <c r="R97" s="3196"/>
      <c r="S97" s="3196"/>
      <c r="T97" s="3196" t="s">
        <v>3760</v>
      </c>
      <c r="U97" s="3196"/>
      <c r="V97" s="3196"/>
      <c r="W97" s="3196"/>
      <c r="X97" s="3196"/>
      <c r="Y97" s="3196"/>
      <c r="Z97" s="3196"/>
      <c r="AA97" s="3196"/>
      <c r="AB97" s="3196"/>
    </row>
    <row r="98" spans="1:28" s="3195" customFormat="1" ht="12" customHeight="1">
      <c r="A98" s="3196"/>
      <c r="O98" s="3195" t="str">
        <f t="shared" si="13"/>
        <v>Habilidad de Parada Limitada</v>
      </c>
      <c r="P98" s="3195" t="str">
        <f t="shared" si="14"/>
        <v>+125</v>
      </c>
      <c r="R98" s="3196"/>
      <c r="S98" s="3196"/>
      <c r="T98" s="3196" t="s">
        <v>3763</v>
      </c>
      <c r="U98" s="3196"/>
      <c r="V98" s="3196"/>
      <c r="W98" s="3196"/>
      <c r="X98" s="3196"/>
      <c r="Y98" s="3196"/>
      <c r="Z98" s="3196"/>
      <c r="AA98" s="3196"/>
      <c r="AB98" s="3196"/>
    </row>
    <row r="99" spans="1:28" s="3195" customFormat="1" ht="12" customHeight="1">
      <c r="A99" s="3196"/>
      <c r="O99" s="3195" t="str">
        <f t="shared" si="13"/>
        <v>Habilidad de Parada Limitada</v>
      </c>
      <c r="P99" s="3195" t="str">
        <f t="shared" si="14"/>
        <v>+150</v>
      </c>
      <c r="R99" s="3196"/>
      <c r="S99" s="3196"/>
      <c r="T99" s="3196" t="s">
        <v>3767</v>
      </c>
      <c r="U99" s="3196"/>
      <c r="V99" s="3196"/>
      <c r="W99" s="3196"/>
      <c r="X99" s="3196"/>
      <c r="Y99" s="3196"/>
      <c r="Z99" s="3196"/>
      <c r="AA99" s="3196"/>
      <c r="AB99" s="3196"/>
    </row>
    <row r="100" spans="1:28" s="3195" customFormat="1" ht="12" customHeight="1">
      <c r="O100" s="3195" t="str">
        <f t="shared" si="13"/>
        <v>Habilidad de Parada Limitada</v>
      </c>
      <c r="P100" s="3195" t="str">
        <f t="shared" si="14"/>
        <v>+175</v>
      </c>
      <c r="T100" s="3195" t="s">
        <v>3771</v>
      </c>
    </row>
    <row r="101" spans="1:28" s="3195" customFormat="1" ht="12" customHeight="1">
      <c r="A101" s="3196"/>
      <c r="O101" s="3195" t="str">
        <f t="shared" si="13"/>
        <v>Habilidad de Parada Limitada</v>
      </c>
      <c r="P101" s="3195" t="str">
        <f t="shared" si="14"/>
        <v>+200</v>
      </c>
      <c r="R101" s="3196"/>
      <c r="S101" s="3196"/>
      <c r="T101" s="3196" t="s">
        <v>3775</v>
      </c>
      <c r="U101" s="3196"/>
      <c r="V101" s="3196"/>
      <c r="W101" s="3196"/>
      <c r="X101" s="3196"/>
      <c r="Y101" s="3196"/>
      <c r="Z101" s="3196"/>
      <c r="AA101" s="3196"/>
      <c r="AB101" s="3196"/>
    </row>
    <row r="102" spans="1:28" s="3195" customFormat="1" ht="12" customHeight="1">
      <c r="A102" s="3196"/>
      <c r="O102" s="3195" t="e">
        <f t="shared" si="13"/>
        <v>#VALUE!</v>
      </c>
      <c r="P102" s="3195" t="e">
        <f t="shared" si="14"/>
        <v>#VALUE!</v>
      </c>
      <c r="R102" s="3196"/>
      <c r="S102" s="3196"/>
      <c r="T102" s="3196" t="s">
        <v>3346</v>
      </c>
      <c r="U102" s="3196"/>
      <c r="V102" s="3196"/>
      <c r="W102" s="3196"/>
      <c r="X102" s="3196"/>
      <c r="Y102" s="3196"/>
      <c r="Z102" s="3196"/>
      <c r="AA102" s="3196"/>
      <c r="AB102" s="3196"/>
    </row>
    <row r="103" spans="1:28" s="3195" customFormat="1" ht="12" customHeight="1">
      <c r="A103" s="3196"/>
      <c r="O103" s="3195" t="str">
        <f t="shared" si="13"/>
        <v>Habilidad de Esquiva</v>
      </c>
      <c r="P103" s="3195" t="str">
        <f t="shared" si="14"/>
        <v>+10</v>
      </c>
      <c r="R103" s="3196"/>
      <c r="S103" s="3196"/>
      <c r="T103" s="3196" t="s">
        <v>3781</v>
      </c>
      <c r="U103" s="3196"/>
      <c r="V103" s="3196"/>
      <c r="W103" s="3196"/>
      <c r="X103" s="3196"/>
      <c r="Y103" s="3196"/>
      <c r="Z103" s="3196"/>
      <c r="AA103" s="3196"/>
      <c r="AB103" s="3196"/>
    </row>
    <row r="104" spans="1:28" s="3195" customFormat="1" ht="12" customHeight="1">
      <c r="A104" s="3196"/>
      <c r="O104" s="3195" t="str">
        <f t="shared" si="13"/>
        <v>Habilidad de Esquiva</v>
      </c>
      <c r="P104" s="3195" t="str">
        <f t="shared" si="14"/>
        <v>+25</v>
      </c>
      <c r="R104" s="3196"/>
      <c r="S104" s="3196"/>
      <c r="T104" s="3196" t="s">
        <v>3785</v>
      </c>
      <c r="U104" s="3196"/>
      <c r="V104" s="3196"/>
      <c r="W104" s="3196"/>
      <c r="X104" s="3196"/>
      <c r="Y104" s="3196"/>
      <c r="Z104" s="3196"/>
      <c r="AA104" s="3196"/>
      <c r="AB104" s="3196"/>
    </row>
    <row r="105" spans="1:28" s="3195" customFormat="1" ht="12" customHeight="1">
      <c r="A105" s="3196"/>
      <c r="O105" s="3195" t="str">
        <f t="shared" si="13"/>
        <v>Habilidad de Esquiva</v>
      </c>
      <c r="P105" s="3195" t="str">
        <f t="shared" si="14"/>
        <v>+40</v>
      </c>
      <c r="R105" s="3196"/>
      <c r="S105" s="3196"/>
      <c r="T105" s="3196" t="s">
        <v>3790</v>
      </c>
      <c r="U105" s="3196"/>
      <c r="V105" s="3196"/>
      <c r="W105" s="3196"/>
      <c r="X105" s="3196"/>
      <c r="Y105" s="3196"/>
      <c r="Z105" s="3196"/>
      <c r="AA105" s="3196"/>
      <c r="AB105" s="3196"/>
    </row>
    <row r="106" spans="1:28" s="3195" customFormat="1" ht="12" customHeight="1">
      <c r="A106" s="3196"/>
      <c r="O106" s="3195" t="str">
        <f t="shared" si="13"/>
        <v>Habilidad de Esquiva</v>
      </c>
      <c r="P106" s="3195" t="str">
        <f t="shared" si="14"/>
        <v>+50</v>
      </c>
      <c r="R106" s="3196"/>
      <c r="S106" s="3196"/>
      <c r="T106" s="3196" t="s">
        <v>3795</v>
      </c>
      <c r="U106" s="3196"/>
      <c r="V106" s="3196"/>
      <c r="W106" s="3196"/>
      <c r="X106" s="3196"/>
      <c r="Y106" s="3196"/>
      <c r="Z106" s="3196"/>
      <c r="AA106" s="3196"/>
      <c r="AB106" s="3196"/>
    </row>
    <row r="107" spans="1:28" s="3195" customFormat="1" ht="12" customHeight="1">
      <c r="A107" s="3196"/>
      <c r="O107" s="3195" t="str">
        <f t="shared" si="13"/>
        <v>Habilidad de Esquiva</v>
      </c>
      <c r="P107" s="3195" t="str">
        <f t="shared" si="14"/>
        <v>+75</v>
      </c>
      <c r="R107" s="3196"/>
      <c r="S107" s="3196"/>
      <c r="T107" s="3196" t="s">
        <v>3799</v>
      </c>
      <c r="U107" s="3196"/>
      <c r="V107" s="3196"/>
      <c r="W107" s="3196"/>
      <c r="X107" s="3196"/>
      <c r="Y107" s="3196"/>
      <c r="Z107" s="3196"/>
      <c r="AA107" s="3196"/>
      <c r="AB107" s="3196"/>
    </row>
    <row r="108" spans="1:28" s="3195" customFormat="1" ht="12" customHeight="1">
      <c r="A108" s="3196"/>
      <c r="O108" s="3195" t="str">
        <f t="shared" si="13"/>
        <v>Habilidad de Esquiva</v>
      </c>
      <c r="P108" s="3195" t="str">
        <f t="shared" si="14"/>
        <v>+90</v>
      </c>
      <c r="R108" s="3196"/>
      <c r="S108" s="3196"/>
      <c r="T108" s="3196" t="s">
        <v>3803</v>
      </c>
      <c r="U108" s="3196"/>
      <c r="V108" s="3196"/>
      <c r="W108" s="3196"/>
      <c r="X108" s="3196"/>
      <c r="Y108" s="3196"/>
      <c r="Z108" s="3196"/>
      <c r="AA108" s="3196"/>
      <c r="AB108" s="3196"/>
    </row>
    <row r="109" spans="1:28" s="3195" customFormat="1" ht="12" customHeight="1">
      <c r="A109" s="3196"/>
      <c r="O109" s="3195" t="str">
        <f t="shared" si="13"/>
        <v>Habilidad de Esquiva</v>
      </c>
      <c r="P109" s="3195" t="str">
        <f t="shared" si="14"/>
        <v>+100</v>
      </c>
      <c r="R109" s="3196"/>
      <c r="S109" s="3196"/>
      <c r="T109" s="3196" t="s">
        <v>3805</v>
      </c>
      <c r="U109" s="3196"/>
      <c r="V109" s="3196"/>
      <c r="W109" s="3196"/>
      <c r="X109" s="3196"/>
      <c r="Y109" s="3196"/>
      <c r="Z109" s="3196"/>
      <c r="AA109" s="3196"/>
      <c r="AB109" s="3196"/>
    </row>
    <row r="110" spans="1:28" s="3195" customFormat="1" ht="12" customHeight="1">
      <c r="A110" s="3196"/>
      <c r="O110" s="3195" t="str">
        <f t="shared" si="13"/>
        <v>Habilidad de Esquiva</v>
      </c>
      <c r="P110" s="3195" t="str">
        <f t="shared" si="14"/>
        <v>+125</v>
      </c>
      <c r="R110" s="3196"/>
      <c r="S110" s="3196"/>
      <c r="T110" s="3196" t="s">
        <v>3809</v>
      </c>
      <c r="U110" s="3196"/>
      <c r="V110" s="3196"/>
      <c r="W110" s="3196"/>
      <c r="X110" s="3196"/>
      <c r="Y110" s="3196"/>
      <c r="Z110" s="3196"/>
      <c r="AA110" s="3196"/>
      <c r="AB110" s="3196"/>
    </row>
    <row r="111" spans="1:28" s="3195" customFormat="1" ht="12" customHeight="1">
      <c r="A111" s="3196"/>
      <c r="O111" s="3195" t="str">
        <f t="shared" si="13"/>
        <v>Habilidad de Esquiva</v>
      </c>
      <c r="P111" s="3195" t="str">
        <f t="shared" si="14"/>
        <v>+150</v>
      </c>
      <c r="R111" s="3196"/>
      <c r="S111" s="3196"/>
      <c r="T111" s="3196" t="s">
        <v>3813</v>
      </c>
      <c r="U111" s="3196"/>
      <c r="V111" s="3196"/>
      <c r="W111" s="3196"/>
      <c r="X111" s="3196"/>
      <c r="Y111" s="3196"/>
      <c r="Z111" s="3196"/>
      <c r="AA111" s="3196"/>
      <c r="AB111" s="3196"/>
    </row>
    <row r="112" spans="1:28" s="3195" customFormat="1" ht="12" customHeight="1">
      <c r="O112" s="3195" t="str">
        <f t="shared" si="13"/>
        <v>Habilidad de Esquiva</v>
      </c>
      <c r="P112" s="3195" t="str">
        <f t="shared" si="14"/>
        <v>+175</v>
      </c>
      <c r="T112" s="3195" t="s">
        <v>3817</v>
      </c>
    </row>
    <row r="113" spans="1:28" s="3195" customFormat="1" ht="12" customHeight="1">
      <c r="A113" s="3196"/>
      <c r="O113" s="3195" t="str">
        <f t="shared" si="13"/>
        <v>Habilidad de Esquiva</v>
      </c>
      <c r="P113" s="3195" t="str">
        <f t="shared" si="14"/>
        <v>+200</v>
      </c>
      <c r="R113" s="3196"/>
      <c r="S113" s="3196"/>
      <c r="T113" s="3196" t="s">
        <v>3821</v>
      </c>
      <c r="U113" s="3196"/>
      <c r="V113" s="3196"/>
      <c r="W113" s="3196"/>
      <c r="X113" s="3196"/>
      <c r="Y113" s="3196"/>
      <c r="Z113" s="3196"/>
      <c r="AA113" s="3196"/>
      <c r="AB113" s="3196"/>
    </row>
    <row r="114" spans="1:28" s="3195" customFormat="1" ht="12" customHeight="1">
      <c r="A114" s="3196"/>
      <c r="O114" s="3195" t="e">
        <f t="shared" si="13"/>
        <v>#VALUE!</v>
      </c>
      <c r="P114" s="3195" t="e">
        <f t="shared" si="14"/>
        <v>#VALUE!</v>
      </c>
      <c r="R114" s="3196"/>
      <c r="S114" s="3196"/>
      <c r="T114" s="3196" t="s">
        <v>3351</v>
      </c>
      <c r="U114" s="3196"/>
      <c r="V114" s="3196"/>
      <c r="W114" s="3196"/>
      <c r="X114" s="3196"/>
      <c r="Y114" s="3196"/>
      <c r="Z114" s="3196"/>
      <c r="AA114" s="3196"/>
      <c r="AB114" s="3196"/>
    </row>
    <row r="115" spans="1:28" s="3195" customFormat="1" ht="12" customHeight="1">
      <c r="A115" s="3196"/>
      <c r="O115" s="3195" t="str">
        <f t="shared" si="13"/>
        <v>Habilidad de Esquiva Completa</v>
      </c>
      <c r="P115" s="3195" t="str">
        <f t="shared" si="14"/>
        <v>+10</v>
      </c>
      <c r="R115" s="3196"/>
      <c r="S115" s="3196"/>
      <c r="T115" s="3196" t="s">
        <v>3827</v>
      </c>
      <c r="U115" s="3196"/>
      <c r="V115" s="3196"/>
      <c r="W115" s="3196"/>
      <c r="X115" s="3196"/>
      <c r="Y115" s="3196"/>
      <c r="Z115" s="3196"/>
      <c r="AA115" s="3196"/>
      <c r="AB115" s="3196"/>
    </row>
    <row r="116" spans="1:28" s="3195" customFormat="1" ht="12" customHeight="1">
      <c r="A116" s="3196"/>
      <c r="O116" s="3195" t="str">
        <f t="shared" si="13"/>
        <v>Habilidad de Esquiva Completa</v>
      </c>
      <c r="P116" s="3195" t="str">
        <f t="shared" si="14"/>
        <v>+25</v>
      </c>
      <c r="R116" s="3196"/>
      <c r="S116" s="3196"/>
      <c r="T116" s="3196" t="s">
        <v>3831</v>
      </c>
      <c r="U116" s="3196"/>
      <c r="V116" s="3196"/>
      <c r="W116" s="3196"/>
      <c r="X116" s="3196"/>
      <c r="Y116" s="3196"/>
      <c r="Z116" s="3196"/>
      <c r="AA116" s="3196"/>
      <c r="AB116" s="3196"/>
    </row>
    <row r="117" spans="1:28" s="3195" customFormat="1" ht="12" customHeight="1">
      <c r="A117" s="3196"/>
      <c r="O117" s="3195" t="str">
        <f t="shared" si="13"/>
        <v>Habilidad de Esquiva Completa</v>
      </c>
      <c r="P117" s="3195" t="str">
        <f t="shared" si="14"/>
        <v>+40</v>
      </c>
      <c r="R117" s="3196"/>
      <c r="S117" s="3196"/>
      <c r="T117" s="3196" t="s">
        <v>3835</v>
      </c>
      <c r="U117" s="3196"/>
      <c r="V117" s="3196"/>
      <c r="W117" s="3196"/>
      <c r="X117" s="3196"/>
      <c r="Y117" s="3196"/>
      <c r="Z117" s="3196"/>
      <c r="AA117" s="3196"/>
      <c r="AB117" s="3196"/>
    </row>
    <row r="118" spans="1:28" s="3195" customFormat="1" ht="12" customHeight="1">
      <c r="A118" s="3196"/>
      <c r="O118" s="3195" t="str">
        <f t="shared" si="13"/>
        <v>Habilidad de Esquiva Completa</v>
      </c>
      <c r="P118" s="3195" t="str">
        <f t="shared" si="14"/>
        <v>+50</v>
      </c>
      <c r="R118" s="3196"/>
      <c r="S118" s="3196"/>
      <c r="T118" s="3196" t="s">
        <v>3839</v>
      </c>
      <c r="U118" s="3196"/>
      <c r="V118" s="3196"/>
      <c r="W118" s="3196"/>
      <c r="X118" s="3196"/>
      <c r="Y118" s="3196"/>
      <c r="Z118" s="3196"/>
      <c r="AA118" s="3196"/>
      <c r="AB118" s="3196"/>
    </row>
    <row r="119" spans="1:28" s="3195" customFormat="1" ht="12" customHeight="1">
      <c r="A119" s="3196"/>
      <c r="O119" s="3195" t="str">
        <f t="shared" si="13"/>
        <v>Habilidad de Esquiva Completa</v>
      </c>
      <c r="P119" s="3195" t="str">
        <f t="shared" si="14"/>
        <v>+75</v>
      </c>
      <c r="R119" s="3196"/>
      <c r="S119" s="3196"/>
      <c r="T119" s="3196" t="s">
        <v>3841</v>
      </c>
      <c r="U119" s="3196"/>
      <c r="V119" s="3196"/>
      <c r="W119" s="3196"/>
      <c r="X119" s="3196"/>
      <c r="Y119" s="3196"/>
      <c r="Z119" s="3196"/>
      <c r="AA119" s="3196"/>
      <c r="AB119" s="3196"/>
    </row>
    <row r="120" spans="1:28" s="3195" customFormat="1" ht="12" customHeight="1">
      <c r="A120" s="3196"/>
      <c r="O120" s="3195" t="str">
        <f t="shared" si="13"/>
        <v>Habilidad de Esquiva Completa</v>
      </c>
      <c r="P120" s="3195" t="str">
        <f t="shared" si="14"/>
        <v>+90</v>
      </c>
      <c r="R120" s="3196"/>
      <c r="S120" s="3196"/>
      <c r="T120" s="3196" t="s">
        <v>3846</v>
      </c>
      <c r="U120" s="3196"/>
      <c r="V120" s="3196"/>
      <c r="W120" s="3196"/>
      <c r="X120" s="3196"/>
      <c r="Y120" s="3196"/>
      <c r="Z120" s="3196"/>
      <c r="AA120" s="3196"/>
      <c r="AB120" s="3196"/>
    </row>
    <row r="121" spans="1:28" s="3195" customFormat="1" ht="12" customHeight="1">
      <c r="A121" s="3196"/>
      <c r="O121" s="3195" t="str">
        <f t="shared" si="13"/>
        <v>Habilidad de Esquiva Completa</v>
      </c>
      <c r="P121" s="3195" t="str">
        <f t="shared" si="14"/>
        <v>+100</v>
      </c>
      <c r="R121" s="3196"/>
      <c r="S121" s="3196"/>
      <c r="T121" s="3196" t="s">
        <v>3850</v>
      </c>
      <c r="U121" s="3196"/>
      <c r="V121" s="3196"/>
      <c r="W121" s="3196"/>
      <c r="X121" s="3196"/>
      <c r="Y121" s="3196"/>
      <c r="Z121" s="3196"/>
      <c r="AA121" s="3196"/>
      <c r="AB121" s="3196"/>
    </row>
    <row r="122" spans="1:28" s="3195" customFormat="1" ht="12" customHeight="1">
      <c r="A122" s="3196"/>
      <c r="O122" s="3195" t="e">
        <f t="shared" si="13"/>
        <v>#VALUE!</v>
      </c>
      <c r="P122" s="3195" t="e">
        <f t="shared" si="14"/>
        <v>#VALUE!</v>
      </c>
      <c r="R122" s="3196"/>
      <c r="S122" s="3196"/>
      <c r="T122" s="3196" t="s">
        <v>3353</v>
      </c>
      <c r="U122" s="3196"/>
      <c r="V122" s="3196"/>
      <c r="W122" s="3196"/>
      <c r="X122" s="3196"/>
      <c r="Y122" s="3196"/>
      <c r="Z122" s="3196"/>
      <c r="AA122" s="3196"/>
      <c r="AB122" s="3196"/>
    </row>
    <row r="123" spans="1:28" s="3195" customFormat="1" ht="12" customHeight="1">
      <c r="A123" s="3196"/>
      <c r="O123" s="3195" t="str">
        <f t="shared" si="13"/>
        <v>Habilidad de Esquiva Limitada</v>
      </c>
      <c r="P123" s="3195" t="str">
        <f t="shared" si="14"/>
        <v>+10</v>
      </c>
      <c r="R123" s="3196"/>
      <c r="S123" s="3196"/>
      <c r="T123" s="3196" t="s">
        <v>3856</v>
      </c>
      <c r="U123" s="3196"/>
      <c r="V123" s="3196"/>
      <c r="W123" s="3196"/>
      <c r="X123" s="3196"/>
      <c r="Y123" s="3196"/>
      <c r="Z123" s="3196"/>
      <c r="AA123" s="3196"/>
      <c r="AB123" s="3196"/>
    </row>
    <row r="124" spans="1:28" s="3195" customFormat="1" ht="12" customHeight="1">
      <c r="O124" s="3195" t="str">
        <f t="shared" si="13"/>
        <v>Habilidad de Esquiva Limitada</v>
      </c>
      <c r="P124" s="3195" t="str">
        <f t="shared" si="14"/>
        <v>+25</v>
      </c>
      <c r="T124" s="3195" t="s">
        <v>3861</v>
      </c>
    </row>
    <row r="125" spans="1:28" s="3195" customFormat="1" ht="12" customHeight="1">
      <c r="A125" s="3196"/>
      <c r="O125" s="3195" t="str">
        <f t="shared" si="13"/>
        <v>Habilidad de Esquiva Limitada</v>
      </c>
      <c r="P125" s="3195" t="str">
        <f t="shared" si="14"/>
        <v>+40</v>
      </c>
      <c r="R125" s="3196"/>
      <c r="S125" s="3196"/>
      <c r="T125" s="3196" t="s">
        <v>3866</v>
      </c>
      <c r="U125" s="3196"/>
      <c r="V125" s="3196"/>
      <c r="W125" s="3196"/>
      <c r="X125" s="3196"/>
      <c r="Y125" s="3196"/>
      <c r="Z125" s="3196"/>
      <c r="AA125" s="3196"/>
      <c r="AB125" s="3196"/>
    </row>
    <row r="126" spans="1:28" s="3195" customFormat="1" ht="12" customHeight="1">
      <c r="A126" s="3196"/>
      <c r="O126" s="3195" t="str">
        <f t="shared" si="13"/>
        <v>Habilidad de Esquiva Limitada</v>
      </c>
      <c r="P126" s="3195" t="str">
        <f t="shared" si="14"/>
        <v>+50</v>
      </c>
      <c r="R126" s="3196"/>
      <c r="S126" s="3196"/>
      <c r="T126" s="3196" t="s">
        <v>3868</v>
      </c>
      <c r="U126" s="3196"/>
      <c r="V126" s="3196"/>
      <c r="W126" s="3196"/>
      <c r="X126" s="3196"/>
      <c r="Y126" s="3196"/>
      <c r="Z126" s="3196"/>
      <c r="AA126" s="3196"/>
      <c r="AB126" s="3196"/>
    </row>
    <row r="127" spans="1:28" s="3195" customFormat="1" ht="12" customHeight="1">
      <c r="A127" s="3196"/>
      <c r="O127" s="3195" t="str">
        <f t="shared" si="13"/>
        <v>Habilidad de Esquiva Limitada</v>
      </c>
      <c r="P127" s="3195" t="str">
        <f t="shared" si="14"/>
        <v>+75</v>
      </c>
      <c r="R127" s="3196"/>
      <c r="S127" s="3196"/>
      <c r="T127" s="3196" t="s">
        <v>3873</v>
      </c>
      <c r="U127" s="3196"/>
      <c r="V127" s="3196"/>
      <c r="W127" s="3196"/>
      <c r="X127" s="3196"/>
      <c r="Y127" s="3196"/>
      <c r="Z127" s="3196"/>
      <c r="AA127" s="3196"/>
      <c r="AB127" s="3196"/>
    </row>
    <row r="128" spans="1:28" s="3195" customFormat="1" ht="12" customHeight="1">
      <c r="A128" s="3196"/>
      <c r="O128" s="3195" t="str">
        <f t="shared" si="13"/>
        <v>Habilidad de Esquiva Limitada</v>
      </c>
      <c r="P128" s="3195" t="str">
        <f t="shared" si="14"/>
        <v>+90</v>
      </c>
      <c r="R128" s="3196"/>
      <c r="S128" s="3196"/>
      <c r="T128" s="3196" t="s">
        <v>3878</v>
      </c>
      <c r="U128" s="3196"/>
      <c r="V128" s="3196"/>
      <c r="W128" s="3196"/>
      <c r="X128" s="3196"/>
      <c r="Y128" s="3196"/>
      <c r="Z128" s="3196"/>
      <c r="AA128" s="3196"/>
      <c r="AB128" s="3196"/>
    </row>
    <row r="129" spans="1:28" s="3195" customFormat="1" ht="12" customHeight="1">
      <c r="A129" s="3196"/>
      <c r="O129" s="3195" t="str">
        <f t="shared" si="13"/>
        <v>Habilidad de Esquiva Limitada</v>
      </c>
      <c r="P129" s="3195" t="str">
        <f t="shared" si="14"/>
        <v>+100</v>
      </c>
      <c r="R129" s="3196"/>
      <c r="S129" s="3196"/>
      <c r="T129" s="3196" t="s">
        <v>3883</v>
      </c>
      <c r="U129" s="3196"/>
      <c r="V129" s="3196"/>
      <c r="W129" s="3196"/>
      <c r="X129" s="3196"/>
      <c r="Y129" s="3196"/>
      <c r="Z129" s="3196"/>
      <c r="AA129" s="3196"/>
      <c r="AB129" s="3196"/>
    </row>
    <row r="130" spans="1:28" s="3195" customFormat="1" ht="12" customHeight="1">
      <c r="A130" s="3196"/>
      <c r="O130" s="3195" t="str">
        <f t="shared" si="13"/>
        <v>Habilidad de Esquiva Limitada</v>
      </c>
      <c r="P130" s="3195" t="str">
        <f t="shared" si="14"/>
        <v>+125</v>
      </c>
      <c r="R130" s="3196"/>
      <c r="S130" s="3196"/>
      <c r="T130" s="3196" t="s">
        <v>3888</v>
      </c>
      <c r="U130" s="3196"/>
      <c r="V130" s="3196"/>
      <c r="W130" s="3196"/>
      <c r="X130" s="3196"/>
      <c r="Y130" s="3196"/>
      <c r="Z130" s="3196"/>
      <c r="AA130" s="3196"/>
      <c r="AB130" s="3196"/>
    </row>
    <row r="131" spans="1:28" s="3195" customFormat="1" ht="12" customHeight="1">
      <c r="A131" s="3196"/>
      <c r="O131" s="3195" t="str">
        <f t="shared" si="13"/>
        <v>Habilidad de Esquiva Limitada</v>
      </c>
      <c r="P131" s="3195" t="str">
        <f t="shared" si="14"/>
        <v>+150</v>
      </c>
      <c r="R131" s="3196"/>
      <c r="S131" s="3196"/>
      <c r="T131" s="3196" t="s">
        <v>3893</v>
      </c>
      <c r="U131" s="3196"/>
      <c r="V131" s="3196"/>
      <c r="W131" s="3196"/>
      <c r="X131" s="3196"/>
      <c r="Y131" s="3196"/>
      <c r="Z131" s="3196"/>
      <c r="AA131" s="3196"/>
      <c r="AB131" s="3196"/>
    </row>
    <row r="132" spans="1:28" s="3195" customFormat="1" ht="12" customHeight="1">
      <c r="O132" s="3195" t="str">
        <f t="shared" si="13"/>
        <v>Habilidad de Esquiva Limitada</v>
      </c>
      <c r="P132" s="3195" t="str">
        <f t="shared" si="14"/>
        <v>+175</v>
      </c>
      <c r="T132" s="3195" t="s">
        <v>3898</v>
      </c>
    </row>
    <row r="133" spans="1:28" s="3195" customFormat="1" ht="12" customHeight="1">
      <c r="A133" s="3196"/>
      <c r="O133" s="3195" t="str">
        <f t="shared" si="13"/>
        <v>Habilidad de Esquiva Limitada</v>
      </c>
      <c r="P133" s="3195" t="str">
        <f t="shared" si="14"/>
        <v>+200</v>
      </c>
      <c r="R133" s="3196"/>
      <c r="S133" s="3196"/>
      <c r="T133" s="3196" t="s">
        <v>3900</v>
      </c>
      <c r="U133" s="3196"/>
      <c r="V133" s="3196"/>
      <c r="W133" s="3196"/>
      <c r="X133" s="3196"/>
      <c r="Y133" s="3196"/>
      <c r="Z133" s="3196"/>
      <c r="AA133" s="3196"/>
      <c r="AB133" s="3196"/>
    </row>
    <row r="134" spans="1:28" s="3195" customFormat="1" ht="12" customHeight="1">
      <c r="A134" s="3196"/>
      <c r="O134" s="3195" t="e">
        <f t="shared" si="13"/>
        <v>#VALUE!</v>
      </c>
      <c r="P134" s="3195" t="e">
        <f t="shared" si="14"/>
        <v>#VALUE!</v>
      </c>
      <c r="R134" s="3196"/>
      <c r="S134" s="3196"/>
      <c r="T134" s="3196" t="s">
        <v>3356</v>
      </c>
      <c r="U134" s="3196"/>
      <c r="V134" s="3196"/>
      <c r="W134" s="3196"/>
      <c r="X134" s="3196"/>
      <c r="Y134" s="3196"/>
      <c r="Z134" s="3196"/>
      <c r="AA134" s="3196"/>
      <c r="AB134" s="3196"/>
    </row>
    <row r="135" spans="1:28" s="3195" customFormat="1" ht="12" customHeight="1">
      <c r="A135" s="3196"/>
      <c r="O135" s="3195" t="e">
        <f t="shared" si="13"/>
        <v>#VALUE!</v>
      </c>
      <c r="P135" s="3195" t="e">
        <f t="shared" si="14"/>
        <v>#VALUE!</v>
      </c>
      <c r="R135" s="3196"/>
      <c r="S135" s="3196"/>
      <c r="T135" s="3196" t="s">
        <v>3908</v>
      </c>
      <c r="U135" s="3196"/>
      <c r="V135" s="3196"/>
      <c r="W135" s="3196"/>
      <c r="X135" s="3196"/>
      <c r="Y135" s="3196"/>
      <c r="Z135" s="3196"/>
      <c r="AA135" s="3196"/>
      <c r="AB135" s="3196"/>
    </row>
    <row r="136" spans="1:28" s="3195" customFormat="1" ht="12" customHeight="1">
      <c r="A136" s="3196"/>
      <c r="O136" s="3195" t="e">
        <f t="shared" ref="O136:O199" si="15">LEFT(T136,FIND(" +",T136)-1)</f>
        <v>#VALUE!</v>
      </c>
      <c r="P136" s="3195" t="e">
        <f t="shared" ref="O136:P199" si="16">MID(T136,FIND("+",T136),20)</f>
        <v>#VALUE!</v>
      </c>
      <c r="R136" s="3196"/>
      <c r="S136" s="3196"/>
      <c r="T136" s="3196" t="s">
        <v>3913</v>
      </c>
      <c r="U136" s="3196"/>
      <c r="V136" s="3196"/>
      <c r="W136" s="3196"/>
      <c r="X136" s="3196"/>
      <c r="Y136" s="3196"/>
      <c r="Z136" s="3196"/>
      <c r="AA136" s="3196"/>
      <c r="AB136" s="3196"/>
    </row>
    <row r="137" spans="1:28" s="3195" customFormat="1" ht="12" customHeight="1">
      <c r="A137" s="3196"/>
      <c r="O137" s="3195" t="e">
        <f t="shared" si="15"/>
        <v>#VALUE!</v>
      </c>
      <c r="P137" s="3195" t="e">
        <f t="shared" si="16"/>
        <v>#VALUE!</v>
      </c>
      <c r="R137" s="3196"/>
      <c r="S137" s="3196"/>
      <c r="T137" s="3196" t="s">
        <v>3917</v>
      </c>
      <c r="U137" s="3196"/>
      <c r="V137" s="3196"/>
      <c r="W137" s="3196"/>
      <c r="X137" s="3196"/>
      <c r="Y137" s="3196"/>
      <c r="Z137" s="3196"/>
      <c r="AA137" s="3196"/>
      <c r="AB137" s="3196"/>
    </row>
    <row r="138" spans="1:28" s="3195" customFormat="1" ht="12" customHeight="1">
      <c r="A138" s="3196"/>
      <c r="O138" s="3195" t="e">
        <f t="shared" si="15"/>
        <v>#VALUE!</v>
      </c>
      <c r="P138" s="3195" t="e">
        <f t="shared" si="16"/>
        <v>#VALUE!</v>
      </c>
      <c r="R138" s="3196"/>
      <c r="S138" s="3196"/>
      <c r="T138" s="3196" t="s">
        <v>3920</v>
      </c>
      <c r="U138" s="3196"/>
      <c r="V138" s="3196"/>
      <c r="W138" s="3196"/>
      <c r="X138" s="3196"/>
      <c r="Y138" s="3196"/>
      <c r="Z138" s="3196"/>
      <c r="AA138" s="3196"/>
      <c r="AB138" s="3196"/>
    </row>
    <row r="139" spans="1:28" s="3195" customFormat="1" ht="12" customHeight="1">
      <c r="A139" s="3196"/>
      <c r="O139" s="3195" t="e">
        <f t="shared" si="15"/>
        <v>#VALUE!</v>
      </c>
      <c r="P139" s="3195" t="e">
        <f t="shared" si="16"/>
        <v>#VALUE!</v>
      </c>
      <c r="R139" s="3196"/>
      <c r="S139" s="3196"/>
      <c r="T139" s="3196" t="s">
        <v>3925</v>
      </c>
      <c r="U139" s="3196"/>
      <c r="V139" s="3196"/>
      <c r="W139" s="3196"/>
      <c r="X139" s="3196"/>
      <c r="Y139" s="3196"/>
      <c r="Z139" s="3196"/>
      <c r="AA139" s="3196"/>
      <c r="AB139" s="3196"/>
    </row>
    <row r="140" spans="1:28" s="3195" customFormat="1" ht="12" customHeight="1">
      <c r="A140" s="3196"/>
      <c r="O140" s="3195" t="e">
        <f t="shared" si="15"/>
        <v>#VALUE!</v>
      </c>
      <c r="P140" s="3195" t="e">
        <f t="shared" si="16"/>
        <v>#VALUE!</v>
      </c>
      <c r="R140" s="3196"/>
      <c r="S140" s="3196"/>
      <c r="T140" s="3196" t="s">
        <v>3927</v>
      </c>
      <c r="U140" s="3196"/>
      <c r="V140" s="3196"/>
      <c r="W140" s="3196"/>
      <c r="X140" s="3196"/>
      <c r="Y140" s="3196"/>
      <c r="Z140" s="3196"/>
      <c r="AA140" s="3196"/>
      <c r="AB140" s="3196"/>
    </row>
    <row r="141" spans="1:28" s="3195" customFormat="1" ht="12" customHeight="1">
      <c r="A141" s="3196"/>
      <c r="O141" s="3195" t="e">
        <f t="shared" si="15"/>
        <v>#VALUE!</v>
      </c>
      <c r="P141" s="3195" t="e">
        <f t="shared" si="16"/>
        <v>#VALUE!</v>
      </c>
      <c r="R141" s="3196"/>
      <c r="S141" s="3196"/>
      <c r="T141" s="3196" t="s">
        <v>3932</v>
      </c>
      <c r="U141" s="3196"/>
      <c r="V141" s="3196"/>
      <c r="W141" s="3196"/>
      <c r="X141" s="3196"/>
      <c r="Y141" s="3196"/>
      <c r="Z141" s="3196"/>
      <c r="AA141" s="3196"/>
      <c r="AB141" s="3196"/>
    </row>
    <row r="142" spans="1:28" s="3195" customFormat="1" ht="12" customHeight="1">
      <c r="A142" s="3196"/>
      <c r="O142" s="3195" t="e">
        <f t="shared" si="15"/>
        <v>#VALUE!</v>
      </c>
      <c r="P142" s="3195" t="e">
        <f t="shared" si="16"/>
        <v>#VALUE!</v>
      </c>
      <c r="R142" s="3196"/>
      <c r="S142" s="3196"/>
      <c r="T142" s="3196" t="s">
        <v>3935</v>
      </c>
      <c r="U142" s="3196"/>
      <c r="V142" s="3196"/>
      <c r="W142" s="3196"/>
      <c r="X142" s="3196"/>
      <c r="Y142" s="3196"/>
      <c r="Z142" s="3196"/>
      <c r="AA142" s="3196"/>
      <c r="AB142" s="3196"/>
    </row>
    <row r="143" spans="1:28" s="3195" customFormat="1" ht="12" customHeight="1">
      <c r="A143" s="3196"/>
      <c r="O143" s="3195" t="e">
        <f t="shared" si="15"/>
        <v>#VALUE!</v>
      </c>
      <c r="P143" s="3195" t="e">
        <f t="shared" si="16"/>
        <v>#VALUE!</v>
      </c>
      <c r="R143" s="3196"/>
      <c r="S143" s="3196"/>
      <c r="T143" s="3196" t="s">
        <v>3361</v>
      </c>
      <c r="U143" s="3196"/>
      <c r="V143" s="3196"/>
      <c r="W143" s="3196"/>
      <c r="X143" s="3196"/>
      <c r="Y143" s="3196"/>
      <c r="Z143" s="3196"/>
      <c r="AA143" s="3196"/>
      <c r="AB143" s="3196"/>
    </row>
    <row r="144" spans="1:28" s="3195" customFormat="1" ht="12" customHeight="1">
      <c r="O144" s="3195" t="str">
        <f t="shared" si="15"/>
        <v>Aumento de Daño</v>
      </c>
      <c r="P144" s="3195" t="str">
        <f t="shared" si="16"/>
        <v>+10</v>
      </c>
      <c r="T144" s="3195" t="s">
        <v>3941</v>
      </c>
    </row>
    <row r="145" spans="1:28" s="3195" customFormat="1" ht="12" customHeight="1">
      <c r="A145" s="3196"/>
      <c r="O145" s="3195" t="str">
        <f t="shared" si="15"/>
        <v>Aumento de Daño</v>
      </c>
      <c r="P145" s="3195" t="str">
        <f t="shared" si="16"/>
        <v>+25</v>
      </c>
      <c r="R145" s="3196"/>
      <c r="S145" s="3196"/>
      <c r="T145" s="3196" t="s">
        <v>3945</v>
      </c>
      <c r="U145" s="3196"/>
      <c r="V145" s="3196"/>
      <c r="W145" s="3196"/>
      <c r="X145" s="3196"/>
      <c r="Y145" s="3196"/>
      <c r="Z145" s="3196"/>
      <c r="AA145" s="3196"/>
      <c r="AB145" s="3196"/>
    </row>
    <row r="146" spans="1:28" s="3195" customFormat="1" ht="12" customHeight="1">
      <c r="A146" s="3196"/>
      <c r="O146" s="3195" t="str">
        <f t="shared" si="15"/>
        <v>Aumento de Daño</v>
      </c>
      <c r="P146" s="3195" t="str">
        <f t="shared" si="16"/>
        <v>+40</v>
      </c>
      <c r="R146" s="3196"/>
      <c r="S146" s="3196"/>
      <c r="T146" s="3196" t="s">
        <v>3949</v>
      </c>
      <c r="U146" s="3196"/>
      <c r="V146" s="3196"/>
      <c r="W146" s="3196"/>
      <c r="X146" s="3196"/>
      <c r="Y146" s="3196"/>
      <c r="Z146" s="3196"/>
      <c r="AA146" s="3196"/>
      <c r="AB146" s="3196"/>
    </row>
    <row r="147" spans="1:28" s="3195" customFormat="1" ht="12" customHeight="1">
      <c r="A147" s="3196"/>
      <c r="O147" s="3195" t="str">
        <f t="shared" si="15"/>
        <v>Aumento de Daño</v>
      </c>
      <c r="P147" s="3195" t="str">
        <f t="shared" si="16"/>
        <v>+50</v>
      </c>
      <c r="R147" s="3196"/>
      <c r="S147" s="3196"/>
      <c r="T147" s="3196" t="s">
        <v>3953</v>
      </c>
      <c r="U147" s="3196"/>
      <c r="V147" s="3196"/>
      <c r="W147" s="3196"/>
      <c r="X147" s="3196"/>
      <c r="Y147" s="3196"/>
      <c r="Z147" s="3196"/>
      <c r="AA147" s="3196"/>
      <c r="AB147" s="3196"/>
    </row>
    <row r="148" spans="1:28" s="3195" customFormat="1" ht="12" customHeight="1">
      <c r="A148" s="3196"/>
      <c r="O148" s="3195" t="str">
        <f t="shared" si="15"/>
        <v>Aumento de Daño</v>
      </c>
      <c r="P148" s="3195" t="str">
        <f t="shared" si="16"/>
        <v>+75</v>
      </c>
      <c r="R148" s="3196"/>
      <c r="S148" s="3196"/>
      <c r="T148" s="3196" t="s">
        <v>3957</v>
      </c>
      <c r="U148" s="3196"/>
      <c r="V148" s="3196"/>
      <c r="W148" s="3196"/>
      <c r="X148" s="3196"/>
      <c r="Y148" s="3196"/>
      <c r="Z148" s="3196"/>
      <c r="AA148" s="3196"/>
      <c r="AB148" s="3196"/>
    </row>
    <row r="149" spans="1:28" s="3195" customFormat="1" ht="12" customHeight="1">
      <c r="A149" s="3196"/>
      <c r="O149" s="3195" t="str">
        <f t="shared" si="15"/>
        <v>Aumento de Daño</v>
      </c>
      <c r="P149" s="3195" t="str">
        <f t="shared" si="16"/>
        <v>+90</v>
      </c>
      <c r="R149" s="3196"/>
      <c r="S149" s="3196"/>
      <c r="T149" s="3196" t="s">
        <v>3962</v>
      </c>
      <c r="U149" s="3196"/>
      <c r="V149" s="3196"/>
      <c r="W149" s="3196"/>
      <c r="X149" s="3196"/>
      <c r="Y149" s="3196"/>
      <c r="Z149" s="3196"/>
      <c r="AA149" s="3196"/>
      <c r="AB149" s="3196"/>
    </row>
    <row r="150" spans="1:28" s="3195" customFormat="1" ht="12" customHeight="1">
      <c r="A150" s="3196"/>
      <c r="O150" s="3195" t="str">
        <f t="shared" si="15"/>
        <v>Aumento de Daño</v>
      </c>
      <c r="P150" s="3195" t="str">
        <f t="shared" si="16"/>
        <v>+100</v>
      </c>
      <c r="R150" s="3196"/>
      <c r="S150" s="3196"/>
      <c r="T150" s="3196" t="s">
        <v>3964</v>
      </c>
      <c r="U150" s="3196"/>
      <c r="V150" s="3196"/>
      <c r="W150" s="3196"/>
      <c r="X150" s="3196"/>
      <c r="Y150" s="3196"/>
      <c r="Z150" s="3196"/>
      <c r="AA150" s="3196"/>
      <c r="AB150" s="3196"/>
    </row>
    <row r="151" spans="1:28" s="3195" customFormat="1" ht="12" customHeight="1">
      <c r="A151" s="3196"/>
      <c r="O151" s="3195" t="str">
        <f t="shared" si="15"/>
        <v>Aumento de Daño</v>
      </c>
      <c r="P151" s="3195" t="str">
        <f t="shared" si="16"/>
        <v>+125</v>
      </c>
      <c r="R151" s="3196"/>
      <c r="S151" s="3196"/>
      <c r="T151" s="3196" t="s">
        <v>3968</v>
      </c>
      <c r="U151" s="3196"/>
      <c r="V151" s="3196"/>
      <c r="W151" s="3196"/>
      <c r="X151" s="3196"/>
      <c r="Y151" s="3196"/>
      <c r="Z151" s="3196"/>
      <c r="AA151" s="3196"/>
      <c r="AB151" s="3196"/>
    </row>
    <row r="152" spans="1:28" s="3195" customFormat="1" ht="12" customHeight="1">
      <c r="A152" s="3196"/>
      <c r="O152" s="3195" t="str">
        <f t="shared" si="15"/>
        <v>Aumento de Daño</v>
      </c>
      <c r="P152" s="3195" t="str">
        <f t="shared" si="16"/>
        <v>+150</v>
      </c>
      <c r="R152" s="3196"/>
      <c r="S152" s="3196"/>
      <c r="T152" s="3196" t="s">
        <v>3972</v>
      </c>
      <c r="U152" s="3196"/>
      <c r="V152" s="3196"/>
      <c r="W152" s="3196"/>
      <c r="X152" s="3196"/>
      <c r="Y152" s="3196"/>
      <c r="Z152" s="3196"/>
      <c r="AA152" s="3196"/>
      <c r="AB152" s="3196"/>
    </row>
    <row r="153" spans="1:28" s="3195" customFormat="1" ht="12" customHeight="1">
      <c r="O153" s="3195" t="str">
        <f t="shared" si="15"/>
        <v>Aumento de Daño</v>
      </c>
      <c r="P153" s="3195" t="str">
        <f t="shared" si="16"/>
        <v>+175</v>
      </c>
      <c r="T153" s="3195" t="s">
        <v>3976</v>
      </c>
    </row>
    <row r="154" spans="1:28" s="3195" customFormat="1" ht="12" customHeight="1">
      <c r="A154" s="3196"/>
      <c r="O154" s="3195" t="str">
        <f t="shared" si="15"/>
        <v>Aumento de Daño</v>
      </c>
      <c r="P154" s="3195" t="str">
        <f t="shared" si="16"/>
        <v>+200</v>
      </c>
      <c r="R154" s="3196"/>
      <c r="S154" s="3196"/>
      <c r="T154" s="3196" t="s">
        <v>3980</v>
      </c>
      <c r="U154" s="3196"/>
      <c r="V154" s="3196"/>
      <c r="W154" s="3196"/>
      <c r="X154" s="3196"/>
      <c r="Y154" s="3196"/>
      <c r="Z154" s="3196"/>
      <c r="AA154" s="3196"/>
    </row>
    <row r="155" spans="1:28" s="3195" customFormat="1" ht="12" customHeight="1">
      <c r="A155" s="3196"/>
      <c r="O155" s="3195" t="s">
        <v>10274</v>
      </c>
      <c r="P155" s="3195" t="str">
        <f>"Ventaja: "&amp;T155</f>
        <v>Ventaja: Sacrificio Vital</v>
      </c>
      <c r="R155" s="3196"/>
      <c r="S155" s="3196"/>
      <c r="T155" s="3196" t="s">
        <v>3986</v>
      </c>
      <c r="U155" s="3196"/>
      <c r="V155" s="3196"/>
      <c r="W155" s="3196"/>
      <c r="X155" s="3196"/>
      <c r="Y155" s="3196"/>
      <c r="Z155" s="3196"/>
      <c r="AA155" s="3196"/>
    </row>
    <row r="156" spans="1:28" s="3195" customFormat="1" ht="12" customHeight="1">
      <c r="A156" s="3196"/>
      <c r="O156" s="3195" t="s">
        <v>10274</v>
      </c>
      <c r="P156" s="3195" t="str">
        <f>"Ventaja: "&amp;T156</f>
        <v>Ventaja: Sacrificio Vital Doble</v>
      </c>
      <c r="R156" s="3196"/>
      <c r="S156" s="3196"/>
      <c r="T156" s="3196" t="s">
        <v>3990</v>
      </c>
      <c r="U156" s="3196"/>
      <c r="V156" s="3196"/>
      <c r="W156" s="3196"/>
      <c r="X156" s="3196"/>
      <c r="Y156" s="3196"/>
      <c r="Z156" s="3196"/>
      <c r="AA156" s="3196"/>
    </row>
    <row r="157" spans="1:28" s="3195" customFormat="1" ht="12" customHeight="1">
      <c r="A157" s="3196"/>
      <c r="O157" s="3195" t="s">
        <v>10274</v>
      </c>
      <c r="P157" s="3195" t="str">
        <f>"Ventaja: "&amp;T157</f>
        <v>Ventaja: Sacrificio de Salud</v>
      </c>
      <c r="R157" s="3196"/>
      <c r="S157" s="3196"/>
      <c r="T157" s="3196" t="s">
        <v>3994</v>
      </c>
      <c r="U157" s="3196"/>
      <c r="V157" s="3196"/>
      <c r="W157" s="3196"/>
      <c r="X157" s="3196"/>
      <c r="Y157" s="3196"/>
      <c r="Z157" s="3196"/>
      <c r="AA157" s="3196"/>
    </row>
    <row r="158" spans="1:28" s="3195" customFormat="1" ht="12" customHeight="1">
      <c r="A158" s="3196"/>
      <c r="O158" s="3195" t="s">
        <v>10274</v>
      </c>
      <c r="P158" s="3195" t="str">
        <f>"Ventaja: "&amp;T158</f>
        <v>Ventaja: Sacrificio de Características</v>
      </c>
      <c r="R158" s="3196"/>
      <c r="S158" s="3196"/>
      <c r="T158" s="3196" t="s">
        <v>3999</v>
      </c>
      <c r="U158" s="3196"/>
      <c r="V158" s="3196"/>
      <c r="W158" s="3196"/>
      <c r="X158" s="3196"/>
      <c r="Y158" s="3196"/>
      <c r="Z158" s="3196"/>
      <c r="AA158" s="3196"/>
    </row>
    <row r="159" spans="1:28" s="3195" customFormat="1" ht="12" customHeight="1">
      <c r="A159" s="3196"/>
      <c r="V159" s="3196"/>
      <c r="W159" s="3196"/>
      <c r="X159" s="3196"/>
      <c r="Y159" s="3196"/>
      <c r="Z159" s="3196"/>
      <c r="AA159" s="3196"/>
    </row>
    <row r="160" spans="1:28" s="3195" customFormat="1" ht="12" customHeight="1">
      <c r="A160" s="3196"/>
      <c r="O160" s="3195" t="e">
        <f t="shared" si="16"/>
        <v>#VALUE!</v>
      </c>
      <c r="P160" s="3195" t="e">
        <f t="shared" si="16"/>
        <v>#VALUE!</v>
      </c>
      <c r="R160" s="3196"/>
      <c r="S160" s="3196"/>
      <c r="T160" s="3196" t="s">
        <v>4003</v>
      </c>
      <c r="U160" s="3196"/>
      <c r="V160" s="3196"/>
      <c r="W160" s="3196"/>
      <c r="X160" s="3196"/>
      <c r="Y160" s="3196"/>
      <c r="Z160" s="3196"/>
      <c r="AA160" s="3196"/>
    </row>
    <row r="161" spans="1:35" ht="12" customHeight="1">
      <c r="O161" s="3195" t="s">
        <v>10274</v>
      </c>
      <c r="P161" s="3195" t="str">
        <f t="shared" ref="P161" si="17">"Ventaja: "&amp;T161</f>
        <v>Ventaja: Daño Límite</v>
      </c>
      <c r="R161" s="3196"/>
      <c r="S161" s="3196"/>
      <c r="T161" s="3196" t="s">
        <v>4008</v>
      </c>
      <c r="U161" s="3196"/>
      <c r="V161" s="3196"/>
      <c r="W161" s="3196"/>
      <c r="X161" s="3196"/>
      <c r="Y161" s="3196"/>
      <c r="Z161" s="3196"/>
      <c r="AA161" s="3196"/>
      <c r="AB161" s="3195"/>
      <c r="AC161" s="3195"/>
      <c r="AE161" s="3195"/>
      <c r="AF161" s="3195"/>
      <c r="AG161" s="3195"/>
      <c r="AH161" s="3195"/>
      <c r="AI161" s="3195"/>
    </row>
    <row r="162" spans="1:35" ht="12" customHeight="1">
      <c r="O162" s="3195" t="e">
        <f t="shared" si="15"/>
        <v>#VALUE!</v>
      </c>
      <c r="P162" s="3195" t="e">
        <f t="shared" si="16"/>
        <v>#VALUE!</v>
      </c>
      <c r="R162" s="3196"/>
      <c r="S162" s="3196"/>
      <c r="T162" s="3196" t="s">
        <v>3367</v>
      </c>
      <c r="U162" s="3196"/>
      <c r="V162" s="3196"/>
      <c r="W162" s="3196"/>
      <c r="X162" s="3196"/>
      <c r="Y162" s="3196"/>
      <c r="Z162" s="3196"/>
      <c r="AA162" s="3196"/>
      <c r="AB162" s="3195"/>
      <c r="AC162" s="3195"/>
      <c r="AE162" s="3195"/>
      <c r="AF162" s="3195"/>
      <c r="AG162" s="3195"/>
      <c r="AH162" s="3195"/>
      <c r="AI162" s="3195"/>
    </row>
    <row r="163" spans="1:35" ht="12" customHeight="1">
      <c r="O163" s="3195" t="str">
        <f t="shared" si="15"/>
        <v>Aumento de Daño Real</v>
      </c>
      <c r="P163" s="3195" t="str">
        <f t="shared" si="16"/>
        <v>+10</v>
      </c>
      <c r="R163" s="3196"/>
      <c r="S163" s="3196"/>
      <c r="T163" s="3196" t="s">
        <v>4009</v>
      </c>
      <c r="U163" s="3196"/>
      <c r="V163" s="3196"/>
      <c r="W163" s="3196"/>
      <c r="X163" s="3196"/>
      <c r="Y163" s="3196"/>
      <c r="Z163" s="3196"/>
      <c r="AA163" s="3196"/>
      <c r="AB163" s="3195"/>
      <c r="AC163" s="3195"/>
      <c r="AE163" s="3195"/>
      <c r="AF163" s="3195"/>
      <c r="AG163" s="3195"/>
      <c r="AH163" s="3195"/>
      <c r="AI163" s="3195"/>
    </row>
    <row r="164" spans="1:35" ht="12" customHeight="1">
      <c r="O164" s="3195" t="str">
        <f t="shared" si="15"/>
        <v>Aumento de Daño Real</v>
      </c>
      <c r="P164" s="3195" t="str">
        <f t="shared" si="16"/>
        <v>+25</v>
      </c>
      <c r="R164" s="3196"/>
      <c r="S164" s="3196"/>
      <c r="T164" s="3196" t="s">
        <v>4010</v>
      </c>
      <c r="U164" s="3196"/>
      <c r="V164" s="3196"/>
      <c r="W164" s="3196"/>
      <c r="X164" s="3196"/>
      <c r="Y164" s="3196"/>
      <c r="Z164" s="3196"/>
      <c r="AA164" s="3196"/>
      <c r="AB164" s="3195"/>
      <c r="AC164" s="3195"/>
      <c r="AE164" s="3195"/>
      <c r="AF164" s="3195"/>
      <c r="AG164" s="3195"/>
      <c r="AH164" s="3195"/>
      <c r="AI164" s="3195"/>
    </row>
    <row r="165" spans="1:35" ht="12" customHeight="1">
      <c r="B165" s="3196"/>
      <c r="C165" s="3196"/>
      <c r="O165" s="3195" t="str">
        <f t="shared" si="15"/>
        <v>Aumento de Daño Real</v>
      </c>
      <c r="P165" s="3195" t="str">
        <f t="shared" si="16"/>
        <v>+40</v>
      </c>
      <c r="Q165" s="3196"/>
      <c r="R165" s="3196"/>
      <c r="S165" s="3196"/>
      <c r="T165" s="3196" t="s">
        <v>4011</v>
      </c>
      <c r="U165" s="3196"/>
      <c r="V165" s="3196"/>
      <c r="W165" s="3196"/>
      <c r="X165" s="3196"/>
      <c r="Y165" s="3196"/>
      <c r="Z165" s="3196"/>
      <c r="AA165" s="3196"/>
      <c r="AB165" s="3196"/>
      <c r="AC165" s="3195"/>
      <c r="AE165" s="3195"/>
      <c r="AF165" s="3195"/>
      <c r="AG165" s="3195"/>
      <c r="AH165" s="3195"/>
      <c r="AI165" s="3195"/>
    </row>
    <row r="166" spans="1:35" ht="12" customHeight="1">
      <c r="O166" s="3195" t="str">
        <f t="shared" si="15"/>
        <v>Aumento de Daño Real</v>
      </c>
      <c r="P166" s="3195" t="str">
        <f t="shared" si="16"/>
        <v>+50</v>
      </c>
      <c r="T166" s="3195" t="s">
        <v>4012</v>
      </c>
      <c r="Y166" s="3195"/>
      <c r="Z166" s="3195"/>
      <c r="AA166" s="3195"/>
      <c r="AB166" s="3195"/>
      <c r="AC166" s="3195"/>
      <c r="AE166" s="3195"/>
      <c r="AF166" s="3195"/>
      <c r="AG166" s="3195"/>
      <c r="AH166" s="3195"/>
      <c r="AI166" s="3195"/>
    </row>
    <row r="167" spans="1:35" ht="12" customHeight="1">
      <c r="O167" s="3195" t="str">
        <f t="shared" si="15"/>
        <v>Aumento de Daño Real</v>
      </c>
      <c r="P167" s="3195" t="str">
        <f t="shared" si="16"/>
        <v>+75</v>
      </c>
      <c r="T167" s="3195" t="s">
        <v>4013</v>
      </c>
      <c r="Y167" s="3195"/>
      <c r="Z167" s="3195"/>
      <c r="AA167" s="3195"/>
      <c r="AB167" s="3195"/>
      <c r="AC167" s="3195"/>
      <c r="AE167" s="3195"/>
      <c r="AF167" s="3195"/>
      <c r="AG167" s="3195"/>
      <c r="AH167" s="3195"/>
      <c r="AI167" s="3195"/>
    </row>
    <row r="168" spans="1:35" ht="12" customHeight="1">
      <c r="O168" s="3195" t="str">
        <f t="shared" si="15"/>
        <v>Aumento de Daño Real</v>
      </c>
      <c r="P168" s="3195" t="str">
        <f t="shared" si="16"/>
        <v>+90</v>
      </c>
      <c r="T168" s="3195" t="s">
        <v>4014</v>
      </c>
      <c r="Y168" s="3195"/>
      <c r="Z168" s="3195"/>
      <c r="AA168" s="3195"/>
      <c r="AB168" s="3195"/>
      <c r="AC168" s="3195"/>
      <c r="AE168" s="3195"/>
      <c r="AF168" s="3195"/>
      <c r="AG168" s="3195"/>
      <c r="AH168" s="3195"/>
      <c r="AI168" s="3195"/>
    </row>
    <row r="169" spans="1:35" ht="12" customHeight="1">
      <c r="O169" s="3195" t="str">
        <f t="shared" si="15"/>
        <v>Aumento de Daño Real</v>
      </c>
      <c r="P169" s="3195" t="str">
        <f t="shared" si="16"/>
        <v>+100</v>
      </c>
      <c r="T169" s="3195" t="s">
        <v>4015</v>
      </c>
      <c r="Y169" s="3195"/>
      <c r="Z169" s="3195"/>
      <c r="AA169" s="3195"/>
      <c r="AB169" s="3195"/>
      <c r="AC169" s="3195"/>
      <c r="AE169" s="3195"/>
      <c r="AF169" s="3195"/>
      <c r="AG169" s="3195"/>
      <c r="AH169" s="3195"/>
      <c r="AI169" s="3195"/>
    </row>
    <row r="170" spans="1:35" ht="12" customHeight="1">
      <c r="B170" s="3196"/>
      <c r="C170" s="3196"/>
      <c r="O170" s="3195" t="e">
        <f t="shared" si="15"/>
        <v>#VALUE!</v>
      </c>
      <c r="P170" s="3195" t="e">
        <f t="shared" si="16"/>
        <v>#VALUE!</v>
      </c>
      <c r="Q170" s="3196"/>
      <c r="R170" s="3196"/>
      <c r="S170" s="3196"/>
      <c r="T170" s="3196" t="s">
        <v>3372</v>
      </c>
      <c r="U170" s="3196"/>
      <c r="V170" s="3196"/>
      <c r="W170" s="3196"/>
      <c r="X170" s="3196"/>
      <c r="Y170" s="3196"/>
      <c r="Z170" s="3196"/>
      <c r="AA170" s="3196"/>
      <c r="AB170" s="3196"/>
      <c r="AC170" s="3195"/>
      <c r="AE170" s="3195"/>
      <c r="AF170" s="3195"/>
      <c r="AG170" s="3195"/>
      <c r="AH170" s="3195"/>
      <c r="AI170" s="3195"/>
    </row>
    <row r="171" spans="1:35" ht="12" customHeight="1">
      <c r="O171" s="3195" t="e">
        <f t="shared" si="15"/>
        <v>#VALUE!</v>
      </c>
      <c r="P171" s="3195" t="e">
        <f t="shared" si="16"/>
        <v>#VALUE!</v>
      </c>
      <c r="T171" s="3195" t="s">
        <v>4016</v>
      </c>
      <c r="Y171" s="3195"/>
      <c r="Z171" s="3195"/>
      <c r="AA171" s="3195"/>
      <c r="AB171" s="3195"/>
      <c r="AC171" s="3195"/>
      <c r="AE171" s="3195"/>
      <c r="AF171" s="3195"/>
      <c r="AG171" s="3195"/>
      <c r="AH171" s="3195"/>
      <c r="AI171" s="3195"/>
    </row>
    <row r="172" spans="1:35" ht="12" customHeight="1">
      <c r="A172" s="3195"/>
      <c r="O172" s="3195" t="e">
        <f t="shared" si="15"/>
        <v>#VALUE!</v>
      </c>
      <c r="P172" s="3195" t="e">
        <f t="shared" si="16"/>
        <v>#VALUE!</v>
      </c>
      <c r="T172" s="3195" t="s">
        <v>4017</v>
      </c>
      <c r="Y172" s="3195"/>
      <c r="Z172" s="3195"/>
      <c r="AA172" s="3195"/>
      <c r="AB172" s="3195"/>
      <c r="AC172" s="3195"/>
      <c r="AE172" s="3195"/>
      <c r="AF172" s="3195"/>
      <c r="AG172" s="3195"/>
      <c r="AH172" s="3195"/>
      <c r="AI172" s="3195"/>
    </row>
    <row r="173" spans="1:35" ht="12" customHeight="1">
      <c r="O173" s="3195" t="e">
        <f t="shared" si="15"/>
        <v>#VALUE!</v>
      </c>
      <c r="P173" s="3195" t="e">
        <f t="shared" si="16"/>
        <v>#VALUE!</v>
      </c>
      <c r="R173" s="3196"/>
      <c r="S173" s="3196"/>
      <c r="T173" s="3196" t="s">
        <v>4018</v>
      </c>
      <c r="U173" s="3196"/>
      <c r="V173" s="3196"/>
      <c r="W173" s="3196"/>
      <c r="X173" s="3196"/>
      <c r="Y173" s="3196"/>
      <c r="Z173" s="3196"/>
      <c r="AA173" s="3196"/>
      <c r="AB173" s="3195"/>
      <c r="AC173" s="3195"/>
      <c r="AE173" s="3195"/>
      <c r="AF173" s="3195"/>
      <c r="AG173" s="3195"/>
      <c r="AH173" s="3195"/>
      <c r="AI173" s="3195"/>
    </row>
    <row r="174" spans="1:35" ht="12" customHeight="1">
      <c r="O174" s="3195" t="e">
        <f t="shared" si="15"/>
        <v>#VALUE!</v>
      </c>
      <c r="P174" s="3195" t="e">
        <f t="shared" si="16"/>
        <v>#VALUE!</v>
      </c>
      <c r="R174" s="3196"/>
      <c r="S174" s="3196"/>
      <c r="T174" s="3196" t="s">
        <v>3377</v>
      </c>
      <c r="U174" s="3196"/>
      <c r="V174" s="3196"/>
      <c r="W174" s="3196"/>
      <c r="X174" s="3196"/>
      <c r="Y174" s="3196"/>
      <c r="Z174" s="3196"/>
      <c r="AA174" s="3196"/>
      <c r="AB174" s="3195"/>
      <c r="AC174" s="3195"/>
      <c r="AE174" s="3195"/>
      <c r="AF174" s="3195"/>
      <c r="AG174" s="3195"/>
      <c r="AH174" s="3195"/>
      <c r="AI174" s="3195"/>
    </row>
    <row r="175" spans="1:35" ht="12" customHeight="1">
      <c r="O175" s="3195" t="e">
        <f t="shared" si="15"/>
        <v>#VALUE!</v>
      </c>
      <c r="P175" s="3195" t="e">
        <f t="shared" si="16"/>
        <v>#VALUE!</v>
      </c>
      <c r="R175" s="3196"/>
      <c r="S175" s="3196"/>
      <c r="T175" s="3196" t="s">
        <v>4019</v>
      </c>
      <c r="U175" s="3196"/>
      <c r="V175" s="3196"/>
      <c r="W175" s="3196"/>
      <c r="X175" s="3196"/>
      <c r="Y175" s="3196"/>
      <c r="Z175" s="3196"/>
      <c r="AA175" s="3196"/>
      <c r="AB175" s="3195"/>
      <c r="AC175" s="3195"/>
      <c r="AE175" s="3195"/>
      <c r="AF175" s="3195"/>
      <c r="AG175" s="3195"/>
      <c r="AH175" s="3195"/>
      <c r="AI175" s="3195"/>
    </row>
    <row r="176" spans="1:35" ht="12" customHeight="1">
      <c r="O176" s="3195" t="e">
        <f t="shared" si="15"/>
        <v>#VALUE!</v>
      </c>
      <c r="P176" s="3195" t="e">
        <f t="shared" si="16"/>
        <v>#VALUE!</v>
      </c>
      <c r="R176" s="3196"/>
      <c r="S176" s="3196"/>
      <c r="T176" s="3196" t="s">
        <v>4020</v>
      </c>
      <c r="U176" s="3196"/>
      <c r="V176" s="3196"/>
      <c r="W176" s="3196"/>
      <c r="X176" s="3196"/>
      <c r="Y176" s="3196"/>
      <c r="Z176" s="3196"/>
      <c r="AA176" s="3196"/>
      <c r="AB176" s="3195"/>
      <c r="AC176" s="3195"/>
      <c r="AE176" s="3195"/>
      <c r="AF176" s="3195"/>
      <c r="AG176" s="3195"/>
      <c r="AH176" s="3195"/>
      <c r="AI176" s="3195"/>
    </row>
    <row r="177" spans="1:27" s="3195" customFormat="1" ht="12" customHeight="1">
      <c r="A177" s="3196"/>
      <c r="O177" s="3195" t="e">
        <f t="shared" si="15"/>
        <v>#VALUE!</v>
      </c>
      <c r="P177" s="3195" t="e">
        <f t="shared" si="16"/>
        <v>#VALUE!</v>
      </c>
      <c r="R177" s="3196"/>
      <c r="S177" s="3196"/>
      <c r="T177" s="3196" t="s">
        <v>4021</v>
      </c>
      <c r="U177" s="3196"/>
      <c r="V177" s="3196"/>
      <c r="W177" s="3196"/>
      <c r="X177" s="3196"/>
      <c r="Y177" s="3196"/>
      <c r="Z177" s="3196"/>
      <c r="AA177" s="3196"/>
    </row>
    <row r="178" spans="1:27" s="3195" customFormat="1" ht="12" customHeight="1">
      <c r="A178" s="3196"/>
      <c r="O178" s="3195" t="e">
        <f t="shared" si="15"/>
        <v>#VALUE!</v>
      </c>
      <c r="P178" s="3195" t="e">
        <f t="shared" si="16"/>
        <v>#VALUE!</v>
      </c>
      <c r="R178" s="3196"/>
      <c r="S178" s="3196"/>
      <c r="T178" s="3196" t="s">
        <v>3382</v>
      </c>
      <c r="U178" s="3196"/>
      <c r="V178" s="3196"/>
      <c r="W178" s="3196"/>
      <c r="X178" s="3196"/>
      <c r="Y178" s="3196"/>
      <c r="Z178" s="3196"/>
      <c r="AA178" s="3196"/>
    </row>
    <row r="179" spans="1:27" s="3195" customFormat="1" ht="12" customHeight="1">
      <c r="A179" s="3196"/>
      <c r="O179" s="3195" t="e">
        <f t="shared" si="15"/>
        <v>#VALUE!</v>
      </c>
      <c r="P179" s="3195" t="e">
        <f t="shared" si="16"/>
        <v>#VALUE!</v>
      </c>
      <c r="R179" s="3196"/>
      <c r="S179" s="3196"/>
      <c r="T179" s="3196" t="s">
        <v>4022</v>
      </c>
      <c r="U179" s="3196"/>
      <c r="V179" s="3196"/>
      <c r="W179" s="3196"/>
      <c r="X179" s="3196"/>
      <c r="Y179" s="3196"/>
      <c r="Z179" s="3196"/>
      <c r="AA179" s="3196"/>
    </row>
    <row r="180" spans="1:27" s="3195" customFormat="1" ht="12" customHeight="1">
      <c r="O180" s="3195" t="e">
        <f t="shared" si="15"/>
        <v>#VALUE!</v>
      </c>
      <c r="P180" s="3195" t="e">
        <f t="shared" si="16"/>
        <v>#VALUE!</v>
      </c>
      <c r="T180" s="3195" t="s">
        <v>4023</v>
      </c>
    </row>
    <row r="181" spans="1:27" s="3195" customFormat="1" ht="12" customHeight="1">
      <c r="A181" s="3196"/>
      <c r="O181" s="3195" t="e">
        <f t="shared" si="15"/>
        <v>#VALUE!</v>
      </c>
      <c r="P181" s="3195" t="e">
        <f t="shared" si="16"/>
        <v>#VALUE!</v>
      </c>
      <c r="R181" s="3196"/>
      <c r="S181" s="3196"/>
      <c r="T181" s="3196" t="s">
        <v>4024</v>
      </c>
      <c r="U181" s="3196"/>
      <c r="V181" s="3196"/>
      <c r="W181" s="3196"/>
      <c r="X181" s="3196"/>
      <c r="Y181" s="3196"/>
      <c r="Z181" s="3196"/>
      <c r="AA181" s="3196"/>
    </row>
    <row r="182" spans="1:27" s="3195" customFormat="1" ht="12" customHeight="1">
      <c r="A182" s="3196"/>
      <c r="O182" s="3195" t="e">
        <f t="shared" si="15"/>
        <v>#VALUE!</v>
      </c>
      <c r="P182" s="3195" t="e">
        <f t="shared" si="16"/>
        <v>#VALUE!</v>
      </c>
      <c r="R182" s="3196"/>
      <c r="S182" s="3196"/>
      <c r="T182" s="3196" t="s">
        <v>4025</v>
      </c>
      <c r="U182" s="3196"/>
      <c r="V182" s="3196"/>
      <c r="W182" s="3196"/>
      <c r="X182" s="3196"/>
      <c r="Y182" s="3196"/>
      <c r="Z182" s="3196"/>
      <c r="AA182" s="3196"/>
    </row>
    <row r="183" spans="1:27" s="3195" customFormat="1" ht="12" customHeight="1">
      <c r="A183" s="3196"/>
      <c r="O183" s="3195" t="e">
        <f t="shared" si="15"/>
        <v>#VALUE!</v>
      </c>
      <c r="P183" s="3195" t="e">
        <f t="shared" si="16"/>
        <v>#VALUE!</v>
      </c>
      <c r="R183" s="3196"/>
      <c r="S183" s="3196"/>
      <c r="T183" s="3196" t="s">
        <v>4026</v>
      </c>
      <c r="U183" s="3196"/>
      <c r="V183" s="3196"/>
      <c r="W183" s="3196"/>
      <c r="X183" s="3196"/>
      <c r="Y183" s="3196"/>
      <c r="Z183" s="3196"/>
      <c r="AA183" s="3196"/>
    </row>
    <row r="184" spans="1:27" s="3195" customFormat="1" ht="12" customHeight="1">
      <c r="O184" s="3195" t="e">
        <f t="shared" si="15"/>
        <v>#VALUE!</v>
      </c>
      <c r="P184" s="3195" t="e">
        <f t="shared" si="16"/>
        <v>#VALUE!</v>
      </c>
      <c r="T184" s="3195" t="s">
        <v>4027</v>
      </c>
    </row>
    <row r="185" spans="1:27" s="3195" customFormat="1" ht="12" customHeight="1">
      <c r="A185" s="3196"/>
      <c r="O185" s="3195" t="e">
        <f t="shared" si="15"/>
        <v>#VALUE!</v>
      </c>
      <c r="P185" s="3195" t="e">
        <f t="shared" si="16"/>
        <v>#VALUE!</v>
      </c>
      <c r="R185" s="3196"/>
      <c r="S185" s="3196"/>
      <c r="T185" s="3196" t="s">
        <v>4028</v>
      </c>
      <c r="U185" s="3196"/>
      <c r="V185" s="3196"/>
      <c r="W185" s="3196"/>
      <c r="X185" s="3196"/>
      <c r="Y185" s="3196"/>
      <c r="Z185" s="3196"/>
      <c r="AA185" s="3196"/>
    </row>
    <row r="186" spans="1:27" s="3195" customFormat="1" ht="12" customHeight="1">
      <c r="A186" s="3196"/>
      <c r="O186" s="3195" t="e">
        <f t="shared" si="15"/>
        <v>#VALUE!</v>
      </c>
      <c r="P186" s="3195" t="e">
        <f t="shared" si="16"/>
        <v>#VALUE!</v>
      </c>
      <c r="R186" s="3196"/>
      <c r="S186" s="3196"/>
      <c r="T186" s="3196" t="s">
        <v>3385</v>
      </c>
      <c r="U186" s="3196"/>
      <c r="V186" s="3196"/>
      <c r="W186" s="3196"/>
      <c r="X186" s="3196"/>
      <c r="Y186" s="3196"/>
      <c r="Z186" s="3196"/>
      <c r="AA186" s="3196"/>
    </row>
    <row r="187" spans="1:27" s="3195" customFormat="1" ht="12" customHeight="1">
      <c r="A187" s="3196"/>
      <c r="O187" s="3195" t="e">
        <f t="shared" si="15"/>
        <v>#VALUE!</v>
      </c>
      <c r="P187" s="3195" t="e">
        <f t="shared" si="16"/>
        <v>#VALUE!</v>
      </c>
      <c r="R187" s="3196"/>
      <c r="S187" s="3196"/>
      <c r="T187" s="3196" t="s">
        <v>4029</v>
      </c>
      <c r="U187" s="3196"/>
      <c r="V187" s="3196"/>
      <c r="W187" s="3196"/>
      <c r="X187" s="3196"/>
      <c r="Y187" s="3196"/>
      <c r="Z187" s="3196"/>
      <c r="AA187" s="3196"/>
    </row>
    <row r="188" spans="1:27" s="3195" customFormat="1" ht="12" customHeight="1">
      <c r="A188" s="3196"/>
      <c r="O188" s="3195" t="e">
        <f t="shared" si="15"/>
        <v>#VALUE!</v>
      </c>
      <c r="P188" s="3195" t="e">
        <f t="shared" si="16"/>
        <v>#VALUE!</v>
      </c>
      <c r="T188" s="3195" t="s">
        <v>4030</v>
      </c>
    </row>
    <row r="189" spans="1:27" s="3195" customFormat="1" ht="12" customHeight="1">
      <c r="A189" s="3196"/>
      <c r="O189" s="3195" t="e">
        <f t="shared" si="15"/>
        <v>#VALUE!</v>
      </c>
      <c r="P189" s="3195" t="e">
        <f t="shared" si="16"/>
        <v>#VALUE!</v>
      </c>
      <c r="R189" s="3196"/>
      <c r="S189" s="3196"/>
      <c r="T189" s="3196" t="s">
        <v>4031</v>
      </c>
      <c r="U189" s="3196"/>
      <c r="V189" s="3196"/>
      <c r="W189" s="3196"/>
      <c r="X189" s="3196"/>
      <c r="Y189" s="3196"/>
      <c r="Z189" s="3196"/>
      <c r="AA189" s="3196"/>
    </row>
    <row r="190" spans="1:27" s="3195" customFormat="1" ht="12" customHeight="1">
      <c r="A190" s="3196"/>
      <c r="O190" s="3195" t="e">
        <f t="shared" si="15"/>
        <v>#VALUE!</v>
      </c>
      <c r="P190" s="3195" t="e">
        <f t="shared" si="16"/>
        <v>#VALUE!</v>
      </c>
      <c r="R190" s="3196"/>
      <c r="S190" s="3196"/>
      <c r="T190" s="3196" t="s">
        <v>4032</v>
      </c>
      <c r="U190" s="3196"/>
      <c r="V190" s="3196"/>
      <c r="W190" s="3196"/>
      <c r="X190" s="3196"/>
      <c r="Y190" s="3196"/>
      <c r="Z190" s="3196"/>
      <c r="AA190" s="3196"/>
    </row>
    <row r="191" spans="1:27" s="3195" customFormat="1" ht="12" customHeight="1">
      <c r="A191" s="3196"/>
      <c r="O191" s="3195" t="e">
        <f t="shared" si="15"/>
        <v>#VALUE!</v>
      </c>
      <c r="P191" s="3195" t="e">
        <f t="shared" si="16"/>
        <v>#VALUE!</v>
      </c>
      <c r="R191" s="3196"/>
      <c r="S191" s="3196"/>
      <c r="T191" s="3196" t="s">
        <v>4033</v>
      </c>
      <c r="U191" s="3196"/>
      <c r="V191" s="3196"/>
      <c r="W191" s="3196"/>
      <c r="X191" s="3196"/>
      <c r="Y191" s="3196"/>
      <c r="Z191" s="3196"/>
      <c r="AA191" s="3196"/>
    </row>
    <row r="192" spans="1:27" s="3195" customFormat="1" ht="12" customHeight="1">
      <c r="A192" s="3196"/>
      <c r="O192" s="3195" t="e">
        <f t="shared" si="15"/>
        <v>#VALUE!</v>
      </c>
      <c r="P192" s="3195" t="e">
        <f t="shared" si="16"/>
        <v>#VALUE!</v>
      </c>
      <c r="R192" s="3196"/>
      <c r="S192" s="3196"/>
      <c r="T192" s="3196" t="s">
        <v>4034</v>
      </c>
      <c r="U192" s="3196"/>
      <c r="V192" s="3196"/>
      <c r="W192" s="3196"/>
      <c r="X192" s="3196"/>
      <c r="Y192" s="3196"/>
      <c r="Z192" s="3196"/>
      <c r="AA192" s="3196"/>
    </row>
    <row r="193" spans="1:35" ht="12" customHeight="1">
      <c r="O193" s="3195" t="e">
        <f t="shared" si="15"/>
        <v>#VALUE!</v>
      </c>
      <c r="P193" s="3195" t="e">
        <f t="shared" si="16"/>
        <v>#VALUE!</v>
      </c>
      <c r="R193" s="3196"/>
      <c r="S193" s="3196"/>
      <c r="T193" s="3196" t="s">
        <v>3390</v>
      </c>
      <c r="U193" s="3196"/>
      <c r="V193" s="3196"/>
      <c r="W193" s="3196"/>
      <c r="X193" s="3196"/>
      <c r="Y193" s="3196"/>
      <c r="Z193" s="3196"/>
      <c r="AA193" s="3196"/>
      <c r="AB193" s="3195"/>
      <c r="AC193" s="3195"/>
      <c r="AE193" s="3195"/>
      <c r="AF193" s="3195"/>
      <c r="AG193" s="3195"/>
      <c r="AH193" s="3195"/>
      <c r="AI193" s="3195"/>
    </row>
    <row r="194" spans="1:35" ht="12" customHeight="1">
      <c r="O194" s="3195" t="e">
        <f t="shared" si="15"/>
        <v>#VALUE!</v>
      </c>
      <c r="P194" s="3195" t="e">
        <f t="shared" si="16"/>
        <v>#VALUE!</v>
      </c>
      <c r="R194" s="3196"/>
      <c r="S194" s="3196"/>
      <c r="T194" s="3196" t="s">
        <v>3395</v>
      </c>
      <c r="U194" s="3196"/>
      <c r="V194" s="3196"/>
      <c r="W194" s="3196"/>
      <c r="X194" s="3196"/>
      <c r="Y194" s="3196"/>
      <c r="Z194" s="3196"/>
      <c r="AA194" s="3196"/>
      <c r="AB194" s="3195"/>
      <c r="AC194" s="3195"/>
      <c r="AE194" s="3195"/>
      <c r="AF194" s="3195"/>
      <c r="AG194" s="3195"/>
      <c r="AH194" s="3195"/>
      <c r="AI194" s="3195"/>
    </row>
    <row r="195" spans="1:35" ht="12" customHeight="1">
      <c r="O195" s="3195" t="str">
        <f t="shared" si="15"/>
        <v>Ataque Adicional</v>
      </c>
      <c r="P195" s="3195" t="str">
        <f t="shared" si="16"/>
        <v>+1</v>
      </c>
      <c r="R195" s="3196"/>
      <c r="S195" s="3196"/>
      <c r="T195" s="3196" t="s">
        <v>4035</v>
      </c>
      <c r="U195" s="3196"/>
      <c r="V195" s="3196"/>
      <c r="W195" s="3196"/>
      <c r="X195" s="3196"/>
      <c r="Y195" s="3196"/>
      <c r="Z195" s="3196"/>
      <c r="AA195" s="3196"/>
      <c r="AB195" s="3195"/>
      <c r="AC195" s="3195"/>
      <c r="AE195" s="3195"/>
      <c r="AF195" s="3195"/>
      <c r="AG195" s="3195"/>
      <c r="AH195" s="3195"/>
      <c r="AI195" s="3195"/>
    </row>
    <row r="196" spans="1:35" ht="12" customHeight="1">
      <c r="A196" s="3195"/>
      <c r="O196" s="3195" t="str">
        <f t="shared" si="15"/>
        <v>Ataque Adicional</v>
      </c>
      <c r="P196" s="3195" t="str">
        <f t="shared" si="16"/>
        <v>+2</v>
      </c>
      <c r="T196" s="3195" t="s">
        <v>4036</v>
      </c>
      <c r="Y196" s="3195"/>
      <c r="Z196" s="3195"/>
      <c r="AA196" s="3195"/>
      <c r="AB196" s="3195"/>
      <c r="AC196" s="3195"/>
      <c r="AE196" s="3195"/>
      <c r="AF196" s="3195"/>
      <c r="AG196" s="3195"/>
      <c r="AH196" s="3195"/>
      <c r="AI196" s="3195"/>
    </row>
    <row r="197" spans="1:35" ht="12" customHeight="1">
      <c r="O197" s="3195" t="str">
        <f t="shared" si="15"/>
        <v>Ataque Adicional</v>
      </c>
      <c r="P197" s="3195" t="str">
        <f t="shared" si="16"/>
        <v>+3</v>
      </c>
      <c r="R197" s="3196"/>
      <c r="S197" s="3196"/>
      <c r="T197" s="3196" t="s">
        <v>4037</v>
      </c>
      <c r="U197" s="3196"/>
      <c r="V197" s="3196"/>
      <c r="W197" s="3196"/>
      <c r="X197" s="3196"/>
      <c r="Y197" s="3196"/>
      <c r="Z197" s="3196"/>
      <c r="AA197" s="3196"/>
      <c r="AB197" s="3195"/>
      <c r="AC197" s="3195"/>
      <c r="AE197" s="3195"/>
      <c r="AF197" s="3195"/>
      <c r="AG197" s="3195"/>
      <c r="AH197" s="3195"/>
      <c r="AI197" s="3195"/>
    </row>
    <row r="198" spans="1:35" ht="12" customHeight="1">
      <c r="O198" s="3195" t="str">
        <f t="shared" si="15"/>
        <v>Ataque Adicional</v>
      </c>
      <c r="P198" s="3195" t="str">
        <f t="shared" si="16"/>
        <v>+4</v>
      </c>
      <c r="R198" s="3196"/>
      <c r="S198" s="3196"/>
      <c r="T198" s="3196" t="s">
        <v>4038</v>
      </c>
      <c r="U198" s="3196"/>
      <c r="V198" s="3196"/>
      <c r="W198" s="3196"/>
      <c r="X198" s="3196"/>
      <c r="Y198" s="3196"/>
      <c r="Z198" s="3196"/>
      <c r="AA198" s="3196"/>
      <c r="AB198" s="3195"/>
      <c r="AC198" s="3195"/>
      <c r="AE198" s="3195"/>
      <c r="AF198" s="3195"/>
      <c r="AG198" s="3195"/>
      <c r="AH198" s="3195"/>
      <c r="AI198" s="3195"/>
    </row>
    <row r="199" spans="1:35" ht="12" customHeight="1">
      <c r="O199" s="3195" t="str">
        <f t="shared" si="15"/>
        <v>Ataque Adicional</v>
      </c>
      <c r="P199" s="3195" t="str">
        <f t="shared" si="16"/>
        <v>+5</v>
      </c>
      <c r="R199" s="3196"/>
      <c r="S199" s="3196"/>
      <c r="T199" s="3196" t="s">
        <v>4039</v>
      </c>
      <c r="U199" s="3196"/>
      <c r="V199" s="3196"/>
      <c r="W199" s="3196"/>
      <c r="X199" s="3196"/>
      <c r="Y199" s="3196"/>
      <c r="Z199" s="3196"/>
      <c r="AA199" s="3196"/>
      <c r="AB199" s="3195"/>
      <c r="AC199" s="3195"/>
      <c r="AE199" s="3195"/>
      <c r="AF199" s="3195"/>
      <c r="AG199" s="3195"/>
      <c r="AH199" s="3195"/>
      <c r="AI199" s="3195"/>
    </row>
    <row r="200" spans="1:35" ht="12" customHeight="1">
      <c r="O200" s="3195" t="e">
        <f t="shared" ref="O200:O263" si="18">LEFT(T200,FIND(" +",T200)-1)</f>
        <v>#VALUE!</v>
      </c>
      <c r="P200" s="3195" t="e">
        <f t="shared" ref="P200:P263" si="19">MID(T200,FIND("+",T200),20)</f>
        <v>#VALUE!</v>
      </c>
      <c r="R200" s="3196"/>
      <c r="S200" s="3196"/>
      <c r="T200" s="3196" t="s">
        <v>4040</v>
      </c>
      <c r="U200" s="3196"/>
      <c r="V200" s="3196"/>
      <c r="W200" s="3196"/>
      <c r="X200" s="3196"/>
      <c r="Y200" s="3196"/>
      <c r="Z200" s="3196"/>
      <c r="AA200" s="3196"/>
      <c r="AB200" s="3195"/>
      <c r="AC200" s="3195"/>
      <c r="AE200" s="3195"/>
      <c r="AF200" s="3195"/>
      <c r="AG200" s="3195"/>
      <c r="AH200" s="3195"/>
      <c r="AI200" s="3195"/>
    </row>
    <row r="201" spans="1:35" ht="12" customHeight="1">
      <c r="O201" s="3195" t="e">
        <f t="shared" si="18"/>
        <v>#VALUE!</v>
      </c>
      <c r="P201" s="3195" t="e">
        <f t="shared" si="19"/>
        <v>#VALUE!</v>
      </c>
      <c r="R201" s="3196"/>
      <c r="S201" s="3196"/>
      <c r="T201" s="3196" t="s">
        <v>4041</v>
      </c>
      <c r="U201" s="3196"/>
      <c r="V201" s="3196"/>
      <c r="W201" s="3196"/>
      <c r="X201" s="3196"/>
      <c r="Y201" s="3196"/>
      <c r="Z201" s="3196"/>
      <c r="AA201" s="3196"/>
      <c r="AB201" s="3195"/>
      <c r="AC201" s="3195"/>
      <c r="AE201" s="3195"/>
      <c r="AF201" s="3195"/>
      <c r="AG201" s="3195"/>
      <c r="AH201" s="3195"/>
      <c r="AI201" s="3195"/>
    </row>
    <row r="202" spans="1:35" ht="12" customHeight="1">
      <c r="O202" s="3195" t="e">
        <f t="shared" si="18"/>
        <v>#VALUE!</v>
      </c>
      <c r="P202" s="3195" t="e">
        <f t="shared" si="19"/>
        <v>#VALUE!</v>
      </c>
      <c r="R202" s="3196"/>
      <c r="S202" s="3196"/>
      <c r="T202" s="3196" t="s">
        <v>4042</v>
      </c>
      <c r="U202" s="3196"/>
      <c r="V202" s="3196"/>
      <c r="W202" s="3196"/>
      <c r="X202" s="3196"/>
      <c r="Y202" s="3196"/>
      <c r="Z202" s="3196"/>
      <c r="AA202" s="3196"/>
      <c r="AB202" s="3195"/>
      <c r="AC202" s="3195"/>
      <c r="AE202" s="3195"/>
      <c r="AF202" s="3195"/>
      <c r="AG202" s="3195"/>
      <c r="AH202" s="3195"/>
      <c r="AI202" s="3195"/>
    </row>
    <row r="203" spans="1:35" ht="12" customHeight="1">
      <c r="A203" s="3195"/>
      <c r="O203" s="3195" t="e">
        <f t="shared" si="18"/>
        <v>#VALUE!</v>
      </c>
      <c r="P203" s="3195" t="e">
        <f t="shared" si="19"/>
        <v>#VALUE!</v>
      </c>
      <c r="T203" s="3195" t="s">
        <v>4043</v>
      </c>
      <c r="Y203" s="3195"/>
      <c r="Z203" s="3195"/>
      <c r="AA203" s="3195"/>
      <c r="AB203" s="3195"/>
      <c r="AC203" s="3195"/>
      <c r="AE203" s="3195"/>
      <c r="AF203" s="3195"/>
      <c r="AG203" s="3195"/>
      <c r="AH203" s="3195"/>
      <c r="AI203" s="3195"/>
    </row>
    <row r="204" spans="1:35" ht="12" customHeight="1">
      <c r="A204" s="3195"/>
      <c r="O204" s="3195" t="e">
        <f t="shared" si="18"/>
        <v>#VALUE!</v>
      </c>
      <c r="P204" s="3195" t="e">
        <f t="shared" si="19"/>
        <v>#VALUE!</v>
      </c>
      <c r="T204" s="3195" t="s">
        <v>4044</v>
      </c>
      <c r="Y204" s="3195"/>
      <c r="Z204" s="3195"/>
      <c r="AA204" s="3195"/>
      <c r="AB204" s="3195"/>
      <c r="AC204" s="3195"/>
      <c r="AE204" s="3195"/>
      <c r="AF204" s="3195"/>
      <c r="AG204" s="3195"/>
      <c r="AH204" s="3195"/>
      <c r="AI204" s="3195"/>
    </row>
    <row r="205" spans="1:35" ht="12" customHeight="1">
      <c r="O205" s="3195" t="e">
        <f t="shared" si="18"/>
        <v>#VALUE!</v>
      </c>
      <c r="P205" s="3195" t="e">
        <f t="shared" si="19"/>
        <v>#VALUE!</v>
      </c>
      <c r="R205" s="3196"/>
      <c r="S205" s="3196"/>
      <c r="T205" s="3196" t="s">
        <v>4045</v>
      </c>
      <c r="U205" s="3196"/>
      <c r="V205" s="3196"/>
      <c r="W205" s="3196"/>
      <c r="X205" s="3196"/>
      <c r="Y205" s="3196"/>
      <c r="Z205" s="3196"/>
      <c r="AA205" s="3196"/>
      <c r="AB205" s="3195"/>
      <c r="AC205" s="3195"/>
      <c r="AE205" s="3195"/>
      <c r="AF205" s="3195"/>
      <c r="AG205" s="3195"/>
      <c r="AH205" s="3195"/>
      <c r="AI205" s="3195"/>
    </row>
    <row r="206" spans="1:35" ht="12" customHeight="1">
      <c r="O206" s="3195" t="e">
        <f t="shared" si="18"/>
        <v>#VALUE!</v>
      </c>
      <c r="P206" s="3195" t="str">
        <f t="shared" si="19"/>
        <v>+ Ataques Adicionale</v>
      </c>
      <c r="R206" s="3196"/>
      <c r="S206" s="3196"/>
      <c r="T206" s="3196" t="s">
        <v>4046</v>
      </c>
      <c r="U206" s="3196"/>
      <c r="V206" s="3196"/>
      <c r="W206" s="3196"/>
      <c r="X206" s="3196"/>
      <c r="Y206" s="3196"/>
      <c r="Z206" s="3196"/>
      <c r="AA206" s="3196"/>
      <c r="AB206" s="3195"/>
      <c r="AC206" s="3195"/>
      <c r="AE206" s="3195"/>
      <c r="AF206" s="3195"/>
      <c r="AG206" s="3195"/>
      <c r="AH206" s="3195"/>
      <c r="AI206" s="3195"/>
    </row>
    <row r="207" spans="1:35" ht="12" customHeight="1">
      <c r="O207" s="3195" t="e">
        <f t="shared" si="18"/>
        <v>#VALUE!</v>
      </c>
      <c r="P207" s="3195" t="e">
        <f t="shared" si="19"/>
        <v>#VALUE!</v>
      </c>
      <c r="R207" s="3196"/>
      <c r="S207" s="3196"/>
      <c r="T207" s="3196" t="s">
        <v>3400</v>
      </c>
      <c r="U207" s="3196"/>
      <c r="V207" s="3196"/>
      <c r="W207" s="3196"/>
      <c r="X207" s="3196"/>
      <c r="Y207" s="3196"/>
      <c r="Z207" s="3196"/>
      <c r="AA207" s="3196"/>
      <c r="AB207" s="3195"/>
      <c r="AC207" s="3195"/>
      <c r="AE207" s="3195"/>
      <c r="AF207" s="3195"/>
      <c r="AG207" s="3195"/>
      <c r="AH207" s="3195"/>
      <c r="AI207" s="3195"/>
    </row>
    <row r="208" spans="1:35" ht="12" customHeight="1">
      <c r="O208" s="3195" t="str">
        <f t="shared" si="18"/>
        <v>Ataque Adicional Limitado</v>
      </c>
      <c r="P208" s="3195" t="str">
        <f t="shared" si="19"/>
        <v>+1</v>
      </c>
      <c r="R208" s="3196"/>
      <c r="S208" s="3196"/>
      <c r="T208" s="3196" t="s">
        <v>4047</v>
      </c>
      <c r="U208" s="3196"/>
      <c r="V208" s="3196"/>
      <c r="W208" s="3196"/>
      <c r="X208" s="3196"/>
      <c r="Y208" s="3196"/>
      <c r="Z208" s="3196"/>
      <c r="AA208" s="3196"/>
      <c r="AB208" s="3195"/>
      <c r="AC208" s="3195"/>
      <c r="AE208" s="3195"/>
      <c r="AF208" s="3195"/>
      <c r="AG208" s="3195"/>
      <c r="AH208" s="3195"/>
      <c r="AI208" s="3195"/>
    </row>
    <row r="209" spans="1:35" ht="12" customHeight="1">
      <c r="O209" s="3195" t="str">
        <f t="shared" si="18"/>
        <v>Ataque Adicional Limitado</v>
      </c>
      <c r="P209" s="3195" t="str">
        <f t="shared" si="19"/>
        <v>+2</v>
      </c>
      <c r="R209" s="3196"/>
      <c r="S209" s="3196"/>
      <c r="T209" s="3196" t="s">
        <v>4048</v>
      </c>
      <c r="U209" s="3196"/>
      <c r="V209" s="3196"/>
      <c r="W209" s="3196"/>
      <c r="X209" s="3196"/>
      <c r="Y209" s="3196"/>
      <c r="Z209" s="3196"/>
      <c r="AA209" s="3196"/>
      <c r="AB209" s="3195"/>
      <c r="AC209" s="3195"/>
      <c r="AE209" s="3195"/>
      <c r="AF209" s="3195"/>
      <c r="AG209" s="3195"/>
      <c r="AH209" s="3195"/>
      <c r="AI209" s="3195"/>
    </row>
    <row r="210" spans="1:35" ht="12" customHeight="1">
      <c r="B210" s="3196"/>
      <c r="C210" s="3196"/>
      <c r="O210" s="3195" t="str">
        <f t="shared" si="18"/>
        <v>Ataque Adicional Limitado</v>
      </c>
      <c r="P210" s="3195" t="str">
        <f t="shared" si="19"/>
        <v>+3</v>
      </c>
      <c r="Q210" s="3196"/>
      <c r="R210" s="3196"/>
      <c r="S210" s="3196"/>
      <c r="T210" s="3196" t="s">
        <v>4049</v>
      </c>
      <c r="U210" s="3196"/>
      <c r="V210" s="3196"/>
      <c r="W210" s="3196"/>
      <c r="X210" s="3196"/>
      <c r="Y210" s="3196"/>
      <c r="Z210" s="3196"/>
      <c r="AA210" s="3196"/>
      <c r="AB210" s="3196"/>
      <c r="AC210" s="3195"/>
      <c r="AE210" s="3195"/>
      <c r="AF210" s="3195"/>
      <c r="AG210" s="3195"/>
      <c r="AH210" s="3195"/>
      <c r="AI210" s="3195"/>
    </row>
    <row r="211" spans="1:35" ht="12" customHeight="1">
      <c r="O211" s="3195" t="str">
        <f t="shared" si="18"/>
        <v>Ataque Adicional Limitado</v>
      </c>
      <c r="P211" s="3195" t="str">
        <f t="shared" si="19"/>
        <v>+4</v>
      </c>
      <c r="T211" s="3195" t="s">
        <v>4050</v>
      </c>
      <c r="Y211" s="3195"/>
      <c r="Z211" s="3195"/>
      <c r="AA211" s="3195"/>
      <c r="AB211" s="3195"/>
      <c r="AC211" s="3195"/>
      <c r="AE211" s="3195"/>
      <c r="AF211" s="3195"/>
      <c r="AG211" s="3195"/>
      <c r="AH211" s="3195"/>
      <c r="AI211" s="3195"/>
    </row>
    <row r="212" spans="1:35" ht="12" customHeight="1">
      <c r="B212" s="3196"/>
      <c r="C212" s="3196"/>
      <c r="O212" s="3195" t="str">
        <f t="shared" si="18"/>
        <v>Ataque Adicional Limitado</v>
      </c>
      <c r="P212" s="3195" t="str">
        <f t="shared" si="19"/>
        <v>+5</v>
      </c>
      <c r="Q212" s="3196"/>
      <c r="R212" s="3196"/>
      <c r="S212" s="3196"/>
      <c r="T212" s="3196" t="s">
        <v>4051</v>
      </c>
      <c r="U212" s="3196"/>
      <c r="V212" s="3196"/>
      <c r="W212" s="3196"/>
      <c r="X212" s="3196"/>
      <c r="Y212" s="3196"/>
      <c r="Z212" s="3196"/>
      <c r="AA212" s="3196"/>
      <c r="AB212" s="3196"/>
      <c r="AC212" s="3195"/>
      <c r="AE212" s="3195"/>
      <c r="AF212" s="3195"/>
      <c r="AG212" s="3195"/>
      <c r="AH212" s="3195"/>
      <c r="AI212" s="3195"/>
    </row>
    <row r="213" spans="1:35" ht="12" customHeight="1">
      <c r="O213" s="3195" t="str">
        <f t="shared" si="18"/>
        <v>Ataque Adicional Limitado</v>
      </c>
      <c r="P213" s="3195" t="str">
        <f t="shared" si="19"/>
        <v>+6</v>
      </c>
      <c r="T213" s="3195" t="s">
        <v>4052</v>
      </c>
      <c r="Y213" s="3195"/>
      <c r="Z213" s="3195"/>
      <c r="AA213" s="3195"/>
      <c r="AB213" s="3195"/>
      <c r="AC213" s="3195"/>
      <c r="AE213" s="3195"/>
      <c r="AF213" s="3195"/>
      <c r="AG213" s="3195"/>
      <c r="AH213" s="3195"/>
      <c r="AI213" s="3195"/>
    </row>
    <row r="214" spans="1:35" ht="12" customHeight="1">
      <c r="B214" s="3196"/>
      <c r="C214" s="3196"/>
      <c r="O214" s="3195" t="str">
        <f t="shared" si="18"/>
        <v>Ataque Adicional Limitado</v>
      </c>
      <c r="P214" s="3195" t="str">
        <f t="shared" si="19"/>
        <v>+8</v>
      </c>
      <c r="Q214" s="3196"/>
      <c r="R214" s="3196"/>
      <c r="S214" s="3196"/>
      <c r="T214" s="3196" t="s">
        <v>4053</v>
      </c>
      <c r="U214" s="3196"/>
      <c r="V214" s="3196"/>
      <c r="W214" s="3196"/>
      <c r="X214" s="3196"/>
      <c r="Y214" s="3196"/>
      <c r="Z214" s="3196"/>
      <c r="AA214" s="3196"/>
      <c r="AB214" s="3196"/>
      <c r="AC214" s="3195"/>
      <c r="AE214" s="3195"/>
      <c r="AF214" s="3195"/>
      <c r="AG214" s="3195"/>
      <c r="AH214" s="3195"/>
      <c r="AI214" s="3195"/>
    </row>
    <row r="215" spans="1:35" ht="12" customHeight="1">
      <c r="O215" s="3195" t="str">
        <f t="shared" si="18"/>
        <v>Ataque Adicional Limitado</v>
      </c>
      <c r="P215" s="3195" t="str">
        <f t="shared" si="19"/>
        <v>+10</v>
      </c>
      <c r="T215" s="3195" t="s">
        <v>4054</v>
      </c>
      <c r="Y215" s="3195"/>
      <c r="Z215" s="3195"/>
      <c r="AA215" s="3195"/>
      <c r="AB215" s="3195"/>
      <c r="AC215" s="3195"/>
      <c r="AE215" s="3195"/>
      <c r="AF215" s="3195"/>
      <c r="AG215" s="3195"/>
      <c r="AH215" s="3195"/>
      <c r="AI215" s="3195"/>
    </row>
    <row r="216" spans="1:35" ht="12" customHeight="1">
      <c r="O216" s="3195" t="e">
        <f t="shared" si="18"/>
        <v>#VALUE!</v>
      </c>
      <c r="P216" s="3195" t="e">
        <f t="shared" si="19"/>
        <v>#VALUE!</v>
      </c>
      <c r="T216" s="3195" t="s">
        <v>4040</v>
      </c>
      <c r="Y216" s="3195"/>
      <c r="Z216" s="3195"/>
      <c r="AA216" s="3195"/>
      <c r="AB216" s="3195"/>
      <c r="AC216" s="3195"/>
      <c r="AE216" s="3195"/>
      <c r="AF216" s="3195"/>
      <c r="AG216" s="3195"/>
      <c r="AH216" s="3195"/>
      <c r="AI216" s="3195"/>
    </row>
    <row r="217" spans="1:35" ht="12" customHeight="1">
      <c r="A217" s="3195"/>
      <c r="O217" s="3195" t="e">
        <f t="shared" si="18"/>
        <v>#VALUE!</v>
      </c>
      <c r="P217" s="3195" t="e">
        <f t="shared" si="19"/>
        <v>#VALUE!</v>
      </c>
      <c r="T217" s="3195" t="s">
        <v>4041</v>
      </c>
      <c r="Y217" s="3195"/>
      <c r="Z217" s="3195"/>
      <c r="AA217" s="3195"/>
      <c r="AB217" s="3195"/>
      <c r="AC217" s="3195"/>
      <c r="AE217" s="3195"/>
      <c r="AF217" s="3195"/>
      <c r="AG217" s="3195"/>
      <c r="AH217" s="3195"/>
      <c r="AI217" s="3195"/>
    </row>
    <row r="218" spans="1:35" ht="12" customHeight="1">
      <c r="O218" s="3195" t="e">
        <f t="shared" si="18"/>
        <v>#VALUE!</v>
      </c>
      <c r="P218" s="3195" t="e">
        <f t="shared" si="19"/>
        <v>#VALUE!</v>
      </c>
      <c r="R218" s="3196"/>
      <c r="S218" s="3196"/>
      <c r="T218" s="3196" t="s">
        <v>3405</v>
      </c>
      <c r="U218" s="3196"/>
      <c r="V218" s="3196"/>
      <c r="W218" s="3196"/>
      <c r="X218" s="3196"/>
      <c r="Y218" s="3196"/>
      <c r="Z218" s="3196"/>
      <c r="AA218" s="3196"/>
      <c r="AB218" s="3196"/>
      <c r="AC218" s="3195"/>
      <c r="AE218" s="3195"/>
      <c r="AF218" s="3195"/>
      <c r="AG218" s="3195"/>
      <c r="AH218" s="3195"/>
      <c r="AI218" s="3195"/>
    </row>
    <row r="219" spans="1:35" ht="12" customHeight="1">
      <c r="O219" s="3195" t="str">
        <f t="shared" si="18"/>
        <v>Defensas Adicionales</v>
      </c>
      <c r="P219" s="3195" t="str">
        <f t="shared" si="19"/>
        <v>+1</v>
      </c>
      <c r="R219" s="3196"/>
      <c r="S219" s="3196"/>
      <c r="T219" s="3196" t="s">
        <v>4055</v>
      </c>
      <c r="U219" s="3196"/>
      <c r="V219" s="3196"/>
      <c r="W219" s="3196"/>
      <c r="X219" s="3196"/>
      <c r="Y219" s="3196"/>
      <c r="Z219" s="3196"/>
      <c r="AA219" s="3196"/>
      <c r="AB219" s="3196"/>
      <c r="AC219" s="3195"/>
      <c r="AE219" s="3195"/>
      <c r="AF219" s="3195"/>
      <c r="AG219" s="3195"/>
      <c r="AH219" s="3195"/>
      <c r="AI219" s="3195"/>
    </row>
    <row r="220" spans="1:35" ht="12" customHeight="1">
      <c r="O220" s="3195" t="str">
        <f t="shared" si="18"/>
        <v>Defensas Adicionales</v>
      </c>
      <c r="P220" s="3195" t="str">
        <f t="shared" si="19"/>
        <v>+2</v>
      </c>
      <c r="R220" s="3196"/>
      <c r="S220" s="3196"/>
      <c r="T220" s="3196" t="s">
        <v>4056</v>
      </c>
      <c r="U220" s="3196"/>
      <c r="V220" s="3196"/>
      <c r="W220" s="3196"/>
      <c r="X220" s="3196"/>
      <c r="Y220" s="3196"/>
      <c r="Z220" s="3196"/>
      <c r="AA220" s="3196"/>
      <c r="AB220" s="3196"/>
      <c r="AC220" s="3195"/>
      <c r="AE220" s="3195"/>
      <c r="AF220" s="3195"/>
      <c r="AG220" s="3195"/>
      <c r="AH220" s="3195"/>
      <c r="AI220" s="3195"/>
    </row>
    <row r="221" spans="1:35" ht="12" customHeight="1">
      <c r="O221" s="3195" t="str">
        <f t="shared" si="18"/>
        <v>Defensas Adicionales</v>
      </c>
      <c r="P221" s="3195" t="str">
        <f t="shared" si="19"/>
        <v>+3</v>
      </c>
      <c r="R221" s="3196"/>
      <c r="S221" s="3196"/>
      <c r="T221" s="3196" t="s">
        <v>4057</v>
      </c>
      <c r="U221" s="3196"/>
      <c r="V221" s="3196"/>
      <c r="W221" s="3196"/>
      <c r="X221" s="3196"/>
      <c r="Y221" s="3196"/>
      <c r="Z221" s="3196"/>
      <c r="AA221" s="3196"/>
      <c r="AB221" s="3196"/>
      <c r="AC221" s="3195"/>
      <c r="AE221" s="3195"/>
      <c r="AF221" s="3195"/>
      <c r="AG221" s="3195"/>
      <c r="AH221" s="3195"/>
      <c r="AI221" s="3195"/>
    </row>
    <row r="222" spans="1:35" ht="12" customHeight="1">
      <c r="O222" s="3195" t="str">
        <f t="shared" si="18"/>
        <v>Defensas Adicionales</v>
      </c>
      <c r="P222" s="3195" t="str">
        <f t="shared" si="19"/>
        <v>+4</v>
      </c>
      <c r="R222" s="3196"/>
      <c r="S222" s="3196"/>
      <c r="T222" s="3196" t="s">
        <v>4058</v>
      </c>
      <c r="U222" s="3196"/>
      <c r="V222" s="3196"/>
      <c r="W222" s="3196"/>
      <c r="X222" s="3196"/>
      <c r="Y222" s="3196"/>
      <c r="Z222" s="3196"/>
      <c r="AA222" s="3196"/>
      <c r="AB222" s="3196"/>
      <c r="AC222" s="3195"/>
      <c r="AE222" s="3195"/>
      <c r="AF222" s="3195"/>
      <c r="AG222" s="3195"/>
      <c r="AH222" s="3195"/>
      <c r="AI222" s="3195"/>
    </row>
    <row r="223" spans="1:35" ht="12" customHeight="1">
      <c r="O223" s="3195" t="str">
        <f t="shared" si="18"/>
        <v>Defensas Adicionales</v>
      </c>
      <c r="P223" s="3195" t="str">
        <f t="shared" si="19"/>
        <v>+6</v>
      </c>
      <c r="R223" s="3196"/>
      <c r="S223" s="3196"/>
      <c r="T223" s="3196" t="s">
        <v>4059</v>
      </c>
      <c r="U223" s="3196"/>
      <c r="V223" s="3196"/>
      <c r="W223" s="3196"/>
      <c r="X223" s="3196"/>
      <c r="Y223" s="3196"/>
      <c r="Z223" s="3196"/>
      <c r="AA223" s="3196"/>
      <c r="AB223" s="3196"/>
      <c r="AC223" s="3195"/>
      <c r="AE223" s="3195"/>
      <c r="AF223" s="3195"/>
      <c r="AG223" s="3195"/>
      <c r="AH223" s="3195"/>
      <c r="AI223" s="3195"/>
    </row>
    <row r="224" spans="1:35" ht="12" customHeight="1">
      <c r="O224" s="3195" t="str">
        <f t="shared" si="18"/>
        <v>Defensas Adicionales</v>
      </c>
      <c r="P224" s="3195" t="str">
        <f t="shared" si="19"/>
        <v>+8</v>
      </c>
      <c r="R224" s="3196"/>
      <c r="S224" s="3196"/>
      <c r="T224" s="3196" t="s">
        <v>4060</v>
      </c>
      <c r="U224" s="3196"/>
      <c r="V224" s="3196"/>
      <c r="W224" s="3196"/>
      <c r="X224" s="3196"/>
      <c r="Y224" s="3196"/>
      <c r="Z224" s="3196"/>
      <c r="AA224" s="3196"/>
      <c r="AB224" s="3196"/>
      <c r="AC224" s="3195"/>
      <c r="AE224" s="3195"/>
      <c r="AF224" s="3195"/>
      <c r="AG224" s="3195"/>
      <c r="AH224" s="3195"/>
      <c r="AI224" s="3195"/>
    </row>
    <row r="225" spans="1:35" ht="12" customHeight="1">
      <c r="O225" s="3195" t="str">
        <f t="shared" si="18"/>
        <v>Defensas Adicionales</v>
      </c>
      <c r="P225" s="3195" t="str">
        <f t="shared" si="19"/>
        <v>+10</v>
      </c>
      <c r="R225" s="3196"/>
      <c r="S225" s="3196"/>
      <c r="T225" s="3196" t="s">
        <v>4061</v>
      </c>
      <c r="U225" s="3196"/>
      <c r="V225" s="3196"/>
      <c r="W225" s="3196"/>
      <c r="X225" s="3196"/>
      <c r="Y225" s="3196"/>
      <c r="Z225" s="3196"/>
      <c r="AA225" s="3196"/>
      <c r="AB225" s="3196"/>
      <c r="AC225" s="3195"/>
      <c r="AE225" s="3195"/>
      <c r="AF225" s="3195"/>
      <c r="AG225" s="3195"/>
      <c r="AH225" s="3195"/>
      <c r="AI225" s="3195"/>
    </row>
    <row r="226" spans="1:35" ht="12" customHeight="1">
      <c r="B226" s="3196"/>
      <c r="C226" s="3196"/>
      <c r="O226" s="3195" t="e">
        <f t="shared" si="18"/>
        <v>#VALUE!</v>
      </c>
      <c r="P226" s="3195" t="e">
        <f t="shared" si="19"/>
        <v>#VALUE!</v>
      </c>
      <c r="Q226" s="3196"/>
      <c r="R226" s="3196"/>
      <c r="S226" s="3196"/>
      <c r="T226" s="3196" t="s">
        <v>4062</v>
      </c>
      <c r="U226" s="3196"/>
      <c r="V226" s="3196"/>
      <c r="W226" s="3196"/>
      <c r="X226" s="3196"/>
      <c r="Y226" s="3196"/>
      <c r="Z226" s="3196"/>
      <c r="AA226" s="3196"/>
      <c r="AB226" s="3196"/>
      <c r="AC226" s="3195"/>
      <c r="AE226" s="3195"/>
      <c r="AF226" s="3195"/>
      <c r="AG226" s="3195"/>
      <c r="AH226" s="3195"/>
      <c r="AI226" s="3195"/>
    </row>
    <row r="227" spans="1:35" ht="12" customHeight="1">
      <c r="O227" s="3195" t="e">
        <f t="shared" si="18"/>
        <v>#VALUE!</v>
      </c>
      <c r="P227" s="3195" t="e">
        <f t="shared" si="19"/>
        <v>#VALUE!</v>
      </c>
      <c r="T227" s="3195" t="s">
        <v>4042</v>
      </c>
      <c r="Y227" s="3195"/>
      <c r="Z227" s="3195"/>
      <c r="AA227" s="3195"/>
      <c r="AB227" s="3195"/>
      <c r="AC227" s="3195"/>
      <c r="AE227" s="3195"/>
      <c r="AF227" s="3195"/>
      <c r="AG227" s="3195"/>
      <c r="AH227" s="3195"/>
      <c r="AI227" s="3195"/>
    </row>
    <row r="228" spans="1:35" ht="12" customHeight="1">
      <c r="A228" s="3195"/>
      <c r="O228" s="3195" t="e">
        <f t="shared" si="18"/>
        <v>#VALUE!</v>
      </c>
      <c r="P228" s="3195" t="e">
        <f t="shared" si="19"/>
        <v>#VALUE!</v>
      </c>
      <c r="T228" s="3195" t="s">
        <v>4043</v>
      </c>
      <c r="Y228" s="3195"/>
      <c r="Z228" s="3195"/>
      <c r="AA228" s="3195"/>
      <c r="AB228" s="3195"/>
      <c r="AC228" s="3195"/>
      <c r="AE228" s="3195"/>
      <c r="AF228" s="3195"/>
      <c r="AG228" s="3195"/>
      <c r="AH228" s="3195"/>
      <c r="AI228" s="3195"/>
    </row>
    <row r="229" spans="1:35" ht="12" customHeight="1">
      <c r="O229" s="3195" t="e">
        <f t="shared" si="18"/>
        <v>#VALUE!</v>
      </c>
      <c r="P229" s="3195" t="e">
        <f t="shared" si="19"/>
        <v>#VALUE!</v>
      </c>
      <c r="R229" s="3196"/>
      <c r="S229" s="3196"/>
      <c r="T229" s="3196" t="s">
        <v>3410</v>
      </c>
      <c r="U229" s="3196"/>
      <c r="V229" s="3196"/>
      <c r="W229" s="3196"/>
      <c r="X229" s="3196"/>
      <c r="Y229" s="3196"/>
      <c r="Z229" s="3196"/>
      <c r="AA229" s="3195"/>
      <c r="AB229" s="3195"/>
      <c r="AC229" s="3195"/>
      <c r="AE229" s="3195"/>
      <c r="AF229" s="3195"/>
      <c r="AG229" s="3195"/>
      <c r="AH229" s="3195"/>
      <c r="AI229" s="3195"/>
    </row>
    <row r="230" spans="1:35" ht="12" customHeight="1">
      <c r="O230" s="3195" t="str">
        <f t="shared" si="18"/>
        <v>Acciones Adicionales</v>
      </c>
      <c r="P230" s="3195" t="str">
        <f t="shared" si="19"/>
        <v>+1</v>
      </c>
      <c r="R230" s="3196"/>
      <c r="S230" s="3196"/>
      <c r="T230" s="3196" t="s">
        <v>4063</v>
      </c>
      <c r="U230" s="3196"/>
      <c r="V230" s="3196"/>
      <c r="W230" s="3196"/>
      <c r="X230" s="3196"/>
      <c r="Y230" s="3196"/>
      <c r="Z230" s="3196"/>
      <c r="AA230" s="3195"/>
      <c r="AB230" s="3195"/>
      <c r="AC230" s="3195"/>
      <c r="AE230" s="3195"/>
      <c r="AF230" s="3195"/>
      <c r="AG230" s="3195"/>
      <c r="AH230" s="3195"/>
      <c r="AI230" s="3195"/>
    </row>
    <row r="231" spans="1:35" ht="12" customHeight="1">
      <c r="O231" s="3195" t="str">
        <f t="shared" si="18"/>
        <v>Acciones Adicionales</v>
      </c>
      <c r="P231" s="3195" t="str">
        <f t="shared" si="19"/>
        <v>+2</v>
      </c>
      <c r="R231" s="3196"/>
      <c r="S231" s="3196"/>
      <c r="T231" s="3196" t="s">
        <v>4065</v>
      </c>
      <c r="U231" s="3196"/>
      <c r="V231" s="3196"/>
      <c r="W231" s="3196"/>
      <c r="X231" s="3196"/>
      <c r="Y231" s="3196"/>
      <c r="Z231" s="3196"/>
      <c r="AA231" s="3195"/>
      <c r="AB231" s="3195"/>
      <c r="AC231" s="3195"/>
      <c r="AE231" s="3195"/>
      <c r="AF231" s="3195"/>
      <c r="AG231" s="3195"/>
      <c r="AH231" s="3195"/>
      <c r="AI231" s="3195"/>
    </row>
    <row r="232" spans="1:35" ht="12" customHeight="1">
      <c r="O232" s="3195" t="str">
        <f t="shared" si="18"/>
        <v>Acciones Adicionales</v>
      </c>
      <c r="P232" s="3195" t="str">
        <f t="shared" si="19"/>
        <v>+3</v>
      </c>
      <c r="R232" s="3196"/>
      <c r="S232" s="3196"/>
      <c r="T232" s="3196" t="s">
        <v>4066</v>
      </c>
      <c r="U232" s="3196"/>
      <c r="V232" s="3196"/>
      <c r="W232" s="3196"/>
      <c r="X232" s="3196"/>
      <c r="Y232" s="3196"/>
      <c r="Z232" s="3196"/>
      <c r="AA232" s="3195"/>
      <c r="AB232" s="3195"/>
      <c r="AC232" s="3195"/>
      <c r="AE232" s="3195"/>
      <c r="AF232" s="3195"/>
      <c r="AG232" s="3195"/>
      <c r="AH232" s="3195"/>
      <c r="AI232" s="3195"/>
    </row>
    <row r="233" spans="1:35" ht="12" customHeight="1">
      <c r="O233" s="3195" t="str">
        <f t="shared" si="18"/>
        <v>Acciones Adicionales</v>
      </c>
      <c r="P233" s="3195" t="str">
        <f t="shared" si="19"/>
        <v>+4</v>
      </c>
      <c r="R233" s="3196"/>
      <c r="S233" s="3196"/>
      <c r="T233" s="3196" t="s">
        <v>4067</v>
      </c>
      <c r="U233" s="3196"/>
      <c r="V233" s="3196"/>
      <c r="W233" s="3196"/>
      <c r="X233" s="3196"/>
      <c r="Y233" s="3196"/>
      <c r="Z233" s="3196"/>
      <c r="AA233" s="3195"/>
      <c r="AB233" s="3195"/>
      <c r="AC233" s="3195"/>
      <c r="AE233" s="3195"/>
      <c r="AF233" s="3195"/>
      <c r="AG233" s="3195"/>
      <c r="AH233" s="3195"/>
      <c r="AI233" s="3195"/>
    </row>
    <row r="234" spans="1:35" ht="12" customHeight="1">
      <c r="O234" s="3195" t="str">
        <f t="shared" si="18"/>
        <v>Acciones Adicionales</v>
      </c>
      <c r="P234" s="3195" t="str">
        <f t="shared" si="19"/>
        <v>+5</v>
      </c>
      <c r="R234" s="3196"/>
      <c r="S234" s="3196"/>
      <c r="T234" s="3196" t="s">
        <v>4068</v>
      </c>
      <c r="U234" s="3196"/>
      <c r="V234" s="3196"/>
      <c r="W234" s="3196"/>
      <c r="X234" s="3196"/>
      <c r="Y234" s="3196"/>
      <c r="Z234" s="3196"/>
      <c r="AA234" s="3195"/>
      <c r="AB234" s="3195"/>
      <c r="AC234" s="3195"/>
      <c r="AE234" s="3195"/>
      <c r="AF234" s="3195"/>
      <c r="AG234" s="3195"/>
      <c r="AH234" s="3195"/>
      <c r="AI234" s="3195"/>
    </row>
    <row r="235" spans="1:35" ht="12" customHeight="1">
      <c r="O235" s="3195" t="str">
        <f t="shared" si="18"/>
        <v>Acciones Adicionales</v>
      </c>
      <c r="P235" s="3195" t="str">
        <f t="shared" si="19"/>
        <v>+6</v>
      </c>
      <c r="R235" s="3196"/>
      <c r="S235" s="3196"/>
      <c r="T235" s="3196" t="s">
        <v>4069</v>
      </c>
      <c r="U235" s="3196"/>
      <c r="V235" s="3196"/>
      <c r="W235" s="3196"/>
      <c r="X235" s="3196"/>
      <c r="Y235" s="3196"/>
      <c r="Z235" s="3196"/>
      <c r="AA235" s="3195"/>
      <c r="AB235" s="3195"/>
      <c r="AC235" s="3195"/>
      <c r="AE235" s="3195"/>
      <c r="AF235" s="3195"/>
      <c r="AG235" s="3195"/>
      <c r="AH235" s="3195"/>
      <c r="AI235" s="3195"/>
    </row>
    <row r="236" spans="1:35" ht="12" customHeight="1">
      <c r="O236" s="3195" t="str">
        <f t="shared" si="18"/>
        <v>Acciones Adicionales</v>
      </c>
      <c r="P236" s="3195" t="str">
        <f t="shared" si="19"/>
        <v>+8</v>
      </c>
      <c r="R236" s="3196"/>
      <c r="S236" s="3196"/>
      <c r="T236" s="3196" t="s">
        <v>4070</v>
      </c>
      <c r="U236" s="3196"/>
      <c r="V236" s="3196"/>
      <c r="W236" s="3196"/>
      <c r="X236" s="3196"/>
      <c r="Y236" s="3196"/>
      <c r="Z236" s="3196"/>
      <c r="AA236" s="3195"/>
      <c r="AB236" s="3195"/>
      <c r="AC236" s="3195"/>
      <c r="AE236" s="3195"/>
      <c r="AF236" s="3195"/>
      <c r="AG236" s="3195"/>
      <c r="AH236" s="3195"/>
      <c r="AI236" s="3195"/>
    </row>
    <row r="237" spans="1:35" ht="12" customHeight="1">
      <c r="B237" s="3196"/>
      <c r="C237" s="3196"/>
      <c r="O237" s="3195" t="str">
        <f t="shared" si="18"/>
        <v>Acciones Adicionales</v>
      </c>
      <c r="P237" s="3195" t="str">
        <f t="shared" si="19"/>
        <v>+10</v>
      </c>
      <c r="Q237" s="3196"/>
      <c r="R237" s="3196"/>
      <c r="S237" s="3196"/>
      <c r="T237" s="3196" t="s">
        <v>4071</v>
      </c>
      <c r="U237" s="3196"/>
      <c r="V237" s="3196"/>
      <c r="W237" s="3196"/>
      <c r="X237" s="3196"/>
      <c r="Y237" s="3196"/>
      <c r="Z237" s="3196"/>
      <c r="AA237" s="3196"/>
      <c r="AB237" s="3196"/>
      <c r="AC237" s="3195"/>
      <c r="AE237" s="3195"/>
      <c r="AF237" s="3195"/>
      <c r="AG237" s="3195"/>
      <c r="AH237" s="3195"/>
      <c r="AI237" s="3195"/>
    </row>
    <row r="238" spans="1:35" ht="12" customHeight="1">
      <c r="O238" s="3195" t="e">
        <f t="shared" si="18"/>
        <v>#VALUE!</v>
      </c>
      <c r="P238" s="3195" t="e">
        <f t="shared" si="19"/>
        <v>#VALUE!</v>
      </c>
      <c r="T238" s="3195" t="s">
        <v>4042</v>
      </c>
      <c r="Y238" s="3195"/>
      <c r="Z238" s="3195"/>
      <c r="AA238" s="3195"/>
      <c r="AB238" s="3195"/>
      <c r="AC238" s="3195"/>
      <c r="AE238" s="3195"/>
      <c r="AF238" s="3195"/>
      <c r="AG238" s="3195"/>
      <c r="AH238" s="3195"/>
      <c r="AI238" s="3195"/>
    </row>
    <row r="239" spans="1:35" ht="12" customHeight="1">
      <c r="A239" s="3195"/>
      <c r="O239" s="3195" t="e">
        <f t="shared" si="18"/>
        <v>#VALUE!</v>
      </c>
      <c r="P239" s="3195" t="e">
        <f t="shared" si="19"/>
        <v>#VALUE!</v>
      </c>
      <c r="T239" s="3195" t="s">
        <v>4043</v>
      </c>
      <c r="Y239" s="3195"/>
      <c r="Z239" s="3195"/>
      <c r="AA239" s="3195"/>
      <c r="AB239" s="3195"/>
      <c r="AC239" s="3195"/>
      <c r="AE239" s="3195"/>
      <c r="AF239" s="3195"/>
      <c r="AG239" s="3195"/>
      <c r="AH239" s="3195"/>
      <c r="AI239" s="3195"/>
    </row>
    <row r="240" spans="1:35" ht="12" customHeight="1">
      <c r="O240" s="3195" t="e">
        <f t="shared" si="18"/>
        <v>#VALUE!</v>
      </c>
      <c r="P240" s="3195" t="e">
        <f t="shared" si="19"/>
        <v>#VALUE!</v>
      </c>
      <c r="R240" s="3196"/>
      <c r="S240" s="3196"/>
      <c r="T240" s="3196" t="s">
        <v>3413</v>
      </c>
      <c r="U240" s="3196"/>
      <c r="V240" s="3196"/>
      <c r="W240" s="3196"/>
      <c r="X240" s="3196"/>
      <c r="Y240" s="3196"/>
      <c r="Z240" s="3196"/>
      <c r="AA240" s="3195"/>
      <c r="AB240" s="3195"/>
      <c r="AC240" s="3195"/>
      <c r="AE240" s="3195"/>
      <c r="AF240" s="3195"/>
      <c r="AG240" s="3195"/>
      <c r="AH240" s="3195"/>
      <c r="AI240" s="3195"/>
    </row>
    <row r="241" spans="1:35" ht="12" customHeight="1">
      <c r="O241" s="3195" t="e">
        <f t="shared" si="18"/>
        <v>#VALUE!</v>
      </c>
      <c r="P241" s="3195" t="e">
        <f t="shared" si="19"/>
        <v>#VALUE!</v>
      </c>
      <c r="R241" s="3196"/>
      <c r="S241" s="3196"/>
      <c r="T241" s="3196" t="s">
        <v>3418</v>
      </c>
      <c r="U241" s="3196"/>
      <c r="V241" s="3196"/>
      <c r="W241" s="3196"/>
      <c r="X241" s="3196"/>
      <c r="Y241" s="3196"/>
      <c r="Z241" s="3196"/>
      <c r="AA241" s="3195"/>
      <c r="AB241" s="3195"/>
      <c r="AC241" s="3195"/>
      <c r="AE241" s="3195"/>
      <c r="AF241" s="3195"/>
      <c r="AG241" s="3195"/>
      <c r="AH241" s="3195"/>
      <c r="AI241" s="3195"/>
    </row>
    <row r="242" spans="1:35" ht="12" customHeight="1">
      <c r="O242" s="3195" t="str">
        <f t="shared" si="18"/>
        <v>Incrementar Turno</v>
      </c>
      <c r="P242" s="3195" t="str">
        <f t="shared" si="19"/>
        <v>+25</v>
      </c>
      <c r="R242" s="3196"/>
      <c r="S242" s="3196"/>
      <c r="T242" s="3196" t="s">
        <v>4072</v>
      </c>
      <c r="U242" s="3196"/>
      <c r="V242" s="3196"/>
      <c r="W242" s="3196"/>
      <c r="X242" s="3196"/>
      <c r="Y242" s="3196"/>
      <c r="Z242" s="3196"/>
      <c r="AA242" s="3195"/>
      <c r="AB242" s="3195"/>
      <c r="AC242" s="3195"/>
      <c r="AE242" s="3195"/>
      <c r="AF242" s="3195"/>
      <c r="AG242" s="3195"/>
      <c r="AH242" s="3195"/>
      <c r="AI242" s="3195"/>
    </row>
    <row r="243" spans="1:35" ht="12" customHeight="1">
      <c r="O243" s="3195" t="str">
        <f t="shared" si="18"/>
        <v>Incrementar Turno</v>
      </c>
      <c r="P243" s="3195" t="str">
        <f t="shared" si="19"/>
        <v>+50</v>
      </c>
      <c r="R243" s="3196"/>
      <c r="S243" s="3196"/>
      <c r="T243" s="3196" t="s">
        <v>4073</v>
      </c>
      <c r="U243" s="3196"/>
      <c r="V243" s="3196"/>
      <c r="W243" s="3196"/>
      <c r="X243" s="3196"/>
      <c r="Y243" s="3196"/>
      <c r="Z243" s="3196"/>
      <c r="AA243" s="3195"/>
      <c r="AB243" s="3195"/>
      <c r="AC243" s="3195"/>
      <c r="AE243" s="3195"/>
      <c r="AF243" s="3195"/>
      <c r="AG243" s="3195"/>
      <c r="AH243" s="3195"/>
      <c r="AI243" s="3195"/>
    </row>
    <row r="244" spans="1:35" ht="12" customHeight="1">
      <c r="O244" s="3195" t="str">
        <f t="shared" si="18"/>
        <v>Incrementar Turno</v>
      </c>
      <c r="P244" s="3195" t="str">
        <f t="shared" si="19"/>
        <v>+75</v>
      </c>
      <c r="R244" s="3196"/>
      <c r="S244" s="3196"/>
      <c r="T244" s="3196" t="s">
        <v>4074</v>
      </c>
      <c r="U244" s="3196"/>
      <c r="V244" s="3196"/>
      <c r="W244" s="3196"/>
      <c r="X244" s="3196"/>
      <c r="Y244" s="3196"/>
      <c r="Z244" s="3196"/>
      <c r="AA244" s="3195"/>
      <c r="AB244" s="3195"/>
      <c r="AC244" s="3195"/>
      <c r="AE244" s="3195"/>
      <c r="AF244" s="3195"/>
      <c r="AG244" s="3195"/>
      <c r="AH244" s="3195"/>
      <c r="AI244" s="3195"/>
    </row>
    <row r="245" spans="1:35" ht="12" customHeight="1">
      <c r="O245" s="3195" t="str">
        <f t="shared" si="18"/>
        <v>Incrementar Turno</v>
      </c>
      <c r="P245" s="3195" t="str">
        <f t="shared" si="19"/>
        <v>+100</v>
      </c>
      <c r="R245" s="3196"/>
      <c r="S245" s="3196"/>
      <c r="T245" s="3196" t="s">
        <v>4075</v>
      </c>
      <c r="U245" s="3196"/>
      <c r="V245" s="3196"/>
      <c r="W245" s="3196"/>
      <c r="X245" s="3196"/>
      <c r="Y245" s="3196"/>
      <c r="Z245" s="3196"/>
      <c r="AA245" s="3195"/>
      <c r="AB245" s="3195"/>
      <c r="AC245" s="3195"/>
      <c r="AE245" s="3195"/>
      <c r="AF245" s="3195"/>
      <c r="AG245" s="3195"/>
      <c r="AH245" s="3195"/>
      <c r="AI245" s="3195"/>
    </row>
    <row r="246" spans="1:35" ht="12" customHeight="1">
      <c r="O246" s="3195" t="str">
        <f t="shared" si="18"/>
        <v>Incrementar Turno</v>
      </c>
      <c r="P246" s="3195" t="str">
        <f t="shared" si="19"/>
        <v>+125</v>
      </c>
      <c r="R246" s="3196"/>
      <c r="S246" s="3196"/>
      <c r="T246" s="3196" t="s">
        <v>4076</v>
      </c>
      <c r="U246" s="3196"/>
      <c r="V246" s="3196"/>
      <c r="W246" s="3196"/>
      <c r="X246" s="3196"/>
      <c r="Y246" s="3196"/>
      <c r="Z246" s="3196"/>
      <c r="AA246" s="3195"/>
      <c r="AB246" s="3195"/>
      <c r="AC246" s="3195"/>
      <c r="AE246" s="3195"/>
      <c r="AF246" s="3195"/>
      <c r="AG246" s="3195"/>
      <c r="AH246" s="3195"/>
      <c r="AI246" s="3195"/>
    </row>
    <row r="247" spans="1:35" ht="12" customHeight="1">
      <c r="O247" s="3195" t="str">
        <f t="shared" si="18"/>
        <v>Incrementar Turno</v>
      </c>
      <c r="P247" s="3195" t="str">
        <f t="shared" si="19"/>
        <v>+150</v>
      </c>
      <c r="R247" s="3196"/>
      <c r="S247" s="3196"/>
      <c r="T247" s="3196" t="s">
        <v>4077</v>
      </c>
      <c r="U247" s="3196"/>
      <c r="V247" s="3196"/>
      <c r="W247" s="3196"/>
      <c r="X247" s="3196"/>
      <c r="Y247" s="3196"/>
      <c r="Z247" s="3196"/>
      <c r="AA247" s="3195"/>
      <c r="AB247" s="3195"/>
      <c r="AC247" s="3195"/>
      <c r="AE247" s="3195"/>
      <c r="AF247" s="3195"/>
      <c r="AG247" s="3195"/>
      <c r="AH247" s="3195"/>
      <c r="AI247" s="3195"/>
    </row>
    <row r="248" spans="1:35" ht="12" customHeight="1">
      <c r="B248" s="3196"/>
      <c r="C248" s="3196"/>
      <c r="O248" s="3195" t="str">
        <f t="shared" si="18"/>
        <v>Incrementar Turno</v>
      </c>
      <c r="P248" s="3195" t="str">
        <f t="shared" si="19"/>
        <v>+175</v>
      </c>
      <c r="Q248" s="3196"/>
      <c r="R248" s="3196"/>
      <c r="S248" s="3196"/>
      <c r="T248" s="3196" t="s">
        <v>4078</v>
      </c>
      <c r="U248" s="3196"/>
      <c r="V248" s="3196"/>
      <c r="W248" s="3196"/>
      <c r="X248" s="3196"/>
      <c r="Y248" s="3196"/>
      <c r="Z248" s="3196"/>
      <c r="AA248" s="3196"/>
      <c r="AB248" s="3196"/>
      <c r="AC248" s="3195"/>
      <c r="AE248" s="3195"/>
      <c r="AF248" s="3195"/>
      <c r="AG248" s="3195"/>
      <c r="AH248" s="3195"/>
      <c r="AI248" s="3195"/>
    </row>
    <row r="249" spans="1:35" ht="12" customHeight="1">
      <c r="O249" s="3195" t="str">
        <f t="shared" si="18"/>
        <v>Incrementar Turno</v>
      </c>
      <c r="P249" s="3195" t="str">
        <f t="shared" si="19"/>
        <v>+200</v>
      </c>
      <c r="T249" s="3195" t="s">
        <v>4079</v>
      </c>
      <c r="Y249" s="3195"/>
      <c r="Z249" s="3195"/>
      <c r="AA249" s="3195"/>
      <c r="AB249" s="3195"/>
      <c r="AC249" s="3195"/>
      <c r="AE249" s="3195"/>
      <c r="AF249" s="3195"/>
      <c r="AG249" s="3195"/>
      <c r="AH249" s="3195"/>
      <c r="AI249" s="3195"/>
    </row>
    <row r="250" spans="1:35" ht="12" customHeight="1">
      <c r="A250" s="3195"/>
      <c r="O250" s="3195" t="e">
        <f t="shared" si="18"/>
        <v>#VALUE!</v>
      </c>
      <c r="P250" s="3195" t="e">
        <f t="shared" si="19"/>
        <v>#VALUE!</v>
      </c>
      <c r="T250" s="3195" t="s">
        <v>3423</v>
      </c>
      <c r="Y250" s="3195"/>
      <c r="Z250" s="3195"/>
      <c r="AA250" s="3195"/>
      <c r="AB250" s="3195"/>
      <c r="AC250" s="3195"/>
      <c r="AE250" s="3195"/>
      <c r="AF250" s="3195"/>
      <c r="AG250" s="3195"/>
      <c r="AH250" s="3195"/>
      <c r="AI250" s="3195"/>
    </row>
    <row r="251" spans="1:35" ht="12" customHeight="1">
      <c r="A251" s="3195"/>
      <c r="O251" s="3195" t="e">
        <f t="shared" si="18"/>
        <v>#VALUE!</v>
      </c>
      <c r="P251" s="3195" t="e">
        <f t="shared" si="19"/>
        <v>#VALUE!</v>
      </c>
      <c r="T251" s="3195" t="s">
        <v>4080</v>
      </c>
      <c r="Y251" s="3195"/>
      <c r="Z251" s="3195"/>
      <c r="AA251" s="3195"/>
      <c r="AB251" s="3195"/>
      <c r="AC251" s="3195"/>
      <c r="AE251" s="3195"/>
      <c r="AF251" s="3195"/>
      <c r="AG251" s="3195"/>
      <c r="AH251" s="3195"/>
      <c r="AI251" s="3195"/>
    </row>
    <row r="252" spans="1:35" ht="12" customHeight="1">
      <c r="O252" s="3195" t="e">
        <f t="shared" si="18"/>
        <v>#VALUE!</v>
      </c>
      <c r="P252" s="3195" t="e">
        <f t="shared" si="19"/>
        <v>#VALUE!</v>
      </c>
      <c r="R252" s="3196"/>
      <c r="S252" s="3196"/>
      <c r="T252" s="3196" t="s">
        <v>3428</v>
      </c>
      <c r="U252" s="3196"/>
      <c r="V252" s="3196"/>
      <c r="W252" s="3196"/>
      <c r="X252" s="3196"/>
      <c r="Y252" s="3196"/>
      <c r="Z252" s="3196"/>
      <c r="AA252" s="3195"/>
      <c r="AB252" s="3195"/>
      <c r="AC252" s="3195"/>
      <c r="AE252" s="3195"/>
      <c r="AF252" s="3195"/>
      <c r="AG252" s="3195"/>
      <c r="AH252" s="3195"/>
      <c r="AI252" s="3195"/>
    </row>
    <row r="253" spans="1:35" ht="12" customHeight="1">
      <c r="O253" s="3195" t="e">
        <f t="shared" si="18"/>
        <v>#VALUE!</v>
      </c>
      <c r="P253" s="3195" t="e">
        <f t="shared" si="19"/>
        <v>#VALUE!</v>
      </c>
      <c r="R253" s="3196"/>
      <c r="S253" s="3196"/>
      <c r="T253" s="3196" t="s">
        <v>4081</v>
      </c>
      <c r="U253" s="3196"/>
      <c r="V253" s="3196"/>
      <c r="W253" s="3196"/>
      <c r="X253" s="3196"/>
      <c r="Y253" s="3196"/>
      <c r="Z253" s="3196"/>
      <c r="AA253" s="3195"/>
      <c r="AB253" s="3195"/>
      <c r="AC253" s="3195"/>
      <c r="AE253" s="3195"/>
      <c r="AF253" s="3195"/>
      <c r="AG253" s="3195"/>
      <c r="AH253" s="3195"/>
      <c r="AI253" s="3195"/>
    </row>
    <row r="254" spans="1:35" ht="12" customHeight="1">
      <c r="O254" s="3195" t="e">
        <f t="shared" si="18"/>
        <v>#VALUE!</v>
      </c>
      <c r="P254" s="3195" t="e">
        <f t="shared" si="19"/>
        <v>#VALUE!</v>
      </c>
      <c r="R254" s="3196"/>
      <c r="S254" s="3196"/>
      <c r="T254" s="3196" t="s">
        <v>4082</v>
      </c>
      <c r="U254" s="3196"/>
      <c r="V254" s="3196"/>
      <c r="W254" s="3196"/>
      <c r="X254" s="3196"/>
      <c r="Y254" s="3196"/>
      <c r="Z254" s="3196"/>
      <c r="AA254" s="3195"/>
      <c r="AB254" s="3195"/>
      <c r="AC254" s="3195"/>
      <c r="AE254" s="3195"/>
      <c r="AF254" s="3195"/>
      <c r="AG254" s="3195"/>
      <c r="AH254" s="3195"/>
      <c r="AI254" s="3195"/>
    </row>
    <row r="255" spans="1:35" ht="12" customHeight="1">
      <c r="O255" s="3195" t="e">
        <f t="shared" si="18"/>
        <v>#VALUE!</v>
      </c>
      <c r="P255" s="3195" t="e">
        <f t="shared" si="19"/>
        <v>#VALUE!</v>
      </c>
      <c r="R255" s="3196"/>
      <c r="S255" s="3196"/>
      <c r="T255" s="3196" t="s">
        <v>3433</v>
      </c>
      <c r="U255" s="3196"/>
      <c r="V255" s="3196"/>
      <c r="W255" s="3196"/>
      <c r="X255" s="3196"/>
      <c r="Y255" s="3196"/>
      <c r="Z255" s="3196"/>
      <c r="AA255" s="3195"/>
      <c r="AB255" s="3195"/>
      <c r="AC255" s="3195"/>
      <c r="AE255" s="3195"/>
      <c r="AF255" s="3195"/>
      <c r="AG255" s="3195"/>
      <c r="AH255" s="3195"/>
      <c r="AI255" s="3195"/>
    </row>
    <row r="256" spans="1:35" ht="12" customHeight="1">
      <c r="O256" s="3195" t="e">
        <f t="shared" si="18"/>
        <v>#VALUE!</v>
      </c>
      <c r="P256" s="3195" t="e">
        <f t="shared" si="19"/>
        <v>#VALUE!</v>
      </c>
      <c r="R256" s="3196"/>
      <c r="S256" s="3196"/>
      <c r="T256" s="3196" t="s">
        <v>3438</v>
      </c>
      <c r="U256" s="3196"/>
      <c r="V256" s="3196"/>
      <c r="W256" s="3196"/>
      <c r="X256" s="3196"/>
      <c r="Y256" s="3196"/>
      <c r="Z256" s="3196"/>
      <c r="AA256" s="3195"/>
      <c r="AB256" s="3195"/>
      <c r="AC256" s="3195"/>
      <c r="AE256" s="3195"/>
      <c r="AF256" s="3195"/>
      <c r="AG256" s="3195"/>
      <c r="AH256" s="3195"/>
      <c r="AI256" s="3195"/>
    </row>
    <row r="257" spans="1:35" ht="12" customHeight="1">
      <c r="O257" s="3195" t="e">
        <f t="shared" si="18"/>
        <v>#VALUE!</v>
      </c>
      <c r="P257" s="3195" t="e">
        <f t="shared" si="19"/>
        <v>#VALUE!</v>
      </c>
      <c r="R257" s="3196"/>
      <c r="S257" s="3196"/>
      <c r="T257" s="3196" t="s">
        <v>4083</v>
      </c>
      <c r="U257" s="3196"/>
      <c r="V257" s="3196"/>
      <c r="W257" s="3196"/>
      <c r="X257" s="3196"/>
      <c r="Y257" s="3196"/>
      <c r="Z257" s="3196"/>
      <c r="AA257" s="3195"/>
      <c r="AB257" s="3195"/>
      <c r="AC257" s="3195"/>
      <c r="AE257" s="3195"/>
      <c r="AF257" s="3195"/>
      <c r="AG257" s="3195"/>
      <c r="AH257" s="3195"/>
      <c r="AI257" s="3195"/>
    </row>
    <row r="258" spans="1:35" ht="12" customHeight="1">
      <c r="O258" s="3195" t="e">
        <f t="shared" si="18"/>
        <v>#VALUE!</v>
      </c>
      <c r="P258" s="3195" t="e">
        <f t="shared" si="19"/>
        <v>#VALUE!</v>
      </c>
      <c r="R258" s="3196"/>
      <c r="S258" s="3196"/>
      <c r="T258" s="3196" t="s">
        <v>4085</v>
      </c>
      <c r="U258" s="3196"/>
      <c r="V258" s="3196"/>
      <c r="W258" s="3196"/>
      <c r="X258" s="3196"/>
      <c r="Y258" s="3196"/>
      <c r="Z258" s="3196"/>
      <c r="AA258" s="3195"/>
      <c r="AB258" s="3195"/>
      <c r="AC258" s="3195"/>
      <c r="AE258" s="3195"/>
      <c r="AF258" s="3195"/>
      <c r="AG258" s="3195"/>
      <c r="AH258" s="3195"/>
      <c r="AI258" s="3195"/>
    </row>
    <row r="259" spans="1:35" ht="12" customHeight="1">
      <c r="O259" s="3195" t="e">
        <f t="shared" si="18"/>
        <v>#VALUE!</v>
      </c>
      <c r="P259" s="3195" t="e">
        <f t="shared" si="19"/>
        <v>#VALUE!</v>
      </c>
      <c r="R259" s="3196"/>
      <c r="S259" s="3196"/>
      <c r="T259" s="3196" t="s">
        <v>4086</v>
      </c>
      <c r="U259" s="3196"/>
      <c r="V259" s="3196"/>
      <c r="W259" s="3196"/>
      <c r="X259" s="3196"/>
      <c r="Y259" s="3196"/>
      <c r="Z259" s="3196"/>
      <c r="AA259" s="3195"/>
      <c r="AB259" s="3195"/>
      <c r="AC259" s="3195"/>
      <c r="AE259" s="3195"/>
      <c r="AF259" s="3195"/>
      <c r="AG259" s="3195"/>
      <c r="AH259" s="3195"/>
      <c r="AI259" s="3195"/>
    </row>
    <row r="260" spans="1:35" ht="12" customHeight="1">
      <c r="A260" s="3195"/>
      <c r="O260" s="3195" t="e">
        <f t="shared" si="18"/>
        <v>#VALUE!</v>
      </c>
      <c r="P260" s="3195" t="e">
        <f t="shared" si="19"/>
        <v>#VALUE!</v>
      </c>
      <c r="T260" s="3195" t="s">
        <v>4087</v>
      </c>
      <c r="Y260" s="3195"/>
      <c r="Z260" s="3195"/>
      <c r="AA260" s="3195"/>
      <c r="AB260" s="3195"/>
      <c r="AC260" s="3195"/>
      <c r="AE260" s="3195"/>
      <c r="AF260" s="3195"/>
      <c r="AG260" s="3195"/>
      <c r="AH260" s="3195"/>
      <c r="AI260" s="3195"/>
    </row>
    <row r="261" spans="1:35" ht="12" customHeight="1">
      <c r="O261" s="3195" t="e">
        <f t="shared" si="18"/>
        <v>#VALUE!</v>
      </c>
      <c r="P261" s="3195" t="e">
        <f t="shared" si="19"/>
        <v>#VALUE!</v>
      </c>
      <c r="R261" s="3196"/>
      <c r="S261" s="3196"/>
      <c r="T261" s="3196" t="s">
        <v>4088</v>
      </c>
      <c r="U261" s="3196"/>
      <c r="V261" s="3196"/>
      <c r="W261" s="3196"/>
      <c r="X261" s="3196"/>
      <c r="Y261" s="3196"/>
      <c r="Z261" s="3196"/>
      <c r="AA261" s="3196"/>
      <c r="AB261" s="3196"/>
      <c r="AC261" s="3195"/>
      <c r="AE261" s="3195"/>
      <c r="AF261" s="3195"/>
      <c r="AG261" s="3195"/>
      <c r="AH261" s="3195"/>
      <c r="AI261" s="3195"/>
    </row>
    <row r="262" spans="1:35" ht="12" customHeight="1">
      <c r="A262" s="3195"/>
      <c r="O262" s="3195" t="e">
        <f t="shared" si="18"/>
        <v>#VALUE!</v>
      </c>
      <c r="P262" s="3195" t="e">
        <f t="shared" si="19"/>
        <v>#VALUE!</v>
      </c>
      <c r="T262" s="3195" t="s">
        <v>4089</v>
      </c>
      <c r="Y262" s="3195"/>
      <c r="Z262" s="3195"/>
      <c r="AA262" s="3195"/>
      <c r="AB262" s="3195"/>
      <c r="AC262" s="3195"/>
      <c r="AE262" s="3195"/>
      <c r="AF262" s="3195"/>
      <c r="AG262" s="3195"/>
      <c r="AH262" s="3195"/>
      <c r="AI262" s="3195"/>
    </row>
    <row r="263" spans="1:35" ht="12" customHeight="1">
      <c r="O263" s="3195" t="e">
        <f t="shared" si="18"/>
        <v>#VALUE!</v>
      </c>
      <c r="P263" s="3195" t="e">
        <f t="shared" si="19"/>
        <v>#VALUE!</v>
      </c>
      <c r="R263" s="3196"/>
      <c r="S263" s="3196"/>
      <c r="T263" s="3196" t="s">
        <v>4090</v>
      </c>
      <c r="U263" s="3196"/>
      <c r="V263" s="3196"/>
      <c r="W263" s="3196"/>
      <c r="X263" s="3196"/>
      <c r="Y263" s="3196"/>
      <c r="Z263" s="3196"/>
      <c r="AA263" s="3196"/>
      <c r="AB263" s="3196"/>
      <c r="AC263" s="3195"/>
      <c r="AE263" s="3195"/>
      <c r="AF263" s="3195"/>
      <c r="AG263" s="3195"/>
      <c r="AH263" s="3195"/>
      <c r="AI263" s="3195"/>
    </row>
    <row r="264" spans="1:35" ht="12" customHeight="1">
      <c r="O264" s="3195" t="e">
        <f t="shared" ref="O264:O327" si="20">LEFT(T264,FIND(" +",T264)-1)</f>
        <v>#VALUE!</v>
      </c>
      <c r="P264" s="3195" t="e">
        <f t="shared" ref="P264:P327" si="21">MID(T264,FIND("+",T264),20)</f>
        <v>#VALUE!</v>
      </c>
      <c r="R264" s="3196"/>
      <c r="S264" s="3196"/>
      <c r="T264" s="3196" t="s">
        <v>4091</v>
      </c>
      <c r="U264" s="3196"/>
      <c r="V264" s="3196"/>
      <c r="W264" s="3196"/>
      <c r="X264" s="3196"/>
      <c r="Y264" s="3196"/>
      <c r="Z264" s="3196"/>
      <c r="AA264" s="3196"/>
      <c r="AB264" s="3196"/>
      <c r="AC264" s="3195"/>
      <c r="AE264" s="3195"/>
      <c r="AF264" s="3195"/>
      <c r="AG264" s="3195"/>
      <c r="AH264" s="3195"/>
      <c r="AI264" s="3195"/>
    </row>
    <row r="265" spans="1:35" ht="12" customHeight="1">
      <c r="A265" s="3195"/>
      <c r="O265" s="3195" t="e">
        <f t="shared" si="20"/>
        <v>#VALUE!</v>
      </c>
      <c r="P265" s="3195" t="e">
        <f t="shared" si="21"/>
        <v>#VALUE!</v>
      </c>
      <c r="T265" s="3195" t="s">
        <v>4092</v>
      </c>
      <c r="Y265" s="3195"/>
      <c r="Z265" s="3195"/>
      <c r="AA265" s="3195"/>
      <c r="AB265" s="3195"/>
      <c r="AC265" s="3195"/>
      <c r="AE265" s="3195"/>
      <c r="AF265" s="3195"/>
      <c r="AG265" s="3195"/>
      <c r="AH265" s="3195"/>
      <c r="AI265" s="3195"/>
    </row>
    <row r="266" spans="1:35" ht="12" customHeight="1">
      <c r="A266" s="3195"/>
      <c r="O266" s="3195" t="e">
        <f t="shared" si="20"/>
        <v>#VALUE!</v>
      </c>
      <c r="P266" s="3195" t="e">
        <f t="shared" si="21"/>
        <v>#VALUE!</v>
      </c>
      <c r="T266" s="3195" t="s">
        <v>4093</v>
      </c>
      <c r="Y266" s="3195"/>
      <c r="Z266" s="3195"/>
      <c r="AA266" s="3195"/>
      <c r="AB266" s="3195"/>
      <c r="AC266" s="3195"/>
      <c r="AE266" s="3195"/>
      <c r="AF266" s="3195"/>
      <c r="AG266" s="3195"/>
      <c r="AH266" s="3195"/>
      <c r="AI266" s="3195"/>
    </row>
    <row r="267" spans="1:35" ht="12" customHeight="1">
      <c r="O267" s="3195" t="e">
        <f t="shared" si="20"/>
        <v>#VALUE!</v>
      </c>
      <c r="P267" s="3195" t="e">
        <f t="shared" si="21"/>
        <v>#VALUE!</v>
      </c>
      <c r="R267" s="3196"/>
      <c r="S267" s="3196"/>
      <c r="T267" s="3196" t="s">
        <v>4094</v>
      </c>
      <c r="U267" s="3196"/>
      <c r="V267" s="3196"/>
      <c r="W267" s="3196"/>
      <c r="X267" s="3196"/>
      <c r="Y267" s="3196"/>
      <c r="Z267" s="3196"/>
      <c r="AA267" s="3196"/>
      <c r="AB267" s="3196"/>
      <c r="AC267" s="3195"/>
      <c r="AE267" s="3195"/>
      <c r="AF267" s="3195"/>
      <c r="AG267" s="3195"/>
      <c r="AH267" s="3195"/>
      <c r="AI267" s="3195"/>
    </row>
    <row r="268" spans="1:35" ht="12" customHeight="1">
      <c r="O268" s="3195" t="e">
        <f t="shared" si="20"/>
        <v>#VALUE!</v>
      </c>
      <c r="P268" s="3195" t="e">
        <f t="shared" si="21"/>
        <v>#VALUE!</v>
      </c>
      <c r="R268" s="3196"/>
      <c r="S268" s="3196"/>
      <c r="T268" s="3196" t="s">
        <v>4095</v>
      </c>
      <c r="U268" s="3196"/>
      <c r="V268" s="3196"/>
      <c r="W268" s="3196"/>
      <c r="X268" s="3196"/>
      <c r="Y268" s="3196"/>
      <c r="Z268" s="3196"/>
      <c r="AA268" s="3196"/>
      <c r="AB268" s="3196"/>
      <c r="AC268" s="3195"/>
      <c r="AE268" s="3195"/>
      <c r="AF268" s="3195"/>
      <c r="AG268" s="3195"/>
      <c r="AH268" s="3195"/>
      <c r="AI268" s="3195"/>
    </row>
    <row r="269" spans="1:35" ht="12" customHeight="1">
      <c r="O269" s="3195" t="e">
        <f t="shared" si="20"/>
        <v>#VALUE!</v>
      </c>
      <c r="P269" s="3195" t="e">
        <f t="shared" si="21"/>
        <v>#VALUE!</v>
      </c>
      <c r="R269" s="3196"/>
      <c r="S269" s="3196"/>
      <c r="T269" s="3196" t="s">
        <v>3100</v>
      </c>
      <c r="U269" s="3196"/>
      <c r="V269" s="3196"/>
      <c r="W269" s="3196"/>
      <c r="X269" s="3196"/>
      <c r="Y269" s="3196"/>
      <c r="Z269" s="3196"/>
      <c r="AA269" s="3196"/>
      <c r="AB269" s="3196"/>
      <c r="AC269" s="3195"/>
      <c r="AE269" s="3195"/>
      <c r="AF269" s="3195"/>
      <c r="AG269" s="3195"/>
      <c r="AH269" s="3195"/>
      <c r="AI269" s="3195"/>
    </row>
    <row r="270" spans="1:35" ht="12" customHeight="1">
      <c r="O270" s="3195" t="e">
        <f t="shared" si="20"/>
        <v>#VALUE!</v>
      </c>
      <c r="P270" s="3195" t="e">
        <f t="shared" si="21"/>
        <v>#VALUE!</v>
      </c>
      <c r="R270" s="3196"/>
      <c r="S270" s="3196"/>
      <c r="T270" s="3196" t="s">
        <v>4096</v>
      </c>
      <c r="U270" s="3196"/>
      <c r="V270" s="3196"/>
      <c r="W270" s="3196"/>
      <c r="X270" s="3196"/>
      <c r="Y270" s="3196"/>
      <c r="Z270" s="3196"/>
      <c r="AA270" s="3196"/>
      <c r="AB270" s="3196"/>
      <c r="AC270" s="3195"/>
      <c r="AE270" s="3195"/>
      <c r="AF270" s="3195"/>
      <c r="AG270" s="3195"/>
      <c r="AH270" s="3195"/>
      <c r="AI270" s="3195"/>
    </row>
    <row r="271" spans="1:35" ht="12" customHeight="1">
      <c r="O271" s="3195" t="e">
        <f t="shared" si="20"/>
        <v>#VALUE!</v>
      </c>
      <c r="P271" s="3195" t="e">
        <f t="shared" si="21"/>
        <v>#VALUE!</v>
      </c>
      <c r="R271" s="3196"/>
      <c r="S271" s="3196"/>
      <c r="T271" s="3196" t="s">
        <v>4097</v>
      </c>
      <c r="U271" s="3196"/>
      <c r="V271" s="3196"/>
      <c r="W271" s="3196"/>
      <c r="X271" s="3196"/>
      <c r="Y271" s="3196"/>
      <c r="Z271" s="3196"/>
      <c r="AA271" s="3196"/>
      <c r="AB271" s="3196"/>
      <c r="AC271" s="3195"/>
      <c r="AE271" s="3195"/>
      <c r="AF271" s="3195"/>
      <c r="AG271" s="3195"/>
      <c r="AH271" s="3195"/>
      <c r="AI271" s="3195"/>
    </row>
    <row r="272" spans="1:35" ht="12" customHeight="1">
      <c r="O272" s="3195" t="e">
        <f t="shared" si="20"/>
        <v>#VALUE!</v>
      </c>
      <c r="P272" s="3195" t="e">
        <f t="shared" si="21"/>
        <v>#VALUE!</v>
      </c>
      <c r="R272" s="3196"/>
      <c r="S272" s="3196"/>
      <c r="T272" s="3196" t="s">
        <v>3441</v>
      </c>
      <c r="U272" s="3196"/>
      <c r="V272" s="3196"/>
      <c r="W272" s="3196"/>
      <c r="X272" s="3196"/>
      <c r="Y272" s="3196"/>
      <c r="Z272" s="3196"/>
      <c r="AA272" s="3196"/>
      <c r="AB272" s="3196"/>
      <c r="AC272" s="3195"/>
      <c r="AE272" s="3195"/>
      <c r="AF272" s="3195"/>
      <c r="AG272" s="3195"/>
      <c r="AH272" s="3195"/>
      <c r="AI272" s="3195"/>
    </row>
    <row r="273" spans="1:35" ht="12" customHeight="1">
      <c r="O273" s="3195" t="e">
        <f t="shared" si="20"/>
        <v>#VALUE!</v>
      </c>
      <c r="P273" s="3195" t="e">
        <f t="shared" si="21"/>
        <v>#VALUE!</v>
      </c>
      <c r="R273" s="3196"/>
      <c r="S273" s="3196"/>
      <c r="T273" s="3196" t="s">
        <v>4098</v>
      </c>
      <c r="U273" s="3196"/>
      <c r="V273" s="3196"/>
      <c r="W273" s="3196"/>
      <c r="X273" s="3196"/>
      <c r="Y273" s="3196"/>
      <c r="Z273" s="3196"/>
      <c r="AA273" s="3196"/>
      <c r="AB273" s="3196"/>
      <c r="AC273" s="3195"/>
      <c r="AE273" s="3195"/>
      <c r="AF273" s="3195"/>
      <c r="AG273" s="3195"/>
      <c r="AH273" s="3195"/>
      <c r="AI273" s="3195"/>
    </row>
    <row r="274" spans="1:35" ht="12" customHeight="1">
      <c r="O274" s="3195" t="e">
        <f t="shared" si="20"/>
        <v>#VALUE!</v>
      </c>
      <c r="P274" s="3195" t="e">
        <f t="shared" si="21"/>
        <v>#VALUE!</v>
      </c>
      <c r="R274" s="3196"/>
      <c r="S274" s="3196"/>
      <c r="T274" s="3196" t="s">
        <v>4099</v>
      </c>
      <c r="U274" s="3196"/>
      <c r="V274" s="3196"/>
      <c r="W274" s="3196"/>
      <c r="X274" s="3196"/>
      <c r="Y274" s="3196"/>
      <c r="Z274" s="3196"/>
      <c r="AA274" s="3196"/>
      <c r="AB274" s="3196"/>
      <c r="AC274" s="3195"/>
      <c r="AE274" s="3195"/>
      <c r="AF274" s="3195"/>
      <c r="AG274" s="3195"/>
      <c r="AH274" s="3195"/>
      <c r="AI274" s="3195"/>
    </row>
    <row r="275" spans="1:35" ht="12" customHeight="1">
      <c r="O275" s="3195" t="e">
        <f t="shared" si="20"/>
        <v>#VALUE!</v>
      </c>
      <c r="P275" s="3195" t="e">
        <f t="shared" si="21"/>
        <v>#VALUE!</v>
      </c>
      <c r="R275" s="3196"/>
      <c r="S275" s="3196"/>
      <c r="T275" s="3196" t="s">
        <v>4100</v>
      </c>
      <c r="U275" s="3196"/>
      <c r="V275" s="3196"/>
      <c r="W275" s="3196"/>
      <c r="X275" s="3196"/>
      <c r="Y275" s="3196"/>
      <c r="Z275" s="3196"/>
      <c r="AA275" s="3196"/>
      <c r="AB275" s="3196"/>
      <c r="AC275" s="3195"/>
      <c r="AE275" s="3195"/>
      <c r="AF275" s="3195"/>
      <c r="AG275" s="3195"/>
      <c r="AH275" s="3195"/>
      <c r="AI275" s="3195"/>
    </row>
    <row r="276" spans="1:35" ht="12" customHeight="1">
      <c r="O276" s="3195" t="e">
        <f t="shared" si="20"/>
        <v>#VALUE!</v>
      </c>
      <c r="P276" s="3195" t="e">
        <f t="shared" si="21"/>
        <v>#VALUE!</v>
      </c>
      <c r="R276" s="3196"/>
      <c r="S276" s="3196"/>
      <c r="T276" s="3196" t="s">
        <v>4101</v>
      </c>
      <c r="U276" s="3196"/>
      <c r="V276" s="3196"/>
      <c r="W276" s="3196"/>
      <c r="X276" s="3196"/>
      <c r="Y276" s="3196"/>
      <c r="Z276" s="3196"/>
      <c r="AA276" s="3196"/>
      <c r="AB276" s="3196"/>
      <c r="AC276" s="3195"/>
      <c r="AE276" s="3195"/>
      <c r="AF276" s="3195"/>
      <c r="AG276" s="3195"/>
      <c r="AH276" s="3195"/>
      <c r="AI276" s="3195"/>
    </row>
    <row r="277" spans="1:35" ht="12" customHeight="1">
      <c r="O277" s="3195" t="e">
        <f t="shared" si="20"/>
        <v>#VALUE!</v>
      </c>
      <c r="P277" s="3195" t="e">
        <f t="shared" si="21"/>
        <v>#VALUE!</v>
      </c>
      <c r="R277" s="3196"/>
      <c r="S277" s="3196"/>
      <c r="T277" s="3196" t="s">
        <v>4102</v>
      </c>
      <c r="U277" s="3196"/>
      <c r="V277" s="3196"/>
      <c r="W277" s="3196"/>
      <c r="X277" s="3196"/>
      <c r="Y277" s="3196"/>
      <c r="Z277" s="3196"/>
      <c r="AA277" s="3196"/>
      <c r="AB277" s="3196"/>
      <c r="AC277" s="3195"/>
      <c r="AE277" s="3195"/>
      <c r="AF277" s="3195"/>
      <c r="AG277" s="3195"/>
      <c r="AH277" s="3195"/>
      <c r="AI277" s="3195"/>
    </row>
    <row r="278" spans="1:35" ht="12" customHeight="1">
      <c r="B278" s="3196"/>
      <c r="C278" s="3196"/>
      <c r="O278" s="3195" t="e">
        <f t="shared" si="20"/>
        <v>#VALUE!</v>
      </c>
      <c r="P278" s="3195" t="e">
        <f t="shared" si="21"/>
        <v>#VALUE!</v>
      </c>
      <c r="Q278" s="3196"/>
      <c r="R278" s="3196"/>
      <c r="S278" s="3196"/>
      <c r="T278" s="3196" t="s">
        <v>4103</v>
      </c>
      <c r="U278" s="3196"/>
      <c r="V278" s="3196"/>
      <c r="W278" s="3196"/>
      <c r="X278" s="3196"/>
      <c r="Y278" s="3196"/>
      <c r="Z278" s="3196"/>
      <c r="AA278" s="3196"/>
      <c r="AB278" s="3196"/>
      <c r="AC278" s="3195"/>
      <c r="AE278" s="3195"/>
      <c r="AF278" s="3195"/>
      <c r="AG278" s="3195"/>
      <c r="AH278" s="3195"/>
      <c r="AI278" s="3195"/>
    </row>
    <row r="279" spans="1:35" ht="12" customHeight="1">
      <c r="O279" s="3195" t="e">
        <f t="shared" si="20"/>
        <v>#VALUE!</v>
      </c>
      <c r="P279" s="3195" t="e">
        <f t="shared" si="21"/>
        <v>#VALUE!</v>
      </c>
      <c r="T279" s="3195" t="s">
        <v>4104</v>
      </c>
      <c r="Y279" s="3195"/>
      <c r="Z279" s="3195"/>
      <c r="AA279" s="3195"/>
      <c r="AB279" s="3195"/>
      <c r="AC279" s="3195"/>
      <c r="AE279" s="3195"/>
      <c r="AF279" s="3195"/>
      <c r="AG279" s="3195"/>
      <c r="AH279" s="3195"/>
      <c r="AI279" s="3195"/>
    </row>
    <row r="280" spans="1:35" ht="12" customHeight="1">
      <c r="B280" s="3196"/>
      <c r="C280" s="3196"/>
      <c r="O280" s="3195" t="e">
        <f t="shared" si="20"/>
        <v>#VALUE!</v>
      </c>
      <c r="P280" s="3195" t="e">
        <f t="shared" si="21"/>
        <v>#VALUE!</v>
      </c>
      <c r="Q280" s="3196"/>
      <c r="R280" s="3196"/>
      <c r="S280" s="3196"/>
      <c r="T280" s="3196" t="s">
        <v>4105</v>
      </c>
      <c r="U280" s="3196"/>
      <c r="V280" s="3196"/>
      <c r="W280" s="3196"/>
      <c r="X280" s="3196"/>
      <c r="Y280" s="3196"/>
      <c r="Z280" s="3196"/>
      <c r="AA280" s="3196"/>
      <c r="AB280" s="3196"/>
      <c r="AC280" s="3195"/>
      <c r="AE280" s="3195"/>
      <c r="AF280" s="3195"/>
      <c r="AG280" s="3195"/>
      <c r="AH280" s="3195"/>
      <c r="AI280" s="3195"/>
    </row>
    <row r="281" spans="1:35" ht="12" customHeight="1">
      <c r="O281" s="3195" t="e">
        <f t="shared" si="20"/>
        <v>#VALUE!</v>
      </c>
      <c r="P281" s="3195" t="e">
        <f t="shared" si="21"/>
        <v>#VALUE!</v>
      </c>
      <c r="T281" s="3195" t="s">
        <v>3446</v>
      </c>
      <c r="Y281" s="3195"/>
      <c r="Z281" s="3195"/>
      <c r="AA281" s="3195"/>
      <c r="AB281" s="3195"/>
      <c r="AC281" s="3195"/>
      <c r="AE281" s="3195"/>
      <c r="AF281" s="3195"/>
      <c r="AG281" s="3195"/>
      <c r="AH281" s="3195"/>
      <c r="AI281" s="3195"/>
    </row>
    <row r="282" spans="1:35" ht="12" customHeight="1">
      <c r="A282" s="3195"/>
      <c r="O282" s="3195" t="e">
        <f t="shared" si="20"/>
        <v>#VALUE!</v>
      </c>
      <c r="P282" s="3195" t="e">
        <f t="shared" si="21"/>
        <v>#VALUE!</v>
      </c>
      <c r="T282" s="3195" t="s">
        <v>4106</v>
      </c>
      <c r="Y282" s="3195"/>
      <c r="Z282" s="3195"/>
      <c r="AA282" s="3195"/>
      <c r="AB282" s="3195"/>
      <c r="AC282" s="3195"/>
      <c r="AE282" s="3195"/>
      <c r="AF282" s="3195"/>
      <c r="AG282" s="3195"/>
      <c r="AH282" s="3195"/>
      <c r="AI282" s="3195"/>
    </row>
    <row r="283" spans="1:35" ht="12" customHeight="1">
      <c r="O283" s="3195" t="e">
        <f t="shared" si="20"/>
        <v>#VALUE!</v>
      </c>
      <c r="P283" s="3195" t="e">
        <f t="shared" si="21"/>
        <v>#VALUE!</v>
      </c>
      <c r="R283" s="3196"/>
      <c r="S283" s="3196"/>
      <c r="T283" s="3196" t="s">
        <v>4107</v>
      </c>
      <c r="U283" s="3196"/>
      <c r="V283" s="3196"/>
      <c r="W283" s="3196"/>
      <c r="X283" s="3196"/>
      <c r="Y283" s="3196"/>
      <c r="Z283" s="3196"/>
      <c r="AA283" s="3196"/>
      <c r="AB283" s="3196"/>
      <c r="AC283" s="3195"/>
      <c r="AE283" s="3195"/>
      <c r="AF283" s="3195"/>
      <c r="AG283" s="3195"/>
      <c r="AH283" s="3195"/>
      <c r="AI283" s="3195"/>
    </row>
    <row r="284" spans="1:35" ht="12" customHeight="1">
      <c r="O284" s="3195" t="e">
        <f t="shared" si="20"/>
        <v>#VALUE!</v>
      </c>
      <c r="P284" s="3195" t="e">
        <f t="shared" si="21"/>
        <v>#VALUE!</v>
      </c>
      <c r="R284" s="3196"/>
      <c r="S284" s="3196"/>
      <c r="T284" s="3196" t="s">
        <v>4108</v>
      </c>
      <c r="U284" s="3196"/>
      <c r="V284" s="3196"/>
      <c r="W284" s="3196"/>
      <c r="X284" s="3196"/>
      <c r="Y284" s="3196"/>
      <c r="Z284" s="3196"/>
      <c r="AA284" s="3196"/>
      <c r="AB284" s="3196"/>
      <c r="AC284" s="3195"/>
      <c r="AE284" s="3195"/>
      <c r="AF284" s="3195"/>
      <c r="AG284" s="3195"/>
      <c r="AH284" s="3195"/>
      <c r="AI284" s="3195"/>
    </row>
    <row r="285" spans="1:35" ht="12" customHeight="1">
      <c r="O285" s="3195" t="e">
        <f t="shared" si="20"/>
        <v>#VALUE!</v>
      </c>
      <c r="P285" s="3195" t="e">
        <f t="shared" si="21"/>
        <v>#VALUE!</v>
      </c>
      <c r="R285" s="3196"/>
      <c r="S285" s="3196"/>
      <c r="T285" s="3196" t="s">
        <v>4109</v>
      </c>
      <c r="U285" s="3196"/>
      <c r="V285" s="3196"/>
      <c r="W285" s="3196"/>
      <c r="X285" s="3196"/>
      <c r="Y285" s="3196"/>
      <c r="Z285" s="3196"/>
      <c r="AA285" s="3196"/>
      <c r="AB285" s="3196"/>
      <c r="AC285" s="3195"/>
      <c r="AE285" s="3195"/>
      <c r="AF285" s="3195"/>
      <c r="AG285" s="3195"/>
      <c r="AH285" s="3195"/>
      <c r="AI285" s="3195"/>
    </row>
    <row r="286" spans="1:35" ht="12" customHeight="1">
      <c r="O286" s="3195" t="e">
        <f t="shared" si="20"/>
        <v>#VALUE!</v>
      </c>
      <c r="P286" s="3195" t="e">
        <f t="shared" si="21"/>
        <v>#VALUE!</v>
      </c>
      <c r="R286" s="3196"/>
      <c r="S286" s="3196"/>
      <c r="T286" s="3196" t="s">
        <v>4110</v>
      </c>
      <c r="U286" s="3196"/>
      <c r="V286" s="3196"/>
      <c r="W286" s="3196"/>
      <c r="X286" s="3196"/>
      <c r="Y286" s="3196"/>
      <c r="Z286" s="3196"/>
      <c r="AA286" s="3196"/>
      <c r="AB286" s="3196"/>
      <c r="AC286" s="3195"/>
      <c r="AE286" s="3195"/>
      <c r="AF286" s="3195"/>
      <c r="AG286" s="3195"/>
      <c r="AH286" s="3195"/>
      <c r="AI286" s="3195"/>
    </row>
    <row r="287" spans="1:35" ht="12" customHeight="1">
      <c r="O287" s="3195" t="e">
        <f t="shared" si="20"/>
        <v>#VALUE!</v>
      </c>
      <c r="P287" s="3195" t="e">
        <f t="shared" si="21"/>
        <v>#VALUE!</v>
      </c>
      <c r="R287" s="3196"/>
      <c r="S287" s="3196"/>
      <c r="T287" s="3196" t="s">
        <v>4111</v>
      </c>
      <c r="U287" s="3196"/>
      <c r="V287" s="3196"/>
      <c r="W287" s="3196"/>
      <c r="X287" s="3196"/>
      <c r="Y287" s="3196"/>
      <c r="Z287" s="3196"/>
      <c r="AA287" s="3196"/>
      <c r="AB287" s="3196"/>
      <c r="AC287" s="3195"/>
      <c r="AE287" s="3195"/>
      <c r="AF287" s="3195"/>
      <c r="AG287" s="3195"/>
      <c r="AH287" s="3195"/>
      <c r="AI287" s="3195"/>
    </row>
    <row r="288" spans="1:35" ht="12" customHeight="1">
      <c r="O288" s="3195" t="e">
        <f t="shared" si="20"/>
        <v>#VALUE!</v>
      </c>
      <c r="P288" s="3195" t="e">
        <f t="shared" si="21"/>
        <v>#VALUE!</v>
      </c>
      <c r="R288" s="3196"/>
      <c r="S288" s="3196"/>
      <c r="T288" s="3196" t="s">
        <v>4112</v>
      </c>
      <c r="U288" s="3196"/>
      <c r="V288" s="3196"/>
      <c r="W288" s="3196"/>
      <c r="X288" s="3196"/>
      <c r="Y288" s="3196"/>
      <c r="Z288" s="3196"/>
      <c r="AA288" s="3196"/>
      <c r="AB288" s="3196"/>
      <c r="AC288" s="3195"/>
      <c r="AE288" s="3195"/>
      <c r="AF288" s="3195"/>
      <c r="AG288" s="3195"/>
      <c r="AH288" s="3195"/>
      <c r="AI288" s="3195"/>
    </row>
    <row r="289" spans="1:35" ht="12" customHeight="1">
      <c r="O289" s="3195" t="e">
        <f t="shared" si="20"/>
        <v>#VALUE!</v>
      </c>
      <c r="P289" s="3195" t="e">
        <f t="shared" si="21"/>
        <v>#VALUE!</v>
      </c>
      <c r="R289" s="3196"/>
      <c r="S289" s="3196"/>
      <c r="T289" s="3196" t="s">
        <v>4113</v>
      </c>
      <c r="U289" s="3196"/>
      <c r="V289" s="3196"/>
      <c r="W289" s="3196"/>
      <c r="X289" s="3196"/>
      <c r="Y289" s="3196"/>
      <c r="Z289" s="3196"/>
      <c r="AA289" s="3196"/>
      <c r="AB289" s="3196"/>
      <c r="AC289" s="3195"/>
      <c r="AE289" s="3195"/>
      <c r="AF289" s="3195"/>
      <c r="AG289" s="3195"/>
      <c r="AH289" s="3195"/>
      <c r="AI289" s="3195"/>
    </row>
    <row r="290" spans="1:35" ht="12" customHeight="1">
      <c r="O290" s="3195" t="e">
        <f t="shared" si="20"/>
        <v>#VALUE!</v>
      </c>
      <c r="P290" s="3195" t="e">
        <f t="shared" si="21"/>
        <v>#VALUE!</v>
      </c>
      <c r="R290" s="3196"/>
      <c r="S290" s="3196"/>
      <c r="T290" s="3196" t="s">
        <v>4114</v>
      </c>
      <c r="U290" s="3196"/>
      <c r="V290" s="3196"/>
      <c r="W290" s="3196"/>
      <c r="X290" s="3196"/>
      <c r="Y290" s="3196"/>
      <c r="Z290" s="3196"/>
      <c r="AA290" s="3196"/>
      <c r="AB290" s="3196"/>
      <c r="AC290" s="3195"/>
      <c r="AE290" s="3195"/>
      <c r="AF290" s="3195"/>
      <c r="AG290" s="3195"/>
      <c r="AH290" s="3195"/>
      <c r="AI290" s="3195"/>
    </row>
    <row r="291" spans="1:35" ht="12" customHeight="1">
      <c r="A291" s="3195"/>
      <c r="O291" s="3195" t="e">
        <f t="shared" si="20"/>
        <v>#VALUE!</v>
      </c>
      <c r="P291" s="3195" t="e">
        <f t="shared" si="21"/>
        <v>#VALUE!</v>
      </c>
      <c r="T291" s="3195" t="s">
        <v>4115</v>
      </c>
      <c r="Y291" s="3195"/>
      <c r="Z291" s="3195"/>
      <c r="AA291" s="3195"/>
      <c r="AB291" s="3195"/>
      <c r="AC291" s="3195"/>
      <c r="AE291" s="3195"/>
      <c r="AF291" s="3195"/>
      <c r="AG291" s="3195"/>
      <c r="AH291" s="3195"/>
      <c r="AI291" s="3195"/>
    </row>
    <row r="292" spans="1:35" ht="12" customHeight="1">
      <c r="O292" s="3195" t="e">
        <f t="shared" si="20"/>
        <v>#VALUE!</v>
      </c>
      <c r="P292" s="3195" t="e">
        <f t="shared" si="21"/>
        <v>#VALUE!</v>
      </c>
      <c r="R292" s="3196"/>
      <c r="S292" s="3196"/>
      <c r="T292" s="3196" t="s">
        <v>4116</v>
      </c>
      <c r="U292" s="3196"/>
      <c r="V292" s="3196"/>
      <c r="W292" s="3196"/>
      <c r="X292" s="3196"/>
      <c r="Y292" s="3196"/>
      <c r="Z292" s="3196"/>
      <c r="AA292" s="3196"/>
      <c r="AB292" s="3196"/>
      <c r="AC292" s="3195"/>
      <c r="AE292" s="3195"/>
      <c r="AF292" s="3195"/>
      <c r="AG292" s="3195"/>
      <c r="AH292" s="3195"/>
      <c r="AI292" s="3195"/>
    </row>
    <row r="293" spans="1:35" ht="12" customHeight="1">
      <c r="O293" s="3195" t="e">
        <f t="shared" si="20"/>
        <v>#VALUE!</v>
      </c>
      <c r="P293" s="3195" t="e">
        <f t="shared" si="21"/>
        <v>#VALUE!</v>
      </c>
      <c r="R293" s="3196"/>
      <c r="S293" s="3196"/>
      <c r="T293" s="3196" t="s">
        <v>3451</v>
      </c>
      <c r="U293" s="3196"/>
      <c r="V293" s="3196"/>
      <c r="W293" s="3196"/>
      <c r="X293" s="3196"/>
      <c r="Y293" s="3196"/>
      <c r="Z293" s="3196"/>
      <c r="AA293" s="3196"/>
      <c r="AB293" s="3196"/>
      <c r="AC293" s="3195"/>
      <c r="AE293" s="3195"/>
      <c r="AF293" s="3195"/>
      <c r="AG293" s="3195"/>
      <c r="AH293" s="3195"/>
      <c r="AI293" s="3195"/>
    </row>
    <row r="294" spans="1:35" ht="12" customHeight="1">
      <c r="O294" s="3195" t="e">
        <f t="shared" si="20"/>
        <v>#VALUE!</v>
      </c>
      <c r="P294" s="3195" t="e">
        <f t="shared" si="21"/>
        <v>#VALUE!</v>
      </c>
      <c r="R294" s="3196"/>
      <c r="S294" s="3196"/>
      <c r="T294" s="3196" t="s">
        <v>4117</v>
      </c>
      <c r="U294" s="3196"/>
      <c r="V294" s="3196"/>
      <c r="W294" s="3196"/>
      <c r="X294" s="3196"/>
      <c r="Y294" s="3196"/>
      <c r="Z294" s="3196"/>
      <c r="AA294" s="3196"/>
      <c r="AB294" s="3196"/>
      <c r="AC294" s="3195"/>
      <c r="AE294" s="3195"/>
      <c r="AF294" s="3195"/>
      <c r="AG294" s="3195"/>
      <c r="AH294" s="3195"/>
      <c r="AI294" s="3195"/>
    </row>
    <row r="295" spans="1:35" ht="12" customHeight="1">
      <c r="O295" s="3195" t="e">
        <f t="shared" si="20"/>
        <v>#VALUE!</v>
      </c>
      <c r="P295" s="3195" t="e">
        <f t="shared" si="21"/>
        <v>#VALUE!</v>
      </c>
      <c r="R295" s="3196"/>
      <c r="S295" s="3196"/>
      <c r="T295" s="3196" t="s">
        <v>4118</v>
      </c>
      <c r="U295" s="3196"/>
      <c r="V295" s="3196"/>
      <c r="W295" s="3196"/>
      <c r="X295" s="3196"/>
      <c r="Y295" s="3196"/>
      <c r="Z295" s="3196"/>
      <c r="AA295" s="3196"/>
      <c r="AB295" s="3196"/>
      <c r="AC295" s="3195"/>
      <c r="AE295" s="3195"/>
      <c r="AF295" s="3195"/>
      <c r="AG295" s="3195"/>
      <c r="AH295" s="3195"/>
      <c r="AI295" s="3195"/>
    </row>
    <row r="296" spans="1:35" ht="12" customHeight="1">
      <c r="O296" s="3195" t="e">
        <f t="shared" si="20"/>
        <v>#VALUE!</v>
      </c>
      <c r="P296" s="3195" t="e">
        <f t="shared" si="21"/>
        <v>#VALUE!</v>
      </c>
      <c r="R296" s="3196"/>
      <c r="S296" s="3196"/>
      <c r="T296" s="3196" t="s">
        <v>4119</v>
      </c>
      <c r="U296" s="3196"/>
      <c r="V296" s="3196"/>
      <c r="W296" s="3196"/>
      <c r="X296" s="3196"/>
      <c r="Y296" s="3196"/>
      <c r="Z296" s="3196"/>
      <c r="AA296" s="3196"/>
      <c r="AB296" s="3196"/>
      <c r="AC296" s="3195"/>
      <c r="AE296" s="3195"/>
      <c r="AF296" s="3195"/>
      <c r="AG296" s="3195"/>
      <c r="AH296" s="3195"/>
      <c r="AI296" s="3195"/>
    </row>
    <row r="297" spans="1:35" ht="12" customHeight="1">
      <c r="O297" s="3195" t="e">
        <f t="shared" si="20"/>
        <v>#VALUE!</v>
      </c>
      <c r="P297" s="3195" t="e">
        <f t="shared" si="21"/>
        <v>#VALUE!</v>
      </c>
      <c r="R297" s="3196"/>
      <c r="S297" s="3196"/>
      <c r="T297" s="3196" t="s">
        <v>4120</v>
      </c>
      <c r="U297" s="3196"/>
      <c r="V297" s="3196"/>
      <c r="W297" s="3196"/>
      <c r="X297" s="3196"/>
      <c r="Y297" s="3196"/>
      <c r="Z297" s="3196"/>
      <c r="AA297" s="3196"/>
      <c r="AB297" s="3196"/>
      <c r="AC297" s="3195"/>
      <c r="AE297" s="3195"/>
      <c r="AF297" s="3195"/>
      <c r="AG297" s="3195"/>
      <c r="AH297" s="3195"/>
      <c r="AI297" s="3195"/>
    </row>
    <row r="298" spans="1:35" ht="12" customHeight="1">
      <c r="O298" s="3195" t="e">
        <f t="shared" si="20"/>
        <v>#VALUE!</v>
      </c>
      <c r="P298" s="3195" t="e">
        <f t="shared" si="21"/>
        <v>#VALUE!</v>
      </c>
      <c r="R298" s="3196"/>
      <c r="S298" s="3196"/>
      <c r="T298" s="3196" t="s">
        <v>4121</v>
      </c>
      <c r="U298" s="3196"/>
      <c r="V298" s="3196"/>
      <c r="W298" s="3196"/>
      <c r="X298" s="3196"/>
      <c r="Y298" s="3196"/>
      <c r="Z298" s="3196"/>
      <c r="AA298" s="3196"/>
      <c r="AB298" s="3196"/>
      <c r="AC298" s="3195"/>
      <c r="AE298" s="3195"/>
      <c r="AF298" s="3195"/>
      <c r="AG298" s="3195"/>
      <c r="AH298" s="3195"/>
      <c r="AI298" s="3195"/>
    </row>
    <row r="299" spans="1:35" ht="12" customHeight="1">
      <c r="O299" s="3195" t="e">
        <f t="shared" si="20"/>
        <v>#VALUE!</v>
      </c>
      <c r="P299" s="3195" t="e">
        <f t="shared" si="21"/>
        <v>#VALUE!</v>
      </c>
      <c r="R299" s="3196"/>
      <c r="S299" s="3196"/>
      <c r="T299" s="3196" t="s">
        <v>4122</v>
      </c>
      <c r="U299" s="3196"/>
      <c r="V299" s="3196"/>
      <c r="W299" s="3196"/>
      <c r="X299" s="3196"/>
      <c r="Y299" s="3196"/>
      <c r="Z299" s="3196"/>
      <c r="AA299" s="3196"/>
      <c r="AB299" s="3196"/>
      <c r="AC299" s="3195"/>
      <c r="AE299" s="3195"/>
      <c r="AF299" s="3195"/>
      <c r="AG299" s="3195"/>
      <c r="AH299" s="3195"/>
      <c r="AI299" s="3195"/>
    </row>
    <row r="300" spans="1:35" ht="12" customHeight="1">
      <c r="O300" s="3195" t="e">
        <f t="shared" si="20"/>
        <v>#VALUE!</v>
      </c>
      <c r="P300" s="3195" t="e">
        <f t="shared" si="21"/>
        <v>#VALUE!</v>
      </c>
      <c r="R300" s="3196"/>
      <c r="S300" s="3196"/>
      <c r="T300" s="3196" t="s">
        <v>4115</v>
      </c>
      <c r="U300" s="3196"/>
      <c r="V300" s="3196"/>
      <c r="W300" s="3196"/>
      <c r="X300" s="3196"/>
      <c r="Y300" s="3196"/>
      <c r="Z300" s="3196"/>
      <c r="AA300" s="3196"/>
      <c r="AB300" s="3196"/>
      <c r="AC300" s="3195"/>
      <c r="AE300" s="3195"/>
      <c r="AF300" s="3195"/>
      <c r="AG300" s="3195"/>
      <c r="AH300" s="3195"/>
      <c r="AI300" s="3195"/>
    </row>
    <row r="301" spans="1:35" ht="12" customHeight="1">
      <c r="B301" s="3196"/>
      <c r="C301" s="3196"/>
      <c r="O301" s="3195" t="e">
        <f t="shared" si="20"/>
        <v>#VALUE!</v>
      </c>
      <c r="P301" s="3195" t="e">
        <f t="shared" si="21"/>
        <v>#VALUE!</v>
      </c>
      <c r="Q301" s="3196"/>
      <c r="R301" s="3196"/>
      <c r="S301" s="3196"/>
      <c r="T301" s="3196" t="s">
        <v>4116</v>
      </c>
      <c r="U301" s="3196"/>
      <c r="V301" s="3196"/>
      <c r="W301" s="3196"/>
      <c r="X301" s="3196"/>
      <c r="Y301" s="3196"/>
      <c r="Z301" s="3196"/>
      <c r="AA301" s="3196"/>
      <c r="AB301" s="3196"/>
      <c r="AC301" s="3195"/>
      <c r="AE301" s="3195"/>
      <c r="AF301" s="3195"/>
      <c r="AG301" s="3195"/>
      <c r="AH301" s="3195"/>
      <c r="AI301" s="3195"/>
    </row>
    <row r="302" spans="1:35" ht="12" customHeight="1">
      <c r="O302" s="3195" t="e">
        <f t="shared" si="20"/>
        <v>#VALUE!</v>
      </c>
      <c r="P302" s="3195" t="e">
        <f t="shared" si="21"/>
        <v>#VALUE!</v>
      </c>
      <c r="T302" s="3195" t="s">
        <v>3456</v>
      </c>
      <c r="Y302" s="3195"/>
      <c r="Z302" s="3195"/>
      <c r="AA302" s="3195"/>
      <c r="AB302" s="3195"/>
      <c r="AC302" s="3195"/>
      <c r="AE302" s="3195"/>
      <c r="AF302" s="3195"/>
      <c r="AG302" s="3195"/>
      <c r="AH302" s="3195"/>
      <c r="AI302" s="3195"/>
    </row>
    <row r="303" spans="1:35" ht="12" customHeight="1">
      <c r="A303" s="3195"/>
      <c r="O303" s="3195" t="e">
        <f t="shared" si="20"/>
        <v>#VALUE!</v>
      </c>
      <c r="P303" s="3195" t="e">
        <f t="shared" si="21"/>
        <v>#VALUE!</v>
      </c>
      <c r="T303" s="3195" t="s">
        <v>4123</v>
      </c>
      <c r="Y303" s="3195"/>
      <c r="Z303" s="3195"/>
      <c r="AA303" s="3195"/>
      <c r="AB303" s="3195"/>
      <c r="AC303" s="3195"/>
      <c r="AE303" s="3195"/>
      <c r="AF303" s="3195"/>
      <c r="AG303" s="3195"/>
      <c r="AH303" s="3195"/>
      <c r="AI303" s="3195"/>
    </row>
    <row r="304" spans="1:35" ht="12" customHeight="1">
      <c r="O304" s="3195" t="e">
        <f t="shared" si="20"/>
        <v>#VALUE!</v>
      </c>
      <c r="P304" s="3195" t="e">
        <f t="shared" si="21"/>
        <v>#VALUE!</v>
      </c>
      <c r="R304" s="3196"/>
      <c r="S304" s="3196"/>
      <c r="T304" s="3196" t="s">
        <v>4124</v>
      </c>
      <c r="U304" s="3196"/>
      <c r="V304" s="3196"/>
      <c r="W304" s="3196"/>
      <c r="X304" s="3196"/>
      <c r="Y304" s="3196"/>
      <c r="Z304" s="3196"/>
      <c r="AA304" s="3196"/>
      <c r="AB304" s="3196"/>
      <c r="AC304" s="3195"/>
      <c r="AE304" s="3195"/>
      <c r="AF304" s="3195"/>
      <c r="AG304" s="3195"/>
      <c r="AH304" s="3195"/>
      <c r="AI304" s="3195"/>
    </row>
    <row r="305" spans="1:35" ht="12" customHeight="1">
      <c r="O305" s="3195" t="e">
        <f t="shared" si="20"/>
        <v>#VALUE!</v>
      </c>
      <c r="P305" s="3195" t="e">
        <f t="shared" si="21"/>
        <v>#VALUE!</v>
      </c>
      <c r="R305" s="3196"/>
      <c r="S305" s="3196"/>
      <c r="T305" s="3196" t="s">
        <v>4125</v>
      </c>
      <c r="U305" s="3196"/>
      <c r="V305" s="3196"/>
      <c r="W305" s="3196"/>
      <c r="X305" s="3196"/>
      <c r="Y305" s="3196"/>
      <c r="Z305" s="3196"/>
      <c r="AA305" s="3196"/>
      <c r="AB305" s="3196"/>
      <c r="AC305" s="3195"/>
      <c r="AE305" s="3195"/>
      <c r="AF305" s="3195"/>
      <c r="AG305" s="3195"/>
      <c r="AH305" s="3195"/>
      <c r="AI305" s="3195"/>
    </row>
    <row r="306" spans="1:35" ht="12" customHeight="1">
      <c r="O306" s="3195" t="e">
        <f t="shared" si="20"/>
        <v>#VALUE!</v>
      </c>
      <c r="P306" s="3195" t="e">
        <f t="shared" si="21"/>
        <v>#VALUE!</v>
      </c>
      <c r="R306" s="3196"/>
      <c r="S306" s="3196"/>
      <c r="T306" s="3196" t="s">
        <v>4126</v>
      </c>
      <c r="U306" s="3196"/>
      <c r="V306" s="3196"/>
      <c r="W306" s="3196"/>
      <c r="X306" s="3196"/>
      <c r="Y306" s="3196"/>
      <c r="Z306" s="3196"/>
      <c r="AA306" s="3196"/>
      <c r="AB306" s="3196"/>
      <c r="AC306" s="3195"/>
      <c r="AE306" s="3195"/>
      <c r="AF306" s="3195"/>
      <c r="AG306" s="3195"/>
      <c r="AH306" s="3195"/>
      <c r="AI306" s="3195"/>
    </row>
    <row r="307" spans="1:35" ht="12" customHeight="1">
      <c r="O307" s="3195" t="e">
        <f t="shared" si="20"/>
        <v>#VALUE!</v>
      </c>
      <c r="P307" s="3195" t="e">
        <f t="shared" si="21"/>
        <v>#VALUE!</v>
      </c>
      <c r="R307" s="3196"/>
      <c r="S307" s="3196"/>
      <c r="T307" s="3196" t="s">
        <v>4127</v>
      </c>
      <c r="U307" s="3196"/>
      <c r="V307" s="3196"/>
      <c r="W307" s="3196"/>
      <c r="X307" s="3196"/>
      <c r="Y307" s="3196"/>
      <c r="Z307" s="3196"/>
      <c r="AA307" s="3196"/>
      <c r="AB307" s="3196"/>
      <c r="AC307" s="3195"/>
      <c r="AE307" s="3195"/>
      <c r="AF307" s="3195"/>
      <c r="AG307" s="3195"/>
      <c r="AH307" s="3195"/>
      <c r="AI307" s="3195"/>
    </row>
    <row r="308" spans="1:35" ht="12" customHeight="1">
      <c r="O308" s="3195" t="e">
        <f t="shared" si="20"/>
        <v>#VALUE!</v>
      </c>
      <c r="P308" s="3195" t="e">
        <f t="shared" si="21"/>
        <v>#VALUE!</v>
      </c>
      <c r="R308" s="3196"/>
      <c r="S308" s="3196"/>
      <c r="T308" s="3196" t="s">
        <v>4128</v>
      </c>
      <c r="U308" s="3196"/>
      <c r="V308" s="3196"/>
      <c r="W308" s="3196"/>
      <c r="X308" s="3196"/>
      <c r="Y308" s="3196"/>
      <c r="Z308" s="3196"/>
      <c r="AA308" s="3196"/>
      <c r="AB308" s="3196"/>
      <c r="AC308" s="3195"/>
      <c r="AE308" s="3195"/>
      <c r="AF308" s="3195"/>
      <c r="AG308" s="3195"/>
      <c r="AH308" s="3195"/>
      <c r="AI308" s="3195"/>
    </row>
    <row r="309" spans="1:35" ht="12" customHeight="1">
      <c r="O309" s="3195" t="e">
        <f t="shared" si="20"/>
        <v>#VALUE!</v>
      </c>
      <c r="P309" s="3195" t="e">
        <f t="shared" si="21"/>
        <v>#VALUE!</v>
      </c>
      <c r="R309" s="3196"/>
      <c r="S309" s="3196"/>
      <c r="T309" s="3196" t="s">
        <v>4129</v>
      </c>
      <c r="U309" s="3196"/>
      <c r="V309" s="3196"/>
      <c r="W309" s="3196"/>
      <c r="X309" s="3196"/>
      <c r="Y309" s="3196"/>
      <c r="Z309" s="3196"/>
      <c r="AA309" s="3196"/>
      <c r="AB309" s="3196"/>
      <c r="AC309" s="3195"/>
      <c r="AE309" s="3195"/>
      <c r="AF309" s="3195"/>
      <c r="AG309" s="3195"/>
      <c r="AH309" s="3195"/>
      <c r="AI309" s="3195"/>
    </row>
    <row r="310" spans="1:35" ht="12" customHeight="1">
      <c r="B310" s="3196"/>
      <c r="C310" s="3196"/>
      <c r="O310" s="3195" t="e">
        <f t="shared" si="20"/>
        <v>#VALUE!</v>
      </c>
      <c r="P310" s="3195" t="e">
        <f t="shared" si="21"/>
        <v>#VALUE!</v>
      </c>
      <c r="Q310" s="3196"/>
      <c r="R310" s="3196"/>
      <c r="S310" s="3196"/>
      <c r="T310" s="3196" t="s">
        <v>4130</v>
      </c>
      <c r="U310" s="3196"/>
      <c r="V310" s="3196"/>
      <c r="W310" s="3196"/>
      <c r="X310" s="3196"/>
      <c r="Y310" s="3196"/>
      <c r="Z310" s="3196"/>
      <c r="AA310" s="3196"/>
      <c r="AB310" s="3196"/>
      <c r="AC310" s="3195"/>
      <c r="AE310" s="3195"/>
      <c r="AF310" s="3195"/>
      <c r="AG310" s="3195"/>
      <c r="AH310" s="3195"/>
      <c r="AI310" s="3195"/>
    </row>
    <row r="311" spans="1:35" ht="12" customHeight="1">
      <c r="O311" s="3195" t="e">
        <f t="shared" si="20"/>
        <v>#VALUE!</v>
      </c>
      <c r="P311" s="3195" t="e">
        <f t="shared" si="21"/>
        <v>#VALUE!</v>
      </c>
      <c r="T311" s="3195" t="s">
        <v>3461</v>
      </c>
      <c r="Y311" s="3195"/>
      <c r="Z311" s="3195"/>
      <c r="AA311" s="3195"/>
      <c r="AB311" s="3195"/>
      <c r="AC311" s="3195"/>
      <c r="AE311" s="3195"/>
      <c r="AF311" s="3195"/>
      <c r="AG311" s="3195"/>
      <c r="AH311" s="3195"/>
      <c r="AI311" s="3195"/>
    </row>
    <row r="312" spans="1:35" ht="12" customHeight="1">
      <c r="A312" s="3195"/>
      <c r="O312" s="3195" t="e">
        <f t="shared" si="20"/>
        <v>#VALUE!</v>
      </c>
      <c r="P312" s="3195" t="e">
        <f t="shared" si="21"/>
        <v>#VALUE!</v>
      </c>
      <c r="T312" s="3195" t="s">
        <v>4131</v>
      </c>
      <c r="Y312" s="3195"/>
      <c r="Z312" s="3195"/>
      <c r="AA312" s="3195"/>
      <c r="AB312" s="3195"/>
      <c r="AC312" s="3195"/>
      <c r="AE312" s="3195"/>
      <c r="AF312" s="3195"/>
      <c r="AG312" s="3195"/>
      <c r="AH312" s="3195"/>
      <c r="AI312" s="3195"/>
    </row>
    <row r="313" spans="1:35" ht="12" customHeight="1">
      <c r="O313" s="3195" t="e">
        <f t="shared" si="20"/>
        <v>#VALUE!</v>
      </c>
      <c r="P313" s="3195" t="e">
        <f t="shared" si="21"/>
        <v>#VALUE!</v>
      </c>
      <c r="R313" s="3196"/>
      <c r="S313" s="3196"/>
      <c r="T313" s="3196" t="s">
        <v>4132</v>
      </c>
      <c r="U313" s="3196"/>
      <c r="V313" s="3196"/>
      <c r="W313" s="3196"/>
      <c r="X313" s="3196"/>
      <c r="Y313" s="3196"/>
      <c r="Z313" s="3196"/>
      <c r="AA313" s="3196"/>
      <c r="AB313" s="3196"/>
      <c r="AC313" s="3195"/>
      <c r="AE313" s="3195"/>
      <c r="AF313" s="3195"/>
      <c r="AG313" s="3195"/>
      <c r="AH313" s="3195"/>
      <c r="AI313" s="3195"/>
    </row>
    <row r="314" spans="1:35" ht="12" customHeight="1">
      <c r="O314" s="3195" t="e">
        <f t="shared" si="20"/>
        <v>#VALUE!</v>
      </c>
      <c r="P314" s="3195" t="e">
        <f t="shared" si="21"/>
        <v>#VALUE!</v>
      </c>
      <c r="R314" s="3196"/>
      <c r="S314" s="3196"/>
      <c r="T314" s="3196" t="s">
        <v>4133</v>
      </c>
      <c r="U314" s="3196"/>
      <c r="V314" s="3196"/>
      <c r="W314" s="3196"/>
      <c r="X314" s="3196"/>
      <c r="Y314" s="3196"/>
      <c r="Z314" s="3196"/>
      <c r="AA314" s="3196"/>
      <c r="AB314" s="3196"/>
      <c r="AC314" s="3195"/>
      <c r="AE314" s="3195"/>
      <c r="AF314" s="3195"/>
      <c r="AG314" s="3195"/>
      <c r="AH314" s="3195"/>
      <c r="AI314" s="3195"/>
    </row>
    <row r="315" spans="1:35" ht="12" customHeight="1">
      <c r="O315" s="3195" t="e">
        <f t="shared" si="20"/>
        <v>#VALUE!</v>
      </c>
      <c r="P315" s="3195" t="e">
        <f t="shared" si="21"/>
        <v>#VALUE!</v>
      </c>
      <c r="R315" s="3196"/>
      <c r="S315" s="3196"/>
      <c r="T315" s="3196" t="s">
        <v>4134</v>
      </c>
      <c r="U315" s="3196"/>
      <c r="V315" s="3196"/>
      <c r="W315" s="3196"/>
      <c r="X315" s="3196"/>
      <c r="Y315" s="3196"/>
      <c r="Z315" s="3196"/>
      <c r="AA315" s="3196"/>
      <c r="AB315" s="3196"/>
      <c r="AC315" s="3195"/>
      <c r="AE315" s="3195"/>
      <c r="AF315" s="3195"/>
      <c r="AG315" s="3195"/>
      <c r="AH315" s="3195"/>
      <c r="AI315" s="3195"/>
    </row>
    <row r="316" spans="1:35" ht="12" customHeight="1">
      <c r="O316" s="3195" t="e">
        <f t="shared" si="20"/>
        <v>#VALUE!</v>
      </c>
      <c r="P316" s="3195" t="e">
        <f t="shared" si="21"/>
        <v>#VALUE!</v>
      </c>
      <c r="R316" s="3196"/>
      <c r="S316" s="3196"/>
      <c r="T316" s="3196" t="s">
        <v>4135</v>
      </c>
      <c r="U316" s="3196"/>
      <c r="V316" s="3196"/>
      <c r="W316" s="3196"/>
      <c r="X316" s="3196"/>
      <c r="Y316" s="3196"/>
      <c r="Z316" s="3196"/>
      <c r="AA316" s="3196"/>
      <c r="AB316" s="3196"/>
      <c r="AC316" s="3195"/>
      <c r="AE316" s="3195"/>
      <c r="AF316" s="3195"/>
      <c r="AG316" s="3195"/>
      <c r="AH316" s="3195"/>
      <c r="AI316" s="3195"/>
    </row>
    <row r="317" spans="1:35" ht="12" customHeight="1">
      <c r="O317" s="3195" t="e">
        <f t="shared" si="20"/>
        <v>#VALUE!</v>
      </c>
      <c r="P317" s="3195" t="e">
        <f t="shared" si="21"/>
        <v>#VALUE!</v>
      </c>
      <c r="R317" s="3196"/>
      <c r="S317" s="3196"/>
      <c r="T317" s="3196" t="s">
        <v>4136</v>
      </c>
      <c r="U317" s="3196"/>
      <c r="V317" s="3196"/>
      <c r="W317" s="3196"/>
      <c r="X317" s="3196"/>
      <c r="Y317" s="3196"/>
      <c r="Z317" s="3196"/>
      <c r="AA317" s="3196"/>
      <c r="AB317" s="3196"/>
      <c r="AC317" s="3195"/>
      <c r="AE317" s="3195"/>
      <c r="AF317" s="3195"/>
      <c r="AG317" s="3195"/>
      <c r="AH317" s="3195"/>
      <c r="AI317" s="3195"/>
    </row>
    <row r="318" spans="1:35" ht="12" customHeight="1">
      <c r="O318" s="3195" t="e">
        <f t="shared" si="20"/>
        <v>#VALUE!</v>
      </c>
      <c r="P318" s="3195" t="e">
        <f t="shared" si="21"/>
        <v>#VALUE!</v>
      </c>
      <c r="R318" s="3196"/>
      <c r="S318" s="3196"/>
      <c r="T318" s="3196" t="s">
        <v>4137</v>
      </c>
      <c r="U318" s="3196"/>
      <c r="V318" s="3196"/>
      <c r="W318" s="3196"/>
      <c r="X318" s="3196"/>
      <c r="Y318" s="3196"/>
      <c r="Z318" s="3196"/>
      <c r="AA318" s="3196"/>
      <c r="AB318" s="3196"/>
      <c r="AC318" s="3195"/>
      <c r="AE318" s="3195"/>
      <c r="AF318" s="3195"/>
      <c r="AG318" s="3195"/>
      <c r="AH318" s="3195"/>
      <c r="AI318" s="3195"/>
    </row>
    <row r="319" spans="1:35" ht="12" customHeight="1">
      <c r="O319" s="3195" t="e">
        <f t="shared" si="20"/>
        <v>#VALUE!</v>
      </c>
      <c r="P319" s="3195" t="e">
        <f t="shared" si="21"/>
        <v>#VALUE!</v>
      </c>
      <c r="R319" s="3196"/>
      <c r="S319" s="3196"/>
      <c r="T319" s="3196" t="s">
        <v>4138</v>
      </c>
      <c r="U319" s="3196"/>
      <c r="V319" s="3196"/>
      <c r="W319" s="3196"/>
      <c r="X319" s="3196"/>
      <c r="Y319" s="3196"/>
      <c r="Z319" s="3196"/>
      <c r="AA319" s="3196"/>
      <c r="AB319" s="3196"/>
      <c r="AC319" s="3195"/>
      <c r="AE319" s="3195"/>
      <c r="AF319" s="3195"/>
      <c r="AG319" s="3195"/>
      <c r="AH319" s="3195"/>
      <c r="AI319" s="3195"/>
    </row>
    <row r="320" spans="1:35" ht="12" customHeight="1">
      <c r="O320" s="3195" t="e">
        <f t="shared" si="20"/>
        <v>#VALUE!</v>
      </c>
      <c r="P320" s="3195" t="e">
        <f t="shared" si="21"/>
        <v>#VALUE!</v>
      </c>
      <c r="R320" s="3196"/>
      <c r="S320" s="3196"/>
      <c r="T320" s="3196" t="s">
        <v>4139</v>
      </c>
      <c r="U320" s="3196"/>
      <c r="V320" s="3196"/>
      <c r="W320" s="3196"/>
      <c r="X320" s="3196"/>
      <c r="Y320" s="3196"/>
      <c r="Z320" s="3196"/>
      <c r="AA320" s="3196"/>
      <c r="AB320" s="3196"/>
      <c r="AC320" s="3195"/>
      <c r="AE320" s="3195"/>
      <c r="AF320" s="3195"/>
      <c r="AG320" s="3195"/>
      <c r="AH320" s="3195"/>
      <c r="AI320" s="3195"/>
    </row>
    <row r="321" spans="1:35" ht="12" customHeight="1">
      <c r="A321" s="3195"/>
      <c r="O321" s="3195" t="e">
        <f t="shared" si="20"/>
        <v>#VALUE!</v>
      </c>
      <c r="P321" s="3195" t="e">
        <f t="shared" si="21"/>
        <v>#VALUE!</v>
      </c>
      <c r="T321" s="3195" t="s">
        <v>4140</v>
      </c>
      <c r="Y321" s="3195"/>
      <c r="Z321" s="3195"/>
      <c r="AA321" s="3195"/>
      <c r="AB321" s="3195"/>
      <c r="AC321" s="3195"/>
      <c r="AE321" s="3195"/>
      <c r="AF321" s="3195"/>
      <c r="AG321" s="3195"/>
      <c r="AH321" s="3195"/>
      <c r="AI321" s="3195"/>
    </row>
    <row r="322" spans="1:35" ht="12" customHeight="1">
      <c r="O322" s="3195" t="e">
        <f t="shared" si="20"/>
        <v>#VALUE!</v>
      </c>
      <c r="P322" s="3195" t="e">
        <f t="shared" si="21"/>
        <v>#VALUE!</v>
      </c>
      <c r="R322" s="3196"/>
      <c r="S322" s="3196"/>
      <c r="T322" s="3196" t="s">
        <v>3466</v>
      </c>
      <c r="U322" s="3196"/>
      <c r="V322" s="3196"/>
      <c r="W322" s="3196"/>
      <c r="X322" s="3196"/>
      <c r="Y322" s="3196"/>
      <c r="Z322" s="3196"/>
      <c r="AA322" s="3196"/>
      <c r="AB322" s="3196"/>
      <c r="AC322" s="3195"/>
      <c r="AE322" s="3195"/>
      <c r="AF322" s="3195"/>
      <c r="AG322" s="3195"/>
      <c r="AH322" s="3195"/>
      <c r="AI322" s="3195"/>
    </row>
    <row r="323" spans="1:35" ht="12" customHeight="1">
      <c r="O323" s="3195" t="e">
        <f t="shared" si="20"/>
        <v>#VALUE!</v>
      </c>
      <c r="P323" s="3195" t="e">
        <f t="shared" si="21"/>
        <v>#VALUE!</v>
      </c>
      <c r="R323" s="3196"/>
      <c r="S323" s="3196"/>
      <c r="T323" s="3196" t="s">
        <v>3469</v>
      </c>
      <c r="U323" s="3196"/>
      <c r="V323" s="3196"/>
      <c r="W323" s="3196"/>
      <c r="X323" s="3196"/>
      <c r="Y323" s="3196"/>
      <c r="Z323" s="3196"/>
      <c r="AA323" s="3196"/>
      <c r="AB323" s="3196"/>
      <c r="AC323" s="3195"/>
      <c r="AE323" s="3195"/>
      <c r="AF323" s="3195"/>
      <c r="AG323" s="3195"/>
      <c r="AH323" s="3195"/>
      <c r="AI323" s="3195"/>
    </row>
    <row r="324" spans="1:35" ht="12" customHeight="1">
      <c r="O324" s="3195" t="str">
        <f t="shared" si="20"/>
        <v>Aumentar Rotura</v>
      </c>
      <c r="P324" s="3195" t="str">
        <f t="shared" si="21"/>
        <v>+5</v>
      </c>
      <c r="R324" s="3196"/>
      <c r="S324" s="3196"/>
      <c r="T324" s="3196" t="s">
        <v>4141</v>
      </c>
      <c r="U324" s="3196"/>
      <c r="V324" s="3196"/>
      <c r="W324" s="3196"/>
      <c r="X324" s="3196"/>
      <c r="Y324" s="3196"/>
      <c r="Z324" s="3196"/>
      <c r="AA324" s="3196"/>
      <c r="AB324" s="3196"/>
      <c r="AC324" s="3195"/>
      <c r="AE324" s="3195"/>
      <c r="AF324" s="3195"/>
      <c r="AG324" s="3195"/>
      <c r="AH324" s="3195"/>
      <c r="AI324" s="3195"/>
    </row>
    <row r="325" spans="1:35" ht="12" customHeight="1">
      <c r="O325" s="3195" t="str">
        <f t="shared" si="20"/>
        <v>Aumentar Rotura</v>
      </c>
      <c r="P325" s="3195" t="str">
        <f t="shared" si="21"/>
        <v>+10</v>
      </c>
      <c r="R325" s="3196"/>
      <c r="S325" s="3196"/>
      <c r="T325" s="3196" t="s">
        <v>4142</v>
      </c>
      <c r="U325" s="3196"/>
      <c r="V325" s="3196"/>
      <c r="W325" s="3196"/>
      <c r="X325" s="3196"/>
      <c r="Y325" s="3196"/>
      <c r="Z325" s="3196"/>
      <c r="AA325" s="3196"/>
      <c r="AB325" s="3196"/>
      <c r="AC325" s="3195"/>
      <c r="AE325" s="3195"/>
      <c r="AF325" s="3195"/>
      <c r="AG325" s="3195"/>
      <c r="AH325" s="3195"/>
      <c r="AI325" s="3195"/>
    </row>
    <row r="326" spans="1:35" ht="12" customHeight="1">
      <c r="O326" s="3195" t="str">
        <f t="shared" si="20"/>
        <v>Aumentar Rotura</v>
      </c>
      <c r="P326" s="3195" t="str">
        <f t="shared" si="21"/>
        <v>+15</v>
      </c>
      <c r="R326" s="3196"/>
      <c r="S326" s="3196"/>
      <c r="T326" s="3196" t="s">
        <v>4143</v>
      </c>
      <c r="U326" s="3196"/>
      <c r="V326" s="3196"/>
      <c r="W326" s="3196"/>
      <c r="X326" s="3196"/>
      <c r="Y326" s="3196"/>
      <c r="Z326" s="3196"/>
      <c r="AA326" s="3196"/>
      <c r="AB326" s="3196"/>
      <c r="AC326" s="3195"/>
      <c r="AE326" s="3195"/>
      <c r="AF326" s="3195"/>
      <c r="AG326" s="3195"/>
      <c r="AH326" s="3195"/>
      <c r="AI326" s="3195"/>
    </row>
    <row r="327" spans="1:35" ht="12" customHeight="1">
      <c r="O327" s="3195" t="str">
        <f t="shared" si="20"/>
        <v>Aumentar Rotura</v>
      </c>
      <c r="P327" s="3195" t="str">
        <f t="shared" si="21"/>
        <v>+20</v>
      </c>
      <c r="R327" s="3196"/>
      <c r="S327" s="3196"/>
      <c r="T327" s="3196" t="s">
        <v>4144</v>
      </c>
      <c r="U327" s="3196"/>
      <c r="V327" s="3196"/>
      <c r="W327" s="3196"/>
      <c r="X327" s="3196"/>
      <c r="Y327" s="3196"/>
      <c r="Z327" s="3196"/>
      <c r="AA327" s="3196"/>
      <c r="AB327" s="3196"/>
      <c r="AC327" s="3195"/>
      <c r="AE327" s="3195"/>
      <c r="AF327" s="3195"/>
      <c r="AG327" s="3195"/>
      <c r="AH327" s="3195"/>
      <c r="AI327" s="3195"/>
    </row>
    <row r="328" spans="1:35" ht="12" customHeight="1">
      <c r="O328" s="3195" t="str">
        <f t="shared" ref="O328:O391" si="22">LEFT(T328,FIND(" +",T328)-1)</f>
        <v>Aumentar Rotura</v>
      </c>
      <c r="P328" s="3195" t="str">
        <f t="shared" ref="P328:P391" si="23">MID(T328,FIND("+",T328),20)</f>
        <v>+25</v>
      </c>
      <c r="R328" s="3196"/>
      <c r="S328" s="3196"/>
      <c r="T328" s="3196" t="s">
        <v>4145</v>
      </c>
      <c r="U328" s="3196"/>
      <c r="V328" s="3196"/>
      <c r="W328" s="3196"/>
      <c r="X328" s="3196"/>
      <c r="Y328" s="3196"/>
      <c r="Z328" s="3196"/>
      <c r="AA328" s="3196"/>
      <c r="AB328" s="3196"/>
      <c r="AC328" s="3195"/>
      <c r="AE328" s="3195"/>
      <c r="AF328" s="3195"/>
      <c r="AG328" s="3195"/>
      <c r="AH328" s="3195"/>
      <c r="AI328" s="3195"/>
    </row>
    <row r="329" spans="1:35" ht="12" customHeight="1">
      <c r="O329" s="3195" t="str">
        <f t="shared" si="22"/>
        <v>Aumentar Rotura</v>
      </c>
      <c r="P329" s="3195" t="str">
        <f t="shared" si="23"/>
        <v>+30</v>
      </c>
      <c r="R329" s="3196"/>
      <c r="S329" s="3196"/>
      <c r="T329" s="3196" t="s">
        <v>4146</v>
      </c>
      <c r="U329" s="3196"/>
      <c r="V329" s="3196"/>
      <c r="W329" s="3196"/>
      <c r="X329" s="3196"/>
      <c r="Y329" s="3196"/>
      <c r="Z329" s="3196"/>
      <c r="AA329" s="3196"/>
      <c r="AB329" s="3196"/>
      <c r="AC329" s="3195"/>
      <c r="AE329" s="3195"/>
      <c r="AF329" s="3195"/>
      <c r="AG329" s="3195"/>
      <c r="AH329" s="3195"/>
      <c r="AI329" s="3195"/>
    </row>
    <row r="330" spans="1:35" ht="12" customHeight="1">
      <c r="O330" s="3195" t="str">
        <f t="shared" si="22"/>
        <v>Aumentar Rotura</v>
      </c>
      <c r="P330" s="3195" t="str">
        <f t="shared" si="23"/>
        <v>+35</v>
      </c>
      <c r="R330" s="3196"/>
      <c r="S330" s="3196"/>
      <c r="T330" s="3196" t="s">
        <v>4147</v>
      </c>
      <c r="U330" s="3196"/>
      <c r="V330" s="3196"/>
      <c r="W330" s="3196"/>
      <c r="X330" s="3196"/>
      <c r="Y330" s="3196"/>
      <c r="Z330" s="3196"/>
      <c r="AA330" s="3196"/>
      <c r="AB330" s="3196"/>
      <c r="AC330" s="3195"/>
      <c r="AE330" s="3195"/>
      <c r="AF330" s="3195"/>
      <c r="AG330" s="3195"/>
      <c r="AH330" s="3195"/>
      <c r="AI330" s="3195"/>
    </row>
    <row r="331" spans="1:35" ht="12" customHeight="1">
      <c r="O331" s="3195" t="str">
        <f t="shared" si="22"/>
        <v>Aumentar Rotura</v>
      </c>
      <c r="P331" s="3195" t="str">
        <f t="shared" si="23"/>
        <v>+40</v>
      </c>
      <c r="R331" s="3196"/>
      <c r="S331" s="3196"/>
      <c r="T331" s="3196" t="s">
        <v>4148</v>
      </c>
      <c r="U331" s="3196"/>
      <c r="V331" s="3196"/>
      <c r="W331" s="3196"/>
      <c r="X331" s="3196"/>
      <c r="Y331" s="3196"/>
      <c r="Z331" s="3196"/>
      <c r="AA331" s="3196"/>
      <c r="AB331" s="3196"/>
      <c r="AC331" s="3195"/>
      <c r="AE331" s="3195"/>
      <c r="AF331" s="3195"/>
      <c r="AG331" s="3195"/>
      <c r="AH331" s="3195"/>
      <c r="AI331" s="3195"/>
    </row>
    <row r="332" spans="1:35" ht="12" customHeight="1">
      <c r="A332" s="3195"/>
      <c r="O332" s="3195" t="e">
        <f t="shared" si="22"/>
        <v>#VALUE!</v>
      </c>
      <c r="P332" s="3195" t="e">
        <f t="shared" si="23"/>
        <v>#VALUE!</v>
      </c>
      <c r="T332" s="3195" t="s">
        <v>3474</v>
      </c>
      <c r="Y332" s="3195"/>
      <c r="Z332" s="3195"/>
      <c r="AA332" s="3195"/>
      <c r="AB332" s="3195"/>
      <c r="AC332" s="3195"/>
      <c r="AE332" s="3195"/>
      <c r="AF332" s="3195"/>
      <c r="AG332" s="3195"/>
      <c r="AH332" s="3195"/>
      <c r="AI332" s="3195"/>
    </row>
    <row r="333" spans="1:35" ht="12" customHeight="1">
      <c r="A333" s="3195"/>
      <c r="O333" s="3195" t="str">
        <f t="shared" si="22"/>
        <v>Aumentar Entereza</v>
      </c>
      <c r="P333" s="3195" t="str">
        <f t="shared" si="23"/>
        <v>+10</v>
      </c>
      <c r="T333" s="3195" t="s">
        <v>4149</v>
      </c>
      <c r="Y333" s="3195"/>
      <c r="Z333" s="3195"/>
      <c r="AA333" s="3195"/>
      <c r="AB333" s="3195"/>
      <c r="AC333" s="3195"/>
      <c r="AE333" s="3195"/>
      <c r="AF333" s="3195"/>
      <c r="AG333" s="3195"/>
      <c r="AH333" s="3195"/>
      <c r="AI333" s="3195"/>
    </row>
    <row r="334" spans="1:35" ht="12" customHeight="1">
      <c r="O334" s="3195" t="str">
        <f t="shared" si="22"/>
        <v>Aumentar Entereza</v>
      </c>
      <c r="P334" s="3195" t="str">
        <f t="shared" si="23"/>
        <v>+15</v>
      </c>
      <c r="R334" s="3196"/>
      <c r="S334" s="3196"/>
      <c r="T334" s="3196" t="s">
        <v>4150</v>
      </c>
      <c r="U334" s="3196"/>
      <c r="V334" s="3196"/>
      <c r="W334" s="3196"/>
      <c r="X334" s="3196"/>
      <c r="Y334" s="3196"/>
      <c r="Z334" s="3196"/>
      <c r="AA334" s="3196"/>
      <c r="AB334" s="3195"/>
      <c r="AC334" s="3195"/>
      <c r="AE334" s="3195"/>
      <c r="AF334" s="3195"/>
      <c r="AG334" s="3195"/>
      <c r="AH334" s="3195"/>
      <c r="AI334" s="3195"/>
    </row>
    <row r="335" spans="1:35" ht="12" customHeight="1">
      <c r="O335" s="3195" t="str">
        <f t="shared" si="22"/>
        <v>Aumentar Entereza</v>
      </c>
      <c r="P335" s="3195" t="str">
        <f t="shared" si="23"/>
        <v>+20</v>
      </c>
      <c r="R335" s="3196"/>
      <c r="S335" s="3196"/>
      <c r="T335" s="3196" t="s">
        <v>4151</v>
      </c>
      <c r="U335" s="3196"/>
      <c r="V335" s="3196"/>
      <c r="W335" s="3196"/>
      <c r="X335" s="3196"/>
      <c r="Y335" s="3196"/>
      <c r="Z335" s="3196"/>
      <c r="AA335" s="3196"/>
      <c r="AB335" s="3195"/>
      <c r="AC335" s="3195"/>
      <c r="AE335" s="3195"/>
      <c r="AF335" s="3195"/>
      <c r="AG335" s="3195"/>
      <c r="AH335" s="3195"/>
      <c r="AI335" s="3195"/>
    </row>
    <row r="336" spans="1:35" ht="12" customHeight="1">
      <c r="O336" s="3195" t="str">
        <f t="shared" si="22"/>
        <v>Aumentar Entereza</v>
      </c>
      <c r="P336" s="3195" t="str">
        <f t="shared" si="23"/>
        <v>+25</v>
      </c>
      <c r="R336" s="3196"/>
      <c r="S336" s="3196"/>
      <c r="T336" s="3196" t="s">
        <v>4152</v>
      </c>
      <c r="U336" s="3196"/>
      <c r="V336" s="3196"/>
      <c r="W336" s="3196"/>
      <c r="X336" s="3196"/>
      <c r="Y336" s="3196"/>
      <c r="Z336" s="3196"/>
      <c r="AA336" s="3196"/>
      <c r="AB336" s="3195"/>
      <c r="AC336" s="3195"/>
      <c r="AE336" s="3195"/>
      <c r="AF336" s="3195"/>
      <c r="AG336" s="3195"/>
      <c r="AH336" s="3195"/>
      <c r="AI336" s="3195"/>
    </row>
    <row r="337" spans="1:35" ht="12" customHeight="1">
      <c r="O337" s="3195" t="str">
        <f t="shared" si="22"/>
        <v>Aumentar Entereza</v>
      </c>
      <c r="P337" s="3195" t="str">
        <f t="shared" si="23"/>
        <v>+30</v>
      </c>
      <c r="R337" s="3196"/>
      <c r="S337" s="3196"/>
      <c r="T337" s="3196" t="s">
        <v>4153</v>
      </c>
      <c r="U337" s="3196"/>
      <c r="V337" s="3196"/>
      <c r="W337" s="3196"/>
      <c r="X337" s="3196"/>
      <c r="Y337" s="3196"/>
      <c r="Z337" s="3196"/>
      <c r="AA337" s="3196"/>
      <c r="AB337" s="3195"/>
      <c r="AC337" s="3195"/>
      <c r="AE337" s="3195"/>
      <c r="AF337" s="3195"/>
      <c r="AG337" s="3195"/>
      <c r="AH337" s="3195"/>
      <c r="AI337" s="3195"/>
    </row>
    <row r="338" spans="1:35" ht="12" customHeight="1">
      <c r="O338" s="3195" t="str">
        <f t="shared" si="22"/>
        <v>Aumentar Entereza</v>
      </c>
      <c r="P338" s="3195" t="str">
        <f t="shared" si="23"/>
        <v>+35</v>
      </c>
      <c r="R338" s="3196"/>
      <c r="S338" s="3196"/>
      <c r="T338" s="3196" t="s">
        <v>4154</v>
      </c>
      <c r="U338" s="3196"/>
      <c r="V338" s="3196"/>
      <c r="W338" s="3196"/>
      <c r="X338" s="3196"/>
      <c r="Y338" s="3196"/>
      <c r="Z338" s="3196"/>
      <c r="AA338" s="3196"/>
      <c r="AB338" s="3195"/>
      <c r="AC338" s="3195"/>
      <c r="AE338" s="3195"/>
      <c r="AF338" s="3195"/>
      <c r="AG338" s="3195"/>
      <c r="AH338" s="3195"/>
      <c r="AI338" s="3195"/>
    </row>
    <row r="339" spans="1:35" ht="12" customHeight="1">
      <c r="O339" s="3195" t="str">
        <f t="shared" si="22"/>
        <v>Aumentar Entereza</v>
      </c>
      <c r="P339" s="3195" t="str">
        <f t="shared" si="23"/>
        <v>+40</v>
      </c>
      <c r="R339" s="3196"/>
      <c r="S339" s="3196"/>
      <c r="T339" s="3196" t="s">
        <v>4155</v>
      </c>
      <c r="U339" s="3196"/>
      <c r="V339" s="3196"/>
      <c r="W339" s="3196"/>
      <c r="X339" s="3196"/>
      <c r="Y339" s="3196"/>
      <c r="Z339" s="3196"/>
      <c r="AA339" s="3196"/>
      <c r="AB339" s="3195"/>
      <c r="AC339" s="3195"/>
      <c r="AE339" s="3195"/>
      <c r="AF339" s="3195"/>
      <c r="AG339" s="3195"/>
      <c r="AH339" s="3195"/>
      <c r="AI339" s="3195"/>
    </row>
    <row r="340" spans="1:35" ht="12" customHeight="1">
      <c r="O340" s="3195" t="e">
        <f t="shared" si="22"/>
        <v>#VALUE!</v>
      </c>
      <c r="P340" s="3195" t="e">
        <f t="shared" si="23"/>
        <v>#VALUE!</v>
      </c>
      <c r="R340" s="3196"/>
      <c r="S340" s="3196"/>
      <c r="T340" s="3196" t="s">
        <v>3478</v>
      </c>
      <c r="U340" s="3196"/>
      <c r="V340" s="3196"/>
      <c r="W340" s="3196"/>
      <c r="X340" s="3196"/>
      <c r="Y340" s="3196"/>
      <c r="Z340" s="3196"/>
      <c r="AA340" s="3196"/>
      <c r="AB340" s="3195"/>
      <c r="AC340" s="3195"/>
      <c r="AE340" s="3195"/>
      <c r="AF340" s="3195"/>
      <c r="AG340" s="3195"/>
      <c r="AH340" s="3195"/>
      <c r="AI340" s="3195"/>
    </row>
    <row r="341" spans="1:35" ht="12" customHeight="1">
      <c r="O341" s="3195" t="e">
        <f t="shared" si="22"/>
        <v>#VALUE!</v>
      </c>
      <c r="P341" s="3195" t="e">
        <f t="shared" si="23"/>
        <v>#VALUE!</v>
      </c>
      <c r="R341" s="3196"/>
      <c r="S341" s="3196"/>
      <c r="T341" s="3196" t="s">
        <v>4156</v>
      </c>
      <c r="U341" s="3196"/>
      <c r="V341" s="3196"/>
      <c r="W341" s="3196"/>
      <c r="X341" s="3196"/>
      <c r="Y341" s="3196"/>
      <c r="Z341" s="3196"/>
      <c r="AA341" s="3196"/>
      <c r="AB341" s="3195"/>
      <c r="AC341" s="3195"/>
      <c r="AE341" s="3195"/>
      <c r="AF341" s="3195"/>
      <c r="AG341" s="3195"/>
      <c r="AH341" s="3195"/>
      <c r="AI341" s="3195"/>
    </row>
    <row r="342" spans="1:35" ht="12" customHeight="1">
      <c r="A342" s="3195"/>
      <c r="O342" s="3195" t="e">
        <f t="shared" si="22"/>
        <v>#VALUE!</v>
      </c>
      <c r="P342" s="3195" t="e">
        <f t="shared" si="23"/>
        <v>#VALUE!</v>
      </c>
      <c r="T342" s="3195" t="s">
        <v>4157</v>
      </c>
      <c r="Y342" s="3195"/>
      <c r="Z342" s="3195"/>
      <c r="AA342" s="3195"/>
      <c r="AB342" s="3195"/>
      <c r="AC342" s="3195"/>
      <c r="AE342" s="3195"/>
      <c r="AF342" s="3195"/>
      <c r="AG342" s="3195"/>
      <c r="AH342" s="3195"/>
      <c r="AI342" s="3195"/>
    </row>
    <row r="343" spans="1:35" ht="12" customHeight="1">
      <c r="O343" s="3195" t="e">
        <f t="shared" si="22"/>
        <v>#VALUE!</v>
      </c>
      <c r="P343" s="3195" t="e">
        <f t="shared" si="23"/>
        <v>#VALUE!</v>
      </c>
      <c r="R343" s="3196"/>
      <c r="S343" s="3196"/>
      <c r="T343" s="3196" t="s">
        <v>4158</v>
      </c>
      <c r="U343" s="3196"/>
      <c r="V343" s="3196"/>
      <c r="W343" s="3196"/>
      <c r="X343" s="3196"/>
      <c r="Y343" s="3196"/>
      <c r="Z343" s="3196"/>
      <c r="AA343" s="3196"/>
      <c r="AB343" s="3196"/>
      <c r="AC343" s="3195"/>
      <c r="AE343" s="3195"/>
      <c r="AF343" s="3195"/>
      <c r="AG343" s="3195"/>
      <c r="AH343" s="3195"/>
      <c r="AI343" s="3195"/>
    </row>
    <row r="344" spans="1:35" ht="12" customHeight="1">
      <c r="O344" s="3195" t="e">
        <f t="shared" si="22"/>
        <v>#VALUE!</v>
      </c>
      <c r="P344" s="3195" t="e">
        <f t="shared" si="23"/>
        <v>#VALUE!</v>
      </c>
      <c r="R344" s="3196"/>
      <c r="S344" s="3196"/>
      <c r="T344" s="3196" t="s">
        <v>4159</v>
      </c>
      <c r="U344" s="3196"/>
      <c r="V344" s="3196"/>
      <c r="W344" s="3196"/>
      <c r="X344" s="3196"/>
      <c r="Y344" s="3196"/>
      <c r="Z344" s="3196"/>
      <c r="AA344" s="3196"/>
      <c r="AB344" s="3196"/>
      <c r="AC344" s="3195"/>
      <c r="AE344" s="3195"/>
      <c r="AF344" s="3195"/>
      <c r="AG344" s="3195"/>
      <c r="AH344" s="3195"/>
      <c r="AI344" s="3195"/>
    </row>
    <row r="345" spans="1:35" ht="12" customHeight="1">
      <c r="O345" s="3195" t="e">
        <f t="shared" si="22"/>
        <v>#VALUE!</v>
      </c>
      <c r="P345" s="3195" t="e">
        <f t="shared" si="23"/>
        <v>#VALUE!</v>
      </c>
      <c r="R345" s="3196"/>
      <c r="S345" s="3196"/>
      <c r="T345" s="3196" t="s">
        <v>4160</v>
      </c>
      <c r="U345" s="3196"/>
      <c r="V345" s="3196"/>
      <c r="W345" s="3196"/>
      <c r="X345" s="3196"/>
      <c r="Y345" s="3196"/>
      <c r="Z345" s="3196"/>
      <c r="AA345" s="3196"/>
      <c r="AB345" s="3196"/>
      <c r="AC345" s="3195"/>
      <c r="AE345" s="3195"/>
      <c r="AF345" s="3195"/>
      <c r="AG345" s="3195"/>
      <c r="AH345" s="3195"/>
      <c r="AI345" s="3195"/>
    </row>
    <row r="346" spans="1:35" ht="12" customHeight="1">
      <c r="O346" s="3195" t="e">
        <f t="shared" si="22"/>
        <v>#VALUE!</v>
      </c>
      <c r="P346" s="3195" t="e">
        <f t="shared" si="23"/>
        <v>#VALUE!</v>
      </c>
      <c r="R346" s="3196"/>
      <c r="S346" s="3196"/>
      <c r="T346" s="3196" t="s">
        <v>4161</v>
      </c>
      <c r="U346" s="3196"/>
      <c r="V346" s="3196"/>
      <c r="W346" s="3196"/>
      <c r="X346" s="3196"/>
      <c r="Y346" s="3196"/>
      <c r="Z346" s="3196"/>
      <c r="AA346" s="3196"/>
      <c r="AB346" s="3196"/>
      <c r="AC346" s="3195"/>
      <c r="AE346" s="3195"/>
      <c r="AF346" s="3195"/>
      <c r="AG346" s="3195"/>
      <c r="AH346" s="3195"/>
      <c r="AI346" s="3195"/>
    </row>
    <row r="347" spans="1:35" ht="12" customHeight="1">
      <c r="O347" s="3195" t="e">
        <f t="shared" si="22"/>
        <v>#VALUE!</v>
      </c>
      <c r="P347" s="3195" t="e">
        <f t="shared" si="23"/>
        <v>#VALUE!</v>
      </c>
      <c r="R347" s="3196"/>
      <c r="S347" s="3196"/>
      <c r="T347" s="3196" t="s">
        <v>4162</v>
      </c>
      <c r="U347" s="3196"/>
      <c r="V347" s="3196"/>
      <c r="W347" s="3196"/>
      <c r="X347" s="3196"/>
      <c r="Y347" s="3196"/>
      <c r="Z347" s="3196"/>
      <c r="AA347" s="3196"/>
      <c r="AB347" s="3196"/>
      <c r="AC347" s="3195"/>
      <c r="AE347" s="3195"/>
      <c r="AF347" s="3195"/>
      <c r="AG347" s="3195"/>
      <c r="AH347" s="3195"/>
      <c r="AI347" s="3195"/>
    </row>
    <row r="348" spans="1:35" ht="12" customHeight="1">
      <c r="O348" s="3195" t="e">
        <f t="shared" si="22"/>
        <v>#VALUE!</v>
      </c>
      <c r="P348" s="3195" t="e">
        <f t="shared" si="23"/>
        <v>#VALUE!</v>
      </c>
      <c r="R348" s="3196"/>
      <c r="S348" s="3196"/>
      <c r="T348" s="3196" t="s">
        <v>4163</v>
      </c>
      <c r="U348" s="3196"/>
      <c r="V348" s="3196"/>
      <c r="W348" s="3196"/>
      <c r="X348" s="3196"/>
      <c r="Y348" s="3196"/>
      <c r="Z348" s="3196"/>
      <c r="AA348" s="3196"/>
      <c r="AB348" s="3196"/>
      <c r="AC348" s="3195"/>
      <c r="AE348" s="3195"/>
      <c r="AF348" s="3195"/>
      <c r="AG348" s="3195"/>
      <c r="AH348" s="3195"/>
      <c r="AI348" s="3195"/>
    </row>
    <row r="349" spans="1:35" ht="12" customHeight="1">
      <c r="O349" s="3195" t="e">
        <f t="shared" si="22"/>
        <v>#VALUE!</v>
      </c>
      <c r="P349" s="3195" t="e">
        <f t="shared" si="23"/>
        <v>#VALUE!</v>
      </c>
      <c r="R349" s="3196"/>
      <c r="S349" s="3196"/>
      <c r="T349" s="3196" t="s">
        <v>4164</v>
      </c>
      <c r="U349" s="3196"/>
      <c r="V349" s="3196"/>
      <c r="W349" s="3196"/>
      <c r="X349" s="3196"/>
      <c r="Y349" s="3196"/>
      <c r="Z349" s="3196"/>
      <c r="AA349" s="3196"/>
      <c r="AB349" s="3196"/>
      <c r="AC349" s="3195"/>
      <c r="AE349" s="3195"/>
      <c r="AF349" s="3195"/>
      <c r="AG349" s="3195"/>
      <c r="AH349" s="3195"/>
      <c r="AI349" s="3195"/>
    </row>
    <row r="350" spans="1:35" ht="12" customHeight="1">
      <c r="A350" s="3195"/>
      <c r="O350" s="3195" t="e">
        <f t="shared" si="22"/>
        <v>#VALUE!</v>
      </c>
      <c r="P350" s="3195" t="e">
        <f t="shared" si="23"/>
        <v>#VALUE!</v>
      </c>
      <c r="T350" s="3195" t="s">
        <v>1860</v>
      </c>
      <c r="Y350" s="3195"/>
      <c r="Z350" s="3195"/>
      <c r="AA350" s="3195"/>
      <c r="AB350" s="3195"/>
      <c r="AC350" s="3195"/>
      <c r="AE350" s="3195"/>
      <c r="AF350" s="3195"/>
      <c r="AG350" s="3195"/>
      <c r="AH350" s="3195"/>
      <c r="AI350" s="3195"/>
    </row>
    <row r="351" spans="1:35" ht="12" customHeight="1">
      <c r="O351" s="3195" t="e">
        <f t="shared" si="22"/>
        <v>#VALUE!</v>
      </c>
      <c r="P351" s="3195" t="e">
        <f t="shared" si="23"/>
        <v>#VALUE!</v>
      </c>
      <c r="R351" s="3196"/>
      <c r="S351" s="3196"/>
      <c r="T351" s="3196" t="s">
        <v>4165</v>
      </c>
      <c r="U351" s="3196"/>
      <c r="V351" s="3196"/>
      <c r="W351" s="3196"/>
      <c r="X351" s="3196"/>
      <c r="Y351" s="3196"/>
      <c r="Z351" s="3196"/>
      <c r="AA351" s="3196"/>
      <c r="AB351" s="3196"/>
      <c r="AC351" s="3196"/>
      <c r="AE351" s="3195"/>
      <c r="AF351" s="3195"/>
      <c r="AG351" s="3195"/>
      <c r="AH351" s="3195"/>
      <c r="AI351" s="3195"/>
    </row>
    <row r="352" spans="1:35" ht="12" customHeight="1">
      <c r="O352" s="3195" t="e">
        <f t="shared" si="22"/>
        <v>#VALUE!</v>
      </c>
      <c r="P352" s="3195" t="e">
        <f t="shared" si="23"/>
        <v>#VALUE!</v>
      </c>
      <c r="R352" s="3196"/>
      <c r="S352" s="3196"/>
      <c r="T352" s="3196" t="s">
        <v>4166</v>
      </c>
      <c r="U352" s="3196"/>
      <c r="V352" s="3196"/>
      <c r="W352" s="3196"/>
      <c r="X352" s="3196"/>
      <c r="Y352" s="3196"/>
      <c r="Z352" s="3196"/>
      <c r="AA352" s="3196"/>
      <c r="AB352" s="3196"/>
      <c r="AC352" s="3195"/>
      <c r="AE352" s="3195"/>
      <c r="AF352" s="3195"/>
      <c r="AG352" s="3195"/>
      <c r="AH352" s="3195"/>
      <c r="AI352" s="3195"/>
    </row>
    <row r="353" spans="1:35" ht="12" customHeight="1">
      <c r="O353" s="3195" t="e">
        <f t="shared" si="22"/>
        <v>#VALUE!</v>
      </c>
      <c r="P353" s="3195" t="e">
        <f t="shared" si="23"/>
        <v>#VALUE!</v>
      </c>
      <c r="R353" s="3196"/>
      <c r="S353" s="3196"/>
      <c r="T353" s="3196" t="s">
        <v>4167</v>
      </c>
      <c r="U353" s="3196"/>
      <c r="V353" s="3196"/>
      <c r="W353" s="3196"/>
      <c r="X353" s="3196"/>
      <c r="Y353" s="3196"/>
      <c r="Z353" s="3196"/>
      <c r="AA353" s="3196"/>
      <c r="AB353" s="3196"/>
      <c r="AC353" s="3195"/>
      <c r="AE353" s="3195"/>
      <c r="AF353" s="3195"/>
      <c r="AG353" s="3195"/>
      <c r="AH353" s="3195"/>
      <c r="AI353" s="3195"/>
    </row>
    <row r="354" spans="1:35" ht="12" customHeight="1">
      <c r="O354" s="3195" t="e">
        <f t="shared" si="22"/>
        <v>#VALUE!</v>
      </c>
      <c r="P354" s="3195" t="e">
        <f t="shared" si="23"/>
        <v>#VALUE!</v>
      </c>
      <c r="R354" s="3196"/>
      <c r="S354" s="3196"/>
      <c r="T354" s="3196" t="s">
        <v>4168</v>
      </c>
      <c r="U354" s="3196"/>
      <c r="V354" s="3196"/>
      <c r="W354" s="3196"/>
      <c r="X354" s="3196"/>
      <c r="Y354" s="3196"/>
      <c r="Z354" s="3196"/>
      <c r="AA354" s="3196"/>
      <c r="AB354" s="3196"/>
      <c r="AC354" s="3195"/>
      <c r="AE354" s="3195"/>
      <c r="AF354" s="3195"/>
      <c r="AG354" s="3195"/>
      <c r="AH354" s="3195"/>
      <c r="AI354" s="3195"/>
    </row>
    <row r="355" spans="1:35" ht="12" customHeight="1">
      <c r="O355" s="3195" t="e">
        <f t="shared" si="22"/>
        <v>#VALUE!</v>
      </c>
      <c r="P355" s="3195" t="e">
        <f t="shared" si="23"/>
        <v>#VALUE!</v>
      </c>
      <c r="R355" s="3196"/>
      <c r="S355" s="3196"/>
      <c r="T355" s="3196" t="s">
        <v>4169</v>
      </c>
      <c r="U355" s="3196"/>
      <c r="V355" s="3196"/>
      <c r="W355" s="3196"/>
      <c r="X355" s="3196"/>
      <c r="Y355" s="3196"/>
      <c r="Z355" s="3196"/>
      <c r="AA355" s="3196"/>
      <c r="AB355" s="3196"/>
      <c r="AC355" s="3195"/>
      <c r="AE355" s="3195"/>
      <c r="AF355" s="3195"/>
      <c r="AG355" s="3195"/>
      <c r="AH355" s="3195"/>
      <c r="AI355" s="3195"/>
    </row>
    <row r="356" spans="1:35" ht="12" customHeight="1">
      <c r="O356" s="3195" t="e">
        <f t="shared" si="22"/>
        <v>#VALUE!</v>
      </c>
      <c r="P356" s="3195" t="e">
        <f t="shared" si="23"/>
        <v>#VALUE!</v>
      </c>
      <c r="R356" s="3196"/>
      <c r="S356" s="3196"/>
      <c r="T356" s="3196" t="s">
        <v>4170</v>
      </c>
      <c r="U356" s="3196"/>
      <c r="V356" s="3196"/>
      <c r="W356" s="3196"/>
      <c r="X356" s="3196"/>
      <c r="Y356" s="3196"/>
      <c r="Z356" s="3196"/>
      <c r="AA356" s="3196"/>
      <c r="AB356" s="3196"/>
      <c r="AC356" s="3195"/>
      <c r="AE356" s="3195"/>
      <c r="AF356" s="3195"/>
      <c r="AG356" s="3195"/>
      <c r="AH356" s="3195"/>
      <c r="AI356" s="3195"/>
    </row>
    <row r="357" spans="1:35" ht="12" customHeight="1">
      <c r="O357" s="3195" t="e">
        <f t="shared" si="22"/>
        <v>#VALUE!</v>
      </c>
      <c r="P357" s="3195" t="e">
        <f t="shared" si="23"/>
        <v>#VALUE!</v>
      </c>
      <c r="R357" s="3196"/>
      <c r="S357" s="3196"/>
      <c r="T357" s="3196" t="s">
        <v>4171</v>
      </c>
      <c r="U357" s="3196"/>
      <c r="V357" s="3196"/>
      <c r="W357" s="3196"/>
      <c r="X357" s="3196"/>
      <c r="Y357" s="3196"/>
      <c r="Z357" s="3196"/>
      <c r="AA357" s="3196"/>
      <c r="AB357" s="3196"/>
      <c r="AC357" s="3195"/>
      <c r="AE357" s="3195"/>
      <c r="AF357" s="3195"/>
      <c r="AG357" s="3195"/>
      <c r="AH357" s="3195"/>
      <c r="AI357" s="3195"/>
    </row>
    <row r="358" spans="1:35" ht="12" customHeight="1">
      <c r="O358" s="3195" t="e">
        <f t="shared" si="22"/>
        <v>#VALUE!</v>
      </c>
      <c r="P358" s="3195" t="e">
        <f t="shared" si="23"/>
        <v>#VALUE!</v>
      </c>
      <c r="R358" s="3196"/>
      <c r="S358" s="3196"/>
      <c r="T358" s="3196" t="s">
        <v>4172</v>
      </c>
      <c r="U358" s="3196"/>
      <c r="V358" s="3196"/>
      <c r="W358" s="3196"/>
      <c r="X358" s="3196"/>
      <c r="Y358" s="3196"/>
      <c r="Z358" s="3196"/>
      <c r="AA358" s="3196"/>
      <c r="AB358" s="3196"/>
      <c r="AC358" s="3195"/>
      <c r="AE358" s="3195"/>
      <c r="AF358" s="3195"/>
      <c r="AG358" s="3195"/>
      <c r="AH358" s="3195"/>
      <c r="AI358" s="3195"/>
    </row>
    <row r="359" spans="1:35" ht="12" customHeight="1">
      <c r="O359" s="3195" t="e">
        <f t="shared" si="22"/>
        <v>#VALUE!</v>
      </c>
      <c r="P359" s="3195" t="e">
        <f t="shared" si="23"/>
        <v>#VALUE!</v>
      </c>
      <c r="R359" s="3196"/>
      <c r="S359" s="3196"/>
      <c r="T359" s="3196" t="s">
        <v>4173</v>
      </c>
      <c r="U359" s="3196"/>
      <c r="V359" s="3196"/>
      <c r="W359" s="3196"/>
      <c r="X359" s="3196"/>
      <c r="Y359" s="3196"/>
      <c r="Z359" s="3196"/>
      <c r="AA359" s="3196"/>
      <c r="AB359" s="3196"/>
      <c r="AC359" s="3195"/>
      <c r="AE359" s="3195"/>
      <c r="AF359" s="3195"/>
      <c r="AG359" s="3195"/>
      <c r="AH359" s="3195"/>
      <c r="AI359" s="3195"/>
    </row>
    <row r="360" spans="1:35" ht="12" customHeight="1">
      <c r="A360" s="3195"/>
      <c r="O360" s="3195" t="e">
        <f t="shared" si="22"/>
        <v>#VALUE!</v>
      </c>
      <c r="P360" s="3195" t="e">
        <f t="shared" si="23"/>
        <v>#VALUE!</v>
      </c>
      <c r="T360" s="3195" t="s">
        <v>4174</v>
      </c>
      <c r="Y360" s="3195"/>
      <c r="Z360" s="3195"/>
      <c r="AA360" s="3195"/>
      <c r="AB360" s="3195"/>
      <c r="AC360" s="3195"/>
      <c r="AE360" s="3195"/>
      <c r="AF360" s="3195"/>
      <c r="AG360" s="3195"/>
      <c r="AH360" s="3195"/>
      <c r="AI360" s="3195"/>
    </row>
    <row r="361" spans="1:35" ht="12" customHeight="1">
      <c r="O361" s="3195" t="e">
        <f t="shared" si="22"/>
        <v>#VALUE!</v>
      </c>
      <c r="P361" s="3195" t="e">
        <f t="shared" si="23"/>
        <v>#VALUE!</v>
      </c>
      <c r="R361" s="3196"/>
      <c r="S361" s="3196"/>
      <c r="T361" s="3196" t="s">
        <v>4175</v>
      </c>
      <c r="U361" s="3196"/>
      <c r="V361" s="3196"/>
      <c r="W361" s="3196"/>
      <c r="X361" s="3196"/>
      <c r="Y361" s="3196"/>
      <c r="Z361" s="3196"/>
      <c r="AA361" s="3196"/>
      <c r="AB361" s="3196"/>
      <c r="AC361" s="3195"/>
      <c r="AE361" s="3195"/>
      <c r="AF361" s="3195"/>
      <c r="AG361" s="3195"/>
      <c r="AH361" s="3195"/>
      <c r="AI361" s="3195"/>
    </row>
    <row r="362" spans="1:35" ht="12" customHeight="1">
      <c r="O362" s="3195" t="e">
        <f t="shared" si="22"/>
        <v>#VALUE!</v>
      </c>
      <c r="P362" s="3195" t="e">
        <f t="shared" si="23"/>
        <v>#VALUE!</v>
      </c>
      <c r="R362" s="3196"/>
      <c r="S362" s="3196"/>
      <c r="T362" s="3196" t="s">
        <v>4176</v>
      </c>
      <c r="U362" s="3196"/>
      <c r="V362" s="3196"/>
      <c r="W362" s="3196"/>
      <c r="X362" s="3196"/>
      <c r="Y362" s="3196"/>
      <c r="Z362" s="3196"/>
      <c r="AA362" s="3196"/>
      <c r="AB362" s="3196"/>
      <c r="AC362" s="3195"/>
      <c r="AE362" s="3195"/>
      <c r="AF362" s="3195"/>
      <c r="AG362" s="3195"/>
      <c r="AH362" s="3195"/>
      <c r="AI362" s="3195"/>
    </row>
    <row r="363" spans="1:35" ht="12" customHeight="1">
      <c r="O363" s="3195" t="e">
        <f t="shared" si="22"/>
        <v>#VALUE!</v>
      </c>
      <c r="P363" s="3195" t="e">
        <f t="shared" si="23"/>
        <v>#VALUE!</v>
      </c>
      <c r="R363" s="3196"/>
      <c r="S363" s="3196"/>
      <c r="T363" s="3196" t="s">
        <v>4177</v>
      </c>
      <c r="U363" s="3196"/>
      <c r="V363" s="3196"/>
      <c r="W363" s="3196"/>
      <c r="X363" s="3196"/>
      <c r="Y363" s="3196"/>
      <c r="Z363" s="3196"/>
      <c r="AA363" s="3196"/>
      <c r="AB363" s="3196"/>
      <c r="AC363" s="3195"/>
      <c r="AE363" s="3195"/>
      <c r="AF363" s="3195"/>
      <c r="AG363" s="3195"/>
      <c r="AH363" s="3195"/>
      <c r="AI363" s="3195"/>
    </row>
    <row r="364" spans="1:35" ht="12" customHeight="1">
      <c r="O364" s="3195" t="e">
        <f t="shared" si="22"/>
        <v>#VALUE!</v>
      </c>
      <c r="P364" s="3195" t="e">
        <f t="shared" si="23"/>
        <v>#VALUE!</v>
      </c>
      <c r="R364" s="3196"/>
      <c r="S364" s="3196"/>
      <c r="T364" s="3196" t="s">
        <v>3599</v>
      </c>
      <c r="U364" s="3196"/>
      <c r="V364" s="3196"/>
      <c r="W364" s="3196"/>
      <c r="X364" s="3196"/>
      <c r="Y364" s="3196"/>
      <c r="Z364" s="3196"/>
      <c r="AA364" s="3196"/>
      <c r="AB364" s="3196"/>
      <c r="AC364" s="3195"/>
      <c r="AE364" s="3195"/>
      <c r="AF364" s="3195"/>
      <c r="AG364" s="3195"/>
      <c r="AH364" s="3195"/>
      <c r="AI364" s="3195"/>
    </row>
    <row r="365" spans="1:35" ht="12" customHeight="1">
      <c r="O365" s="3195" t="e">
        <f t="shared" si="22"/>
        <v>#VALUE!</v>
      </c>
      <c r="P365" s="3195" t="e">
        <f t="shared" si="23"/>
        <v>#VALUE!</v>
      </c>
      <c r="R365" s="3196"/>
      <c r="S365" s="3196"/>
      <c r="T365" s="3196" t="s">
        <v>3488</v>
      </c>
      <c r="U365" s="3196"/>
      <c r="V365" s="3196"/>
      <c r="W365" s="3196"/>
      <c r="X365" s="3196"/>
      <c r="Y365" s="3196"/>
      <c r="Z365" s="3196"/>
      <c r="AA365" s="3196"/>
      <c r="AB365" s="3196"/>
      <c r="AC365" s="3195"/>
      <c r="AE365" s="3195"/>
      <c r="AF365" s="3195"/>
      <c r="AG365" s="3195"/>
      <c r="AH365" s="3195"/>
      <c r="AI365" s="3195"/>
    </row>
    <row r="366" spans="1:35" ht="12" customHeight="1">
      <c r="O366" s="3195" t="e">
        <f t="shared" si="22"/>
        <v>#VALUE!</v>
      </c>
      <c r="P366" s="3195" t="e">
        <f t="shared" si="23"/>
        <v>#VALUE!</v>
      </c>
      <c r="R366" s="3196"/>
      <c r="S366" s="3196"/>
      <c r="T366" s="3196" t="s">
        <v>3493</v>
      </c>
      <c r="U366" s="3196"/>
      <c r="V366" s="3196"/>
      <c r="W366" s="3196"/>
      <c r="X366" s="3196"/>
      <c r="Y366" s="3196"/>
      <c r="Z366" s="3196"/>
      <c r="AA366" s="3196"/>
      <c r="AB366" s="3196"/>
      <c r="AC366" s="3195"/>
      <c r="AE366" s="3195"/>
      <c r="AF366" s="3195"/>
      <c r="AG366" s="3195"/>
      <c r="AH366" s="3195"/>
      <c r="AI366" s="3195"/>
    </row>
    <row r="367" spans="1:35" ht="12" customHeight="1">
      <c r="O367" s="3195" t="str">
        <f t="shared" si="22"/>
        <v>Incremento de Movimiento</v>
      </c>
      <c r="P367" s="3195" t="str">
        <f t="shared" si="23"/>
        <v>+1</v>
      </c>
      <c r="R367" s="3196"/>
      <c r="S367" s="3196"/>
      <c r="T367" s="3196" t="s">
        <v>4178</v>
      </c>
      <c r="U367" s="3196"/>
      <c r="V367" s="3196"/>
      <c r="W367" s="3196"/>
      <c r="X367" s="3196"/>
      <c r="Y367" s="3196"/>
      <c r="Z367" s="3196"/>
      <c r="AA367" s="3196"/>
      <c r="AB367" s="3196"/>
      <c r="AC367" s="3195"/>
      <c r="AE367" s="3195"/>
      <c r="AF367" s="3195"/>
      <c r="AG367" s="3195"/>
      <c r="AH367" s="3195"/>
      <c r="AI367" s="3195"/>
    </row>
    <row r="368" spans="1:35" ht="12" customHeight="1">
      <c r="O368" s="3195" t="str">
        <f t="shared" si="22"/>
        <v>Incremento de Movimiento</v>
      </c>
      <c r="P368" s="3195" t="str">
        <f t="shared" si="23"/>
        <v>+2</v>
      </c>
      <c r="R368" s="3196"/>
      <c r="S368" s="3196"/>
      <c r="T368" s="3196" t="s">
        <v>4179</v>
      </c>
      <c r="U368" s="3196"/>
      <c r="V368" s="3196"/>
      <c r="W368" s="3196"/>
      <c r="X368" s="3196"/>
      <c r="Y368" s="3196"/>
      <c r="Z368" s="3196"/>
      <c r="AA368" s="3196"/>
      <c r="AB368" s="3196"/>
      <c r="AC368" s="3195"/>
      <c r="AE368" s="3195"/>
      <c r="AF368" s="3195"/>
      <c r="AG368" s="3195"/>
      <c r="AH368" s="3195"/>
      <c r="AI368" s="3195"/>
    </row>
    <row r="369" spans="1:35" ht="12" customHeight="1">
      <c r="B369" s="3196"/>
      <c r="C369" s="3196"/>
      <c r="O369" s="3195" t="str">
        <f t="shared" si="22"/>
        <v>Incremento de Movimiento</v>
      </c>
      <c r="P369" s="3195" t="str">
        <f t="shared" si="23"/>
        <v>+3</v>
      </c>
      <c r="Q369" s="3196"/>
      <c r="R369" s="3196"/>
      <c r="S369" s="3196"/>
      <c r="T369" s="3196" t="s">
        <v>4180</v>
      </c>
      <c r="U369" s="3196"/>
      <c r="V369" s="3196"/>
      <c r="W369" s="3196"/>
      <c r="X369" s="3196"/>
      <c r="Y369" s="3196"/>
      <c r="Z369" s="3196"/>
      <c r="AA369" s="3196"/>
      <c r="AB369" s="3196"/>
      <c r="AC369" s="3195"/>
      <c r="AE369" s="3195"/>
      <c r="AF369" s="3195"/>
      <c r="AG369" s="3195"/>
      <c r="AH369" s="3195"/>
      <c r="AI369" s="3195"/>
    </row>
    <row r="370" spans="1:35" ht="12" customHeight="1">
      <c r="O370" s="3195" t="str">
        <f t="shared" si="22"/>
        <v>Incremento de Movimiento</v>
      </c>
      <c r="P370" s="3195" t="str">
        <f t="shared" si="23"/>
        <v>+4</v>
      </c>
      <c r="T370" s="3195" t="s">
        <v>4181</v>
      </c>
      <c r="Y370" s="3195"/>
      <c r="Z370" s="3195"/>
      <c r="AA370" s="3195"/>
      <c r="AB370" s="3195"/>
      <c r="AC370" s="3195"/>
      <c r="AE370" s="3195"/>
      <c r="AF370" s="3195"/>
      <c r="AG370" s="3195"/>
      <c r="AH370" s="3195"/>
      <c r="AI370" s="3195"/>
    </row>
    <row r="371" spans="1:35" ht="12" customHeight="1">
      <c r="B371" s="3196"/>
      <c r="C371" s="3196"/>
      <c r="O371" s="3195" t="str">
        <f t="shared" si="22"/>
        <v>Incremento de Movimiento</v>
      </c>
      <c r="P371" s="3195" t="str">
        <f t="shared" si="23"/>
        <v>+5</v>
      </c>
      <c r="Q371" s="3196"/>
      <c r="R371" s="3196"/>
      <c r="S371" s="3196"/>
      <c r="T371" s="3196" t="s">
        <v>4182</v>
      </c>
      <c r="U371" s="3196"/>
      <c r="V371" s="3196"/>
      <c r="W371" s="3196"/>
      <c r="X371" s="3196"/>
      <c r="Y371" s="3196"/>
      <c r="Z371" s="3196"/>
      <c r="AA371" s="3196"/>
      <c r="AB371" s="3196"/>
      <c r="AC371" s="3195"/>
      <c r="AE371" s="3195"/>
      <c r="AF371" s="3195"/>
      <c r="AG371" s="3195"/>
      <c r="AH371" s="3195"/>
      <c r="AI371" s="3195"/>
    </row>
    <row r="372" spans="1:35" ht="12" customHeight="1">
      <c r="O372" s="3195" t="e">
        <f t="shared" si="22"/>
        <v>#VALUE!</v>
      </c>
      <c r="P372" s="3195" t="e">
        <f t="shared" si="23"/>
        <v>#VALUE!</v>
      </c>
      <c r="T372" s="3195" t="s">
        <v>3496</v>
      </c>
      <c r="Y372" s="3195"/>
      <c r="Z372" s="3195"/>
      <c r="AA372" s="3195"/>
      <c r="AB372" s="3195"/>
      <c r="AC372" s="3195"/>
      <c r="AE372" s="3195"/>
      <c r="AF372" s="3195"/>
      <c r="AG372" s="3195"/>
      <c r="AH372" s="3195"/>
      <c r="AI372" s="3195"/>
    </row>
    <row r="373" spans="1:35" ht="12" customHeight="1">
      <c r="B373" s="3196"/>
      <c r="C373" s="3196"/>
      <c r="O373" s="3195" t="str">
        <f t="shared" si="22"/>
        <v>Incremento de Habilidad</v>
      </c>
      <c r="P373" s="3195" t="str">
        <f t="shared" si="23"/>
        <v>+25</v>
      </c>
      <c r="Q373" s="3196"/>
      <c r="R373" s="3196"/>
      <c r="S373" s="3196"/>
      <c r="T373" s="3196" t="s">
        <v>4183</v>
      </c>
      <c r="U373" s="3196"/>
      <c r="V373" s="3196"/>
      <c r="W373" s="3196"/>
      <c r="X373" s="3196"/>
      <c r="Y373" s="3196"/>
      <c r="Z373" s="3196"/>
      <c r="AA373" s="3196"/>
      <c r="AB373" s="3196"/>
      <c r="AC373" s="3195"/>
      <c r="AE373" s="3195"/>
      <c r="AF373" s="3195"/>
      <c r="AG373" s="3195"/>
      <c r="AH373" s="3195"/>
      <c r="AI373" s="3195"/>
    </row>
    <row r="374" spans="1:35" ht="12" customHeight="1">
      <c r="O374" s="3195" t="str">
        <f t="shared" si="22"/>
        <v>Incremento de Habilidad</v>
      </c>
      <c r="P374" s="3195" t="str">
        <f t="shared" si="23"/>
        <v>+50</v>
      </c>
      <c r="T374" s="3195" t="s">
        <v>4184</v>
      </c>
      <c r="Y374" s="3195"/>
      <c r="Z374" s="3195"/>
      <c r="AA374" s="3195"/>
      <c r="AB374" s="3195"/>
      <c r="AC374" s="3195"/>
      <c r="AE374" s="3195"/>
      <c r="AF374" s="3195"/>
      <c r="AG374" s="3195"/>
      <c r="AH374" s="3195"/>
      <c r="AI374" s="3195"/>
    </row>
    <row r="375" spans="1:35" ht="12" customHeight="1">
      <c r="A375" s="3195"/>
      <c r="O375" s="3195" t="str">
        <f t="shared" si="22"/>
        <v>Incremento de Habilidad</v>
      </c>
      <c r="P375" s="3195" t="str">
        <f t="shared" si="23"/>
        <v>+75</v>
      </c>
      <c r="T375" s="3195" t="s">
        <v>4185</v>
      </c>
      <c r="Y375" s="3195"/>
      <c r="Z375" s="3195"/>
      <c r="AA375" s="3195"/>
      <c r="AB375" s="3195"/>
      <c r="AC375" s="3195"/>
      <c r="AE375" s="3195"/>
      <c r="AF375" s="3195"/>
      <c r="AG375" s="3195"/>
      <c r="AH375" s="3195"/>
      <c r="AI375" s="3195"/>
    </row>
    <row r="376" spans="1:35" ht="12" customHeight="1">
      <c r="A376" s="3195"/>
      <c r="O376" s="3195" t="str">
        <f t="shared" si="22"/>
        <v>Incremento de Habilidad</v>
      </c>
      <c r="P376" s="3195" t="str">
        <f t="shared" si="23"/>
        <v>+100</v>
      </c>
      <c r="T376" s="3195" t="s">
        <v>4186</v>
      </c>
      <c r="Y376" s="3195"/>
      <c r="Z376" s="3195"/>
      <c r="AA376" s="3195"/>
      <c r="AB376" s="3195"/>
      <c r="AC376" s="3195"/>
      <c r="AE376" s="3195"/>
      <c r="AF376" s="3195"/>
      <c r="AG376" s="3195"/>
      <c r="AH376" s="3195"/>
      <c r="AI376" s="3195"/>
    </row>
    <row r="377" spans="1:35" ht="12" customHeight="1">
      <c r="O377" s="3195" t="str">
        <f t="shared" si="22"/>
        <v>Incremento de Habilidad</v>
      </c>
      <c r="P377" s="3195" t="str">
        <f t="shared" si="23"/>
        <v>+125</v>
      </c>
      <c r="R377" s="3196"/>
      <c r="S377" s="3196"/>
      <c r="T377" s="3196" t="s">
        <v>4187</v>
      </c>
      <c r="U377" s="3196"/>
      <c r="V377" s="3196"/>
      <c r="W377" s="3196"/>
      <c r="X377" s="3196"/>
      <c r="Y377" s="3196"/>
      <c r="Z377" s="3196"/>
      <c r="AA377" s="3196"/>
      <c r="AB377" s="3196"/>
      <c r="AC377" s="3195"/>
      <c r="AE377" s="3195"/>
      <c r="AF377" s="3195"/>
      <c r="AG377" s="3195"/>
      <c r="AH377" s="3195"/>
      <c r="AI377" s="3195"/>
    </row>
    <row r="378" spans="1:35" ht="12" customHeight="1">
      <c r="O378" s="3195" t="str">
        <f t="shared" si="22"/>
        <v>Incremento de Habilidad</v>
      </c>
      <c r="P378" s="3195" t="str">
        <f t="shared" si="23"/>
        <v>+150</v>
      </c>
      <c r="R378" s="3196"/>
      <c r="S378" s="3196"/>
      <c r="T378" s="3196" t="s">
        <v>4188</v>
      </c>
      <c r="U378" s="3196"/>
      <c r="V378" s="3196"/>
      <c r="W378" s="3196"/>
      <c r="X378" s="3196"/>
      <c r="Y378" s="3196"/>
      <c r="Z378" s="3196"/>
      <c r="AA378" s="3196"/>
      <c r="AB378" s="3196"/>
      <c r="AC378" s="3195"/>
      <c r="AE378" s="3195"/>
      <c r="AF378" s="3195"/>
      <c r="AG378" s="3195"/>
      <c r="AH378" s="3195"/>
      <c r="AI378" s="3195"/>
    </row>
    <row r="379" spans="1:35" ht="12" customHeight="1">
      <c r="O379" s="3195" t="e">
        <f t="shared" si="22"/>
        <v>#VALUE!</v>
      </c>
      <c r="P379" s="3195" t="e">
        <f t="shared" si="23"/>
        <v>#VALUE!</v>
      </c>
      <c r="R379" s="3196"/>
      <c r="S379" s="3196"/>
      <c r="T379" s="3196" t="s">
        <v>3501</v>
      </c>
      <c r="U379" s="3196"/>
      <c r="V379" s="3196"/>
      <c r="W379" s="3196"/>
      <c r="X379" s="3196"/>
      <c r="Y379" s="3196"/>
      <c r="Z379" s="3196"/>
      <c r="AA379" s="3196"/>
      <c r="AB379" s="3196"/>
      <c r="AC379" s="3195"/>
      <c r="AE379" s="3195"/>
      <c r="AF379" s="3195"/>
      <c r="AG379" s="3195"/>
      <c r="AH379" s="3195"/>
      <c r="AI379" s="3195"/>
    </row>
    <row r="380" spans="1:35" ht="12" customHeight="1">
      <c r="O380" s="3195" t="str">
        <f t="shared" si="22"/>
        <v>Capacidad Incrementada:</v>
      </c>
      <c r="P380" s="3195" t="str">
        <f t="shared" si="23"/>
        <v>+1 a AGI</v>
      </c>
      <c r="R380" s="3196"/>
      <c r="S380" s="3196"/>
      <c r="T380" s="3196" t="s">
        <v>4190</v>
      </c>
      <c r="U380" s="3196"/>
      <c r="V380" s="3196"/>
      <c r="W380" s="3196"/>
      <c r="X380" s="3196"/>
      <c r="Y380" s="3196"/>
      <c r="Z380" s="3196"/>
      <c r="AA380" s="3196"/>
      <c r="AB380" s="3196"/>
      <c r="AC380" s="3195"/>
      <c r="AE380" s="3195"/>
      <c r="AF380" s="3195"/>
      <c r="AG380" s="3195"/>
      <c r="AH380" s="3195"/>
      <c r="AI380" s="3195"/>
    </row>
    <row r="381" spans="1:35" ht="12" customHeight="1">
      <c r="O381" s="3195" t="str">
        <f t="shared" si="22"/>
        <v>Capacidad Incrementada:</v>
      </c>
      <c r="P381" s="3195" t="str">
        <f t="shared" si="23"/>
        <v>+2 a AGI</v>
      </c>
      <c r="R381" s="3196"/>
      <c r="S381" s="3196"/>
      <c r="T381" s="3196" t="s">
        <v>4191</v>
      </c>
      <c r="U381" s="3196"/>
      <c r="V381" s="3196"/>
      <c r="W381" s="3196"/>
      <c r="X381" s="3196"/>
      <c r="Y381" s="3196"/>
      <c r="Z381" s="3196"/>
      <c r="AA381" s="3196"/>
      <c r="AB381" s="3196"/>
      <c r="AC381" s="3195"/>
      <c r="AE381" s="3195"/>
      <c r="AF381" s="3195"/>
      <c r="AG381" s="3195"/>
      <c r="AH381" s="3195"/>
      <c r="AI381" s="3195"/>
    </row>
    <row r="382" spans="1:35" ht="12" customHeight="1">
      <c r="A382" s="3195"/>
      <c r="O382" s="3195" t="str">
        <f t="shared" si="22"/>
        <v>Capacidad Incrementada:</v>
      </c>
      <c r="P382" s="3195" t="str">
        <f t="shared" si="23"/>
        <v>+3 a AGI</v>
      </c>
      <c r="T382" s="3195" t="s">
        <v>4192</v>
      </c>
      <c r="Y382" s="3195"/>
      <c r="Z382" s="3195"/>
      <c r="AA382" s="3195"/>
      <c r="AB382" s="3195"/>
      <c r="AC382" s="3195"/>
      <c r="AE382" s="3195"/>
      <c r="AF382" s="3195"/>
      <c r="AG382" s="3195"/>
      <c r="AH382" s="3195"/>
      <c r="AI382" s="3195"/>
    </row>
    <row r="383" spans="1:35" ht="12" customHeight="1">
      <c r="O383" s="3195" t="str">
        <f t="shared" si="22"/>
        <v>Capacidad Incrementada:</v>
      </c>
      <c r="P383" s="3195" t="str">
        <f t="shared" si="23"/>
        <v>+4 a AGI</v>
      </c>
      <c r="R383" s="3196"/>
      <c r="S383" s="3196"/>
      <c r="T383" s="3196" t="s">
        <v>4193</v>
      </c>
      <c r="U383" s="3196"/>
      <c r="V383" s="3196"/>
      <c r="W383" s="3196"/>
      <c r="X383" s="3196"/>
      <c r="Y383" s="3196"/>
      <c r="Z383" s="3196"/>
      <c r="AA383" s="3196"/>
      <c r="AB383" s="3196"/>
      <c r="AC383" s="3195"/>
      <c r="AE383" s="3195"/>
      <c r="AF383" s="3195"/>
      <c r="AG383" s="3195"/>
      <c r="AH383" s="3195"/>
      <c r="AI383" s="3195"/>
    </row>
    <row r="384" spans="1:35" ht="12" customHeight="1">
      <c r="O384" s="3195" t="str">
        <f t="shared" si="22"/>
        <v>Capacidad Incrementada:</v>
      </c>
      <c r="P384" s="3195" t="str">
        <f t="shared" si="23"/>
        <v>+5 a AGI</v>
      </c>
      <c r="R384" s="3196"/>
      <c r="S384" s="3196"/>
      <c r="T384" s="3196" t="s">
        <v>4194</v>
      </c>
      <c r="U384" s="3196"/>
      <c r="V384" s="3196"/>
      <c r="W384" s="3196"/>
      <c r="X384" s="3196"/>
      <c r="Y384" s="3196"/>
      <c r="Z384" s="3196"/>
      <c r="AA384" s="3196"/>
      <c r="AB384" s="3196"/>
      <c r="AC384" s="3195"/>
      <c r="AE384" s="3195"/>
      <c r="AF384" s="3195"/>
      <c r="AG384" s="3195"/>
      <c r="AH384" s="3195"/>
      <c r="AI384" s="3195"/>
    </row>
    <row r="385" spans="1:35" ht="12" customHeight="1">
      <c r="O385" s="3195" t="str">
        <f t="shared" si="22"/>
        <v>Capacidad Incrementada:</v>
      </c>
      <c r="P385" s="3195" t="str">
        <f t="shared" si="23"/>
        <v>+6 a AGI</v>
      </c>
      <c r="R385" s="3196"/>
      <c r="S385" s="3196"/>
      <c r="T385" s="3196" t="s">
        <v>4195</v>
      </c>
      <c r="U385" s="3196"/>
      <c r="V385" s="3196"/>
      <c r="W385" s="3196"/>
      <c r="X385" s="3196"/>
      <c r="Y385" s="3196"/>
      <c r="Z385" s="3196"/>
      <c r="AA385" s="3196"/>
      <c r="AB385" s="3196"/>
      <c r="AC385" s="3195"/>
      <c r="AE385" s="3195"/>
      <c r="AF385" s="3195"/>
      <c r="AG385" s="3195"/>
      <c r="AH385" s="3195"/>
      <c r="AI385" s="3195"/>
    </row>
    <row r="386" spans="1:35" ht="12" customHeight="1">
      <c r="O386" s="3195" t="str">
        <f t="shared" si="22"/>
        <v>Capacidad Incrementada:</v>
      </c>
      <c r="P386" s="3195" t="str">
        <f t="shared" si="23"/>
        <v>+7 a AGI</v>
      </c>
      <c r="R386" s="3196"/>
      <c r="S386" s="3196"/>
      <c r="T386" s="3196" t="s">
        <v>4196</v>
      </c>
      <c r="U386" s="3196"/>
      <c r="V386" s="3196"/>
      <c r="W386" s="3196"/>
      <c r="X386" s="3196"/>
      <c r="Y386" s="3196"/>
      <c r="Z386" s="3196"/>
      <c r="AA386" s="3196"/>
      <c r="AB386" s="3196"/>
      <c r="AC386" s="3195"/>
      <c r="AE386" s="3195"/>
      <c r="AF386" s="3195"/>
      <c r="AG386" s="3195"/>
      <c r="AH386" s="3195"/>
      <c r="AI386" s="3195"/>
    </row>
    <row r="387" spans="1:35" ht="12" customHeight="1">
      <c r="O387" s="3195" t="str">
        <f t="shared" si="22"/>
        <v>Capacidad Incrementada:</v>
      </c>
      <c r="P387" s="3195" t="str">
        <f t="shared" si="23"/>
        <v>+8 a AGI</v>
      </c>
      <c r="R387" s="3196"/>
      <c r="S387" s="3196"/>
      <c r="T387" s="3196" t="s">
        <v>4197</v>
      </c>
      <c r="U387" s="3196"/>
      <c r="V387" s="3196"/>
      <c r="W387" s="3196"/>
      <c r="X387" s="3196"/>
      <c r="Y387" s="3196"/>
      <c r="Z387" s="3196"/>
      <c r="AA387" s="3196"/>
      <c r="AB387" s="3196"/>
      <c r="AC387" s="3195"/>
      <c r="AE387" s="3195"/>
      <c r="AF387" s="3195"/>
      <c r="AG387" s="3195"/>
      <c r="AH387" s="3195"/>
      <c r="AI387" s="3195"/>
    </row>
    <row r="388" spans="1:35" ht="12" customHeight="1">
      <c r="O388" s="3195" t="e">
        <f t="shared" si="22"/>
        <v>#VALUE!</v>
      </c>
      <c r="P388" s="3195" t="e">
        <f t="shared" si="23"/>
        <v>#VALUE!</v>
      </c>
      <c r="R388" s="3196"/>
      <c r="S388" s="3196"/>
      <c r="T388" s="3196" t="s">
        <v>3506</v>
      </c>
      <c r="U388" s="3196"/>
      <c r="V388" s="3196"/>
      <c r="W388" s="3196"/>
      <c r="X388" s="3196"/>
      <c r="Y388" s="3196"/>
      <c r="Z388" s="3196"/>
      <c r="AA388" s="3196"/>
      <c r="AB388" s="3196"/>
      <c r="AC388" s="3195"/>
      <c r="AE388" s="3195"/>
      <c r="AF388" s="3195"/>
      <c r="AG388" s="3195"/>
      <c r="AH388" s="3195"/>
      <c r="AI388" s="3195"/>
    </row>
    <row r="389" spans="1:35" ht="12" customHeight="1">
      <c r="A389" s="3195"/>
      <c r="O389" s="3195" t="str">
        <f t="shared" si="22"/>
        <v>Capacidad Incrementada:</v>
      </c>
      <c r="P389" s="3195" t="str">
        <f t="shared" si="23"/>
        <v>+1 a FUE</v>
      </c>
      <c r="T389" s="3195" t="s">
        <v>4198</v>
      </c>
      <c r="Y389" s="3195"/>
      <c r="Z389" s="3195"/>
      <c r="AA389" s="3195"/>
      <c r="AB389" s="3195"/>
      <c r="AC389" s="3195"/>
      <c r="AE389" s="3195"/>
      <c r="AF389" s="3195"/>
      <c r="AG389" s="3195"/>
      <c r="AH389" s="3195"/>
      <c r="AI389" s="3195"/>
    </row>
    <row r="390" spans="1:35" ht="12" customHeight="1">
      <c r="O390" s="3195" t="str">
        <f t="shared" si="22"/>
        <v>Capacidad Incrementada:</v>
      </c>
      <c r="P390" s="3195" t="str">
        <f t="shared" si="23"/>
        <v>+2 a FUE</v>
      </c>
      <c r="R390" s="3196"/>
      <c r="S390" s="3196"/>
      <c r="T390" s="3196" t="s">
        <v>4199</v>
      </c>
      <c r="U390" s="3196"/>
      <c r="V390" s="3196"/>
      <c r="W390" s="3196"/>
      <c r="Y390" s="3195"/>
      <c r="Z390" s="3196"/>
      <c r="AA390" s="3196"/>
      <c r="AB390" s="3196"/>
      <c r="AC390" s="3195"/>
      <c r="AE390" s="3195"/>
      <c r="AF390" s="3195"/>
      <c r="AG390" s="3195"/>
      <c r="AH390" s="3195"/>
      <c r="AI390" s="3195"/>
    </row>
    <row r="391" spans="1:35" ht="12" customHeight="1">
      <c r="O391" s="3195" t="str">
        <f t="shared" si="22"/>
        <v>Capacidad Incrementada:</v>
      </c>
      <c r="P391" s="3195" t="str">
        <f t="shared" si="23"/>
        <v>+3 a FUE</v>
      </c>
      <c r="R391" s="3196"/>
      <c r="S391" s="3196"/>
      <c r="T391" s="3196" t="s">
        <v>4200</v>
      </c>
      <c r="U391" s="3196"/>
      <c r="V391" s="3196"/>
      <c r="W391" s="3196"/>
      <c r="Y391" s="3195"/>
      <c r="Z391" s="3196"/>
      <c r="AA391" s="3196"/>
      <c r="AB391" s="3196"/>
      <c r="AC391" s="3195"/>
      <c r="AE391" s="3195"/>
      <c r="AF391" s="3195"/>
      <c r="AG391" s="3195"/>
      <c r="AH391" s="3195"/>
      <c r="AI391" s="3195"/>
    </row>
    <row r="392" spans="1:35" ht="12" customHeight="1">
      <c r="O392" s="3195" t="str">
        <f t="shared" ref="O392:O455" si="24">LEFT(T392,FIND(" +",T392)-1)</f>
        <v>Capacidad Incrementada:</v>
      </c>
      <c r="P392" s="3195" t="str">
        <f t="shared" ref="P392:P455" si="25">MID(T392,FIND("+",T392),20)</f>
        <v>+4 a FUE</v>
      </c>
      <c r="R392" s="3196"/>
      <c r="S392" s="3196"/>
      <c r="T392" s="3196" t="s">
        <v>4201</v>
      </c>
      <c r="U392" s="3196"/>
      <c r="V392" s="3196"/>
      <c r="W392" s="3196"/>
      <c r="Y392" s="3195"/>
      <c r="Z392" s="3196"/>
      <c r="AA392" s="3196"/>
      <c r="AB392" s="3196"/>
      <c r="AC392" s="3195"/>
      <c r="AE392" s="3195"/>
      <c r="AF392" s="3195"/>
      <c r="AG392" s="3195"/>
      <c r="AH392" s="3195"/>
      <c r="AI392" s="3195"/>
    </row>
    <row r="393" spans="1:35" ht="12" customHeight="1">
      <c r="O393" s="3195" t="str">
        <f t="shared" si="24"/>
        <v>Capacidad Incrementada:</v>
      </c>
      <c r="P393" s="3195" t="str">
        <f t="shared" si="25"/>
        <v>+5 a FUE</v>
      </c>
      <c r="R393" s="3196"/>
      <c r="S393" s="3196"/>
      <c r="T393" s="3196" t="s">
        <v>4202</v>
      </c>
      <c r="U393" s="3196"/>
      <c r="V393" s="3196"/>
      <c r="W393" s="3196"/>
      <c r="Y393" s="3195"/>
      <c r="Z393" s="3196"/>
      <c r="AA393" s="3196"/>
      <c r="AB393" s="3196"/>
      <c r="AC393" s="3195"/>
      <c r="AE393" s="3195"/>
      <c r="AF393" s="3195"/>
      <c r="AG393" s="3195"/>
      <c r="AH393" s="3195"/>
      <c r="AI393" s="3195"/>
    </row>
    <row r="394" spans="1:35" ht="12" customHeight="1">
      <c r="O394" s="3195" t="str">
        <f t="shared" si="24"/>
        <v>Capacidad Incrementada:</v>
      </c>
      <c r="P394" s="3195" t="str">
        <f t="shared" si="25"/>
        <v>+6 a FUE</v>
      </c>
      <c r="R394" s="3196"/>
      <c r="S394" s="3196"/>
      <c r="T394" s="3196" t="s">
        <v>4203</v>
      </c>
      <c r="U394" s="3196"/>
      <c r="V394" s="3196"/>
      <c r="W394" s="3196"/>
      <c r="Y394" s="3195"/>
      <c r="Z394" s="3196"/>
      <c r="AA394" s="3196"/>
      <c r="AB394" s="3196"/>
      <c r="AC394" s="3195"/>
      <c r="AE394" s="3195"/>
      <c r="AF394" s="3195"/>
      <c r="AG394" s="3195"/>
      <c r="AH394" s="3195"/>
      <c r="AI394" s="3195"/>
    </row>
    <row r="395" spans="1:35" ht="12" customHeight="1">
      <c r="O395" s="3195" t="str">
        <f t="shared" si="24"/>
        <v>Capacidad Incrementada:</v>
      </c>
      <c r="P395" s="3195" t="str">
        <f t="shared" si="25"/>
        <v>+7 a FUE</v>
      </c>
      <c r="R395" s="3196"/>
      <c r="S395" s="3196"/>
      <c r="T395" s="3196" t="s">
        <v>4204</v>
      </c>
      <c r="U395" s="3196"/>
      <c r="V395" s="3196"/>
      <c r="W395" s="3196"/>
      <c r="Y395" s="3195"/>
      <c r="Z395" s="3196"/>
      <c r="AA395" s="3196"/>
      <c r="AB395" s="3196"/>
      <c r="AC395" s="3195"/>
      <c r="AE395" s="3195"/>
      <c r="AF395" s="3195"/>
      <c r="AG395" s="3195"/>
      <c r="AH395" s="3195"/>
      <c r="AI395" s="3195"/>
    </row>
    <row r="396" spans="1:35" ht="12" customHeight="1">
      <c r="O396" s="3195" t="str">
        <f t="shared" si="24"/>
        <v>Capacidad Incrementada:</v>
      </c>
      <c r="P396" s="3195" t="str">
        <f t="shared" si="25"/>
        <v>+8 a FUE</v>
      </c>
      <c r="R396" s="3196"/>
      <c r="S396" s="3196"/>
      <c r="T396" s="3196" t="s">
        <v>4205</v>
      </c>
      <c r="U396" s="3196"/>
      <c r="V396" s="3196"/>
      <c r="W396" s="3196"/>
      <c r="Y396" s="3195"/>
      <c r="Z396" s="3196"/>
      <c r="AA396" s="3196"/>
      <c r="AB396" s="3196"/>
      <c r="AC396" s="3195"/>
      <c r="AE396" s="3195"/>
      <c r="AF396" s="3195"/>
      <c r="AG396" s="3195"/>
      <c r="AH396" s="3195"/>
      <c r="AI396" s="3195"/>
    </row>
    <row r="397" spans="1:35" ht="12" customHeight="1">
      <c r="O397" s="3195" t="e">
        <f t="shared" si="24"/>
        <v>#VALUE!</v>
      </c>
      <c r="P397" s="3195" t="e">
        <f t="shared" si="25"/>
        <v>#VALUE!</v>
      </c>
      <c r="R397" s="3196"/>
      <c r="S397" s="3196"/>
      <c r="T397" s="3196" t="s">
        <v>3511</v>
      </c>
      <c r="U397" s="3196"/>
      <c r="V397" s="3196"/>
      <c r="W397" s="3196"/>
      <c r="Y397" s="3195"/>
      <c r="Z397" s="3196"/>
      <c r="AA397" s="3196"/>
      <c r="AB397" s="3196"/>
      <c r="AC397" s="3195"/>
      <c r="AE397" s="3195"/>
      <c r="AF397" s="3195"/>
      <c r="AG397" s="3195"/>
      <c r="AH397" s="3195"/>
      <c r="AI397" s="3195"/>
    </row>
    <row r="398" spans="1:35" ht="12" customHeight="1">
      <c r="A398" s="3195"/>
      <c r="O398" s="3195" t="str">
        <f t="shared" si="24"/>
        <v>Capacidad Incrementada:</v>
      </c>
      <c r="P398" s="3195" t="str">
        <f t="shared" si="25"/>
        <v>+1 a DES</v>
      </c>
      <c r="T398" s="3195" t="s">
        <v>4206</v>
      </c>
      <c r="Y398" s="3195"/>
      <c r="Z398" s="3195"/>
      <c r="AA398" s="3195"/>
      <c r="AB398" s="3195"/>
      <c r="AC398" s="3195"/>
      <c r="AE398" s="3195"/>
      <c r="AF398" s="3195"/>
      <c r="AG398" s="3195"/>
      <c r="AH398" s="3195"/>
      <c r="AI398" s="3195"/>
    </row>
    <row r="399" spans="1:35" ht="12" customHeight="1">
      <c r="O399" s="3195" t="str">
        <f t="shared" si="24"/>
        <v>Capacidad Incrementada:</v>
      </c>
      <c r="P399" s="3195" t="str">
        <f t="shared" si="25"/>
        <v>+2 a DES</v>
      </c>
      <c r="R399" s="3196"/>
      <c r="S399" s="3196"/>
      <c r="T399" s="3196" t="s">
        <v>4207</v>
      </c>
      <c r="U399" s="3196"/>
      <c r="V399" s="3196"/>
      <c r="W399" s="3196"/>
      <c r="Y399" s="3195"/>
      <c r="Z399" s="3196"/>
      <c r="AA399" s="3196"/>
      <c r="AB399" s="3196"/>
      <c r="AC399" s="3195"/>
      <c r="AE399" s="3195"/>
      <c r="AF399" s="3195"/>
      <c r="AG399" s="3195"/>
      <c r="AH399" s="3195"/>
      <c r="AI399" s="3195"/>
    </row>
    <row r="400" spans="1:35" ht="12" customHeight="1">
      <c r="O400" s="3195" t="str">
        <f t="shared" si="24"/>
        <v>Capacidad Incrementada:</v>
      </c>
      <c r="P400" s="3195" t="str">
        <f t="shared" si="25"/>
        <v>+3 a DES</v>
      </c>
      <c r="R400" s="3196"/>
      <c r="S400" s="3196"/>
      <c r="T400" s="3196" t="s">
        <v>4208</v>
      </c>
      <c r="U400" s="3196"/>
      <c r="V400" s="3196"/>
      <c r="W400" s="3196"/>
      <c r="Y400" s="3195"/>
      <c r="Z400" s="3196"/>
      <c r="AA400" s="3196"/>
      <c r="AB400" s="3196"/>
      <c r="AC400" s="3195"/>
      <c r="AE400" s="3195"/>
      <c r="AF400" s="3195"/>
      <c r="AG400" s="3195"/>
      <c r="AH400" s="3195"/>
      <c r="AI400" s="3195"/>
    </row>
    <row r="401" spans="1:35" ht="12" customHeight="1">
      <c r="O401" s="3195" t="str">
        <f t="shared" si="24"/>
        <v>Capacidad Incrementada:</v>
      </c>
      <c r="P401" s="3195" t="str">
        <f t="shared" si="25"/>
        <v>+4 a DES</v>
      </c>
      <c r="R401" s="3196"/>
      <c r="S401" s="3196"/>
      <c r="T401" s="3196" t="s">
        <v>4209</v>
      </c>
      <c r="U401" s="3196"/>
      <c r="V401" s="3196"/>
      <c r="W401" s="3196"/>
      <c r="Y401" s="3195"/>
      <c r="Z401" s="3196"/>
      <c r="AA401" s="3196"/>
      <c r="AB401" s="3196"/>
      <c r="AC401" s="3195"/>
      <c r="AE401" s="3195"/>
      <c r="AF401" s="3195"/>
      <c r="AG401" s="3195"/>
      <c r="AH401" s="3195"/>
      <c r="AI401" s="3195"/>
    </row>
    <row r="402" spans="1:35" ht="12" customHeight="1">
      <c r="O402" s="3195" t="str">
        <f t="shared" si="24"/>
        <v>Capacidad Incrementada:</v>
      </c>
      <c r="P402" s="3195" t="str">
        <f t="shared" si="25"/>
        <v>+5 a DES</v>
      </c>
      <c r="R402" s="3196"/>
      <c r="S402" s="3196"/>
      <c r="T402" s="3196" t="s">
        <v>4210</v>
      </c>
      <c r="U402" s="3196"/>
      <c r="V402" s="3196"/>
      <c r="W402" s="3196"/>
      <c r="Y402" s="3195"/>
      <c r="Z402" s="3196"/>
      <c r="AA402" s="3196"/>
      <c r="AB402" s="3196"/>
      <c r="AC402" s="3195"/>
      <c r="AE402" s="3195"/>
      <c r="AF402" s="3195"/>
      <c r="AG402" s="3195"/>
      <c r="AH402" s="3195"/>
      <c r="AI402" s="3195"/>
    </row>
    <row r="403" spans="1:35" ht="12" customHeight="1">
      <c r="O403" s="3195" t="str">
        <f t="shared" si="24"/>
        <v>Capacidad Incrementada:</v>
      </c>
      <c r="P403" s="3195" t="str">
        <f t="shared" si="25"/>
        <v>+6 a DES</v>
      </c>
      <c r="R403" s="3196"/>
      <c r="S403" s="3196"/>
      <c r="T403" s="3196" t="s">
        <v>4211</v>
      </c>
      <c r="U403" s="3196"/>
      <c r="V403" s="3196"/>
      <c r="W403" s="3196"/>
      <c r="Y403" s="3195"/>
      <c r="Z403" s="3196"/>
      <c r="AA403" s="3196"/>
      <c r="AB403" s="3196"/>
      <c r="AC403" s="3195"/>
      <c r="AE403" s="3195"/>
      <c r="AF403" s="3195"/>
      <c r="AG403" s="3195"/>
      <c r="AH403" s="3195"/>
      <c r="AI403" s="3195"/>
    </row>
    <row r="404" spans="1:35" ht="12" customHeight="1">
      <c r="O404" s="3195" t="str">
        <f t="shared" si="24"/>
        <v>Capacidad Incrementada:</v>
      </c>
      <c r="P404" s="3195" t="str">
        <f t="shared" si="25"/>
        <v>+7 a DES</v>
      </c>
      <c r="R404" s="3196"/>
      <c r="S404" s="3196"/>
      <c r="T404" s="3196" t="s">
        <v>4212</v>
      </c>
      <c r="U404" s="3196"/>
      <c r="V404" s="3196"/>
      <c r="W404" s="3196"/>
      <c r="Y404" s="3195"/>
      <c r="Z404" s="3196"/>
      <c r="AA404" s="3196"/>
      <c r="AB404" s="3196"/>
      <c r="AC404" s="3195"/>
      <c r="AE404" s="3195"/>
      <c r="AF404" s="3195"/>
      <c r="AG404" s="3195"/>
      <c r="AH404" s="3195"/>
      <c r="AI404" s="3195"/>
    </row>
    <row r="405" spans="1:35" ht="12" customHeight="1">
      <c r="O405" s="3195" t="str">
        <f t="shared" si="24"/>
        <v>Capacidad Incrementada:</v>
      </c>
      <c r="P405" s="3195" t="str">
        <f t="shared" si="25"/>
        <v>+8 a DES</v>
      </c>
      <c r="R405" s="3196"/>
      <c r="S405" s="3196"/>
      <c r="T405" s="3196" t="s">
        <v>4213</v>
      </c>
      <c r="U405" s="3196"/>
      <c r="V405" s="3196"/>
      <c r="W405" s="3196"/>
      <c r="Y405" s="3195"/>
      <c r="Z405" s="3196"/>
      <c r="AA405" s="3196"/>
      <c r="AB405" s="3196"/>
      <c r="AC405" s="3195"/>
      <c r="AE405" s="3195"/>
      <c r="AF405" s="3195"/>
      <c r="AG405" s="3195"/>
      <c r="AH405" s="3195"/>
      <c r="AI405" s="3195"/>
    </row>
    <row r="406" spans="1:35" ht="12" customHeight="1">
      <c r="O406" s="3195" t="e">
        <f t="shared" si="24"/>
        <v>#VALUE!</v>
      </c>
      <c r="P406" s="3195" t="e">
        <f t="shared" si="25"/>
        <v>#VALUE!</v>
      </c>
      <c r="R406" s="3196"/>
      <c r="S406" s="3196"/>
      <c r="T406" s="3196" t="s">
        <v>3516</v>
      </c>
      <c r="U406" s="3196"/>
      <c r="V406" s="3196"/>
      <c r="W406" s="3196"/>
      <c r="Y406" s="3195"/>
      <c r="Z406" s="3196"/>
      <c r="AA406" s="3196"/>
      <c r="AB406" s="3196"/>
      <c r="AC406" s="3195"/>
      <c r="AE406" s="3195"/>
      <c r="AF406" s="3195"/>
      <c r="AG406" s="3195"/>
      <c r="AH406" s="3195"/>
      <c r="AI406" s="3195"/>
    </row>
    <row r="407" spans="1:35" ht="12" customHeight="1">
      <c r="A407" s="3195"/>
      <c r="O407" s="3195" t="str">
        <f t="shared" si="24"/>
        <v>Incremento de Resistencia Física:</v>
      </c>
      <c r="P407" s="3195" t="str">
        <f t="shared" si="25"/>
        <v>+10 RF</v>
      </c>
      <c r="T407" s="3195" t="s">
        <v>4214</v>
      </c>
      <c r="Y407" s="3195"/>
      <c r="Z407" s="3195"/>
      <c r="AA407" s="3195"/>
      <c r="AB407" s="3195"/>
      <c r="AC407" s="3195"/>
      <c r="AE407" s="3195"/>
      <c r="AF407" s="3195"/>
      <c r="AG407" s="3195"/>
      <c r="AH407" s="3195"/>
      <c r="AI407" s="3195"/>
    </row>
    <row r="408" spans="1:35" ht="12" customHeight="1">
      <c r="O408" s="3195" t="str">
        <f t="shared" si="24"/>
        <v>Incremento de Resistencia Física:</v>
      </c>
      <c r="P408" s="3195" t="str">
        <f t="shared" si="25"/>
        <v>+20 RF</v>
      </c>
      <c r="R408" s="3196"/>
      <c r="S408" s="3196"/>
      <c r="T408" s="3196" t="s">
        <v>4215</v>
      </c>
      <c r="U408" s="3196"/>
      <c r="V408" s="3196"/>
      <c r="W408" s="3196"/>
      <c r="Y408" s="3195"/>
      <c r="Z408" s="3196"/>
      <c r="AA408" s="3196"/>
      <c r="AB408" s="3196"/>
      <c r="AC408" s="3195"/>
      <c r="AE408" s="3195"/>
      <c r="AF408" s="3195"/>
      <c r="AG408" s="3195"/>
      <c r="AH408" s="3195"/>
      <c r="AI408" s="3195"/>
    </row>
    <row r="409" spans="1:35" ht="12" customHeight="1">
      <c r="O409" s="3195" t="str">
        <f t="shared" si="24"/>
        <v>Incremento de Resistencia Física:</v>
      </c>
      <c r="P409" s="3195" t="str">
        <f t="shared" si="25"/>
        <v>+30 RF</v>
      </c>
      <c r="R409" s="3196"/>
      <c r="S409" s="3196"/>
      <c r="T409" s="3196" t="s">
        <v>4216</v>
      </c>
      <c r="U409" s="3196"/>
      <c r="V409" s="3196"/>
      <c r="W409" s="3196"/>
      <c r="Y409" s="3195"/>
      <c r="Z409" s="3196"/>
      <c r="AA409" s="3196"/>
      <c r="AB409" s="3196"/>
      <c r="AC409" s="3195"/>
      <c r="AE409" s="3195"/>
      <c r="AF409" s="3195"/>
      <c r="AG409" s="3195"/>
      <c r="AH409" s="3195"/>
      <c r="AI409" s="3195"/>
    </row>
    <row r="410" spans="1:35" ht="12" customHeight="1">
      <c r="O410" s="3195" t="str">
        <f t="shared" si="24"/>
        <v>Incremento de Resistencia Física:</v>
      </c>
      <c r="P410" s="3195" t="str">
        <f t="shared" si="25"/>
        <v>+40 RF</v>
      </c>
      <c r="R410" s="3196"/>
      <c r="S410" s="3196"/>
      <c r="T410" s="3196" t="s">
        <v>4217</v>
      </c>
      <c r="U410" s="3196"/>
      <c r="V410" s="3196"/>
      <c r="W410" s="3196"/>
      <c r="Y410" s="3195"/>
      <c r="Z410" s="3196"/>
      <c r="AA410" s="3196"/>
      <c r="AB410" s="3196"/>
      <c r="AC410" s="3195"/>
      <c r="AE410" s="3195"/>
      <c r="AF410" s="3195"/>
      <c r="AG410" s="3195"/>
      <c r="AH410" s="3195"/>
      <c r="AI410" s="3195"/>
    </row>
    <row r="411" spans="1:35" ht="12" customHeight="1">
      <c r="O411" s="3195" t="str">
        <f t="shared" si="24"/>
        <v>Incremento de Resistencia Física:</v>
      </c>
      <c r="P411" s="3195" t="str">
        <f t="shared" si="25"/>
        <v>+50 RF</v>
      </c>
      <c r="R411" s="3196"/>
      <c r="S411" s="3196"/>
      <c r="T411" s="3196" t="s">
        <v>4218</v>
      </c>
      <c r="U411" s="3196"/>
      <c r="V411" s="3196"/>
      <c r="W411" s="3196"/>
      <c r="Y411" s="3195"/>
      <c r="Z411" s="3196"/>
      <c r="AA411" s="3196"/>
      <c r="AB411" s="3196"/>
      <c r="AC411" s="3195"/>
      <c r="AE411" s="3195"/>
      <c r="AF411" s="3195"/>
      <c r="AG411" s="3195"/>
      <c r="AH411" s="3195"/>
      <c r="AI411" s="3195"/>
    </row>
    <row r="412" spans="1:35" ht="12" customHeight="1">
      <c r="O412" s="3195" t="str">
        <f t="shared" si="24"/>
        <v>Incremento de Resistencia Física:</v>
      </c>
      <c r="P412" s="3195" t="str">
        <f t="shared" si="25"/>
        <v>+60 RF</v>
      </c>
      <c r="R412" s="3196"/>
      <c r="S412" s="3196"/>
      <c r="T412" s="3196" t="s">
        <v>4219</v>
      </c>
      <c r="U412" s="3196"/>
      <c r="V412" s="3196"/>
      <c r="W412" s="3196"/>
      <c r="Y412" s="3195"/>
      <c r="Z412" s="3196"/>
      <c r="AA412" s="3196"/>
      <c r="AB412" s="3196"/>
      <c r="AC412" s="3195"/>
      <c r="AE412" s="3195"/>
      <c r="AF412" s="3195"/>
      <c r="AG412" s="3195"/>
      <c r="AH412" s="3195"/>
      <c r="AI412" s="3195"/>
    </row>
    <row r="413" spans="1:35" ht="12" customHeight="1">
      <c r="O413" s="3195" t="str">
        <f t="shared" si="24"/>
        <v>Incremento de Resistencia Física:</v>
      </c>
      <c r="P413" s="3195" t="str">
        <f t="shared" si="25"/>
        <v>+80 RF</v>
      </c>
      <c r="R413" s="3196"/>
      <c r="S413" s="3196"/>
      <c r="T413" s="3196" t="s">
        <v>4220</v>
      </c>
      <c r="U413" s="3196"/>
      <c r="V413" s="3196"/>
      <c r="W413" s="3196"/>
      <c r="Y413" s="3195"/>
      <c r="Z413" s="3196"/>
      <c r="AA413" s="3196"/>
      <c r="AB413" s="3196"/>
      <c r="AC413" s="3195"/>
      <c r="AE413" s="3195"/>
      <c r="AF413" s="3195"/>
      <c r="AG413" s="3195"/>
      <c r="AH413" s="3195"/>
      <c r="AI413" s="3195"/>
    </row>
    <row r="414" spans="1:35" ht="12" customHeight="1">
      <c r="O414" s="3195" t="str">
        <f t="shared" si="24"/>
        <v>Incremento de Resistencia Física:</v>
      </c>
      <c r="P414" s="3195" t="str">
        <f t="shared" si="25"/>
        <v>+100 RF</v>
      </c>
      <c r="R414" s="3196"/>
      <c r="S414" s="3196"/>
      <c r="T414" s="3196" t="s">
        <v>4221</v>
      </c>
      <c r="U414" s="3196"/>
      <c r="V414" s="3196"/>
      <c r="W414" s="3196"/>
      <c r="Y414" s="3195"/>
      <c r="Z414" s="3196"/>
      <c r="AA414" s="3196"/>
      <c r="AB414" s="3196"/>
      <c r="AC414" s="3195"/>
      <c r="AE414" s="3195"/>
      <c r="AF414" s="3195"/>
      <c r="AG414" s="3195"/>
      <c r="AH414" s="3195"/>
      <c r="AI414" s="3195"/>
    </row>
    <row r="415" spans="1:35" ht="12" customHeight="1">
      <c r="O415" s="3195" t="e">
        <f t="shared" si="24"/>
        <v>#VALUE!</v>
      </c>
      <c r="P415" s="3195" t="e">
        <f t="shared" si="25"/>
        <v>#VALUE!</v>
      </c>
      <c r="R415" s="3196"/>
      <c r="S415" s="3196"/>
      <c r="T415" s="3196" t="s">
        <v>4222</v>
      </c>
      <c r="U415" s="3196"/>
      <c r="V415" s="3196"/>
      <c r="W415" s="3196"/>
      <c r="Y415" s="3195"/>
      <c r="Z415" s="3196"/>
      <c r="AA415" s="3196"/>
      <c r="AB415" s="3196"/>
      <c r="AC415" s="3195"/>
      <c r="AE415" s="3195"/>
      <c r="AF415" s="3195"/>
      <c r="AG415" s="3195"/>
      <c r="AH415" s="3195"/>
      <c r="AI415" s="3195"/>
    </row>
    <row r="416" spans="1:35" ht="12" customHeight="1">
      <c r="A416" s="3195"/>
      <c r="O416" s="3195" t="e">
        <f t="shared" si="24"/>
        <v>#VALUE!</v>
      </c>
      <c r="P416" s="3195" t="e">
        <f t="shared" si="25"/>
        <v>#VALUE!</v>
      </c>
      <c r="T416" s="3195" t="s">
        <v>4223</v>
      </c>
      <c r="Y416" s="3195"/>
      <c r="Z416" s="3195"/>
      <c r="AA416" s="3195"/>
      <c r="AB416" s="3195"/>
      <c r="AC416" s="3195"/>
      <c r="AE416" s="3195"/>
      <c r="AF416" s="3195"/>
      <c r="AG416" s="3195"/>
      <c r="AH416" s="3195"/>
      <c r="AI416" s="3195"/>
    </row>
    <row r="417" spans="1:35" ht="12" customHeight="1">
      <c r="O417" s="3195" t="e">
        <f t="shared" si="24"/>
        <v>#VALUE!</v>
      </c>
      <c r="P417" s="3195" t="e">
        <f t="shared" si="25"/>
        <v>#VALUE!</v>
      </c>
      <c r="R417" s="3196"/>
      <c r="S417" s="3196"/>
      <c r="T417" s="3196" t="s">
        <v>4224</v>
      </c>
      <c r="U417" s="3196"/>
      <c r="V417" s="3196"/>
      <c r="W417" s="3196"/>
      <c r="X417" s="3196"/>
      <c r="Y417" s="3196"/>
      <c r="Z417" s="3196"/>
      <c r="AA417" s="3196"/>
      <c r="AB417" s="3196"/>
      <c r="AC417" s="3195"/>
      <c r="AE417" s="3195"/>
      <c r="AF417" s="3195"/>
      <c r="AG417" s="3195"/>
      <c r="AH417" s="3195"/>
      <c r="AI417" s="3195"/>
    </row>
    <row r="418" spans="1:35" ht="12" customHeight="1">
      <c r="O418" s="3195" t="e">
        <f t="shared" si="24"/>
        <v>#VALUE!</v>
      </c>
      <c r="P418" s="3195" t="e">
        <f t="shared" si="25"/>
        <v>#VALUE!</v>
      </c>
      <c r="R418" s="3196"/>
      <c r="S418" s="3196"/>
      <c r="T418" s="3196" t="s">
        <v>3522</v>
      </c>
      <c r="U418" s="3196"/>
      <c r="V418" s="3196"/>
      <c r="W418" s="3196"/>
      <c r="X418" s="3196"/>
      <c r="Y418" s="3196"/>
      <c r="Z418" s="3196"/>
      <c r="AA418" s="3196"/>
      <c r="AB418" s="3196"/>
      <c r="AC418" s="3195"/>
      <c r="AE418" s="3195"/>
      <c r="AF418" s="3195"/>
      <c r="AG418" s="3195"/>
      <c r="AH418" s="3195"/>
      <c r="AI418" s="3195"/>
    </row>
    <row r="419" spans="1:35" ht="12" customHeight="1">
      <c r="O419" s="3195" t="str">
        <f t="shared" si="24"/>
        <v>Incremento de Resistencia Mágica:</v>
      </c>
      <c r="P419" s="3195" t="str">
        <f t="shared" si="25"/>
        <v>+10 RM</v>
      </c>
      <c r="R419" s="3196"/>
      <c r="S419" s="3196"/>
      <c r="T419" s="3196" t="s">
        <v>4225</v>
      </c>
      <c r="U419" s="3196"/>
      <c r="V419" s="3196"/>
      <c r="W419" s="3196"/>
      <c r="X419" s="3196"/>
      <c r="Y419" s="3196"/>
      <c r="Z419" s="3196"/>
      <c r="AA419" s="3196"/>
      <c r="AB419" s="3196"/>
      <c r="AC419" s="3195"/>
      <c r="AE419" s="3195"/>
      <c r="AF419" s="3195"/>
      <c r="AG419" s="3195"/>
      <c r="AH419" s="3195"/>
      <c r="AI419" s="3195"/>
    </row>
    <row r="420" spans="1:35" ht="12" customHeight="1">
      <c r="O420" s="3195" t="str">
        <f t="shared" si="24"/>
        <v>Incremento de Resistencia Mágica:</v>
      </c>
      <c r="P420" s="3195" t="str">
        <f t="shared" si="25"/>
        <v>+20 RM</v>
      </c>
      <c r="R420" s="3196"/>
      <c r="S420" s="3196"/>
      <c r="T420" s="3196" t="s">
        <v>4226</v>
      </c>
      <c r="U420" s="3196"/>
      <c r="V420" s="3196"/>
      <c r="W420" s="3196"/>
      <c r="X420" s="3196"/>
      <c r="Y420" s="3196"/>
      <c r="Z420" s="3196"/>
      <c r="AA420" s="3196"/>
      <c r="AB420" s="3196"/>
      <c r="AC420" s="3195"/>
      <c r="AE420" s="3195"/>
      <c r="AF420" s="3195"/>
      <c r="AG420" s="3195"/>
      <c r="AH420" s="3195"/>
      <c r="AI420" s="3195"/>
    </row>
    <row r="421" spans="1:35" ht="12" customHeight="1">
      <c r="O421" s="3195" t="str">
        <f t="shared" si="24"/>
        <v>Incremento de Resistencia Mágica:</v>
      </c>
      <c r="P421" s="3195" t="str">
        <f t="shared" si="25"/>
        <v>+30 RM</v>
      </c>
      <c r="R421" s="3196"/>
      <c r="S421" s="3196"/>
      <c r="T421" s="3196" t="s">
        <v>4227</v>
      </c>
      <c r="U421" s="3196"/>
      <c r="V421" s="3196"/>
      <c r="W421" s="3196"/>
      <c r="X421" s="3196"/>
      <c r="Y421" s="3196"/>
      <c r="Z421" s="3196"/>
      <c r="AA421" s="3196"/>
      <c r="AB421" s="3196"/>
      <c r="AC421" s="3195"/>
      <c r="AE421" s="3195"/>
      <c r="AF421" s="3195"/>
      <c r="AG421" s="3195"/>
      <c r="AH421" s="3195"/>
      <c r="AI421" s="3195"/>
    </row>
    <row r="422" spans="1:35" ht="12" customHeight="1">
      <c r="O422" s="3195" t="str">
        <f t="shared" si="24"/>
        <v>Incremento de Resistencia Mágica:</v>
      </c>
      <c r="P422" s="3195" t="str">
        <f t="shared" si="25"/>
        <v>+40 RM</v>
      </c>
      <c r="R422" s="3196"/>
      <c r="S422" s="3196"/>
      <c r="T422" s="3196" t="s">
        <v>4228</v>
      </c>
      <c r="U422" s="3196"/>
      <c r="V422" s="3196"/>
      <c r="W422" s="3196"/>
      <c r="X422" s="3196"/>
      <c r="Y422" s="3196"/>
      <c r="Z422" s="3196"/>
      <c r="AA422" s="3196"/>
      <c r="AB422" s="3196"/>
      <c r="AC422" s="3195"/>
      <c r="AE422" s="3195"/>
      <c r="AF422" s="3195"/>
      <c r="AG422" s="3195"/>
      <c r="AH422" s="3195"/>
      <c r="AI422" s="3195"/>
    </row>
    <row r="423" spans="1:35" ht="12" customHeight="1">
      <c r="O423" s="3195" t="str">
        <f t="shared" si="24"/>
        <v>Incremento de Resistencia Mágica:</v>
      </c>
      <c r="P423" s="3195" t="str">
        <f t="shared" si="25"/>
        <v>+50 RM</v>
      </c>
      <c r="R423" s="3196"/>
      <c r="S423" s="3196"/>
      <c r="T423" s="3196" t="s">
        <v>4229</v>
      </c>
      <c r="U423" s="3196"/>
      <c r="V423" s="3196"/>
      <c r="W423" s="3196"/>
      <c r="X423" s="3196"/>
      <c r="Y423" s="3196"/>
      <c r="Z423" s="3196"/>
      <c r="AA423" s="3196"/>
      <c r="AB423" s="3196"/>
      <c r="AC423" s="3195"/>
      <c r="AE423" s="3195"/>
      <c r="AF423" s="3195"/>
      <c r="AG423" s="3195"/>
      <c r="AH423" s="3195"/>
      <c r="AI423" s="3195"/>
    </row>
    <row r="424" spans="1:35" ht="12" customHeight="1">
      <c r="O424" s="3195" t="str">
        <f t="shared" si="24"/>
        <v>Incremento de Resistencia Mágica:</v>
      </c>
      <c r="P424" s="3195" t="str">
        <f t="shared" si="25"/>
        <v>+60 RM</v>
      </c>
      <c r="R424" s="3196"/>
      <c r="S424" s="3196"/>
      <c r="T424" s="3196" t="s">
        <v>4230</v>
      </c>
      <c r="U424" s="3196"/>
      <c r="V424" s="3196"/>
      <c r="W424" s="3196"/>
      <c r="X424" s="3196"/>
      <c r="Y424" s="3196"/>
      <c r="Z424" s="3196"/>
      <c r="AA424" s="3196"/>
      <c r="AB424" s="3196"/>
      <c r="AC424" s="3195"/>
      <c r="AE424" s="3195"/>
      <c r="AF424" s="3195"/>
      <c r="AG424" s="3195"/>
      <c r="AH424" s="3195"/>
      <c r="AI424" s="3195"/>
    </row>
    <row r="425" spans="1:35" ht="12" customHeight="1">
      <c r="B425" s="3196"/>
      <c r="C425" s="3196"/>
      <c r="O425" s="3195" t="str">
        <f t="shared" si="24"/>
        <v>Incremento de Resistencia Mágica:</v>
      </c>
      <c r="P425" s="3195" t="str">
        <f t="shared" si="25"/>
        <v>+80 RM</v>
      </c>
      <c r="Q425" s="3196"/>
      <c r="R425" s="3196"/>
      <c r="S425" s="3196"/>
      <c r="T425" s="3196" t="s">
        <v>4231</v>
      </c>
      <c r="U425" s="3196"/>
      <c r="V425" s="3196"/>
      <c r="W425" s="3196"/>
      <c r="X425" s="3196"/>
      <c r="Y425" s="3196"/>
      <c r="Z425" s="3196"/>
      <c r="AA425" s="3196"/>
      <c r="AB425" s="3196"/>
      <c r="AC425" s="3195"/>
      <c r="AE425" s="3195"/>
      <c r="AF425" s="3195"/>
      <c r="AG425" s="3195"/>
      <c r="AH425" s="3195"/>
      <c r="AI425" s="3195"/>
    </row>
    <row r="426" spans="1:35" ht="12" customHeight="1">
      <c r="O426" s="3195" t="str">
        <f t="shared" si="24"/>
        <v>Incremento de Resistencia Mágica:</v>
      </c>
      <c r="P426" s="3195" t="str">
        <f t="shared" si="25"/>
        <v>+100 RM</v>
      </c>
      <c r="T426" s="3195" t="s">
        <v>4232</v>
      </c>
      <c r="Y426" s="3195"/>
      <c r="Z426" s="3195"/>
      <c r="AA426" s="3195"/>
      <c r="AB426" s="3195"/>
      <c r="AC426" s="3195"/>
      <c r="AE426" s="3195"/>
      <c r="AF426" s="3195"/>
      <c r="AG426" s="3195"/>
      <c r="AH426" s="3195"/>
      <c r="AI426" s="3195"/>
    </row>
    <row r="427" spans="1:35" ht="12" customHeight="1">
      <c r="O427" s="3195" t="e">
        <f t="shared" si="24"/>
        <v>#VALUE!</v>
      </c>
      <c r="P427" s="3195" t="e">
        <f t="shared" si="25"/>
        <v>#VALUE!</v>
      </c>
      <c r="T427" s="3195" t="s">
        <v>3528</v>
      </c>
      <c r="Y427" s="3195"/>
      <c r="Z427" s="3195"/>
      <c r="AA427" s="3195"/>
      <c r="AB427" s="3195"/>
      <c r="AC427" s="3195"/>
      <c r="AE427" s="3195"/>
      <c r="AF427" s="3195"/>
      <c r="AG427" s="3195"/>
      <c r="AH427" s="3195"/>
      <c r="AI427" s="3195"/>
    </row>
    <row r="428" spans="1:35" ht="12" customHeight="1">
      <c r="A428" s="3195"/>
      <c r="O428" s="3195" t="str">
        <f t="shared" si="24"/>
        <v>Incremento de Resistencia Psíquica:</v>
      </c>
      <c r="P428" s="3195" t="str">
        <f t="shared" si="25"/>
        <v>+10 RP</v>
      </c>
      <c r="T428" s="3195" t="s">
        <v>4233</v>
      </c>
      <c r="Y428" s="3195"/>
      <c r="Z428" s="3195"/>
      <c r="AA428" s="3195"/>
      <c r="AB428" s="3195"/>
      <c r="AC428" s="3195"/>
      <c r="AE428" s="3195"/>
      <c r="AF428" s="3195"/>
      <c r="AG428" s="3195"/>
      <c r="AH428" s="3195"/>
      <c r="AI428" s="3195"/>
    </row>
    <row r="429" spans="1:35" ht="12" customHeight="1">
      <c r="O429" s="3195" t="str">
        <f t="shared" si="24"/>
        <v>Incremento de Resistencia Psíquica:</v>
      </c>
      <c r="P429" s="3195" t="str">
        <f t="shared" si="25"/>
        <v>+20 RP</v>
      </c>
      <c r="R429" s="3196"/>
      <c r="S429" s="3196"/>
      <c r="T429" s="3196" t="s">
        <v>4234</v>
      </c>
      <c r="U429" s="3196"/>
      <c r="V429" s="3196"/>
      <c r="W429" s="3196"/>
      <c r="X429" s="3196"/>
      <c r="Y429" s="3196"/>
      <c r="Z429" s="3196"/>
      <c r="AA429" s="3196"/>
      <c r="AB429" s="3196"/>
      <c r="AC429" s="3195"/>
      <c r="AE429" s="3195"/>
      <c r="AF429" s="3195"/>
      <c r="AG429" s="3195"/>
      <c r="AH429" s="3195"/>
      <c r="AI429" s="3195"/>
    </row>
    <row r="430" spans="1:35" ht="12" customHeight="1">
      <c r="O430" s="3195" t="str">
        <f t="shared" si="24"/>
        <v>Incremento de Resistencia Psíquica:</v>
      </c>
      <c r="P430" s="3195" t="str">
        <f t="shared" si="25"/>
        <v>+30 RP</v>
      </c>
      <c r="R430" s="3196"/>
      <c r="S430" s="3196"/>
      <c r="T430" s="3196" t="s">
        <v>4235</v>
      </c>
      <c r="U430" s="3196"/>
      <c r="V430" s="3196"/>
      <c r="W430" s="3196"/>
      <c r="X430" s="3196"/>
      <c r="Y430" s="3196"/>
      <c r="Z430" s="3196"/>
      <c r="AA430" s="3196"/>
      <c r="AB430" s="3196"/>
      <c r="AC430" s="3195"/>
      <c r="AE430" s="3195"/>
      <c r="AF430" s="3195"/>
      <c r="AG430" s="3195"/>
      <c r="AH430" s="3195"/>
      <c r="AI430" s="3195"/>
    </row>
    <row r="431" spans="1:35" ht="12" customHeight="1">
      <c r="O431" s="3195" t="str">
        <f t="shared" si="24"/>
        <v>Incremento de Resistencia Psíquica:</v>
      </c>
      <c r="P431" s="3195" t="str">
        <f t="shared" si="25"/>
        <v>+40 RP</v>
      </c>
      <c r="R431" s="3196"/>
      <c r="S431" s="3196"/>
      <c r="T431" s="3196" t="s">
        <v>4236</v>
      </c>
      <c r="U431" s="3196"/>
      <c r="V431" s="3196"/>
      <c r="W431" s="3196"/>
      <c r="X431" s="3196"/>
      <c r="Y431" s="3196"/>
      <c r="Z431" s="3196"/>
      <c r="AA431" s="3196"/>
      <c r="AB431" s="3196"/>
      <c r="AC431" s="3195"/>
      <c r="AE431" s="3195"/>
      <c r="AF431" s="3195"/>
      <c r="AG431" s="3195"/>
      <c r="AH431" s="3195"/>
      <c r="AI431" s="3195"/>
    </row>
    <row r="432" spans="1:35" ht="12" customHeight="1">
      <c r="O432" s="3195" t="str">
        <f t="shared" si="24"/>
        <v>Incremento de Resistencia Psíquica:</v>
      </c>
      <c r="P432" s="3195" t="str">
        <f t="shared" si="25"/>
        <v>+50 RP</v>
      </c>
      <c r="R432" s="3196"/>
      <c r="S432" s="3196"/>
      <c r="T432" s="3196" t="s">
        <v>4237</v>
      </c>
      <c r="U432" s="3196"/>
      <c r="V432" s="3196"/>
      <c r="W432" s="3196"/>
      <c r="X432" s="3196"/>
      <c r="Y432" s="3196"/>
      <c r="Z432" s="3196"/>
      <c r="AA432" s="3196"/>
      <c r="AB432" s="3196"/>
      <c r="AC432" s="3195"/>
      <c r="AE432" s="3195"/>
      <c r="AF432" s="3195"/>
      <c r="AG432" s="3195"/>
      <c r="AH432" s="3195"/>
      <c r="AI432" s="3195"/>
    </row>
    <row r="433" spans="1:35" ht="12" customHeight="1">
      <c r="O433" s="3195" t="str">
        <f t="shared" si="24"/>
        <v>Incremento de Resistencia Psíquica:</v>
      </c>
      <c r="P433" s="3195" t="str">
        <f t="shared" si="25"/>
        <v>+60 RP</v>
      </c>
      <c r="R433" s="3196"/>
      <c r="S433" s="3196"/>
      <c r="T433" s="3196" t="s">
        <v>4238</v>
      </c>
      <c r="U433" s="3196"/>
      <c r="V433" s="3196"/>
      <c r="W433" s="3196"/>
      <c r="X433" s="3196"/>
      <c r="Y433" s="3196"/>
      <c r="Z433" s="3196"/>
      <c r="AA433" s="3196"/>
      <c r="AB433" s="3196"/>
      <c r="AC433" s="3195"/>
      <c r="AE433" s="3195"/>
      <c r="AF433" s="3195"/>
      <c r="AG433" s="3195"/>
      <c r="AH433" s="3195"/>
      <c r="AI433" s="3195"/>
    </row>
    <row r="434" spans="1:35" ht="12" customHeight="1">
      <c r="O434" s="3195" t="str">
        <f t="shared" si="24"/>
        <v>Incremento de Resistencia Psíquica:</v>
      </c>
      <c r="P434" s="3195" t="str">
        <f t="shared" si="25"/>
        <v>+80 RP</v>
      </c>
      <c r="R434" s="3196"/>
      <c r="S434" s="3196"/>
      <c r="T434" s="3196" t="s">
        <v>4239</v>
      </c>
      <c r="U434" s="3196"/>
      <c r="V434" s="3196"/>
      <c r="W434" s="3196"/>
      <c r="X434" s="3196"/>
      <c r="Y434" s="3196"/>
      <c r="Z434" s="3196"/>
      <c r="AA434" s="3196"/>
      <c r="AB434" s="3196"/>
      <c r="AC434" s="3195"/>
      <c r="AE434" s="3195"/>
      <c r="AF434" s="3195"/>
      <c r="AG434" s="3195"/>
      <c r="AH434" s="3195"/>
      <c r="AI434" s="3195"/>
    </row>
    <row r="435" spans="1:35" ht="12" customHeight="1">
      <c r="O435" s="3195" t="str">
        <f t="shared" si="24"/>
        <v>Incremento de Resistencia Psíquica:</v>
      </c>
      <c r="P435" s="3195" t="str">
        <f t="shared" si="25"/>
        <v>+100 RP</v>
      </c>
      <c r="R435" s="3196"/>
      <c r="S435" s="3196"/>
      <c r="T435" s="3196" t="s">
        <v>4240</v>
      </c>
      <c r="U435" s="3196"/>
      <c r="V435" s="3196"/>
      <c r="W435" s="3196"/>
      <c r="X435" s="3196"/>
      <c r="Y435" s="3196"/>
      <c r="Z435" s="3196"/>
      <c r="AA435" s="3196"/>
      <c r="AB435" s="3196"/>
      <c r="AC435" s="3195"/>
      <c r="AE435" s="3195"/>
      <c r="AF435" s="3195"/>
      <c r="AG435" s="3195"/>
      <c r="AH435" s="3195"/>
      <c r="AI435" s="3195"/>
    </row>
    <row r="436" spans="1:35" ht="12" customHeight="1">
      <c r="O436" s="3195" t="e">
        <f t="shared" si="24"/>
        <v>#VALUE!</v>
      </c>
      <c r="P436" s="3195" t="e">
        <f t="shared" si="25"/>
        <v>#VALUE!</v>
      </c>
      <c r="R436" s="3196"/>
      <c r="S436" s="3196"/>
      <c r="T436" s="3196" t="s">
        <v>3531</v>
      </c>
      <c r="U436" s="3196"/>
      <c r="V436" s="3196"/>
      <c r="W436" s="3196"/>
      <c r="X436" s="3196"/>
      <c r="Y436" s="3196"/>
      <c r="Z436" s="3196"/>
      <c r="AA436" s="3196"/>
      <c r="AB436" s="3196"/>
      <c r="AC436" s="3195"/>
      <c r="AE436" s="3195"/>
      <c r="AF436" s="3195"/>
      <c r="AG436" s="3195"/>
      <c r="AH436" s="3195"/>
      <c r="AI436" s="3195"/>
    </row>
    <row r="437" spans="1:35" ht="12" customHeight="1">
      <c r="A437" s="3195"/>
      <c r="O437" s="3195" t="e">
        <f t="shared" si="24"/>
        <v>#VALUE!</v>
      </c>
      <c r="P437" s="3195" t="e">
        <f t="shared" si="25"/>
        <v>#VALUE!</v>
      </c>
      <c r="T437" s="3195" t="s">
        <v>4241</v>
      </c>
      <c r="Y437" s="3195"/>
      <c r="Z437" s="3195"/>
      <c r="AA437" s="3195"/>
      <c r="AB437" s="3195"/>
      <c r="AC437" s="3195"/>
      <c r="AE437" s="3195"/>
      <c r="AF437" s="3195"/>
      <c r="AG437" s="3195"/>
      <c r="AH437" s="3195"/>
      <c r="AI437" s="3195"/>
    </row>
    <row r="438" spans="1:35" ht="12" customHeight="1">
      <c r="O438" s="3195" t="e">
        <f t="shared" si="24"/>
        <v>#VALUE!</v>
      </c>
      <c r="P438" s="3195" t="e">
        <f t="shared" si="25"/>
        <v>#VALUE!</v>
      </c>
      <c r="R438" s="3196"/>
      <c r="S438" s="3196"/>
      <c r="T438" s="3196" t="s">
        <v>4242</v>
      </c>
      <c r="U438" s="3196"/>
      <c r="V438" s="3196"/>
      <c r="W438" s="3196"/>
      <c r="X438" s="3196"/>
      <c r="Y438" s="3196"/>
      <c r="Z438" s="3196"/>
      <c r="AA438" s="3196"/>
      <c r="AB438" s="3196"/>
      <c r="AC438" s="3195"/>
      <c r="AE438" s="3195"/>
      <c r="AF438" s="3195"/>
      <c r="AG438" s="3195"/>
      <c r="AH438" s="3195"/>
      <c r="AI438" s="3195"/>
    </row>
    <row r="439" spans="1:35" ht="12" customHeight="1">
      <c r="O439" s="3195" t="e">
        <f t="shared" si="24"/>
        <v>#VALUE!</v>
      </c>
      <c r="P439" s="3195" t="e">
        <f t="shared" si="25"/>
        <v>#VALUE!</v>
      </c>
      <c r="R439" s="3196"/>
      <c r="S439" s="3196"/>
      <c r="T439" s="3196" t="s">
        <v>4243</v>
      </c>
      <c r="U439" s="3196"/>
      <c r="V439" s="3196"/>
      <c r="W439" s="3196"/>
      <c r="X439" s="3196"/>
      <c r="Y439" s="3196"/>
      <c r="Z439" s="3196"/>
      <c r="AA439" s="3196"/>
      <c r="AB439" s="3196"/>
      <c r="AC439" s="3195"/>
      <c r="AE439" s="3195"/>
      <c r="AF439" s="3195"/>
      <c r="AG439" s="3195"/>
      <c r="AH439" s="3195"/>
      <c r="AI439" s="3195"/>
    </row>
    <row r="440" spans="1:35" ht="12" customHeight="1">
      <c r="O440" s="3195" t="e">
        <f t="shared" si="24"/>
        <v>#VALUE!</v>
      </c>
      <c r="P440" s="3195" t="e">
        <f t="shared" si="25"/>
        <v>#VALUE!</v>
      </c>
      <c r="R440" s="3196"/>
      <c r="S440" s="3196"/>
      <c r="T440" s="3196" t="s">
        <v>4244</v>
      </c>
      <c r="U440" s="3196"/>
      <c r="V440" s="3196"/>
      <c r="W440" s="3196"/>
      <c r="X440" s="3196"/>
      <c r="Y440" s="3196"/>
      <c r="Z440" s="3196"/>
      <c r="AA440" s="3196"/>
      <c r="AB440" s="3196"/>
      <c r="AC440" s="3195"/>
      <c r="AE440" s="3195"/>
      <c r="AF440" s="3195"/>
      <c r="AG440" s="3195"/>
      <c r="AH440" s="3195"/>
      <c r="AI440" s="3195"/>
    </row>
    <row r="441" spans="1:35" ht="12" customHeight="1">
      <c r="O441" s="3195" t="e">
        <f t="shared" si="24"/>
        <v>#VALUE!</v>
      </c>
      <c r="P441" s="3195" t="e">
        <f t="shared" si="25"/>
        <v>#VALUE!</v>
      </c>
      <c r="R441" s="3196"/>
      <c r="S441" s="3196"/>
      <c r="T441" s="3196" t="s">
        <v>4245</v>
      </c>
      <c r="U441" s="3196"/>
      <c r="V441" s="3196"/>
      <c r="W441" s="3196"/>
      <c r="X441" s="3196"/>
      <c r="Y441" s="3196"/>
      <c r="Z441" s="3196"/>
      <c r="AA441" s="3196"/>
      <c r="AB441" s="3196"/>
      <c r="AC441" s="3195"/>
      <c r="AE441" s="3195"/>
      <c r="AF441" s="3195"/>
      <c r="AG441" s="3195"/>
      <c r="AH441" s="3195"/>
      <c r="AI441" s="3195"/>
    </row>
    <row r="442" spans="1:35" ht="12" customHeight="1">
      <c r="O442" s="3195" t="e">
        <f t="shared" si="24"/>
        <v>#VALUE!</v>
      </c>
      <c r="P442" s="3195" t="e">
        <f t="shared" si="25"/>
        <v>#VALUE!</v>
      </c>
      <c r="R442" s="3196"/>
      <c r="S442" s="3196"/>
      <c r="T442" s="3196" t="s">
        <v>4246</v>
      </c>
      <c r="U442" s="3196"/>
      <c r="V442" s="3196"/>
      <c r="W442" s="3196"/>
      <c r="X442" s="3196"/>
      <c r="Y442" s="3196"/>
      <c r="Z442" s="3196"/>
      <c r="AA442" s="3196"/>
      <c r="AB442" s="3196"/>
      <c r="AC442" s="3195"/>
      <c r="AE442" s="3195"/>
      <c r="AF442" s="3195"/>
      <c r="AG442" s="3195"/>
      <c r="AH442" s="3195"/>
      <c r="AI442" s="3195"/>
    </row>
    <row r="443" spans="1:35" ht="12" customHeight="1">
      <c r="O443" s="3195" t="e">
        <f t="shared" si="24"/>
        <v>#VALUE!</v>
      </c>
      <c r="P443" s="3195" t="e">
        <f t="shared" si="25"/>
        <v>#VALUE!</v>
      </c>
      <c r="R443" s="3196"/>
      <c r="S443" s="3196"/>
      <c r="T443" s="3196" t="s">
        <v>4247</v>
      </c>
      <c r="U443" s="3196"/>
      <c r="V443" s="3196"/>
      <c r="W443" s="3196"/>
      <c r="X443" s="3196"/>
      <c r="Y443" s="3196"/>
      <c r="Z443" s="3196"/>
      <c r="AA443" s="3196"/>
      <c r="AB443" s="3196"/>
      <c r="AC443" s="3195"/>
      <c r="AE443" s="3195"/>
      <c r="AF443" s="3195"/>
      <c r="AG443" s="3195"/>
      <c r="AH443" s="3195"/>
      <c r="AI443" s="3195"/>
    </row>
    <row r="444" spans="1:35" ht="12" customHeight="1">
      <c r="O444" s="3195" t="e">
        <f t="shared" si="24"/>
        <v>#VALUE!</v>
      </c>
      <c r="P444" s="3195" t="e">
        <f t="shared" si="25"/>
        <v>#VALUE!</v>
      </c>
      <c r="R444" s="3196"/>
      <c r="S444" s="3196"/>
      <c r="T444" s="3196" t="s">
        <v>3535</v>
      </c>
      <c r="U444" s="3196"/>
      <c r="V444" s="3196"/>
      <c r="W444" s="3196"/>
      <c r="X444" s="3196"/>
      <c r="Y444" s="3196"/>
      <c r="Z444" s="3196"/>
      <c r="AA444" s="3196"/>
      <c r="AB444" s="3196"/>
      <c r="AC444" s="3195"/>
      <c r="AE444" s="3195"/>
      <c r="AF444" s="3195"/>
      <c r="AG444" s="3195"/>
      <c r="AH444" s="3195"/>
      <c r="AI444" s="3195"/>
    </row>
    <row r="445" spans="1:35" ht="12" customHeight="1">
      <c r="O445" s="3195" t="e">
        <f t="shared" si="24"/>
        <v>#VALUE!</v>
      </c>
      <c r="P445" s="3195" t="e">
        <f t="shared" si="25"/>
        <v>#VALUE!</v>
      </c>
      <c r="R445" s="3196"/>
      <c r="S445" s="3196"/>
      <c r="T445" s="3196" t="s">
        <v>3540</v>
      </c>
      <c r="U445" s="3196"/>
      <c r="V445" s="3196"/>
      <c r="W445" s="3196"/>
      <c r="X445" s="3196"/>
      <c r="Y445" s="3196"/>
      <c r="Z445" s="3196"/>
      <c r="AA445" s="3196"/>
      <c r="AB445" s="3196"/>
      <c r="AC445" s="3195"/>
      <c r="AE445" s="3195"/>
      <c r="AF445" s="3195"/>
      <c r="AG445" s="3195"/>
      <c r="AH445" s="3195"/>
      <c r="AI445" s="3195"/>
    </row>
    <row r="446" spans="1:35" ht="12" customHeight="1">
      <c r="A446" s="3195"/>
      <c r="O446" s="3195" t="e">
        <f t="shared" si="24"/>
        <v>#VALUE!</v>
      </c>
      <c r="P446" s="3195" t="e">
        <f t="shared" si="25"/>
        <v>#VALUE!</v>
      </c>
      <c r="T446" s="3195" t="s">
        <v>4248</v>
      </c>
      <c r="Y446" s="3195"/>
      <c r="Z446" s="3195"/>
      <c r="AA446" s="3195"/>
      <c r="AB446" s="3195"/>
      <c r="AC446" s="3195"/>
      <c r="AE446" s="3195"/>
      <c r="AF446" s="3195"/>
      <c r="AG446" s="3195"/>
      <c r="AH446" s="3195"/>
      <c r="AI446" s="3195"/>
    </row>
    <row r="447" spans="1:35" ht="12" customHeight="1">
      <c r="O447" s="3195" t="e">
        <f t="shared" si="24"/>
        <v>#VALUE!</v>
      </c>
      <c r="P447" s="3195" t="e">
        <f t="shared" si="25"/>
        <v>#VALUE!</v>
      </c>
      <c r="R447" s="3196"/>
      <c r="S447" s="3196"/>
      <c r="T447" s="3196" t="s">
        <v>3546</v>
      </c>
      <c r="U447" s="3196"/>
      <c r="V447" s="3196"/>
      <c r="W447" s="3196"/>
      <c r="X447" s="3196"/>
      <c r="Y447" s="3196"/>
      <c r="Z447" s="3196"/>
      <c r="AA447" s="3196"/>
      <c r="AB447" s="3196"/>
      <c r="AC447" s="3195"/>
      <c r="AE447" s="3195"/>
      <c r="AF447" s="3195"/>
      <c r="AG447" s="3195"/>
      <c r="AH447" s="3195"/>
      <c r="AI447" s="3195"/>
    </row>
    <row r="448" spans="1:35" ht="12" customHeight="1">
      <c r="O448" s="3195" t="e">
        <f t="shared" si="24"/>
        <v>#VALUE!</v>
      </c>
      <c r="P448" s="3195" t="e">
        <f t="shared" si="25"/>
        <v>#VALUE!</v>
      </c>
      <c r="R448" s="3196"/>
      <c r="S448" s="3196"/>
      <c r="T448" s="3196" t="s">
        <v>4249</v>
      </c>
      <c r="U448" s="3196"/>
      <c r="V448" s="3196"/>
      <c r="W448" s="3196"/>
      <c r="X448" s="3196"/>
      <c r="Y448" s="3196"/>
      <c r="Z448" s="3196"/>
      <c r="AA448" s="3196"/>
      <c r="AB448" s="3196"/>
      <c r="AC448" s="3195"/>
      <c r="AE448" s="3195"/>
      <c r="AF448" s="3195"/>
      <c r="AG448" s="3195"/>
      <c r="AH448" s="3195"/>
      <c r="AI448" s="3195"/>
    </row>
    <row r="449" spans="1:35" ht="12" customHeight="1">
      <c r="O449" s="3195" t="e">
        <f t="shared" si="24"/>
        <v>#VALUE!</v>
      </c>
      <c r="P449" s="3195" t="e">
        <f t="shared" si="25"/>
        <v>#VALUE!</v>
      </c>
      <c r="R449" s="3196"/>
      <c r="S449" s="3196"/>
      <c r="T449" s="3196" t="s">
        <v>3552</v>
      </c>
      <c r="U449" s="3196"/>
      <c r="V449" s="3196"/>
      <c r="W449" s="3196"/>
      <c r="X449" s="3196"/>
      <c r="Y449" s="3196"/>
      <c r="Z449" s="3196"/>
      <c r="AA449" s="3196"/>
      <c r="AB449" s="3196"/>
      <c r="AC449" s="3195"/>
      <c r="AE449" s="3195"/>
      <c r="AF449" s="3195"/>
      <c r="AG449" s="3195"/>
      <c r="AH449" s="3195"/>
      <c r="AI449" s="3195"/>
    </row>
    <row r="450" spans="1:35" ht="12" customHeight="1">
      <c r="O450" s="3195" t="str">
        <f t="shared" si="24"/>
        <v>Armas Físicas de Ki</v>
      </c>
      <c r="P450" s="3195" t="str">
        <f t="shared" si="25"/>
        <v>+0</v>
      </c>
      <c r="R450" s="3196"/>
      <c r="S450" s="3196"/>
      <c r="T450" s="3196" t="s">
        <v>4250</v>
      </c>
      <c r="U450" s="3196"/>
      <c r="V450" s="3196"/>
      <c r="W450" s="3196"/>
      <c r="X450" s="3196"/>
      <c r="Y450" s="3196"/>
      <c r="Z450" s="3196"/>
      <c r="AA450" s="3196"/>
      <c r="AB450" s="3196"/>
      <c r="AC450" s="3195"/>
      <c r="AE450" s="3195"/>
      <c r="AF450" s="3195"/>
      <c r="AG450" s="3195"/>
      <c r="AH450" s="3195"/>
      <c r="AI450" s="3195"/>
    </row>
    <row r="451" spans="1:35" ht="12" customHeight="1">
      <c r="O451" s="3195" t="str">
        <f t="shared" si="24"/>
        <v>Armas Físicas de Ki</v>
      </c>
      <c r="P451" s="3195" t="str">
        <f t="shared" si="25"/>
        <v>+5</v>
      </c>
      <c r="R451" s="3196"/>
      <c r="S451" s="3196"/>
      <c r="T451" s="3196" t="s">
        <v>4251</v>
      </c>
      <c r="U451" s="3196"/>
      <c r="V451" s="3196"/>
      <c r="W451" s="3196"/>
      <c r="X451" s="3196"/>
      <c r="Y451" s="3196"/>
      <c r="Z451" s="3196"/>
      <c r="AA451" s="3196"/>
      <c r="AB451" s="3196"/>
      <c r="AC451" s="3195"/>
      <c r="AE451" s="3195"/>
      <c r="AF451" s="3195"/>
      <c r="AG451" s="3195"/>
      <c r="AH451" s="3195"/>
      <c r="AI451" s="3195"/>
    </row>
    <row r="452" spans="1:35" ht="12" customHeight="1">
      <c r="O452" s="3195" t="str">
        <f t="shared" si="24"/>
        <v>Armas Físicas de Ki</v>
      </c>
      <c r="P452" s="3195" t="str">
        <f t="shared" si="25"/>
        <v>+10</v>
      </c>
      <c r="R452" s="3196"/>
      <c r="S452" s="3196"/>
      <c r="T452" s="3196" t="s">
        <v>4252</v>
      </c>
      <c r="U452" s="3196"/>
      <c r="V452" s="3196"/>
      <c r="W452" s="3196"/>
      <c r="X452" s="3196"/>
      <c r="Y452" s="3196"/>
      <c r="Z452" s="3196"/>
      <c r="AA452" s="3196"/>
      <c r="AB452" s="3196"/>
      <c r="AC452" s="3195"/>
      <c r="AE452" s="3195"/>
      <c r="AF452" s="3195"/>
      <c r="AG452" s="3195"/>
      <c r="AH452" s="3195"/>
      <c r="AI452" s="3195"/>
    </row>
    <row r="453" spans="1:35" ht="12" customHeight="1">
      <c r="O453" s="3195" t="str">
        <f t="shared" si="24"/>
        <v>Armas Físicas de Ki</v>
      </c>
      <c r="P453" s="3195" t="str">
        <f t="shared" si="25"/>
        <v>+15</v>
      </c>
      <c r="R453" s="3196"/>
      <c r="S453" s="3196"/>
      <c r="T453" s="3196" t="s">
        <v>4253</v>
      </c>
      <c r="U453" s="3196"/>
      <c r="V453" s="3196"/>
      <c r="W453" s="3196"/>
      <c r="X453" s="3196"/>
      <c r="Y453" s="3196"/>
      <c r="Z453" s="3196"/>
      <c r="AA453" s="3196"/>
      <c r="AB453" s="3196"/>
      <c r="AC453" s="3195"/>
      <c r="AE453" s="3195"/>
      <c r="AF453" s="3195"/>
      <c r="AG453" s="3195"/>
      <c r="AH453" s="3195"/>
      <c r="AI453" s="3195"/>
    </row>
    <row r="454" spans="1:35" ht="12" customHeight="1">
      <c r="A454" s="3195"/>
      <c r="O454" s="3195" t="str">
        <f t="shared" si="24"/>
        <v>Armas Físicas de Ki</v>
      </c>
      <c r="P454" s="3195" t="str">
        <f t="shared" si="25"/>
        <v>+20</v>
      </c>
      <c r="T454" s="3195" t="s">
        <v>4254</v>
      </c>
      <c r="Y454" s="3195"/>
      <c r="Z454" s="3195"/>
      <c r="AA454" s="3195"/>
      <c r="AB454" s="3195"/>
      <c r="AC454" s="3195"/>
      <c r="AE454" s="3195"/>
      <c r="AF454" s="3195"/>
      <c r="AG454" s="3195"/>
      <c r="AH454" s="3195"/>
      <c r="AI454" s="3195"/>
    </row>
    <row r="455" spans="1:35" ht="12" customHeight="1">
      <c r="A455" s="3195"/>
      <c r="O455" s="3195" t="e">
        <f t="shared" si="24"/>
        <v>#VALUE!</v>
      </c>
      <c r="P455" s="3195" t="e">
        <f t="shared" si="25"/>
        <v>#VALUE!</v>
      </c>
      <c r="T455" s="3195" t="s">
        <v>4255</v>
      </c>
      <c r="Y455" s="3195"/>
      <c r="Z455" s="3195"/>
      <c r="AA455" s="3195"/>
      <c r="AB455" s="3195"/>
      <c r="AC455" s="3195"/>
      <c r="AE455" s="3195"/>
      <c r="AF455" s="3195"/>
      <c r="AG455" s="3195"/>
      <c r="AH455" s="3195"/>
      <c r="AI455" s="3195"/>
    </row>
    <row r="456" spans="1:35" ht="12" customHeight="1">
      <c r="O456" s="3195" t="e">
        <f t="shared" ref="O456:O519" si="26">LEFT(T456,FIND(" +",T456)-1)</f>
        <v>#VALUE!</v>
      </c>
      <c r="P456" s="3195" t="e">
        <f t="shared" ref="P456:P519" si="27">MID(T456,FIND("+",T456),20)</f>
        <v>#VALUE!</v>
      </c>
      <c r="R456" s="3196"/>
      <c r="S456" s="3196"/>
      <c r="T456" s="3196" t="s">
        <v>4256</v>
      </c>
      <c r="U456" s="3196"/>
      <c r="V456" s="3196"/>
      <c r="W456" s="3196"/>
      <c r="X456" s="3196"/>
      <c r="Y456" s="3196"/>
      <c r="Z456" s="3196"/>
      <c r="AA456" s="3196"/>
      <c r="AB456" s="3196"/>
      <c r="AC456" s="3195"/>
      <c r="AE456" s="3195"/>
      <c r="AF456" s="3195"/>
      <c r="AG456" s="3195"/>
      <c r="AH456" s="3195"/>
      <c r="AI456" s="3195"/>
    </row>
    <row r="457" spans="1:35" ht="12" customHeight="1">
      <c r="A457" s="3195"/>
      <c r="O457" s="3195" t="e">
        <f t="shared" si="26"/>
        <v>#VALUE!</v>
      </c>
      <c r="P457" s="3195" t="e">
        <f t="shared" si="27"/>
        <v>#VALUE!</v>
      </c>
      <c r="T457" s="3195" t="s">
        <v>4257</v>
      </c>
      <c r="Y457" s="3195"/>
      <c r="Z457" s="3195"/>
      <c r="AA457" s="3195"/>
      <c r="AB457" s="3195"/>
      <c r="AC457" s="3195"/>
      <c r="AE457" s="3195"/>
      <c r="AF457" s="3195"/>
      <c r="AG457" s="3195"/>
      <c r="AH457" s="3195"/>
      <c r="AI457" s="3195"/>
    </row>
    <row r="458" spans="1:35" ht="12" customHeight="1">
      <c r="O458" s="3195" t="e">
        <f t="shared" si="26"/>
        <v>#VALUE!</v>
      </c>
      <c r="P458" s="3195" t="e">
        <f t="shared" si="27"/>
        <v>#VALUE!</v>
      </c>
      <c r="R458" s="3196"/>
      <c r="S458" s="3196"/>
      <c r="T458" s="3196" t="s">
        <v>4258</v>
      </c>
      <c r="U458" s="3196"/>
      <c r="V458" s="3196"/>
      <c r="W458" s="3196"/>
      <c r="X458" s="3196"/>
      <c r="Y458" s="3196"/>
      <c r="Z458" s="3196"/>
      <c r="AA458" s="3195"/>
      <c r="AB458" s="3195"/>
      <c r="AC458" s="3195"/>
      <c r="AE458" s="3195"/>
      <c r="AF458" s="3195"/>
      <c r="AG458" s="3195"/>
      <c r="AH458" s="3195"/>
      <c r="AI458" s="3195"/>
    </row>
    <row r="459" spans="1:35" ht="12" customHeight="1">
      <c r="A459" s="3195"/>
      <c r="O459" s="3195" t="e">
        <f t="shared" si="26"/>
        <v>#VALUE!</v>
      </c>
      <c r="P459" s="3195" t="e">
        <f t="shared" si="27"/>
        <v>#VALUE!</v>
      </c>
      <c r="T459" s="3195" t="s">
        <v>4259</v>
      </c>
      <c r="Y459" s="3195"/>
      <c r="Z459" s="3195"/>
      <c r="AA459" s="3195"/>
      <c r="AB459" s="3195"/>
      <c r="AC459" s="3195"/>
      <c r="AE459" s="3195"/>
      <c r="AF459" s="3195"/>
      <c r="AG459" s="3195"/>
      <c r="AH459" s="3195"/>
      <c r="AI459" s="3195"/>
    </row>
    <row r="460" spans="1:35" ht="12" customHeight="1">
      <c r="O460" s="3195" t="e">
        <f t="shared" si="26"/>
        <v>#VALUE!</v>
      </c>
      <c r="P460" s="3195" t="e">
        <f t="shared" si="27"/>
        <v>#VALUE!</v>
      </c>
      <c r="R460" s="3196"/>
      <c r="S460" s="3196"/>
      <c r="T460" s="3196" t="s">
        <v>4260</v>
      </c>
      <c r="U460" s="3196"/>
      <c r="V460" s="3196"/>
      <c r="W460" s="3196"/>
      <c r="X460" s="3196"/>
      <c r="Y460" s="3196"/>
      <c r="Z460" s="3196"/>
      <c r="AA460" s="3196"/>
      <c r="AB460" s="3196"/>
      <c r="AC460" s="3195"/>
      <c r="AE460" s="3195"/>
      <c r="AF460" s="3195"/>
      <c r="AG460" s="3195"/>
      <c r="AH460" s="3195"/>
      <c r="AI460" s="3195"/>
    </row>
    <row r="461" spans="1:35" ht="12" customHeight="1">
      <c r="O461" s="3195" t="e">
        <f t="shared" si="26"/>
        <v>#VALUE!</v>
      </c>
      <c r="P461" s="3195" t="e">
        <f t="shared" si="27"/>
        <v>#VALUE!</v>
      </c>
      <c r="R461" s="3196"/>
      <c r="S461" s="3196"/>
      <c r="T461" s="3196" t="s">
        <v>4261</v>
      </c>
      <c r="U461" s="3196"/>
      <c r="V461" s="3196"/>
      <c r="W461" s="3196"/>
      <c r="X461" s="3196"/>
      <c r="Y461" s="3196"/>
      <c r="Z461" s="3196"/>
      <c r="AA461" s="3196"/>
      <c r="AB461" s="3196"/>
      <c r="AC461" s="3195"/>
      <c r="AE461" s="3195"/>
      <c r="AF461" s="3195"/>
      <c r="AG461" s="3195"/>
      <c r="AH461" s="3195"/>
      <c r="AI461" s="3195"/>
    </row>
    <row r="462" spans="1:35" ht="12" customHeight="1">
      <c r="O462" s="3195" t="e">
        <f t="shared" si="26"/>
        <v>#VALUE!</v>
      </c>
      <c r="P462" s="3195" t="e">
        <f t="shared" si="27"/>
        <v>#VALUE!</v>
      </c>
      <c r="R462" s="3196"/>
      <c r="S462" s="3196"/>
      <c r="T462" s="3196" t="s">
        <v>3558</v>
      </c>
      <c r="U462" s="3196"/>
      <c r="V462" s="3196"/>
      <c r="W462" s="3196"/>
      <c r="X462" s="3196"/>
      <c r="Y462" s="3196"/>
      <c r="Z462" s="3196"/>
      <c r="AA462" s="3196"/>
      <c r="AB462" s="3196"/>
      <c r="AC462" s="3195"/>
      <c r="AE462" s="3195"/>
      <c r="AF462" s="3195"/>
      <c r="AG462" s="3195"/>
      <c r="AH462" s="3195"/>
      <c r="AI462" s="3195"/>
    </row>
    <row r="463" spans="1:35" ht="12" customHeight="1">
      <c r="O463" s="3195" t="e">
        <f t="shared" si="26"/>
        <v>#VALUE!</v>
      </c>
      <c r="P463" s="3195" t="e">
        <f t="shared" si="27"/>
        <v>#VALUE!</v>
      </c>
      <c r="R463" s="3196"/>
      <c r="S463" s="3196"/>
      <c r="T463" s="3196" t="s">
        <v>4262</v>
      </c>
      <c r="U463" s="3196"/>
      <c r="V463" s="3196"/>
      <c r="W463" s="3196"/>
      <c r="X463" s="3196"/>
      <c r="Y463" s="3196"/>
      <c r="Z463" s="3196"/>
      <c r="AA463" s="3196"/>
      <c r="AB463" s="3196"/>
      <c r="AC463" s="3195"/>
      <c r="AE463" s="3195"/>
      <c r="AF463" s="3195"/>
      <c r="AG463" s="3195"/>
      <c r="AH463" s="3195"/>
      <c r="AI463" s="3195"/>
    </row>
    <row r="464" spans="1:35" ht="12" customHeight="1">
      <c r="O464" s="3195" t="e">
        <f t="shared" si="26"/>
        <v>#VALUE!</v>
      </c>
      <c r="P464" s="3195" t="e">
        <f t="shared" si="27"/>
        <v>#VALUE!</v>
      </c>
      <c r="R464" s="3196"/>
      <c r="S464" s="3196"/>
      <c r="T464" s="3196" t="s">
        <v>3561</v>
      </c>
      <c r="U464" s="3196"/>
      <c r="V464" s="3196"/>
      <c r="W464" s="3196"/>
      <c r="X464" s="3196"/>
      <c r="Y464" s="3196"/>
      <c r="Z464" s="3196"/>
      <c r="AA464" s="3196"/>
      <c r="AB464" s="3196"/>
      <c r="AC464" s="3195"/>
      <c r="AE464" s="3195"/>
      <c r="AF464" s="3195"/>
      <c r="AG464" s="3195"/>
      <c r="AH464" s="3195"/>
      <c r="AI464" s="3195"/>
    </row>
    <row r="465" spans="1:35" ht="12" customHeight="1">
      <c r="B465" s="3196"/>
      <c r="C465" s="3196"/>
      <c r="O465" s="3195" t="e">
        <f t="shared" si="26"/>
        <v>#VALUE!</v>
      </c>
      <c r="P465" s="3195" t="e">
        <f t="shared" si="27"/>
        <v>#VALUE!</v>
      </c>
      <c r="Q465" s="3196"/>
      <c r="R465" s="3196"/>
      <c r="S465" s="3196"/>
      <c r="T465" s="3196" t="s">
        <v>4263</v>
      </c>
      <c r="U465" s="3196"/>
      <c r="V465" s="3196"/>
      <c r="W465" s="3196"/>
      <c r="X465" s="3196"/>
      <c r="Y465" s="3196"/>
      <c r="Z465" s="3196"/>
      <c r="AA465" s="3196"/>
      <c r="AB465" s="3196"/>
      <c r="AC465" s="3195"/>
      <c r="AE465" s="3195"/>
      <c r="AF465" s="3195"/>
      <c r="AG465" s="3195"/>
      <c r="AH465" s="3195"/>
      <c r="AI465" s="3195"/>
    </row>
    <row r="466" spans="1:35" ht="12" customHeight="1">
      <c r="O466" s="3195" t="e">
        <f t="shared" si="26"/>
        <v>#VALUE!</v>
      </c>
      <c r="P466" s="3195" t="e">
        <f t="shared" si="27"/>
        <v>#VALUE!</v>
      </c>
      <c r="T466" s="3195" t="s">
        <v>4264</v>
      </c>
      <c r="Y466" s="3195"/>
      <c r="Z466" s="3195"/>
      <c r="AA466" s="3195"/>
      <c r="AB466" s="3195"/>
      <c r="AC466" s="3195"/>
      <c r="AE466" s="3195"/>
      <c r="AF466" s="3195"/>
      <c r="AG466" s="3195"/>
      <c r="AH466" s="3195"/>
      <c r="AI466" s="3195"/>
    </row>
    <row r="467" spans="1:35" ht="12" customHeight="1">
      <c r="B467" s="3196"/>
      <c r="C467" s="3196"/>
      <c r="O467" s="3195" t="e">
        <f t="shared" si="26"/>
        <v>#VALUE!</v>
      </c>
      <c r="P467" s="3195" t="e">
        <f t="shared" si="27"/>
        <v>#VALUE!</v>
      </c>
      <c r="Q467" s="3196"/>
      <c r="R467" s="3196"/>
      <c r="S467" s="3196"/>
      <c r="T467" s="3196" t="s">
        <v>4265</v>
      </c>
      <c r="U467" s="3196"/>
      <c r="V467" s="3196"/>
      <c r="W467" s="3196"/>
      <c r="X467" s="3196"/>
      <c r="Y467" s="3196"/>
      <c r="Z467" s="3196"/>
      <c r="AA467" s="3196"/>
      <c r="AB467" s="3196"/>
      <c r="AC467" s="3195"/>
      <c r="AE467" s="3195"/>
      <c r="AF467" s="3195"/>
      <c r="AG467" s="3195"/>
      <c r="AH467" s="3195"/>
      <c r="AI467" s="3195"/>
    </row>
    <row r="468" spans="1:35" ht="12" customHeight="1">
      <c r="O468" s="3195" t="e">
        <f t="shared" si="26"/>
        <v>#VALUE!</v>
      </c>
      <c r="P468" s="3195" t="e">
        <f t="shared" si="27"/>
        <v>#VALUE!</v>
      </c>
      <c r="T468" s="3195" t="s">
        <v>4266</v>
      </c>
      <c r="Y468" s="3195"/>
      <c r="Z468" s="3195"/>
      <c r="AA468" s="3195"/>
      <c r="AB468" s="3195"/>
      <c r="AC468" s="3195"/>
      <c r="AE468" s="3195"/>
      <c r="AF468" s="3195"/>
      <c r="AG468" s="3195"/>
      <c r="AH468" s="3195"/>
      <c r="AI468" s="3195"/>
    </row>
    <row r="469" spans="1:35" ht="12" customHeight="1">
      <c r="O469" s="3195" t="e">
        <f t="shared" si="26"/>
        <v>#VALUE!</v>
      </c>
      <c r="P469" s="3195" t="e">
        <f t="shared" si="27"/>
        <v>#VALUE!</v>
      </c>
      <c r="T469" s="3195" t="s">
        <v>4267</v>
      </c>
      <c r="Y469" s="3195"/>
      <c r="Z469" s="3195"/>
      <c r="AA469" s="3195"/>
      <c r="AB469" s="3195"/>
      <c r="AC469" s="3195"/>
      <c r="AE469" s="3195"/>
      <c r="AF469" s="3195"/>
      <c r="AG469" s="3195"/>
      <c r="AH469" s="3195"/>
      <c r="AI469" s="3195"/>
    </row>
    <row r="470" spans="1:35" ht="12" customHeight="1">
      <c r="O470" s="3195" t="e">
        <f t="shared" si="26"/>
        <v>#VALUE!</v>
      </c>
      <c r="P470" s="3195" t="e">
        <f t="shared" si="27"/>
        <v>#VALUE!</v>
      </c>
      <c r="T470" s="3195" t="s">
        <v>4268</v>
      </c>
      <c r="Y470" s="3195"/>
      <c r="Z470" s="3195"/>
      <c r="AA470" s="3195"/>
      <c r="AB470" s="3195"/>
      <c r="AC470" s="3195"/>
      <c r="AE470" s="3195"/>
      <c r="AF470" s="3195"/>
      <c r="AG470" s="3195"/>
      <c r="AH470" s="3195"/>
      <c r="AI470" s="3195"/>
    </row>
    <row r="471" spans="1:35" ht="12" customHeight="1">
      <c r="O471" s="3195" t="e">
        <f t="shared" si="26"/>
        <v>#VALUE!</v>
      </c>
      <c r="P471" s="3195" t="e">
        <f t="shared" si="27"/>
        <v>#VALUE!</v>
      </c>
      <c r="T471" s="3195" t="s">
        <v>3566</v>
      </c>
      <c r="Y471" s="3195"/>
      <c r="Z471" s="3195"/>
      <c r="AA471" s="3195"/>
      <c r="AB471" s="3195"/>
      <c r="AC471" s="3195"/>
      <c r="AE471" s="3195"/>
      <c r="AF471" s="3195"/>
      <c r="AG471" s="3195"/>
      <c r="AH471" s="3195"/>
      <c r="AI471" s="3195"/>
    </row>
    <row r="472" spans="1:35" ht="12" customHeight="1">
      <c r="A472" s="3195"/>
      <c r="O472" s="3195" t="e">
        <f t="shared" si="26"/>
        <v>#VALUE!</v>
      </c>
      <c r="P472" s="3195" t="e">
        <f t="shared" si="27"/>
        <v>#VALUE!</v>
      </c>
      <c r="T472" s="3195" t="s">
        <v>4269</v>
      </c>
      <c r="Y472" s="3195"/>
      <c r="Z472" s="3195"/>
      <c r="AA472" s="3195"/>
      <c r="AB472" s="3195"/>
      <c r="AC472" s="3195"/>
      <c r="AE472" s="3195"/>
      <c r="AF472" s="3195"/>
      <c r="AG472" s="3195"/>
      <c r="AH472" s="3195"/>
      <c r="AI472" s="3195"/>
    </row>
    <row r="473" spans="1:35" ht="12" customHeight="1">
      <c r="O473" s="3195" t="e">
        <f t="shared" si="26"/>
        <v>#VALUE!</v>
      </c>
      <c r="P473" s="3195" t="e">
        <f t="shared" si="27"/>
        <v>#VALUE!</v>
      </c>
      <c r="R473" s="3196"/>
      <c r="S473" s="3196"/>
      <c r="T473" s="3196" t="s">
        <v>4270</v>
      </c>
      <c r="U473" s="3196"/>
      <c r="V473" s="3196"/>
      <c r="W473" s="3196"/>
      <c r="X473" s="3196"/>
      <c r="Y473" s="3196"/>
      <c r="Z473" s="3196"/>
      <c r="AA473" s="3196"/>
      <c r="AB473" s="3195"/>
      <c r="AC473" s="3195"/>
      <c r="AE473" s="3195"/>
      <c r="AF473" s="3195"/>
      <c r="AG473" s="3195"/>
      <c r="AH473" s="3195"/>
      <c r="AI473" s="3195"/>
    </row>
    <row r="474" spans="1:35" ht="12" customHeight="1">
      <c r="A474" s="3195"/>
      <c r="O474" s="3195" t="e">
        <f t="shared" si="26"/>
        <v>#VALUE!</v>
      </c>
      <c r="P474" s="3195" t="e">
        <f t="shared" si="27"/>
        <v>#VALUE!</v>
      </c>
      <c r="T474" s="3195" t="s">
        <v>4271</v>
      </c>
      <c r="Y474" s="3195"/>
      <c r="Z474" s="3195"/>
      <c r="AA474" s="3195"/>
      <c r="AB474" s="3195"/>
      <c r="AC474" s="3195"/>
      <c r="AE474" s="3195"/>
      <c r="AF474" s="3195"/>
      <c r="AG474" s="3195"/>
      <c r="AH474" s="3195"/>
      <c r="AI474" s="3195"/>
    </row>
    <row r="475" spans="1:35" ht="12" customHeight="1">
      <c r="O475" s="3195" t="e">
        <f t="shared" si="26"/>
        <v>#VALUE!</v>
      </c>
      <c r="P475" s="3195" t="e">
        <f t="shared" si="27"/>
        <v>#VALUE!</v>
      </c>
      <c r="R475" s="3196"/>
      <c r="S475" s="3196"/>
      <c r="T475" s="3196" t="s">
        <v>4272</v>
      </c>
      <c r="U475" s="3196"/>
      <c r="V475" s="3196"/>
      <c r="W475" s="3196"/>
      <c r="X475" s="3196"/>
      <c r="Y475" s="3196"/>
      <c r="Z475" s="3196"/>
      <c r="AA475" s="3196"/>
      <c r="AB475" s="3196"/>
      <c r="AC475" s="3195"/>
      <c r="AE475" s="3195"/>
      <c r="AF475" s="3195"/>
      <c r="AG475" s="3195"/>
      <c r="AH475" s="3195"/>
      <c r="AI475" s="3195"/>
    </row>
    <row r="476" spans="1:35" ht="12" customHeight="1">
      <c r="O476" s="3195" t="e">
        <f t="shared" si="26"/>
        <v>#VALUE!</v>
      </c>
      <c r="P476" s="3195" t="e">
        <f t="shared" si="27"/>
        <v>#VALUE!</v>
      </c>
      <c r="R476" s="3196"/>
      <c r="S476" s="3196"/>
      <c r="T476" s="3196" t="s">
        <v>4273</v>
      </c>
      <c r="U476" s="3196"/>
      <c r="V476" s="3196"/>
      <c r="W476" s="3196"/>
      <c r="X476" s="3196"/>
      <c r="Y476" s="3196"/>
      <c r="Z476" s="3196"/>
      <c r="AA476" s="3196"/>
      <c r="AB476" s="3196"/>
      <c r="AC476" s="3195"/>
      <c r="AE476" s="3195"/>
      <c r="AF476" s="3195"/>
      <c r="AG476" s="3195"/>
      <c r="AH476" s="3195"/>
      <c r="AI476" s="3195"/>
    </row>
    <row r="477" spans="1:35" ht="12" customHeight="1">
      <c r="O477" s="3195" t="e">
        <f t="shared" si="26"/>
        <v>#VALUE!</v>
      </c>
      <c r="P477" s="3195" t="e">
        <f t="shared" si="27"/>
        <v>#VALUE!</v>
      </c>
      <c r="R477" s="3196"/>
      <c r="S477" s="3196"/>
      <c r="T477" s="3196" t="s">
        <v>4274</v>
      </c>
      <c r="U477" s="3196"/>
      <c r="V477" s="3196"/>
      <c r="W477" s="3196"/>
      <c r="X477" s="3196"/>
      <c r="Y477" s="3196"/>
      <c r="Z477" s="3196"/>
      <c r="AA477" s="3196"/>
      <c r="AB477" s="3196"/>
      <c r="AC477" s="3195"/>
      <c r="AE477" s="3195"/>
      <c r="AF477" s="3195"/>
      <c r="AG477" s="3195"/>
      <c r="AH477" s="3195"/>
      <c r="AI477" s="3195"/>
    </row>
    <row r="478" spans="1:35" ht="12" customHeight="1">
      <c r="O478" s="3195" t="e">
        <f t="shared" si="26"/>
        <v>#VALUE!</v>
      </c>
      <c r="P478" s="3195" t="e">
        <f t="shared" si="27"/>
        <v>#VALUE!</v>
      </c>
      <c r="R478" s="3196"/>
      <c r="S478" s="3196"/>
      <c r="T478" s="3196" t="s">
        <v>4275</v>
      </c>
      <c r="U478" s="3196"/>
      <c r="V478" s="3196"/>
      <c r="W478" s="3196"/>
      <c r="X478" s="3196"/>
      <c r="Y478" s="3196"/>
      <c r="Z478" s="3196"/>
      <c r="AA478" s="3196"/>
      <c r="AB478" s="3196"/>
      <c r="AC478" s="3195"/>
      <c r="AE478" s="3195"/>
      <c r="AF478" s="3195"/>
      <c r="AG478" s="3195"/>
      <c r="AH478" s="3195"/>
      <c r="AI478" s="3195"/>
    </row>
    <row r="479" spans="1:35" ht="12" customHeight="1">
      <c r="O479" s="3195" t="e">
        <f t="shared" si="26"/>
        <v>#VALUE!</v>
      </c>
      <c r="P479" s="3195" t="e">
        <f t="shared" si="27"/>
        <v>#VALUE!</v>
      </c>
      <c r="R479" s="3196"/>
      <c r="S479" s="3196"/>
      <c r="T479" s="3196" t="s">
        <v>4276</v>
      </c>
      <c r="U479" s="3196"/>
      <c r="V479" s="3196"/>
      <c r="W479" s="3196"/>
      <c r="X479" s="3196"/>
      <c r="Y479" s="3196"/>
      <c r="Z479" s="3196"/>
      <c r="AA479" s="3196"/>
      <c r="AB479" s="3196"/>
      <c r="AC479" s="3195"/>
      <c r="AE479" s="3195"/>
      <c r="AF479" s="3195"/>
      <c r="AG479" s="3195"/>
      <c r="AH479" s="3195"/>
      <c r="AI479" s="3195"/>
    </row>
    <row r="480" spans="1:35" ht="12" customHeight="1">
      <c r="O480" s="3195" t="e">
        <f t="shared" si="26"/>
        <v>#VALUE!</v>
      </c>
      <c r="P480" s="3195" t="e">
        <f t="shared" si="27"/>
        <v>#VALUE!</v>
      </c>
      <c r="R480" s="3196"/>
      <c r="S480" s="3196"/>
      <c r="T480" s="3196" t="s">
        <v>4277</v>
      </c>
      <c r="U480" s="3196"/>
      <c r="V480" s="3196"/>
      <c r="W480" s="3196"/>
      <c r="X480" s="3196"/>
      <c r="Y480" s="3196"/>
      <c r="Z480" s="3196"/>
      <c r="AA480" s="3196"/>
      <c r="AB480" s="3196"/>
      <c r="AC480" s="3195"/>
      <c r="AE480" s="3195"/>
      <c r="AF480" s="3195"/>
      <c r="AG480" s="3195"/>
      <c r="AH480" s="3195"/>
      <c r="AI480" s="3195"/>
    </row>
    <row r="481" spans="1:35" ht="12" customHeight="1">
      <c r="A481" s="3195"/>
      <c r="O481" s="3195" t="e">
        <f t="shared" si="26"/>
        <v>#VALUE!</v>
      </c>
      <c r="P481" s="3195" t="e">
        <f t="shared" si="27"/>
        <v>#VALUE!</v>
      </c>
      <c r="T481" s="3195" t="s">
        <v>4278</v>
      </c>
      <c r="Y481" s="3195"/>
      <c r="Z481" s="3195"/>
      <c r="AA481" s="3195"/>
      <c r="AB481" s="3195"/>
      <c r="AC481" s="3195"/>
      <c r="AE481" s="3195"/>
      <c r="AF481" s="3195"/>
      <c r="AG481" s="3195"/>
      <c r="AH481" s="3195"/>
      <c r="AI481" s="3195"/>
    </row>
    <row r="482" spans="1:35" ht="12" customHeight="1">
      <c r="O482" s="3195" t="e">
        <f t="shared" si="26"/>
        <v>#VALUE!</v>
      </c>
      <c r="P482" s="3195" t="e">
        <f t="shared" si="27"/>
        <v>#VALUE!</v>
      </c>
      <c r="R482" s="3196"/>
      <c r="S482" s="3196"/>
      <c r="T482" s="3196" t="s">
        <v>4279</v>
      </c>
      <c r="U482" s="3196"/>
      <c r="V482" s="3196"/>
      <c r="W482" s="3196"/>
      <c r="X482" s="3196"/>
      <c r="Y482" s="3196"/>
      <c r="Z482" s="3196"/>
      <c r="AA482" s="3195"/>
      <c r="AB482" s="3195"/>
      <c r="AC482" s="3195"/>
      <c r="AE482" s="3195"/>
      <c r="AF482" s="3195"/>
      <c r="AG482" s="3195"/>
      <c r="AH482" s="3195"/>
      <c r="AI482" s="3195"/>
    </row>
    <row r="483" spans="1:35" ht="12" customHeight="1">
      <c r="O483" s="3195" t="e">
        <f t="shared" si="26"/>
        <v>#VALUE!</v>
      </c>
      <c r="P483" s="3195" t="e">
        <f t="shared" si="27"/>
        <v>#VALUE!</v>
      </c>
      <c r="R483" s="3196"/>
      <c r="S483" s="3196"/>
      <c r="T483" s="3196" t="s">
        <v>3570</v>
      </c>
      <c r="U483" s="3196"/>
      <c r="V483" s="3196"/>
      <c r="W483" s="3196"/>
      <c r="X483" s="3196"/>
      <c r="Y483" s="3196"/>
      <c r="Z483" s="3196"/>
      <c r="AA483" s="3195"/>
      <c r="AB483" s="3195"/>
      <c r="AC483" s="3195"/>
      <c r="AE483" s="3195"/>
      <c r="AF483" s="3195"/>
      <c r="AG483" s="3195"/>
      <c r="AH483" s="3195"/>
      <c r="AI483" s="3195"/>
    </row>
    <row r="484" spans="1:35" ht="12" customHeight="1">
      <c r="O484" s="3195" t="e">
        <f t="shared" si="26"/>
        <v>#VALUE!</v>
      </c>
      <c r="P484" s="3195" t="e">
        <f t="shared" si="27"/>
        <v>#VALUE!</v>
      </c>
      <c r="R484" s="3196"/>
      <c r="S484" s="3196"/>
      <c r="T484" s="3196" t="s">
        <v>4280</v>
      </c>
      <c r="U484" s="3196"/>
      <c r="V484" s="3196"/>
      <c r="W484" s="3196"/>
      <c r="X484" s="3196"/>
      <c r="Y484" s="3196"/>
      <c r="Z484" s="3196"/>
      <c r="AA484" s="3195"/>
      <c r="AB484" s="3195"/>
      <c r="AC484" s="3195"/>
      <c r="AE484" s="3195"/>
      <c r="AF484" s="3195"/>
      <c r="AG484" s="3195"/>
      <c r="AH484" s="3195"/>
      <c r="AI484" s="3195"/>
    </row>
    <row r="485" spans="1:35" ht="12" customHeight="1">
      <c r="O485" s="3195" t="e">
        <f t="shared" si="26"/>
        <v>#VALUE!</v>
      </c>
      <c r="P485" s="3195" t="e">
        <f t="shared" si="27"/>
        <v>#VALUE!</v>
      </c>
      <c r="R485" s="3196"/>
      <c r="S485" s="3196"/>
      <c r="T485" s="3196" t="s">
        <v>2005</v>
      </c>
      <c r="U485" s="3196"/>
      <c r="V485" s="3196"/>
      <c r="W485" s="3196"/>
      <c r="X485" s="3196"/>
      <c r="Y485" s="3196"/>
      <c r="Z485" s="3196"/>
      <c r="AA485" s="3195"/>
      <c r="AB485" s="3195"/>
      <c r="AC485" s="3195"/>
      <c r="AE485" s="3195"/>
      <c r="AF485" s="3195"/>
      <c r="AG485" s="3195"/>
      <c r="AH485" s="3195"/>
      <c r="AI485" s="3195"/>
    </row>
    <row r="486" spans="1:35" ht="12" customHeight="1">
      <c r="O486" s="3195" t="e">
        <f t="shared" si="26"/>
        <v>#VALUE!</v>
      </c>
      <c r="P486" s="3195" t="e">
        <f t="shared" si="27"/>
        <v>#VALUE!</v>
      </c>
      <c r="R486" s="3196"/>
      <c r="S486" s="3196"/>
      <c r="T486" s="3196" t="s">
        <v>4281</v>
      </c>
      <c r="U486" s="3196"/>
      <c r="V486" s="3196"/>
      <c r="W486" s="3196"/>
      <c r="X486" s="3196"/>
      <c r="Y486" s="3196"/>
      <c r="Z486" s="3196"/>
      <c r="AA486" s="3195"/>
      <c r="AB486" s="3195"/>
      <c r="AC486" s="3195"/>
      <c r="AE486" s="3195"/>
      <c r="AF486" s="3195"/>
      <c r="AG486" s="3195"/>
      <c r="AH486" s="3195"/>
      <c r="AI486" s="3195"/>
    </row>
    <row r="487" spans="1:35" ht="12" customHeight="1">
      <c r="O487" s="3195" t="e">
        <f t="shared" si="26"/>
        <v>#VALUE!</v>
      </c>
      <c r="P487" s="3195" t="e">
        <f t="shared" si="27"/>
        <v>#VALUE!</v>
      </c>
      <c r="R487" s="3196"/>
      <c r="S487" s="3196"/>
      <c r="T487" s="3196" t="s">
        <v>4282</v>
      </c>
      <c r="U487" s="3196"/>
      <c r="V487" s="3196"/>
      <c r="W487" s="3196"/>
      <c r="X487" s="3196"/>
      <c r="Y487" s="3196"/>
      <c r="Z487" s="3196"/>
      <c r="AA487" s="3195"/>
      <c r="AB487" s="3195"/>
      <c r="AC487" s="3195"/>
      <c r="AE487" s="3195"/>
      <c r="AF487" s="3195"/>
      <c r="AG487" s="3195"/>
      <c r="AH487" s="3195"/>
      <c r="AI487" s="3195"/>
    </row>
    <row r="488" spans="1:35" ht="12" customHeight="1">
      <c r="O488" s="3195" t="e">
        <f t="shared" si="26"/>
        <v>#VALUE!</v>
      </c>
      <c r="P488" s="3195" t="e">
        <f t="shared" si="27"/>
        <v>#VALUE!</v>
      </c>
      <c r="R488" s="3196"/>
      <c r="S488" s="3196"/>
      <c r="T488" s="3196" t="s">
        <v>4283</v>
      </c>
      <c r="U488" s="3196"/>
      <c r="V488" s="3196"/>
      <c r="W488" s="3196"/>
      <c r="X488" s="3196"/>
      <c r="Y488" s="3196"/>
      <c r="Z488" s="3196"/>
      <c r="AA488" s="3195"/>
      <c r="AB488" s="3195"/>
      <c r="AC488" s="3195"/>
      <c r="AE488" s="3195"/>
      <c r="AF488" s="3195"/>
      <c r="AG488" s="3195"/>
      <c r="AH488" s="3195"/>
      <c r="AI488" s="3195"/>
    </row>
    <row r="489" spans="1:35" ht="12" customHeight="1">
      <c r="O489" s="3195" t="e">
        <f t="shared" si="26"/>
        <v>#VALUE!</v>
      </c>
      <c r="P489" s="3195" t="e">
        <f t="shared" si="27"/>
        <v>#VALUE!</v>
      </c>
      <c r="R489" s="3196"/>
      <c r="S489" s="3196"/>
      <c r="T489" s="3196" t="s">
        <v>4284</v>
      </c>
      <c r="U489" s="3196"/>
      <c r="V489" s="3196"/>
      <c r="W489" s="3196"/>
      <c r="X489" s="3196"/>
      <c r="Y489" s="3196"/>
      <c r="Z489" s="3196"/>
      <c r="AA489" s="3195"/>
      <c r="AB489" s="3195"/>
      <c r="AC489" s="3195"/>
      <c r="AE489" s="3195"/>
      <c r="AF489" s="3195"/>
      <c r="AG489" s="3195"/>
      <c r="AH489" s="3195"/>
      <c r="AI489" s="3195"/>
    </row>
    <row r="490" spans="1:35" ht="12" customHeight="1">
      <c r="O490" s="3195" t="e">
        <f t="shared" si="26"/>
        <v>#VALUE!</v>
      </c>
      <c r="P490" s="3195" t="e">
        <f t="shared" si="27"/>
        <v>#VALUE!</v>
      </c>
      <c r="R490" s="3196"/>
      <c r="S490" s="3196"/>
      <c r="T490" s="3196" t="s">
        <v>4285</v>
      </c>
      <c r="U490" s="3196"/>
      <c r="V490" s="3196"/>
      <c r="W490" s="3196"/>
      <c r="X490" s="3196"/>
      <c r="Y490" s="3196"/>
      <c r="Z490" s="3196"/>
      <c r="AA490" s="3195"/>
      <c r="AB490" s="3195"/>
      <c r="AC490" s="3195"/>
      <c r="AE490" s="3195"/>
      <c r="AF490" s="3195"/>
      <c r="AG490" s="3195"/>
      <c r="AH490" s="3195"/>
      <c r="AI490" s="3195"/>
    </row>
    <row r="491" spans="1:35" ht="12" customHeight="1">
      <c r="B491" s="3196"/>
      <c r="C491" s="3196"/>
      <c r="O491" s="3195" t="e">
        <f t="shared" si="26"/>
        <v>#VALUE!</v>
      </c>
      <c r="P491" s="3195" t="e">
        <f t="shared" si="27"/>
        <v>#VALUE!</v>
      </c>
      <c r="Q491" s="3196"/>
      <c r="R491" s="3196"/>
      <c r="S491" s="3196"/>
      <c r="T491" s="3196" t="s">
        <v>4286</v>
      </c>
      <c r="U491" s="3196"/>
      <c r="V491" s="3196"/>
      <c r="W491" s="3196"/>
      <c r="X491" s="3196"/>
      <c r="Y491" s="3196"/>
      <c r="Z491" s="3196"/>
      <c r="AA491" s="3196"/>
      <c r="AB491" s="3196"/>
      <c r="AC491" s="3195"/>
      <c r="AE491" s="3195"/>
      <c r="AF491" s="3195"/>
      <c r="AG491" s="3195"/>
      <c r="AH491" s="3195"/>
      <c r="AI491" s="3195"/>
    </row>
    <row r="492" spans="1:35" ht="12" customHeight="1">
      <c r="O492" s="3195" t="e">
        <f t="shared" si="26"/>
        <v>#VALUE!</v>
      </c>
      <c r="P492" s="3195" t="e">
        <f t="shared" si="27"/>
        <v>#VALUE!</v>
      </c>
      <c r="T492" s="3195" t="s">
        <v>4287</v>
      </c>
      <c r="Y492" s="3195"/>
      <c r="Z492" s="3195"/>
      <c r="AA492" s="3195"/>
      <c r="AB492" s="3195"/>
      <c r="AC492" s="3195"/>
      <c r="AE492" s="3195"/>
      <c r="AF492" s="3195"/>
      <c r="AG492" s="3195"/>
      <c r="AH492" s="3195"/>
      <c r="AI492" s="3195"/>
    </row>
    <row r="493" spans="1:35" ht="12" customHeight="1">
      <c r="A493" s="3195"/>
      <c r="O493" s="3195" t="e">
        <f t="shared" si="26"/>
        <v>#VALUE!</v>
      </c>
      <c r="P493" s="3195" t="e">
        <f t="shared" si="27"/>
        <v>#VALUE!</v>
      </c>
      <c r="T493" s="3195" t="s">
        <v>4288</v>
      </c>
      <c r="Y493" s="3195"/>
      <c r="Z493" s="3195"/>
      <c r="AA493" s="3195"/>
      <c r="AB493" s="3195"/>
      <c r="AC493" s="3195"/>
      <c r="AE493" s="3195"/>
      <c r="AF493" s="3195"/>
      <c r="AG493" s="3195"/>
      <c r="AH493" s="3195"/>
      <c r="AI493" s="3195"/>
    </row>
    <row r="494" spans="1:35" ht="12" customHeight="1">
      <c r="O494" s="3195" t="e">
        <f t="shared" si="26"/>
        <v>#VALUE!</v>
      </c>
      <c r="P494" s="3195" t="e">
        <f t="shared" si="27"/>
        <v>#VALUE!</v>
      </c>
      <c r="R494" s="3196"/>
      <c r="S494" s="3196"/>
      <c r="T494" s="3196" t="s">
        <v>4289</v>
      </c>
      <c r="U494" s="3196"/>
      <c r="V494" s="3196"/>
      <c r="W494" s="3196"/>
      <c r="X494" s="3196"/>
      <c r="Y494" s="3196"/>
      <c r="Z494" s="3196"/>
      <c r="AA494" s="3196"/>
      <c r="AB494" s="3196"/>
      <c r="AC494" s="3195"/>
      <c r="AE494" s="3195"/>
      <c r="AF494" s="3195"/>
      <c r="AG494" s="3195"/>
      <c r="AH494" s="3195"/>
      <c r="AI494" s="3195"/>
    </row>
    <row r="495" spans="1:35" ht="12" customHeight="1">
      <c r="A495" s="3195"/>
      <c r="O495" s="3195" t="e">
        <f t="shared" si="26"/>
        <v>#VALUE!</v>
      </c>
      <c r="P495" s="3195" t="e">
        <f t="shared" si="27"/>
        <v>#VALUE!</v>
      </c>
      <c r="T495" s="3195" t="s">
        <v>4290</v>
      </c>
      <c r="Y495" s="3195"/>
      <c r="Z495" s="3195"/>
      <c r="AA495" s="3195"/>
      <c r="AB495" s="3195"/>
      <c r="AC495" s="3195"/>
      <c r="AE495" s="3195"/>
      <c r="AF495" s="3195"/>
      <c r="AG495" s="3195"/>
      <c r="AH495" s="3195"/>
      <c r="AI495" s="3195"/>
    </row>
    <row r="496" spans="1:35" ht="12" customHeight="1">
      <c r="O496" s="3195" t="e">
        <f t="shared" si="26"/>
        <v>#VALUE!</v>
      </c>
      <c r="P496" s="3195" t="e">
        <f t="shared" si="27"/>
        <v>#VALUE!</v>
      </c>
      <c r="R496" s="3196"/>
      <c r="S496" s="3196"/>
      <c r="T496" s="3196" t="s">
        <v>4291</v>
      </c>
      <c r="U496" s="3196"/>
      <c r="V496" s="3196"/>
      <c r="W496" s="3196"/>
      <c r="X496" s="3196"/>
      <c r="Y496" s="3196"/>
      <c r="Z496" s="3196"/>
      <c r="AA496" s="3195"/>
      <c r="AB496" s="3195"/>
      <c r="AC496" s="3195"/>
      <c r="AE496" s="3195"/>
      <c r="AF496" s="3195"/>
      <c r="AG496" s="3195"/>
      <c r="AH496" s="3195"/>
      <c r="AI496" s="3195"/>
    </row>
    <row r="497" spans="1:35" ht="12" customHeight="1">
      <c r="O497" s="3195" t="e">
        <f t="shared" si="26"/>
        <v>#VALUE!</v>
      </c>
      <c r="P497" s="3195" t="e">
        <f t="shared" si="27"/>
        <v>#VALUE!</v>
      </c>
      <c r="R497" s="3196"/>
      <c r="S497" s="3196"/>
      <c r="T497" s="3196" t="s">
        <v>4292</v>
      </c>
      <c r="U497" s="3196"/>
      <c r="V497" s="3196"/>
      <c r="W497" s="3196"/>
      <c r="X497" s="3196"/>
      <c r="Y497" s="3196"/>
      <c r="Z497" s="3196"/>
      <c r="AA497" s="3195"/>
      <c r="AB497" s="3195"/>
      <c r="AC497" s="3195"/>
      <c r="AE497" s="3195"/>
      <c r="AF497" s="3195"/>
      <c r="AG497" s="3195"/>
      <c r="AH497" s="3195"/>
      <c r="AI497" s="3195"/>
    </row>
    <row r="498" spans="1:35" ht="12" customHeight="1">
      <c r="O498" s="3195" t="e">
        <f t="shared" si="26"/>
        <v>#VALUE!</v>
      </c>
      <c r="P498" s="3195" t="e">
        <f t="shared" si="27"/>
        <v>#VALUE!</v>
      </c>
      <c r="R498" s="3196"/>
      <c r="S498" s="3196"/>
      <c r="T498" s="3196" t="s">
        <v>4293</v>
      </c>
      <c r="U498" s="3196"/>
      <c r="V498" s="3196"/>
      <c r="W498" s="3196"/>
      <c r="X498" s="3196"/>
      <c r="Y498" s="3196"/>
      <c r="Z498" s="3196"/>
      <c r="AA498" s="3195"/>
      <c r="AB498" s="3195"/>
      <c r="AC498" s="3195"/>
      <c r="AE498" s="3195"/>
      <c r="AF498" s="3195"/>
      <c r="AG498" s="3195"/>
      <c r="AH498" s="3195"/>
      <c r="AI498" s="3195"/>
    </row>
    <row r="499" spans="1:35" ht="12" customHeight="1">
      <c r="O499" s="3195" t="e">
        <f t="shared" si="26"/>
        <v>#VALUE!</v>
      </c>
      <c r="P499" s="3195" t="e">
        <f t="shared" si="27"/>
        <v>#VALUE!</v>
      </c>
      <c r="R499" s="3196"/>
      <c r="S499" s="3196"/>
      <c r="T499" s="3196" t="s">
        <v>3581</v>
      </c>
      <c r="U499" s="3196"/>
      <c r="V499" s="3196"/>
      <c r="W499" s="3196"/>
      <c r="X499" s="3196"/>
      <c r="Y499" s="3196"/>
      <c r="Z499" s="3196"/>
      <c r="AA499" s="3195"/>
      <c r="AB499" s="3195"/>
      <c r="AC499" s="3195"/>
      <c r="AE499" s="3195"/>
      <c r="AF499" s="3195"/>
      <c r="AG499" s="3195"/>
      <c r="AH499" s="3195"/>
      <c r="AI499" s="3195"/>
    </row>
    <row r="500" spans="1:35" ht="12" customHeight="1">
      <c r="O500" s="3195" t="e">
        <f t="shared" si="26"/>
        <v>#VALUE!</v>
      </c>
      <c r="P500" s="3195" t="e">
        <f t="shared" si="27"/>
        <v>#VALUE!</v>
      </c>
      <c r="R500" s="3196"/>
      <c r="S500" s="3196"/>
      <c r="T500" s="3196" t="s">
        <v>4294</v>
      </c>
      <c r="U500" s="3196"/>
      <c r="V500" s="3196"/>
      <c r="W500" s="3196"/>
      <c r="X500" s="3196"/>
      <c r="Y500" s="3196"/>
      <c r="Z500" s="3196"/>
      <c r="AA500" s="3195"/>
      <c r="AB500" s="3195"/>
      <c r="AC500" s="3195"/>
      <c r="AE500" s="3195"/>
      <c r="AF500" s="3195"/>
      <c r="AG500" s="3195"/>
      <c r="AH500" s="3195"/>
      <c r="AI500" s="3195"/>
    </row>
    <row r="501" spans="1:35" ht="12" customHeight="1">
      <c r="O501" s="3195" t="e">
        <f t="shared" si="26"/>
        <v>#VALUE!</v>
      </c>
      <c r="P501" s="3195" t="e">
        <f t="shared" si="27"/>
        <v>#VALUE!</v>
      </c>
      <c r="R501" s="3196"/>
      <c r="S501" s="3196"/>
      <c r="T501" s="3196" t="s">
        <v>4295</v>
      </c>
      <c r="U501" s="3196"/>
      <c r="V501" s="3196"/>
      <c r="W501" s="3196"/>
      <c r="X501" s="3196"/>
      <c r="Y501" s="3196"/>
      <c r="Z501" s="3196"/>
      <c r="AA501" s="3195"/>
      <c r="AB501" s="3195"/>
      <c r="AC501" s="3195"/>
      <c r="AE501" s="3195"/>
      <c r="AF501" s="3195"/>
      <c r="AG501" s="3195"/>
      <c r="AH501" s="3195"/>
      <c r="AI501" s="3195"/>
    </row>
    <row r="502" spans="1:35" ht="12" customHeight="1">
      <c r="O502" s="3195" t="e">
        <f t="shared" si="26"/>
        <v>#VALUE!</v>
      </c>
      <c r="P502" s="3195" t="e">
        <f t="shared" si="27"/>
        <v>#VALUE!</v>
      </c>
      <c r="R502" s="3196"/>
      <c r="S502" s="3196"/>
      <c r="T502" s="3196" t="s">
        <v>4296</v>
      </c>
      <c r="U502" s="3196"/>
      <c r="V502" s="3196"/>
      <c r="W502" s="3196"/>
      <c r="X502" s="3196"/>
      <c r="Y502" s="3196"/>
      <c r="Z502" s="3196"/>
      <c r="AA502" s="3195"/>
      <c r="AB502" s="3195"/>
      <c r="AC502" s="3195"/>
      <c r="AE502" s="3195"/>
      <c r="AF502" s="3195"/>
      <c r="AG502" s="3195"/>
      <c r="AH502" s="3195"/>
      <c r="AI502" s="3195"/>
    </row>
    <row r="503" spans="1:35" ht="12" customHeight="1">
      <c r="O503" s="3195" t="e">
        <f t="shared" si="26"/>
        <v>#VALUE!</v>
      </c>
      <c r="P503" s="3195" t="e">
        <f t="shared" si="27"/>
        <v>#VALUE!</v>
      </c>
      <c r="R503" s="3196"/>
      <c r="S503" s="3196"/>
      <c r="T503" s="3196" t="s">
        <v>4297</v>
      </c>
      <c r="U503" s="3196"/>
      <c r="V503" s="3196"/>
      <c r="W503" s="3196"/>
      <c r="X503" s="3196"/>
      <c r="Y503" s="3196"/>
      <c r="Z503" s="3196"/>
      <c r="AA503" s="3195"/>
      <c r="AB503" s="3195"/>
      <c r="AC503" s="3195"/>
      <c r="AE503" s="3195"/>
      <c r="AF503" s="3195"/>
      <c r="AG503" s="3195"/>
      <c r="AH503" s="3195"/>
      <c r="AI503" s="3195"/>
    </row>
    <row r="504" spans="1:35" ht="12" customHeight="1">
      <c r="O504" s="3195" t="e">
        <f t="shared" si="26"/>
        <v>#VALUE!</v>
      </c>
      <c r="P504" s="3195" t="e">
        <f t="shared" si="27"/>
        <v>#VALUE!</v>
      </c>
      <c r="R504" s="3196"/>
      <c r="S504" s="3196"/>
      <c r="T504" s="3196" t="s">
        <v>4298</v>
      </c>
      <c r="U504" s="3196"/>
      <c r="V504" s="3196"/>
      <c r="W504" s="3196"/>
      <c r="X504" s="3196"/>
      <c r="Y504" s="3196"/>
      <c r="Z504" s="3196"/>
      <c r="AA504" s="3195"/>
      <c r="AB504" s="3195"/>
      <c r="AC504" s="3195"/>
      <c r="AE504" s="3195"/>
      <c r="AF504" s="3195"/>
      <c r="AG504" s="3195"/>
      <c r="AH504" s="3195"/>
      <c r="AI504" s="3195"/>
    </row>
    <row r="505" spans="1:35" ht="12" customHeight="1">
      <c r="B505" s="3196"/>
      <c r="C505" s="3196"/>
      <c r="O505" s="3195" t="e">
        <f t="shared" si="26"/>
        <v>#VALUE!</v>
      </c>
      <c r="P505" s="3195" t="e">
        <f t="shared" si="27"/>
        <v>#VALUE!</v>
      </c>
      <c r="Q505" s="3196"/>
      <c r="R505" s="3196"/>
      <c r="S505" s="3196"/>
      <c r="T505" s="3196" t="s">
        <v>4299</v>
      </c>
      <c r="U505" s="3196"/>
      <c r="V505" s="3196"/>
      <c r="W505" s="3196"/>
      <c r="X505" s="3196"/>
      <c r="Y505" s="3196"/>
      <c r="Z505" s="3196"/>
      <c r="AA505" s="3196"/>
      <c r="AB505" s="3196"/>
      <c r="AC505" s="3195"/>
      <c r="AE505" s="3195"/>
      <c r="AF505" s="3195"/>
      <c r="AG505" s="3195"/>
      <c r="AH505" s="3195"/>
      <c r="AI505" s="3195"/>
    </row>
    <row r="506" spans="1:35" ht="12" customHeight="1">
      <c r="O506" s="3195" t="e">
        <f t="shared" si="26"/>
        <v>#VALUE!</v>
      </c>
      <c r="P506" s="3195" t="e">
        <f t="shared" si="27"/>
        <v>#VALUE!</v>
      </c>
      <c r="T506" s="3195" t="s">
        <v>4300</v>
      </c>
      <c r="Y506" s="3195"/>
      <c r="Z506" s="3195"/>
      <c r="AA506" s="3195"/>
      <c r="AB506" s="3195"/>
      <c r="AC506" s="3195"/>
      <c r="AE506" s="3195"/>
      <c r="AF506" s="3195"/>
      <c r="AG506" s="3195"/>
      <c r="AH506" s="3195"/>
      <c r="AI506" s="3195"/>
    </row>
    <row r="507" spans="1:35" ht="12" customHeight="1">
      <c r="O507" s="3195" t="e">
        <f t="shared" si="26"/>
        <v>#VALUE!</v>
      </c>
      <c r="P507" s="3195" t="e">
        <f t="shared" si="27"/>
        <v>#VALUE!</v>
      </c>
      <c r="T507" s="3195" t="s">
        <v>4301</v>
      </c>
      <c r="Y507" s="3195"/>
      <c r="Z507" s="3195"/>
      <c r="AA507" s="3195"/>
      <c r="AB507" s="3195"/>
      <c r="AC507" s="3195"/>
      <c r="AE507" s="3195"/>
      <c r="AF507" s="3195"/>
      <c r="AG507" s="3195"/>
      <c r="AH507" s="3195"/>
      <c r="AI507" s="3195"/>
    </row>
    <row r="508" spans="1:35" ht="12" customHeight="1">
      <c r="O508" s="3195" t="e">
        <f t="shared" si="26"/>
        <v>#VALUE!</v>
      </c>
      <c r="P508" s="3195" t="e">
        <f t="shared" si="27"/>
        <v>#VALUE!</v>
      </c>
      <c r="T508" s="3195" t="s">
        <v>4302</v>
      </c>
      <c r="Y508" s="3195"/>
      <c r="Z508" s="3195"/>
      <c r="AA508" s="3195"/>
      <c r="AB508" s="3195"/>
      <c r="AC508" s="3195"/>
      <c r="AE508" s="3195"/>
      <c r="AF508" s="3195"/>
      <c r="AG508" s="3195"/>
      <c r="AH508" s="3195"/>
      <c r="AI508" s="3195"/>
    </row>
    <row r="509" spans="1:35" ht="12" customHeight="1">
      <c r="A509" s="3195"/>
      <c r="O509" s="3195" t="e">
        <f t="shared" si="26"/>
        <v>#VALUE!</v>
      </c>
      <c r="P509" s="3195" t="e">
        <f t="shared" si="27"/>
        <v>#VALUE!</v>
      </c>
      <c r="T509" s="3195" t="s">
        <v>4303</v>
      </c>
      <c r="Y509" s="3195"/>
      <c r="Z509" s="3195"/>
      <c r="AA509" s="3195"/>
      <c r="AB509" s="3195"/>
      <c r="AC509" s="3195"/>
      <c r="AE509" s="3195"/>
      <c r="AF509" s="3195"/>
      <c r="AG509" s="3195"/>
      <c r="AH509" s="3195"/>
      <c r="AI509" s="3195"/>
    </row>
    <row r="510" spans="1:35" ht="12" customHeight="1">
      <c r="O510" s="3195" t="e">
        <f t="shared" si="26"/>
        <v>#VALUE!</v>
      </c>
      <c r="P510" s="3195" t="e">
        <f t="shared" si="27"/>
        <v>#VALUE!</v>
      </c>
      <c r="R510" s="3196"/>
      <c r="S510" s="3196"/>
      <c r="T510" s="3196" t="s">
        <v>4304</v>
      </c>
      <c r="U510" s="3196"/>
      <c r="V510" s="3196"/>
      <c r="W510" s="3196"/>
      <c r="X510" s="3196"/>
      <c r="Y510" s="3196"/>
      <c r="Z510" s="3196"/>
      <c r="AA510" s="3196"/>
      <c r="AB510" s="3195"/>
      <c r="AC510" s="3195"/>
      <c r="AE510" s="3195"/>
      <c r="AF510" s="3195"/>
      <c r="AG510" s="3195"/>
      <c r="AH510" s="3195"/>
      <c r="AI510" s="3195"/>
    </row>
    <row r="511" spans="1:35" ht="12" customHeight="1">
      <c r="O511" s="3195" t="e">
        <f t="shared" si="26"/>
        <v>#VALUE!</v>
      </c>
      <c r="P511" s="3195" t="e">
        <f t="shared" si="27"/>
        <v>#VALUE!</v>
      </c>
      <c r="R511" s="3196"/>
      <c r="S511" s="3196"/>
      <c r="T511" s="3196" t="s">
        <v>4305</v>
      </c>
      <c r="U511" s="3196"/>
      <c r="V511" s="3196"/>
      <c r="W511" s="3196"/>
      <c r="X511" s="3196"/>
      <c r="Y511" s="3196"/>
      <c r="Z511" s="3196"/>
      <c r="AA511" s="3196"/>
      <c r="AB511" s="3195"/>
      <c r="AC511" s="3195"/>
      <c r="AE511" s="3195"/>
      <c r="AF511" s="3195"/>
      <c r="AG511" s="3195"/>
      <c r="AH511" s="3195"/>
      <c r="AI511" s="3195"/>
    </row>
    <row r="512" spans="1:35" ht="12" customHeight="1">
      <c r="O512" s="3195" t="e">
        <f t="shared" si="26"/>
        <v>#VALUE!</v>
      </c>
      <c r="P512" s="3195" t="e">
        <f t="shared" si="27"/>
        <v>#VALUE!</v>
      </c>
      <c r="R512" s="3196"/>
      <c r="S512" s="3196"/>
      <c r="T512" s="3196" t="s">
        <v>4306</v>
      </c>
      <c r="U512" s="3196"/>
      <c r="V512" s="3196"/>
      <c r="W512" s="3196"/>
      <c r="X512" s="3196"/>
      <c r="Y512" s="3196"/>
      <c r="Z512" s="3196"/>
      <c r="AA512" s="3196"/>
      <c r="AB512" s="3195"/>
      <c r="AC512" s="3195"/>
      <c r="AE512" s="3195"/>
      <c r="AF512" s="3195"/>
      <c r="AG512" s="3195"/>
      <c r="AH512" s="3195"/>
      <c r="AI512" s="3195"/>
    </row>
    <row r="513" spans="2:35" ht="12" customHeight="1">
      <c r="O513" s="3195" t="e">
        <f t="shared" si="26"/>
        <v>#VALUE!</v>
      </c>
      <c r="P513" s="3195" t="e">
        <f t="shared" si="27"/>
        <v>#VALUE!</v>
      </c>
      <c r="R513" s="3196"/>
      <c r="S513" s="3196"/>
      <c r="T513" s="3196" t="s">
        <v>4307</v>
      </c>
      <c r="U513" s="3196"/>
      <c r="V513" s="3196"/>
      <c r="W513" s="3196"/>
      <c r="X513" s="3196"/>
      <c r="Y513" s="3196"/>
      <c r="Z513" s="3196"/>
      <c r="AA513" s="3196"/>
      <c r="AB513" s="3195"/>
      <c r="AC513" s="3195"/>
      <c r="AE513" s="3195"/>
      <c r="AF513" s="3195"/>
      <c r="AG513" s="3195"/>
      <c r="AH513" s="3195"/>
      <c r="AI513" s="3195"/>
    </row>
    <row r="514" spans="2:35" ht="12" customHeight="1">
      <c r="O514" s="3195" t="e">
        <f t="shared" si="26"/>
        <v>#VALUE!</v>
      </c>
      <c r="P514" s="3195" t="e">
        <f t="shared" si="27"/>
        <v>#VALUE!</v>
      </c>
      <c r="R514" s="3196"/>
      <c r="S514" s="3196"/>
      <c r="T514" s="3196" t="s">
        <v>4308</v>
      </c>
      <c r="U514" s="3196"/>
      <c r="V514" s="3196"/>
      <c r="W514" s="3196"/>
      <c r="X514" s="3196"/>
      <c r="Y514" s="3196"/>
      <c r="Z514" s="3196"/>
      <c r="AA514" s="3196"/>
      <c r="AB514" s="3195"/>
      <c r="AC514" s="3195"/>
      <c r="AE514" s="3195"/>
      <c r="AF514" s="3195"/>
      <c r="AG514" s="3195"/>
      <c r="AH514" s="3195"/>
      <c r="AI514" s="3195"/>
    </row>
    <row r="515" spans="2:35" ht="12" customHeight="1">
      <c r="O515" s="3195" t="e">
        <f t="shared" si="26"/>
        <v>#VALUE!</v>
      </c>
      <c r="P515" s="3195" t="e">
        <f t="shared" si="27"/>
        <v>#VALUE!</v>
      </c>
      <c r="R515" s="3196"/>
      <c r="S515" s="3196"/>
      <c r="T515" s="3196" t="s">
        <v>4309</v>
      </c>
      <c r="U515" s="3196"/>
      <c r="V515" s="3196"/>
      <c r="W515" s="3196"/>
      <c r="X515" s="3196"/>
      <c r="Y515" s="3196"/>
      <c r="Z515" s="3196"/>
      <c r="AA515" s="3196"/>
      <c r="AB515" s="3195"/>
      <c r="AC515" s="3195"/>
      <c r="AE515" s="3195"/>
      <c r="AF515" s="3195"/>
      <c r="AG515" s="3195"/>
      <c r="AH515" s="3195"/>
      <c r="AI515" s="3195"/>
    </row>
    <row r="516" spans="2:35" ht="12" customHeight="1">
      <c r="O516" s="3195" t="e">
        <f t="shared" si="26"/>
        <v>#VALUE!</v>
      </c>
      <c r="P516" s="3195" t="e">
        <f t="shared" si="27"/>
        <v>#VALUE!</v>
      </c>
      <c r="R516" s="3196"/>
      <c r="S516" s="3196"/>
      <c r="T516" s="3196" t="s">
        <v>4310</v>
      </c>
      <c r="U516" s="3196"/>
      <c r="V516" s="3196"/>
      <c r="W516" s="3196"/>
      <c r="X516" s="3196"/>
      <c r="Y516" s="3196"/>
      <c r="Z516" s="3196"/>
      <c r="AA516" s="3196"/>
      <c r="AB516" s="3195"/>
      <c r="AC516" s="3195"/>
      <c r="AE516" s="3195"/>
      <c r="AF516" s="3195"/>
      <c r="AG516" s="3195"/>
      <c r="AH516" s="3195"/>
      <c r="AI516" s="3195"/>
    </row>
    <row r="517" spans="2:35" ht="12" customHeight="1">
      <c r="O517" s="3195" t="e">
        <f t="shared" si="26"/>
        <v>#VALUE!</v>
      </c>
      <c r="P517" s="3195" t="e">
        <f t="shared" si="27"/>
        <v>#VALUE!</v>
      </c>
      <c r="R517" s="3196"/>
      <c r="S517" s="3196"/>
      <c r="T517" s="3196" t="s">
        <v>4311</v>
      </c>
      <c r="U517" s="3196"/>
      <c r="V517" s="3196"/>
      <c r="W517" s="3196"/>
      <c r="X517" s="3196"/>
      <c r="Y517" s="3196"/>
      <c r="Z517" s="3196"/>
      <c r="AA517" s="3196"/>
      <c r="AB517" s="3195"/>
      <c r="AC517" s="3195"/>
      <c r="AE517" s="3195"/>
      <c r="AF517" s="3195"/>
      <c r="AG517" s="3195"/>
      <c r="AH517" s="3195"/>
      <c r="AI517" s="3195"/>
    </row>
    <row r="518" spans="2:35" ht="12" customHeight="1">
      <c r="B518" s="3196"/>
      <c r="C518" s="3196"/>
      <c r="O518" s="3195" t="e">
        <f t="shared" si="26"/>
        <v>#VALUE!</v>
      </c>
      <c r="P518" s="3195" t="e">
        <f t="shared" si="27"/>
        <v>#VALUE!</v>
      </c>
      <c r="Q518" s="3196"/>
      <c r="R518" s="3196"/>
      <c r="S518" s="3196"/>
      <c r="T518" s="3196" t="s">
        <v>4312</v>
      </c>
      <c r="U518" s="3196"/>
      <c r="V518" s="3196"/>
      <c r="W518" s="3196"/>
      <c r="X518" s="3196"/>
      <c r="Y518" s="3196"/>
      <c r="Z518" s="3196"/>
      <c r="AA518" s="3196"/>
      <c r="AB518" s="3196"/>
      <c r="AC518" s="3195"/>
      <c r="AE518" s="3195"/>
      <c r="AF518" s="3195"/>
      <c r="AG518" s="3195"/>
      <c r="AH518" s="3195"/>
      <c r="AI518" s="3195"/>
    </row>
    <row r="519" spans="2:35" ht="12" customHeight="1">
      <c r="O519" s="3195" t="e">
        <f t="shared" si="26"/>
        <v>#VALUE!</v>
      </c>
      <c r="P519" s="3195" t="e">
        <f t="shared" si="27"/>
        <v>#VALUE!</v>
      </c>
      <c r="T519" s="3195" t="s">
        <v>4313</v>
      </c>
      <c r="Y519" s="3195"/>
      <c r="Z519" s="3195"/>
      <c r="AA519" s="3195"/>
      <c r="AB519" s="3195"/>
      <c r="AC519" s="3195"/>
      <c r="AE519" s="3195"/>
      <c r="AF519" s="3195"/>
      <c r="AG519" s="3195"/>
      <c r="AH519" s="3195"/>
      <c r="AI519" s="3195"/>
    </row>
    <row r="520" spans="2:35" ht="12" customHeight="1">
      <c r="O520" s="3195" t="e">
        <f t="shared" ref="O520:O537" si="28">LEFT(T520,FIND(" +",T520)-1)</f>
        <v>#VALUE!</v>
      </c>
      <c r="P520" s="3195" t="e">
        <f t="shared" ref="P520:P574" si="29">MID(T520,FIND("+",T520),20)</f>
        <v>#VALUE!</v>
      </c>
      <c r="T520" s="3195" t="s">
        <v>4314</v>
      </c>
      <c r="Y520" s="3195"/>
      <c r="Z520" s="3195"/>
      <c r="AA520" s="3195"/>
      <c r="AB520" s="3195"/>
      <c r="AC520" s="3195"/>
      <c r="AE520" s="3195"/>
      <c r="AF520" s="3195"/>
      <c r="AG520" s="3195"/>
      <c r="AH520" s="3195"/>
      <c r="AI520" s="3195"/>
    </row>
    <row r="521" spans="2:35" ht="12" customHeight="1">
      <c r="O521" s="3195" t="e">
        <f t="shared" si="28"/>
        <v>#VALUE!</v>
      </c>
      <c r="P521" s="3195" t="e">
        <f t="shared" si="29"/>
        <v>#VALUE!</v>
      </c>
      <c r="T521" s="3195" t="s">
        <v>4315</v>
      </c>
      <c r="Y521" s="3195"/>
      <c r="Z521" s="3195"/>
      <c r="AA521" s="3195"/>
      <c r="AB521" s="3195"/>
      <c r="AC521" s="3195"/>
      <c r="AE521" s="3195"/>
      <c r="AF521" s="3195"/>
      <c r="AG521" s="3195"/>
      <c r="AH521" s="3195"/>
      <c r="AI521" s="3195"/>
    </row>
    <row r="522" spans="2:35" ht="12" customHeight="1">
      <c r="O522" s="3195" t="e">
        <f t="shared" si="28"/>
        <v>#VALUE!</v>
      </c>
      <c r="P522" s="3195" t="e">
        <f t="shared" si="29"/>
        <v>#VALUE!</v>
      </c>
      <c r="T522" s="3195" t="s">
        <v>4316</v>
      </c>
      <c r="Y522" s="3195"/>
      <c r="Z522" s="3195"/>
      <c r="AA522" s="3195"/>
      <c r="AB522" s="3195"/>
      <c r="AC522" s="3195"/>
      <c r="AE522" s="3195"/>
      <c r="AF522" s="3195"/>
      <c r="AG522" s="3195"/>
      <c r="AH522" s="3195"/>
      <c r="AI522" s="3195"/>
    </row>
    <row r="523" spans="2:35" ht="12" customHeight="1">
      <c r="O523" s="3195" t="e">
        <f t="shared" si="28"/>
        <v>#VALUE!</v>
      </c>
      <c r="P523" s="3195" t="e">
        <f t="shared" si="29"/>
        <v>#VALUE!</v>
      </c>
      <c r="T523" s="3195" t="s">
        <v>3587</v>
      </c>
      <c r="Y523" s="3195"/>
      <c r="Z523" s="3195"/>
      <c r="AA523" s="3195"/>
      <c r="AB523" s="3195"/>
      <c r="AC523" s="3195"/>
      <c r="AE523" s="3195"/>
      <c r="AF523" s="3195"/>
      <c r="AG523" s="3195"/>
      <c r="AH523" s="3195"/>
      <c r="AI523" s="3195"/>
    </row>
    <row r="524" spans="2:35" ht="12" customHeight="1">
      <c r="O524" s="3195" t="e">
        <f t="shared" si="28"/>
        <v>#VALUE!</v>
      </c>
      <c r="P524" s="3195" t="e">
        <f t="shared" si="29"/>
        <v>#VALUE!</v>
      </c>
      <c r="T524" s="3195" t="s">
        <v>4317</v>
      </c>
      <c r="Y524" s="3195"/>
      <c r="Z524" s="3195"/>
      <c r="AA524" s="3195"/>
      <c r="AB524" s="3195"/>
      <c r="AC524" s="3195"/>
      <c r="AE524" s="3195"/>
      <c r="AF524" s="3195"/>
      <c r="AG524" s="3195"/>
      <c r="AH524" s="3195"/>
      <c r="AI524" s="3195"/>
    </row>
    <row r="525" spans="2:35" ht="12" customHeight="1">
      <c r="O525" s="3195" t="e">
        <f t="shared" si="28"/>
        <v>#VALUE!</v>
      </c>
      <c r="P525" s="3195" t="e">
        <f t="shared" si="29"/>
        <v>#VALUE!</v>
      </c>
      <c r="T525" s="3195" t="s">
        <v>4318</v>
      </c>
      <c r="Y525" s="3195"/>
      <c r="Z525" s="3195"/>
      <c r="AA525" s="3195"/>
      <c r="AB525" s="3195"/>
      <c r="AC525" s="3195"/>
      <c r="AE525" s="3195"/>
      <c r="AF525" s="3195"/>
      <c r="AG525" s="3195"/>
      <c r="AH525" s="3195"/>
      <c r="AI525" s="3195"/>
    </row>
    <row r="526" spans="2:35" ht="12" customHeight="1">
      <c r="O526" s="3195" t="e">
        <f t="shared" si="28"/>
        <v>#VALUE!</v>
      </c>
      <c r="P526" s="3195" t="e">
        <f t="shared" si="29"/>
        <v>#VALUE!</v>
      </c>
      <c r="T526" s="3195" t="s">
        <v>4319</v>
      </c>
      <c r="Y526" s="3195"/>
      <c r="Z526" s="3195"/>
      <c r="AA526" s="3195"/>
      <c r="AB526" s="3195"/>
      <c r="AC526" s="3195"/>
      <c r="AE526" s="3195"/>
      <c r="AF526" s="3195"/>
      <c r="AG526" s="3195"/>
      <c r="AH526" s="3195"/>
      <c r="AI526" s="3195"/>
    </row>
    <row r="527" spans="2:35" ht="12" customHeight="1">
      <c r="B527" s="3196"/>
      <c r="C527" s="3196"/>
      <c r="O527" s="3195" t="e">
        <f t="shared" si="28"/>
        <v>#VALUE!</v>
      </c>
      <c r="P527" s="3195" t="e">
        <f t="shared" si="29"/>
        <v>#VALUE!</v>
      </c>
      <c r="Q527" s="3196"/>
      <c r="R527" s="3196"/>
      <c r="S527" s="3196"/>
      <c r="T527" s="3196" t="s">
        <v>4320</v>
      </c>
      <c r="U527" s="3196"/>
      <c r="V527" s="3196"/>
      <c r="W527" s="3196"/>
      <c r="X527" s="3196"/>
      <c r="Y527" s="3196"/>
      <c r="Z527" s="3196"/>
      <c r="AA527" s="3196"/>
      <c r="AB527" s="3196"/>
      <c r="AC527" s="3195"/>
      <c r="AE527" s="3195"/>
      <c r="AF527" s="3195"/>
      <c r="AG527" s="3195"/>
      <c r="AH527" s="3195"/>
      <c r="AI527" s="3195"/>
    </row>
    <row r="528" spans="2:35" ht="12" customHeight="1">
      <c r="O528" s="3195" t="e">
        <f t="shared" si="28"/>
        <v>#VALUE!</v>
      </c>
      <c r="P528" s="3195" t="e">
        <f t="shared" si="29"/>
        <v>#VALUE!</v>
      </c>
      <c r="T528" s="3195" t="s">
        <v>4321</v>
      </c>
      <c r="Y528" s="3195"/>
      <c r="Z528" s="3195"/>
      <c r="AA528" s="3195"/>
      <c r="AB528" s="3195"/>
      <c r="AC528" s="3195"/>
      <c r="AE528" s="3195"/>
      <c r="AF528" s="3195"/>
      <c r="AG528" s="3195"/>
      <c r="AH528" s="3195"/>
      <c r="AI528" s="3195"/>
    </row>
    <row r="529" spans="1:35" ht="12" customHeight="1">
      <c r="B529" s="3196"/>
      <c r="C529" s="3196"/>
      <c r="O529" s="3195" t="e">
        <f t="shared" si="28"/>
        <v>#VALUE!</v>
      </c>
      <c r="P529" s="3195" t="e">
        <f t="shared" si="29"/>
        <v>#VALUE!</v>
      </c>
      <c r="Q529" s="3196"/>
      <c r="R529" s="3196"/>
      <c r="S529" s="3196"/>
      <c r="T529" s="3196" t="s">
        <v>4322</v>
      </c>
      <c r="U529" s="3196"/>
      <c r="V529" s="3196"/>
      <c r="W529" s="3196"/>
      <c r="X529" s="3196"/>
      <c r="Y529" s="3196"/>
      <c r="Z529" s="3196"/>
      <c r="AA529" s="3196"/>
      <c r="AB529" s="3196"/>
      <c r="AC529" s="3195"/>
      <c r="AE529" s="3195"/>
      <c r="AF529" s="3195"/>
      <c r="AG529" s="3195"/>
      <c r="AH529" s="3195"/>
      <c r="AI529" s="3195"/>
    </row>
    <row r="530" spans="1:35" ht="12" customHeight="1">
      <c r="O530" s="3195" t="e">
        <f t="shared" si="28"/>
        <v>#VALUE!</v>
      </c>
      <c r="P530" s="3195" t="e">
        <f t="shared" si="29"/>
        <v>#VALUE!</v>
      </c>
      <c r="T530" s="3195" t="s">
        <v>4323</v>
      </c>
      <c r="Y530" s="3195"/>
      <c r="Z530" s="3195"/>
      <c r="AA530" s="3195"/>
      <c r="AB530" s="3195"/>
      <c r="AC530" s="3195"/>
      <c r="AE530" s="3195"/>
      <c r="AF530" s="3195"/>
      <c r="AG530" s="3195"/>
      <c r="AH530" s="3195"/>
      <c r="AI530" s="3195"/>
    </row>
    <row r="531" spans="1:35" ht="12" customHeight="1">
      <c r="O531" s="3195" t="e">
        <f t="shared" si="28"/>
        <v>#VALUE!</v>
      </c>
      <c r="P531" s="3195" t="e">
        <f t="shared" si="29"/>
        <v>#VALUE!</v>
      </c>
      <c r="T531" s="3195" t="s">
        <v>4324</v>
      </c>
      <c r="Y531" s="3195"/>
      <c r="Z531" s="3195"/>
      <c r="AA531" s="3195"/>
      <c r="AB531" s="3195"/>
      <c r="AC531" s="3195"/>
      <c r="AE531" s="3195"/>
      <c r="AF531" s="3195"/>
      <c r="AG531" s="3195"/>
      <c r="AH531" s="3195"/>
      <c r="AI531" s="3195"/>
    </row>
    <row r="532" spans="1:35" ht="12" customHeight="1">
      <c r="O532" s="3195" t="e">
        <f t="shared" si="28"/>
        <v>#VALUE!</v>
      </c>
      <c r="P532" s="3195" t="e">
        <f t="shared" si="29"/>
        <v>#VALUE!</v>
      </c>
      <c r="T532" s="3195" t="s">
        <v>4325</v>
      </c>
      <c r="Y532" s="3195"/>
      <c r="Z532" s="3195"/>
      <c r="AA532" s="3195"/>
      <c r="AB532" s="3195"/>
      <c r="AC532" s="3195"/>
      <c r="AE532" s="3195"/>
      <c r="AF532" s="3195"/>
      <c r="AG532" s="3195"/>
      <c r="AH532" s="3195"/>
      <c r="AI532" s="3195"/>
    </row>
    <row r="533" spans="1:35" ht="12" customHeight="1">
      <c r="A533" s="3195"/>
      <c r="O533" s="3195" t="e">
        <f t="shared" si="28"/>
        <v>#VALUE!</v>
      </c>
      <c r="P533" s="3195" t="e">
        <f t="shared" si="29"/>
        <v>#VALUE!</v>
      </c>
      <c r="T533" s="3195" t="s">
        <v>4326</v>
      </c>
      <c r="Y533" s="3195"/>
      <c r="Z533" s="3195"/>
      <c r="AA533" s="3195"/>
      <c r="AB533" s="3195"/>
      <c r="AC533" s="3195"/>
      <c r="AE533" s="3195"/>
      <c r="AF533" s="3195"/>
      <c r="AG533" s="3195"/>
      <c r="AH533" s="3195"/>
      <c r="AI533" s="3195"/>
    </row>
    <row r="534" spans="1:35" ht="12" customHeight="1">
      <c r="O534" s="3195" t="e">
        <f t="shared" si="28"/>
        <v>#VALUE!</v>
      </c>
      <c r="P534" s="3195" t="e">
        <f t="shared" si="29"/>
        <v>#VALUE!</v>
      </c>
      <c r="R534" s="3196"/>
      <c r="S534" s="3196"/>
      <c r="T534" s="3196" t="s">
        <v>4290</v>
      </c>
      <c r="U534" s="3196"/>
      <c r="V534" s="3196"/>
      <c r="W534" s="3196"/>
      <c r="X534" s="3196"/>
      <c r="Y534" s="3196"/>
      <c r="Z534" s="3196"/>
      <c r="AA534" s="3196"/>
      <c r="AB534" s="3195"/>
      <c r="AC534" s="3195"/>
      <c r="AE534" s="3195"/>
      <c r="AF534" s="3195"/>
      <c r="AG534" s="3195"/>
      <c r="AH534" s="3195"/>
      <c r="AI534" s="3195"/>
    </row>
    <row r="535" spans="1:35" ht="12" customHeight="1">
      <c r="O535" s="3195" t="e">
        <f t="shared" si="28"/>
        <v>#VALUE!</v>
      </c>
      <c r="P535" s="3195" t="e">
        <f t="shared" si="29"/>
        <v>#VALUE!</v>
      </c>
      <c r="R535" s="3196"/>
      <c r="S535" s="3196"/>
      <c r="T535" s="3196" t="s">
        <v>4291</v>
      </c>
      <c r="U535" s="3196"/>
      <c r="V535" s="3196"/>
      <c r="W535" s="3196"/>
      <c r="X535" s="3196"/>
      <c r="Y535" s="3196"/>
      <c r="Z535" s="3196"/>
      <c r="AA535" s="3196"/>
      <c r="AB535" s="3195"/>
      <c r="AC535" s="3195"/>
      <c r="AE535" s="3195"/>
      <c r="AF535" s="3195"/>
      <c r="AG535" s="3195"/>
      <c r="AH535" s="3195"/>
      <c r="AI535" s="3195"/>
    </row>
    <row r="536" spans="1:35" ht="12" customHeight="1">
      <c r="O536" s="3195" t="e">
        <f t="shared" si="28"/>
        <v>#VALUE!</v>
      </c>
      <c r="P536" s="3195" t="e">
        <f t="shared" si="29"/>
        <v>#VALUE!</v>
      </c>
      <c r="R536" s="3196"/>
      <c r="S536" s="3196"/>
      <c r="T536" s="3196" t="s">
        <v>4292</v>
      </c>
      <c r="U536" s="3196"/>
      <c r="V536" s="3196"/>
      <c r="W536" s="3196"/>
      <c r="X536" s="3196"/>
      <c r="Y536" s="3196"/>
      <c r="Z536" s="3196"/>
      <c r="AA536" s="3196"/>
      <c r="AB536" s="3195"/>
      <c r="AC536" s="3195"/>
      <c r="AE536" s="3195"/>
      <c r="AF536" s="3195"/>
      <c r="AG536" s="3195"/>
      <c r="AH536" s="3195"/>
      <c r="AI536" s="3195"/>
    </row>
    <row r="537" spans="1:35" ht="12" customHeight="1">
      <c r="O537" s="3195" t="e">
        <f t="shared" si="28"/>
        <v>#VALUE!</v>
      </c>
      <c r="P537" s="3195" t="e">
        <f t="shared" si="29"/>
        <v>#VALUE!</v>
      </c>
      <c r="R537" s="3196"/>
      <c r="S537" s="3196"/>
      <c r="T537" s="3196" t="s">
        <v>4293</v>
      </c>
      <c r="U537" s="3196"/>
      <c r="V537" s="3196"/>
      <c r="W537" s="3196"/>
      <c r="X537" s="3196"/>
      <c r="Y537" s="3196"/>
      <c r="Z537" s="3196"/>
      <c r="AA537" s="3196"/>
      <c r="AB537" s="3195"/>
      <c r="AC537" s="3195"/>
      <c r="AE537" s="3195"/>
      <c r="AF537" s="3195"/>
      <c r="AG537" s="3195"/>
      <c r="AH537" s="3195"/>
      <c r="AI537" s="3195"/>
    </row>
    <row r="538" spans="1:35" ht="12" customHeight="1">
      <c r="O538" s="3195" t="str">
        <f>SUBSTITUTE(T538,"_"," ")</f>
        <v>Estados Sobrenaturales</v>
      </c>
      <c r="P538" s="3195" t="e">
        <f t="shared" si="29"/>
        <v>#VALUE!</v>
      </c>
      <c r="R538" s="3196"/>
      <c r="S538" s="3196"/>
      <c r="T538" s="3196" t="s">
        <v>3589</v>
      </c>
      <c r="U538" s="3196"/>
      <c r="V538" s="3196"/>
      <c r="W538" s="3196"/>
      <c r="X538" s="3196"/>
      <c r="Y538" s="3196"/>
      <c r="Z538" s="3196"/>
      <c r="AA538" s="3196"/>
      <c r="AB538" s="3195"/>
      <c r="AC538" s="3195"/>
      <c r="AE538" s="3195"/>
      <c r="AF538" s="3195"/>
      <c r="AG538" s="3195"/>
      <c r="AH538" s="3195"/>
      <c r="AI538" s="3195"/>
    </row>
    <row r="539" spans="1:35" ht="12" customHeight="1">
      <c r="O539" s="3195" t="s">
        <v>10306</v>
      </c>
      <c r="P539" s="3195" t="str">
        <f>MID(T539,FIND(":",T539)+2,20)</f>
        <v>RF 40</v>
      </c>
      <c r="R539" s="3196"/>
      <c r="S539" s="3196"/>
      <c r="T539" s="3196" t="s">
        <v>4327</v>
      </c>
      <c r="U539" s="3196"/>
      <c r="V539" s="3196"/>
      <c r="W539" s="3196"/>
      <c r="X539" s="3196"/>
      <c r="Y539" s="3196"/>
      <c r="Z539" s="3196"/>
      <c r="AA539" s="3196"/>
      <c r="AB539" s="3195"/>
      <c r="AC539" s="3195"/>
      <c r="AE539" s="3195"/>
      <c r="AF539" s="3195"/>
      <c r="AG539" s="3195"/>
      <c r="AH539" s="3195"/>
      <c r="AI539" s="3195"/>
    </row>
    <row r="540" spans="1:35" ht="12" customHeight="1">
      <c r="O540" s="3195" t="s">
        <v>10306</v>
      </c>
      <c r="P540" s="3195" t="str">
        <f t="shared" ref="P540:P547" si="30">MID(T540,FIND(":",T540)+2,20)</f>
        <v>RF 60</v>
      </c>
      <c r="R540" s="3196"/>
      <c r="S540" s="3196"/>
      <c r="T540" s="3196" t="s">
        <v>4328</v>
      </c>
      <c r="U540" s="3196"/>
      <c r="V540" s="3196"/>
      <c r="W540" s="3196"/>
      <c r="X540" s="3196"/>
      <c r="Y540" s="3196"/>
      <c r="Z540" s="3196"/>
      <c r="AA540" s="3196"/>
      <c r="AB540" s="3195"/>
      <c r="AC540" s="3195"/>
      <c r="AE540" s="3195"/>
      <c r="AF540" s="3195"/>
      <c r="AG540" s="3195"/>
      <c r="AH540" s="3195"/>
      <c r="AI540" s="3195"/>
    </row>
    <row r="541" spans="1:35" ht="12" customHeight="1">
      <c r="O541" s="3195" t="s">
        <v>10306</v>
      </c>
      <c r="P541" s="3195" t="str">
        <f t="shared" si="30"/>
        <v>RF 80</v>
      </c>
      <c r="R541" s="3196"/>
      <c r="S541" s="3196"/>
      <c r="T541" s="3196" t="s">
        <v>4329</v>
      </c>
      <c r="U541" s="3196"/>
      <c r="V541" s="3196"/>
      <c r="W541" s="3196"/>
      <c r="X541" s="3196"/>
      <c r="Y541" s="3196"/>
      <c r="Z541" s="3196"/>
      <c r="AA541" s="3196"/>
      <c r="AB541" s="3195"/>
      <c r="AC541" s="3195"/>
      <c r="AE541" s="3195"/>
      <c r="AF541" s="3195"/>
      <c r="AG541" s="3195"/>
      <c r="AH541" s="3195"/>
      <c r="AI541" s="3195"/>
    </row>
    <row r="542" spans="1:35" ht="12" customHeight="1">
      <c r="O542" s="3195" t="s">
        <v>10306</v>
      </c>
      <c r="P542" s="3195" t="str">
        <f t="shared" si="30"/>
        <v>RF 100</v>
      </c>
      <c r="R542" s="3196"/>
      <c r="S542" s="3196"/>
      <c r="T542" s="3196" t="s">
        <v>4330</v>
      </c>
      <c r="U542" s="3196"/>
      <c r="V542" s="3196"/>
      <c r="W542" s="3196"/>
      <c r="X542" s="3196"/>
      <c r="Y542" s="3196"/>
      <c r="Z542" s="3196"/>
      <c r="AA542" s="3196"/>
      <c r="AB542" s="3195"/>
      <c r="AC542" s="3195"/>
      <c r="AE542" s="3195"/>
      <c r="AF542" s="3195"/>
      <c r="AG542" s="3195"/>
      <c r="AH542" s="3195"/>
      <c r="AI542" s="3195"/>
    </row>
    <row r="543" spans="1:35" ht="12" customHeight="1">
      <c r="O543" s="3195" t="s">
        <v>10306</v>
      </c>
      <c r="P543" s="3195" t="str">
        <f t="shared" si="30"/>
        <v>RF 120</v>
      </c>
      <c r="R543" s="3196"/>
      <c r="S543" s="3196"/>
      <c r="T543" s="3196" t="s">
        <v>4331</v>
      </c>
      <c r="U543" s="3196"/>
      <c r="V543" s="3196"/>
      <c r="W543" s="3196"/>
      <c r="X543" s="3196"/>
      <c r="Y543" s="3196"/>
      <c r="Z543" s="3196"/>
      <c r="AA543" s="3196"/>
      <c r="AB543" s="3195"/>
      <c r="AC543" s="3195"/>
      <c r="AE543" s="3195"/>
      <c r="AF543" s="3195"/>
      <c r="AG543" s="3195"/>
      <c r="AH543" s="3195"/>
      <c r="AI543" s="3195"/>
    </row>
    <row r="544" spans="1:35" ht="12" customHeight="1">
      <c r="B544" s="3196"/>
      <c r="C544" s="3196"/>
      <c r="O544" s="3195" t="s">
        <v>10306</v>
      </c>
      <c r="P544" s="3195" t="str">
        <f t="shared" si="30"/>
        <v>RF 140</v>
      </c>
      <c r="Q544" s="3196"/>
      <c r="R544" s="3196"/>
      <c r="S544" s="3196"/>
      <c r="T544" s="3196" t="s">
        <v>4332</v>
      </c>
      <c r="U544" s="3196"/>
      <c r="V544" s="3196"/>
      <c r="W544" s="3196"/>
      <c r="X544" s="3196"/>
      <c r="Y544" s="3196"/>
      <c r="Z544" s="3196"/>
      <c r="AA544" s="3196"/>
      <c r="AB544" s="3196"/>
      <c r="AC544" s="3195"/>
      <c r="AE544" s="3195"/>
      <c r="AF544" s="3195"/>
      <c r="AG544" s="3195"/>
      <c r="AH544" s="3195"/>
      <c r="AI544" s="3195"/>
    </row>
    <row r="545" spans="1:35" ht="12" customHeight="1">
      <c r="O545" s="3195" t="s">
        <v>10306</v>
      </c>
      <c r="P545" s="3195" t="str">
        <f t="shared" si="30"/>
        <v>RF 160</v>
      </c>
      <c r="T545" s="3195" t="s">
        <v>4333</v>
      </c>
      <c r="Y545" s="3195"/>
      <c r="Z545" s="3195"/>
      <c r="AA545" s="3195"/>
      <c r="AB545" s="3195"/>
      <c r="AC545" s="3195"/>
      <c r="AE545" s="3195"/>
      <c r="AF545" s="3195"/>
      <c r="AG545" s="3195"/>
      <c r="AH545" s="3195"/>
      <c r="AI545" s="3195"/>
    </row>
    <row r="546" spans="1:35" ht="12" customHeight="1">
      <c r="O546" s="3195" t="s">
        <v>10306</v>
      </c>
      <c r="P546" s="3195" t="str">
        <f t="shared" si="30"/>
        <v>RF 180</v>
      </c>
      <c r="T546" s="3195" t="s">
        <v>4334</v>
      </c>
      <c r="Y546" s="3195"/>
      <c r="Z546" s="3195"/>
      <c r="AA546" s="3195"/>
      <c r="AB546" s="3195"/>
      <c r="AC546" s="3195"/>
      <c r="AE546" s="3195"/>
      <c r="AF546" s="3195"/>
      <c r="AG546" s="3195"/>
      <c r="AH546" s="3195"/>
      <c r="AI546" s="3195"/>
    </row>
    <row r="547" spans="1:35" ht="12" customHeight="1">
      <c r="O547" s="3195" t="s">
        <v>10306</v>
      </c>
      <c r="P547" s="3195" t="str">
        <f t="shared" si="30"/>
        <v>RF 200</v>
      </c>
      <c r="T547" s="3195" t="s">
        <v>4335</v>
      </c>
      <c r="Y547" s="3195"/>
      <c r="Z547" s="3195"/>
      <c r="AA547" s="3195"/>
      <c r="AB547" s="3195"/>
      <c r="AC547" s="3195"/>
      <c r="AE547" s="3195"/>
      <c r="AF547" s="3195"/>
      <c r="AG547" s="3195"/>
      <c r="AH547" s="3195"/>
      <c r="AI547" s="3195"/>
    </row>
    <row r="548" spans="1:35" ht="12" customHeight="1">
      <c r="A548" s="3195"/>
      <c r="O548" s="3195" t="s">
        <v>10306</v>
      </c>
      <c r="P548" s="3195" t="e">
        <f t="shared" si="29"/>
        <v>#VALUE!</v>
      </c>
      <c r="T548" s="3195" t="s">
        <v>4336</v>
      </c>
      <c r="Y548" s="3195"/>
      <c r="Z548" s="3195"/>
      <c r="AA548" s="3195"/>
      <c r="AB548" s="3195"/>
      <c r="AC548" s="3195"/>
      <c r="AE548" s="3195"/>
      <c r="AF548" s="3195"/>
      <c r="AG548" s="3195"/>
      <c r="AH548" s="3195"/>
      <c r="AI548" s="3195"/>
    </row>
    <row r="549" spans="1:35" ht="12" customHeight="1">
      <c r="O549" s="3195" t="s">
        <v>10306</v>
      </c>
      <c r="P549" s="3196" t="str">
        <f>T549</f>
        <v>Estado añadido: Ceguera</v>
      </c>
      <c r="R549" s="3196"/>
      <c r="S549" s="3196"/>
      <c r="T549" s="3196" t="s">
        <v>10235</v>
      </c>
      <c r="U549" s="3196"/>
      <c r="V549" s="3196"/>
      <c r="W549" s="3196"/>
      <c r="X549" s="3196"/>
      <c r="Y549" s="3196"/>
      <c r="Z549" s="3196"/>
      <c r="AA549" s="3196"/>
      <c r="AB549" s="3195"/>
      <c r="AC549" s="3195"/>
      <c r="AE549" s="3195"/>
      <c r="AF549" s="3195"/>
      <c r="AG549" s="3195"/>
      <c r="AH549" s="3195"/>
      <c r="AI549" s="3195"/>
    </row>
    <row r="550" spans="1:35" ht="12" customHeight="1">
      <c r="O550" s="3195" t="s">
        <v>10306</v>
      </c>
      <c r="P550" s="3196" t="str">
        <f t="shared" ref="P550:P573" si="31">T550</f>
        <v>Estado añadido: Coma</v>
      </c>
      <c r="R550" s="3196"/>
      <c r="S550" s="3196"/>
      <c r="T550" s="3196" t="s">
        <v>10236</v>
      </c>
      <c r="U550" s="3196"/>
      <c r="V550" s="3196"/>
      <c r="W550" s="3196"/>
      <c r="X550" s="3196"/>
      <c r="Y550" s="3196"/>
      <c r="Z550" s="3196"/>
      <c r="AA550" s="3196"/>
      <c r="AB550" s="3195"/>
      <c r="AC550" s="3195"/>
      <c r="AE550" s="3195"/>
      <c r="AF550" s="3195"/>
      <c r="AG550" s="3195"/>
      <c r="AH550" s="3195"/>
      <c r="AI550" s="3195"/>
    </row>
    <row r="551" spans="1:35" ht="12" customHeight="1">
      <c r="O551" s="3195" t="s">
        <v>10306</v>
      </c>
      <c r="P551" s="3196" t="str">
        <f t="shared" si="31"/>
        <v>Estado añadido: Control</v>
      </c>
      <c r="R551" s="3196"/>
      <c r="S551" s="3196"/>
      <c r="T551" s="3196" t="s">
        <v>10237</v>
      </c>
      <c r="U551" s="3196"/>
      <c r="V551" s="3196"/>
      <c r="W551" s="3196"/>
      <c r="X551" s="3196"/>
      <c r="Y551" s="3196"/>
      <c r="Z551" s="3196"/>
      <c r="AA551" s="3196"/>
      <c r="AB551" s="3195"/>
      <c r="AC551" s="3195"/>
      <c r="AE551" s="3195"/>
      <c r="AF551" s="3195"/>
      <c r="AG551" s="3195"/>
      <c r="AH551" s="3195"/>
      <c r="AI551" s="3195"/>
    </row>
    <row r="552" spans="1:35" ht="12" customHeight="1">
      <c r="O552" s="3195" t="s">
        <v>10306</v>
      </c>
      <c r="P552" s="3196" t="str">
        <f t="shared" si="31"/>
        <v>Estado añadido: Daño</v>
      </c>
      <c r="R552" s="3196"/>
      <c r="S552" s="3196"/>
      <c r="T552" s="3196" t="s">
        <v>10238</v>
      </c>
      <c r="U552" s="3196"/>
      <c r="V552" s="3196"/>
      <c r="W552" s="3196"/>
      <c r="X552" s="3196"/>
      <c r="Y552" s="3196"/>
      <c r="Z552" s="3196"/>
      <c r="AA552" s="3196"/>
      <c r="AB552" s="3195"/>
      <c r="AC552" s="3195"/>
      <c r="AE552" s="3195"/>
      <c r="AF552" s="3195"/>
      <c r="AG552" s="3195"/>
      <c r="AH552" s="3195"/>
      <c r="AI552" s="3195"/>
    </row>
    <row r="553" spans="1:35" ht="12" customHeight="1">
      <c r="O553" s="3195" t="s">
        <v>10306</v>
      </c>
      <c r="P553" s="3196" t="str">
        <f t="shared" si="31"/>
        <v>Estado añadido: Doble Daño</v>
      </c>
      <c r="R553" s="3196"/>
      <c r="S553" s="3196"/>
      <c r="T553" s="3196" t="s">
        <v>10239</v>
      </c>
      <c r="U553" s="3196"/>
      <c r="V553" s="3196"/>
      <c r="W553" s="3196"/>
      <c r="X553" s="3196"/>
      <c r="Y553" s="3196"/>
      <c r="Z553" s="3196"/>
      <c r="AA553" s="3196"/>
      <c r="AB553" s="3195"/>
      <c r="AC553" s="3195"/>
      <c r="AE553" s="3195"/>
      <c r="AF553" s="3195"/>
      <c r="AG553" s="3195"/>
      <c r="AH553" s="3195"/>
      <c r="AI553" s="3195"/>
    </row>
    <row r="554" spans="1:35" ht="12" customHeight="1">
      <c r="O554" s="3195" t="s">
        <v>10306</v>
      </c>
      <c r="P554" s="3196" t="str">
        <f t="shared" si="31"/>
        <v>Estado añadido: Dolor</v>
      </c>
      <c r="R554" s="3196"/>
      <c r="S554" s="3196"/>
      <c r="T554" s="3196" t="s">
        <v>10240</v>
      </c>
      <c r="U554" s="3196"/>
      <c r="V554" s="3196"/>
      <c r="W554" s="3196"/>
      <c r="X554" s="3196"/>
      <c r="Y554" s="3196"/>
      <c r="Z554" s="3196"/>
      <c r="AA554" s="3196"/>
      <c r="AB554" s="3195"/>
      <c r="AC554" s="3195"/>
      <c r="AE554" s="3195"/>
      <c r="AF554" s="3195"/>
      <c r="AG554" s="3195"/>
      <c r="AH554" s="3195"/>
      <c r="AI554" s="3195"/>
    </row>
    <row r="555" spans="1:35" ht="12" customHeight="1">
      <c r="O555" s="3195" t="s">
        <v>10306</v>
      </c>
      <c r="P555" s="3196" t="str">
        <f t="shared" si="31"/>
        <v>Estado añadido: Dolor Extremo</v>
      </c>
      <c r="R555" s="3196"/>
      <c r="S555" s="3196"/>
      <c r="T555" s="3196" t="s">
        <v>10241</v>
      </c>
      <c r="U555" s="3196"/>
      <c r="V555" s="3196"/>
      <c r="W555" s="3196"/>
      <c r="X555" s="3196"/>
      <c r="Y555" s="3196"/>
      <c r="Z555" s="3196"/>
      <c r="AA555" s="3196"/>
      <c r="AB555" s="3195"/>
      <c r="AC555" s="3195"/>
      <c r="AE555" s="3195"/>
      <c r="AF555" s="3195"/>
      <c r="AG555" s="3195"/>
      <c r="AH555" s="3195"/>
      <c r="AI555" s="3195"/>
    </row>
    <row r="556" spans="1:35" ht="12" customHeight="1">
      <c r="O556" s="3195" t="s">
        <v>10306</v>
      </c>
      <c r="P556" s="3196" t="str">
        <f t="shared" si="31"/>
        <v>Estado añadido: Drenaje de Vida</v>
      </c>
      <c r="R556" s="3196"/>
      <c r="S556" s="3196"/>
      <c r="T556" s="3196" t="s">
        <v>10242</v>
      </c>
      <c r="U556" s="3196"/>
      <c r="V556" s="3196"/>
      <c r="W556" s="3196"/>
      <c r="X556" s="3196"/>
      <c r="Y556" s="3196"/>
      <c r="Z556" s="3196"/>
      <c r="AA556" s="3196"/>
      <c r="AB556" s="3195"/>
      <c r="AC556" s="3195"/>
      <c r="AE556" s="3195"/>
      <c r="AF556" s="3195"/>
      <c r="AG556" s="3195"/>
      <c r="AH556" s="3195"/>
      <c r="AI556" s="3195"/>
    </row>
    <row r="557" spans="1:35" ht="12" customHeight="1">
      <c r="O557" s="3195" t="s">
        <v>10306</v>
      </c>
      <c r="P557" s="3196" t="str">
        <f t="shared" si="31"/>
        <v>Estado añadido: Drenaje de Ki</v>
      </c>
      <c r="R557" s="3196"/>
      <c r="S557" s="3196"/>
      <c r="T557" s="3196" t="s">
        <v>10243</v>
      </c>
      <c r="U557" s="3196"/>
      <c r="V557" s="3196"/>
      <c r="W557" s="3196"/>
      <c r="X557" s="3196"/>
      <c r="Y557" s="3196"/>
      <c r="Z557" s="3196"/>
      <c r="AA557" s="3196"/>
      <c r="AB557" s="3195"/>
      <c r="AC557" s="3195"/>
      <c r="AE557" s="3195"/>
      <c r="AF557" s="3195"/>
      <c r="AG557" s="3195"/>
      <c r="AH557" s="3195"/>
      <c r="AI557" s="3195"/>
    </row>
    <row r="558" spans="1:35" ht="12" customHeight="1">
      <c r="B558" s="3196"/>
      <c r="C558" s="3196"/>
      <c r="O558" s="3195" t="s">
        <v>10306</v>
      </c>
      <c r="P558" s="3196" t="str">
        <f t="shared" si="31"/>
        <v>Estado añadido: Fascinación</v>
      </c>
      <c r="Q558" s="3196"/>
      <c r="R558" s="3196"/>
      <c r="S558" s="3196"/>
      <c r="T558" s="3196" t="s">
        <v>10244</v>
      </c>
      <c r="U558" s="3196"/>
      <c r="V558" s="3196"/>
      <c r="W558" s="3196"/>
      <c r="X558" s="3196"/>
      <c r="Y558" s="3196"/>
      <c r="Z558" s="3196"/>
      <c r="AA558" s="3196"/>
      <c r="AB558" s="3196"/>
      <c r="AC558" s="3195"/>
      <c r="AE558" s="3195"/>
      <c r="AF558" s="3195"/>
      <c r="AG558" s="3195"/>
      <c r="AH558" s="3195"/>
      <c r="AI558" s="3195"/>
    </row>
    <row r="559" spans="1:35" ht="12" customHeight="1">
      <c r="O559" s="3195" t="s">
        <v>10306</v>
      </c>
      <c r="P559" s="3196" t="str">
        <f t="shared" si="31"/>
        <v>Estado añadido: Ilusión</v>
      </c>
      <c r="T559" s="3195" t="s">
        <v>10245</v>
      </c>
      <c r="Y559" s="3195"/>
      <c r="Z559" s="3195"/>
      <c r="AA559" s="3195"/>
      <c r="AB559" s="3195"/>
      <c r="AC559" s="3195"/>
      <c r="AD559" s="3196"/>
      <c r="AE559" s="3195"/>
      <c r="AF559" s="3195"/>
      <c r="AG559" s="3195"/>
      <c r="AH559" s="3195"/>
      <c r="AI559" s="3195"/>
    </row>
    <row r="560" spans="1:35" ht="12" customHeight="1">
      <c r="O560" s="3195" t="s">
        <v>10306</v>
      </c>
      <c r="P560" s="3196" t="str">
        <f t="shared" si="31"/>
        <v>Estado añadido: Ilusión Fantasmal</v>
      </c>
      <c r="T560" s="3195" t="s">
        <v>10246</v>
      </c>
      <c r="Y560" s="3195"/>
      <c r="Z560" s="3195"/>
      <c r="AA560" s="3195"/>
      <c r="AB560" s="3195"/>
      <c r="AC560" s="3195"/>
      <c r="AD560" s="3196"/>
      <c r="AE560" s="3195"/>
      <c r="AF560" s="3195"/>
      <c r="AG560" s="3195"/>
      <c r="AH560" s="3195"/>
      <c r="AI560" s="3195"/>
    </row>
    <row r="561" spans="15:35" ht="12" customHeight="1">
      <c r="O561" s="3195" t="s">
        <v>10306</v>
      </c>
      <c r="P561" s="3196" t="str">
        <f t="shared" si="31"/>
        <v>Estado añadido: Ilusión Mayor</v>
      </c>
      <c r="T561" s="3195" t="s">
        <v>10247</v>
      </c>
      <c r="Y561" s="3195"/>
      <c r="Z561" s="3195"/>
      <c r="AA561" s="3195"/>
      <c r="AB561" s="3195"/>
      <c r="AC561" s="3195"/>
      <c r="AD561" s="3196"/>
      <c r="AE561" s="3195"/>
      <c r="AF561" s="3195"/>
      <c r="AG561" s="3195"/>
      <c r="AH561" s="3195"/>
      <c r="AI561" s="3195"/>
    </row>
    <row r="562" spans="15:35" ht="12" customHeight="1">
      <c r="O562" s="3195" t="s">
        <v>10306</v>
      </c>
      <c r="P562" s="3196" t="str">
        <f t="shared" si="31"/>
        <v>Estado añadido: Inconsciencia</v>
      </c>
      <c r="T562" s="3195" t="s">
        <v>10248</v>
      </c>
      <c r="Y562" s="3195"/>
      <c r="Z562" s="3195"/>
      <c r="AA562" s="3195"/>
      <c r="AB562" s="3195"/>
      <c r="AC562" s="3195"/>
      <c r="AD562" s="3196"/>
      <c r="AE562" s="3195"/>
      <c r="AF562" s="3195"/>
      <c r="AG562" s="3195"/>
      <c r="AH562" s="3195"/>
      <c r="AI562" s="3195"/>
    </row>
    <row r="563" spans="15:35" ht="12" customHeight="1">
      <c r="O563" s="3195" t="s">
        <v>10306</v>
      </c>
      <c r="P563" s="3196" t="str">
        <f t="shared" si="31"/>
        <v>Estado añadido: Miedo</v>
      </c>
      <c r="T563" s="3195" t="s">
        <v>10249</v>
      </c>
      <c r="Y563" s="3195"/>
      <c r="Z563" s="3195"/>
      <c r="AA563" s="3195"/>
      <c r="AB563" s="3195"/>
      <c r="AC563" s="3195"/>
      <c r="AD563" s="3196"/>
      <c r="AE563" s="3195"/>
      <c r="AF563" s="3195"/>
      <c r="AG563" s="3195"/>
      <c r="AH563" s="3195"/>
      <c r="AI563" s="3195"/>
    </row>
    <row r="564" spans="15:35" ht="12" customHeight="1">
      <c r="O564" s="3195" t="s">
        <v>10306</v>
      </c>
      <c r="P564" s="3196" t="str">
        <f t="shared" si="31"/>
        <v>Estado añadido: Muerte</v>
      </c>
      <c r="T564" s="3195" t="s">
        <v>10250</v>
      </c>
      <c r="Y564" s="3195"/>
      <c r="Z564" s="3195"/>
      <c r="AA564" s="3195"/>
      <c r="AB564" s="3195"/>
      <c r="AC564" s="3195"/>
      <c r="AD564" s="3196"/>
      <c r="AE564" s="3195"/>
      <c r="AF564" s="3195"/>
      <c r="AG564" s="3195"/>
      <c r="AH564" s="3195"/>
      <c r="AI564" s="3195"/>
    </row>
    <row r="565" spans="15:35" ht="12" customHeight="1">
      <c r="O565" s="3195" t="s">
        <v>10306</v>
      </c>
      <c r="P565" s="3196" t="str">
        <f t="shared" si="31"/>
        <v>Estado añadido: Paralización Parcial</v>
      </c>
      <c r="T565" s="3195" t="s">
        <v>10251</v>
      </c>
      <c r="Y565" s="3195"/>
      <c r="Z565" s="3195"/>
      <c r="AA565" s="3195"/>
      <c r="AB565" s="3195"/>
      <c r="AC565" s="3195"/>
      <c r="AD565" s="3196"/>
      <c r="AE565" s="3195"/>
      <c r="AF565" s="3195"/>
      <c r="AG565" s="3195"/>
      <c r="AH565" s="3195"/>
      <c r="AI565" s="3195"/>
    </row>
    <row r="566" spans="15:35" ht="12" customHeight="1">
      <c r="O566" s="3195" t="s">
        <v>10306</v>
      </c>
      <c r="P566" s="3196" t="str">
        <f t="shared" si="31"/>
        <v>Estado añadido: Paralización Total</v>
      </c>
      <c r="T566" s="3195" t="s">
        <v>10252</v>
      </c>
      <c r="Y566" s="3195"/>
      <c r="Z566" s="3195"/>
      <c r="AA566" s="3195"/>
      <c r="AB566" s="3195"/>
      <c r="AC566" s="3195"/>
      <c r="AD566" s="3196"/>
      <c r="AE566" s="3195"/>
      <c r="AF566" s="3195"/>
      <c r="AG566" s="3195"/>
      <c r="AH566" s="3195"/>
      <c r="AI566" s="3195"/>
    </row>
    <row r="567" spans="15:35" ht="12" customHeight="1">
      <c r="O567" s="3195" t="s">
        <v>10306</v>
      </c>
      <c r="P567" s="3196" t="str">
        <f t="shared" si="31"/>
        <v>Estado añadido: Penalizador a la Acción Mayor</v>
      </c>
      <c r="T567" s="3195" t="s">
        <v>10253</v>
      </c>
      <c r="Y567" s="3195"/>
      <c r="Z567" s="3195"/>
      <c r="AA567" s="3195"/>
      <c r="AB567" s="3195"/>
      <c r="AC567" s="3195"/>
      <c r="AD567" s="3196"/>
      <c r="AE567" s="3195"/>
      <c r="AF567" s="3195"/>
      <c r="AG567" s="3195"/>
      <c r="AH567" s="3195"/>
      <c r="AI567" s="3195"/>
    </row>
    <row r="568" spans="15:35" ht="12" customHeight="1">
      <c r="O568" s="3195" t="s">
        <v>10306</v>
      </c>
      <c r="P568" s="3196" t="str">
        <f t="shared" si="31"/>
        <v>Estado añadido: Penalizador a la Acción Menor</v>
      </c>
      <c r="T568" s="3195" t="s">
        <v>10254</v>
      </c>
      <c r="Y568" s="3195"/>
      <c r="Z568" s="3195"/>
      <c r="AA568" s="3195"/>
      <c r="AB568" s="3195"/>
      <c r="AC568" s="3195"/>
      <c r="AD568" s="3196"/>
      <c r="AE568" s="3195"/>
      <c r="AF568" s="3195"/>
      <c r="AG568" s="3195"/>
      <c r="AH568" s="3195"/>
      <c r="AI568" s="3195"/>
    </row>
    <row r="569" spans="15:35" ht="12" customHeight="1">
      <c r="O569" s="3195" t="s">
        <v>10306</v>
      </c>
      <c r="P569" s="3196" t="str">
        <f t="shared" si="31"/>
        <v>Estado añadido: Reducción de Características</v>
      </c>
      <c r="T569" s="3195" t="s">
        <v>10255</v>
      </c>
      <c r="Y569" s="3195"/>
      <c r="Z569" s="3195"/>
      <c r="AA569" s="3195"/>
      <c r="AB569" s="3195"/>
      <c r="AC569" s="3195"/>
      <c r="AD569" s="3196"/>
      <c r="AE569" s="3195"/>
      <c r="AF569" s="3195"/>
      <c r="AG569" s="3195"/>
      <c r="AH569" s="3195"/>
      <c r="AI569" s="3195"/>
    </row>
    <row r="570" spans="15:35" ht="12" customHeight="1">
      <c r="O570" s="3195" t="s">
        <v>10306</v>
      </c>
      <c r="P570" s="3196" t="str">
        <f t="shared" si="31"/>
        <v>Estado añadido: Reducción de una Característica</v>
      </c>
      <c r="T570" s="3195" t="s">
        <v>10256</v>
      </c>
      <c r="Y570" s="3195"/>
      <c r="Z570" s="3195"/>
      <c r="AA570" s="3195"/>
      <c r="AB570" s="3195"/>
      <c r="AC570" s="3195"/>
      <c r="AD570" s="3196"/>
      <c r="AE570" s="3195"/>
      <c r="AF570" s="3195"/>
      <c r="AG570" s="3195"/>
      <c r="AH570" s="3195"/>
      <c r="AI570" s="3195"/>
    </row>
    <row r="571" spans="15:35" ht="12" customHeight="1">
      <c r="O571" s="3195" t="s">
        <v>10306</v>
      </c>
      <c r="P571" s="3196" t="str">
        <f t="shared" si="31"/>
        <v>Estado añadido: Reducción de RF</v>
      </c>
      <c r="T571" s="3195" t="s">
        <v>10257</v>
      </c>
      <c r="Y571" s="3195"/>
      <c r="Z571" s="3195"/>
      <c r="AA571" s="3195"/>
      <c r="AB571" s="3195"/>
      <c r="AC571" s="3195"/>
      <c r="AD571" s="3196"/>
      <c r="AE571" s="3195"/>
      <c r="AF571" s="3195"/>
      <c r="AG571" s="3195"/>
      <c r="AH571" s="3195"/>
      <c r="AI571" s="3195"/>
    </row>
    <row r="572" spans="15:35" ht="12" customHeight="1">
      <c r="O572" s="3195" t="s">
        <v>10306</v>
      </c>
      <c r="P572" s="3196" t="str">
        <f t="shared" si="31"/>
        <v>Estado añadido: Reducción de RP</v>
      </c>
      <c r="T572" s="3195" t="s">
        <v>10258</v>
      </c>
      <c r="Y572" s="3195"/>
      <c r="Z572" s="3195"/>
      <c r="AA572" s="3195"/>
      <c r="AB572" s="3195"/>
      <c r="AC572" s="3195"/>
      <c r="AD572" s="3196"/>
      <c r="AE572" s="3195"/>
      <c r="AF572" s="3195"/>
      <c r="AG572" s="3195"/>
      <c r="AH572" s="3195"/>
      <c r="AI572" s="3195"/>
    </row>
    <row r="573" spans="15:35" ht="12" customHeight="1">
      <c r="O573" s="3195" t="s">
        <v>10306</v>
      </c>
      <c r="P573" s="3196" t="str">
        <f t="shared" si="31"/>
        <v>Estado añadido: Terror</v>
      </c>
      <c r="T573" s="3195" t="s">
        <v>10259</v>
      </c>
      <c r="Y573" s="3195"/>
      <c r="Z573" s="3195"/>
      <c r="AA573" s="3195"/>
      <c r="AB573" s="3195"/>
      <c r="AC573" s="3195"/>
      <c r="AD573" s="3196"/>
      <c r="AE573" s="3195"/>
      <c r="AF573" s="3195"/>
      <c r="AG573" s="3195"/>
      <c r="AH573" s="3195"/>
      <c r="AI573" s="3195"/>
    </row>
    <row r="574" spans="15:35" ht="12" customHeight="1">
      <c r="O574" s="3195" t="s">
        <v>10306</v>
      </c>
      <c r="P574" s="3195" t="e">
        <f t="shared" si="29"/>
        <v>#VALUE!</v>
      </c>
      <c r="T574" s="3195" t="s">
        <v>4357</v>
      </c>
      <c r="Y574" s="3195"/>
      <c r="Z574" s="3195"/>
      <c r="AA574" s="3195"/>
      <c r="AB574" s="3195"/>
      <c r="AC574" s="3195"/>
      <c r="AD574" s="3196"/>
      <c r="AE574" s="3195"/>
      <c r="AF574" s="3195"/>
      <c r="AG574" s="3195"/>
      <c r="AH574" s="3195"/>
      <c r="AI574" s="3195"/>
    </row>
    <row r="575" spans="15:35" ht="12" customHeight="1">
      <c r="O575" s="3195" t="s">
        <v>10306</v>
      </c>
      <c r="P575" s="3195" t="str">
        <f>"Condición: "&amp;T575</f>
        <v>Condición: Conseguir dar un  ataque</v>
      </c>
      <c r="T575" s="3195" t="s">
        <v>4358</v>
      </c>
      <c r="Y575" s="3195"/>
      <c r="Z575" s="3195"/>
      <c r="AA575" s="3195"/>
      <c r="AB575" s="3195"/>
      <c r="AC575" s="3195"/>
      <c r="AD575" s="3196"/>
      <c r="AE575" s="3195"/>
      <c r="AF575" s="3195"/>
      <c r="AG575" s="3195"/>
      <c r="AH575" s="3195"/>
      <c r="AI575" s="3195"/>
    </row>
    <row r="576" spans="15:35" ht="12" customHeight="1">
      <c r="O576" s="3195" t="s">
        <v>10306</v>
      </c>
      <c r="P576" s="3195" t="str">
        <f t="shared" ref="P576:P585" si="32">"Condición: "&amp;T576</f>
        <v>Condición: Conseguir dar un Beso</v>
      </c>
      <c r="T576" s="3195" t="s">
        <v>4359</v>
      </c>
      <c r="Y576" s="3195"/>
      <c r="Z576" s="3195"/>
      <c r="AA576" s="3195"/>
      <c r="AB576" s="3195"/>
      <c r="AC576" s="3195"/>
      <c r="AD576" s="3196"/>
      <c r="AE576" s="3195"/>
      <c r="AF576" s="3195"/>
      <c r="AG576" s="3195"/>
      <c r="AH576" s="3195"/>
      <c r="AI576" s="3195"/>
    </row>
    <row r="577" spans="2:35" ht="12" customHeight="1">
      <c r="O577" s="3195" t="s">
        <v>10306</v>
      </c>
      <c r="P577" s="3195" t="str">
        <f t="shared" si="32"/>
        <v>Condición: Contacto Físico</v>
      </c>
      <c r="T577" s="3195" t="s">
        <v>4360</v>
      </c>
      <c r="Y577" s="3195"/>
      <c r="Z577" s="3195"/>
      <c r="AA577" s="3195"/>
      <c r="AB577" s="3195"/>
      <c r="AC577" s="3195"/>
      <c r="AD577" s="3196"/>
      <c r="AE577" s="3195"/>
      <c r="AF577" s="3195"/>
      <c r="AG577" s="3195"/>
      <c r="AH577" s="3195"/>
      <c r="AI577" s="3195"/>
    </row>
    <row r="578" spans="2:35" ht="12" customHeight="1">
      <c r="O578" s="3195" t="s">
        <v>10306</v>
      </c>
      <c r="P578" s="3195" t="str">
        <f t="shared" si="32"/>
        <v>Condición: Contacto Visual Mutuo</v>
      </c>
      <c r="T578" s="3195" t="s">
        <v>4361</v>
      </c>
      <c r="Y578" s="3195"/>
      <c r="Z578" s="3195"/>
      <c r="AA578" s="3195"/>
      <c r="AB578" s="3195"/>
      <c r="AC578" s="3195"/>
      <c r="AD578" s="3196"/>
      <c r="AE578" s="3195"/>
      <c r="AF578" s="3195"/>
      <c r="AG578" s="3195"/>
      <c r="AH578" s="3195"/>
      <c r="AI578" s="3195"/>
    </row>
    <row r="579" spans="2:35" ht="12" customHeight="1">
      <c r="O579" s="3195" t="s">
        <v>10306</v>
      </c>
      <c r="P579" s="3195" t="str">
        <f t="shared" si="32"/>
        <v>Condición: Contacto Visual (Un Blanco)</v>
      </c>
      <c r="T579" s="3195" t="s">
        <v>4362</v>
      </c>
      <c r="Y579" s="3195"/>
      <c r="Z579" s="3195"/>
      <c r="AA579" s="3195"/>
      <c r="AB579" s="3195"/>
      <c r="AC579" s="3195"/>
      <c r="AD579" s="3196"/>
      <c r="AE579" s="3195"/>
      <c r="AF579" s="3195"/>
      <c r="AG579" s="3195"/>
      <c r="AH579" s="3195"/>
      <c r="AI579" s="3195"/>
    </row>
    <row r="580" spans="2:35" ht="12" customHeight="1">
      <c r="O580" s="3195" t="s">
        <v>10306</v>
      </c>
      <c r="P580" s="3195" t="str">
        <f t="shared" si="32"/>
        <v>Condición: Contacto Visual (Varios Blancos)</v>
      </c>
      <c r="T580" s="3195" t="s">
        <v>4363</v>
      </c>
      <c r="Y580" s="3195"/>
      <c r="Z580" s="3195"/>
      <c r="AA580" s="3195"/>
      <c r="AB580" s="3195"/>
      <c r="AC580" s="3195"/>
      <c r="AD580" s="3196"/>
      <c r="AE580" s="3195"/>
      <c r="AF580" s="3195"/>
      <c r="AG580" s="3195"/>
      <c r="AH580" s="3195"/>
      <c r="AI580" s="3195"/>
    </row>
    <row r="581" spans="2:35" ht="12" customHeight="1">
      <c r="O581" s="3195" t="s">
        <v>10306</v>
      </c>
      <c r="P581" s="3195" t="str">
        <f t="shared" si="32"/>
        <v>Condición: Por el Aire</v>
      </c>
      <c r="T581" s="3195" t="s">
        <v>4364</v>
      </c>
      <c r="Y581" s="3195"/>
      <c r="Z581" s="3195"/>
      <c r="AA581" s="3195"/>
      <c r="AB581" s="3195"/>
      <c r="AC581" s="3195"/>
      <c r="AD581" s="3196"/>
      <c r="AE581" s="3195"/>
      <c r="AF581" s="3195"/>
      <c r="AG581" s="3195"/>
      <c r="AH581" s="3195"/>
      <c r="AI581" s="3195"/>
    </row>
    <row r="582" spans="2:35" ht="12" customHeight="1">
      <c r="O582" s="3195" t="s">
        <v>10306</v>
      </c>
      <c r="P582" s="3195" t="str">
        <f t="shared" si="32"/>
        <v>Condición: Por Sonido (Un Blanco)</v>
      </c>
      <c r="T582" s="3195" t="s">
        <v>4365</v>
      </c>
      <c r="Y582" s="3195"/>
      <c r="Z582" s="3195"/>
      <c r="AA582" s="3195"/>
      <c r="AB582" s="3195"/>
      <c r="AC582" s="3195"/>
      <c r="AD582" s="3196"/>
      <c r="AE582" s="3195"/>
      <c r="AF582" s="3195"/>
      <c r="AG582" s="3195"/>
      <c r="AH582" s="3195"/>
      <c r="AI582" s="3195"/>
    </row>
    <row r="583" spans="2:35" ht="12" customHeight="1">
      <c r="O583" s="3195" t="s">
        <v>10306</v>
      </c>
      <c r="P583" s="3195" t="str">
        <f t="shared" si="32"/>
        <v>Condición: Por Sonido (Varios Blancos)</v>
      </c>
      <c r="T583" s="3195" t="s">
        <v>4366</v>
      </c>
      <c r="Y583" s="3195"/>
      <c r="Z583" s="3195"/>
      <c r="AA583" s="3195"/>
      <c r="AB583" s="3195"/>
      <c r="AC583" s="3195"/>
      <c r="AD583" s="3196"/>
      <c r="AE583" s="3195"/>
      <c r="AF583" s="3195"/>
      <c r="AG583" s="3195"/>
      <c r="AH583" s="3195"/>
      <c r="AI583" s="3195"/>
    </row>
    <row r="584" spans="2:35" ht="12" customHeight="1">
      <c r="B584" s="3196"/>
      <c r="C584" s="3196"/>
      <c r="O584" s="3195" t="s">
        <v>10306</v>
      </c>
      <c r="P584" s="3195" t="str">
        <f t="shared" si="32"/>
        <v>Condición: Por Superficie</v>
      </c>
      <c r="Q584" s="3196"/>
      <c r="R584" s="3196"/>
      <c r="S584" s="3196"/>
      <c r="T584" s="3196" t="s">
        <v>4367</v>
      </c>
      <c r="U584" s="3196"/>
      <c r="V584" s="3196"/>
      <c r="W584" s="3196"/>
      <c r="X584" s="3196"/>
      <c r="Y584" s="3196"/>
      <c r="Z584" s="3196"/>
      <c r="AA584" s="3196"/>
      <c r="AB584" s="3196"/>
      <c r="AC584" s="3195"/>
      <c r="AE584" s="3195"/>
      <c r="AF584" s="3195"/>
      <c r="AG584" s="3195"/>
      <c r="AH584" s="3195"/>
      <c r="AI584" s="3195"/>
    </row>
    <row r="585" spans="2:35" ht="12" customHeight="1">
      <c r="O585" s="3195" t="s">
        <v>10306</v>
      </c>
      <c r="P585" s="3195" t="str">
        <f t="shared" si="32"/>
        <v>Condición: Por Toda Superficie</v>
      </c>
      <c r="T585" s="3195" t="s">
        <v>4368</v>
      </c>
      <c r="Y585" s="3195"/>
      <c r="Z585" s="3195"/>
      <c r="AA585" s="3195"/>
      <c r="AB585" s="3195"/>
      <c r="AC585" s="3195"/>
      <c r="AE585" s="3195"/>
      <c r="AF585" s="3195"/>
      <c r="AG585" s="3195"/>
      <c r="AH585" s="3195"/>
      <c r="AI585" s="3195"/>
    </row>
    <row r="586" spans="2:35" ht="12" customHeight="1">
      <c r="O586" s="3195" t="s">
        <v>10306</v>
      </c>
      <c r="P586" s="3195" t="e">
        <f t="shared" ref="P586:P647" si="33">MID(T586,FIND("+",T586),20)</f>
        <v>#VALUE!</v>
      </c>
      <c r="T586" s="3195" t="s">
        <v>4369</v>
      </c>
      <c r="Y586" s="3195"/>
      <c r="Z586" s="3195"/>
      <c r="AA586" s="3195"/>
      <c r="AB586" s="3195"/>
      <c r="AC586" s="3195"/>
      <c r="AE586" s="3195"/>
      <c r="AF586" s="3195"/>
      <c r="AG586" s="3195"/>
      <c r="AH586" s="3195"/>
      <c r="AI586" s="3195"/>
    </row>
    <row r="587" spans="2:35" ht="12" customHeight="1">
      <c r="O587" s="3195" t="s">
        <v>10306</v>
      </c>
      <c r="P587" s="3195" t="str">
        <f>"Distancia: "&amp;MID(T587,FIND(":",T587)+2,20)</f>
        <v>Distancia: 1 metro</v>
      </c>
      <c r="T587" s="3195" t="s">
        <v>4370</v>
      </c>
      <c r="Y587" s="3195"/>
      <c r="Z587" s="3195"/>
      <c r="AA587" s="3195"/>
      <c r="AB587" s="3195"/>
      <c r="AC587" s="3195"/>
      <c r="AE587" s="3195"/>
      <c r="AF587" s="3195"/>
      <c r="AG587" s="3195"/>
      <c r="AH587" s="3195"/>
      <c r="AI587" s="3195"/>
    </row>
    <row r="588" spans="2:35" ht="12" customHeight="1">
      <c r="O588" s="3195" t="s">
        <v>10306</v>
      </c>
      <c r="P588" s="3195" t="str">
        <f t="shared" ref="P588:P594" si="34">"Distancia: "&amp;MID(T588,FIND(":",T588)+2,20)</f>
        <v>Distancia: 5 metros</v>
      </c>
      <c r="T588" s="3195" t="s">
        <v>4371</v>
      </c>
      <c r="Y588" s="3195"/>
      <c r="Z588" s="3195"/>
      <c r="AA588" s="3195"/>
      <c r="AB588" s="3195"/>
      <c r="AC588" s="3195"/>
      <c r="AE588" s="3195"/>
      <c r="AF588" s="3195"/>
      <c r="AG588" s="3195"/>
      <c r="AH588" s="3195"/>
      <c r="AI588" s="3195"/>
    </row>
    <row r="589" spans="2:35" ht="12" customHeight="1">
      <c r="O589" s="3195" t="s">
        <v>10306</v>
      </c>
      <c r="P589" s="3195" t="str">
        <f t="shared" si="34"/>
        <v>Distancia: 10 metros</v>
      </c>
      <c r="T589" s="3195" t="s">
        <v>4372</v>
      </c>
      <c r="Y589" s="3195"/>
      <c r="Z589" s="3195"/>
      <c r="AA589" s="3195"/>
      <c r="AB589" s="3195"/>
      <c r="AC589" s="3195"/>
      <c r="AE589" s="3195"/>
      <c r="AF589" s="3195"/>
      <c r="AG589" s="3195"/>
      <c r="AH589" s="3195"/>
      <c r="AI589" s="3195"/>
    </row>
    <row r="590" spans="2:35" ht="12" customHeight="1">
      <c r="O590" s="3195" t="s">
        <v>10306</v>
      </c>
      <c r="P590" s="3195" t="str">
        <f t="shared" si="34"/>
        <v>Distancia: 25 metros</v>
      </c>
      <c r="T590" s="3195" t="s">
        <v>4373</v>
      </c>
      <c r="Y590" s="3195"/>
      <c r="Z590" s="3195"/>
      <c r="AA590" s="3195"/>
      <c r="AB590" s="3195"/>
      <c r="AC590" s="3195"/>
      <c r="AE590" s="3195"/>
      <c r="AF590" s="3195"/>
      <c r="AG590" s="3195"/>
      <c r="AH590" s="3195"/>
      <c r="AI590" s="3195"/>
    </row>
    <row r="591" spans="2:35" ht="12" customHeight="1">
      <c r="O591" s="3195" t="s">
        <v>10306</v>
      </c>
      <c r="P591" s="3195" t="str">
        <f t="shared" si="34"/>
        <v>Distancia: 50 metros</v>
      </c>
      <c r="T591" s="3195" t="s">
        <v>4374</v>
      </c>
      <c r="Y591" s="3195"/>
      <c r="Z591" s="3195"/>
      <c r="AA591" s="3195"/>
      <c r="AB591" s="3195"/>
      <c r="AC591" s="3195"/>
      <c r="AE591" s="3195"/>
      <c r="AF591" s="3195"/>
      <c r="AG591" s="3195"/>
      <c r="AH591" s="3195"/>
      <c r="AI591" s="3195"/>
    </row>
    <row r="592" spans="2:35" ht="12" customHeight="1">
      <c r="O592" s="3195" t="s">
        <v>10306</v>
      </c>
      <c r="P592" s="3195" t="str">
        <f t="shared" si="34"/>
        <v>Distancia: 100 metros</v>
      </c>
      <c r="T592" s="3195" t="s">
        <v>4375</v>
      </c>
      <c r="Y592" s="3195"/>
      <c r="Z592" s="3195"/>
      <c r="AA592" s="3195"/>
      <c r="AB592" s="3195"/>
      <c r="AC592" s="3195"/>
      <c r="AE592" s="3195"/>
      <c r="AF592" s="3195"/>
      <c r="AG592" s="3195"/>
      <c r="AH592" s="3195"/>
      <c r="AI592" s="3195"/>
    </row>
    <row r="593" spans="1:35" ht="12" customHeight="1">
      <c r="O593" s="3195" t="s">
        <v>10306</v>
      </c>
      <c r="P593" s="3195" t="str">
        <f t="shared" si="34"/>
        <v>Distancia: 150 metros</v>
      </c>
      <c r="T593" s="3195" t="s">
        <v>4376</v>
      </c>
      <c r="Y593" s="3195"/>
      <c r="Z593" s="3195"/>
      <c r="AA593" s="3195"/>
      <c r="AB593" s="3195"/>
      <c r="AC593" s="3195"/>
      <c r="AE593" s="3195"/>
      <c r="AF593" s="3195"/>
      <c r="AG593" s="3195"/>
      <c r="AH593" s="3195"/>
      <c r="AI593" s="3195"/>
    </row>
    <row r="594" spans="1:35" ht="12" customHeight="1">
      <c r="O594" s="3195" t="s">
        <v>10306</v>
      </c>
      <c r="P594" s="3195" t="str">
        <f t="shared" si="34"/>
        <v>Distancia: 500 metros</v>
      </c>
      <c r="T594" s="3195" t="s">
        <v>4377</v>
      </c>
      <c r="Y594" s="3195"/>
      <c r="Z594" s="3195"/>
      <c r="AA594" s="3195"/>
      <c r="AB594" s="3195"/>
      <c r="AC594" s="3195"/>
      <c r="AE594" s="3195"/>
      <c r="AF594" s="3195"/>
      <c r="AG594" s="3195"/>
      <c r="AH594" s="3195"/>
      <c r="AI594" s="3195"/>
    </row>
    <row r="595" spans="1:35" ht="12" customHeight="1">
      <c r="O595" s="3195" t="e">
        <f t="shared" ref="O595:O647" si="35">LEFT(T595,FIND(" +",T595)-1)</f>
        <v>#VALUE!</v>
      </c>
      <c r="P595" s="3195" t="e">
        <f t="shared" si="33"/>
        <v>#VALUE!</v>
      </c>
      <c r="T595" s="3195" t="s">
        <v>3595</v>
      </c>
      <c r="Y595" s="3195"/>
      <c r="Z595" s="3195"/>
      <c r="AA595" s="3195"/>
      <c r="AB595" s="3195"/>
      <c r="AC595" s="3195"/>
      <c r="AE595" s="3195"/>
      <c r="AF595" s="3195"/>
      <c r="AG595" s="3195"/>
      <c r="AH595" s="3195"/>
      <c r="AI595" s="3195"/>
    </row>
    <row r="596" spans="1:35" ht="12" customHeight="1">
      <c r="B596" s="3196"/>
      <c r="C596" s="3196"/>
      <c r="O596" s="3195" t="e">
        <f t="shared" si="35"/>
        <v>#VALUE!</v>
      </c>
      <c r="P596" s="3195" t="e">
        <f t="shared" si="33"/>
        <v>#VALUE!</v>
      </c>
      <c r="Q596" s="3196"/>
      <c r="R596" s="3196"/>
      <c r="S596" s="3196"/>
      <c r="T596" s="3196" t="s">
        <v>4378</v>
      </c>
      <c r="U596" s="3196"/>
      <c r="V596" s="3196"/>
      <c r="W596" s="3196"/>
      <c r="X596" s="3196"/>
      <c r="Y596" s="3196"/>
      <c r="Z596" s="3196"/>
      <c r="AA596" s="3196"/>
      <c r="AB596" s="3196"/>
      <c r="AC596" s="3195"/>
      <c r="AE596" s="3195"/>
      <c r="AF596" s="3195"/>
      <c r="AG596" s="3195"/>
      <c r="AH596" s="3195"/>
      <c r="AI596" s="3195"/>
    </row>
    <row r="597" spans="1:35" ht="12" customHeight="1">
      <c r="O597" s="3195" t="e">
        <f t="shared" si="35"/>
        <v>#VALUE!</v>
      </c>
      <c r="P597" s="3195" t="e">
        <f t="shared" si="33"/>
        <v>#VALUE!</v>
      </c>
      <c r="T597" s="3195" t="s">
        <v>4379</v>
      </c>
      <c r="Y597" s="3195"/>
      <c r="Z597" s="3195"/>
      <c r="AA597" s="3195"/>
      <c r="AB597" s="3195"/>
      <c r="AC597" s="3195"/>
      <c r="AE597" s="3195"/>
      <c r="AF597" s="3195"/>
      <c r="AG597" s="3195"/>
      <c r="AH597" s="3195"/>
      <c r="AI597" s="3195"/>
    </row>
    <row r="598" spans="1:35" ht="12" customHeight="1">
      <c r="O598" s="3195" t="e">
        <f t="shared" si="35"/>
        <v>#VALUE!</v>
      </c>
      <c r="P598" s="3195" t="e">
        <f t="shared" si="33"/>
        <v>#VALUE!</v>
      </c>
      <c r="T598" s="3195" t="s">
        <v>4380</v>
      </c>
      <c r="Y598" s="3195"/>
      <c r="Z598" s="3195"/>
      <c r="AA598" s="3195"/>
      <c r="AB598" s="3195"/>
      <c r="AC598" s="3195"/>
      <c r="AE598" s="3195"/>
      <c r="AF598" s="3195"/>
      <c r="AG598" s="3195"/>
      <c r="AH598" s="3195"/>
      <c r="AI598" s="3195"/>
    </row>
    <row r="599" spans="1:35" ht="12" customHeight="1">
      <c r="O599" s="3195" t="e">
        <f t="shared" si="35"/>
        <v>#VALUE!</v>
      </c>
      <c r="P599" s="3195" t="e">
        <f t="shared" si="33"/>
        <v>#VALUE!</v>
      </c>
      <c r="T599" s="3195" t="s">
        <v>4381</v>
      </c>
      <c r="Y599" s="3195"/>
      <c r="Z599" s="3195"/>
      <c r="AA599" s="3195"/>
      <c r="AB599" s="3195"/>
      <c r="AC599" s="3195"/>
      <c r="AE599" s="3195"/>
      <c r="AF599" s="3195"/>
      <c r="AG599" s="3195"/>
      <c r="AH599" s="3195"/>
      <c r="AI599" s="3195"/>
    </row>
    <row r="600" spans="1:35" ht="12" customHeight="1">
      <c r="O600" s="3195" t="e">
        <f t="shared" si="35"/>
        <v>#VALUE!</v>
      </c>
      <c r="P600" s="3195" t="e">
        <f t="shared" si="33"/>
        <v>#VALUE!</v>
      </c>
      <c r="T600" s="3195" t="s">
        <v>4382</v>
      </c>
      <c r="Y600" s="3195"/>
      <c r="Z600" s="3195"/>
      <c r="AA600" s="3195"/>
      <c r="AB600" s="3195"/>
      <c r="AC600" s="3195"/>
      <c r="AE600" s="3195"/>
      <c r="AF600" s="3195"/>
      <c r="AG600" s="3195"/>
      <c r="AH600" s="3195"/>
      <c r="AI600" s="3195"/>
    </row>
    <row r="601" spans="1:35" ht="12" customHeight="1">
      <c r="O601" s="3195" t="e">
        <f t="shared" si="35"/>
        <v>#VALUE!</v>
      </c>
      <c r="P601" s="3195" t="e">
        <f t="shared" si="33"/>
        <v>#VALUE!</v>
      </c>
      <c r="T601" s="3195" t="s">
        <v>4383</v>
      </c>
      <c r="Y601" s="3195"/>
      <c r="Z601" s="3195"/>
      <c r="AA601" s="3195"/>
      <c r="AB601" s="3195"/>
      <c r="AC601" s="3195"/>
      <c r="AE601" s="3195"/>
      <c r="AF601" s="3195"/>
      <c r="AG601" s="3195"/>
      <c r="AH601" s="3195"/>
      <c r="AI601" s="3195"/>
    </row>
    <row r="602" spans="1:35" ht="12" customHeight="1">
      <c r="O602" s="3195" t="e">
        <f t="shared" si="35"/>
        <v>#VALUE!</v>
      </c>
      <c r="P602" s="3195" t="e">
        <f t="shared" si="33"/>
        <v>#VALUE!</v>
      </c>
      <c r="T602" s="3195" t="s">
        <v>4384</v>
      </c>
      <c r="Y602" s="3195"/>
      <c r="Z602" s="3195"/>
      <c r="AA602" s="3195"/>
      <c r="AB602" s="3195"/>
      <c r="AC602" s="3195"/>
      <c r="AE602" s="3195"/>
      <c r="AF602" s="3195"/>
      <c r="AG602" s="3195"/>
      <c r="AH602" s="3195"/>
      <c r="AI602" s="3195"/>
    </row>
    <row r="603" spans="1:35" ht="12" customHeight="1">
      <c r="O603" s="3195" t="e">
        <f t="shared" si="35"/>
        <v>#VALUE!</v>
      </c>
      <c r="P603" s="3195" t="e">
        <f t="shared" si="33"/>
        <v>#VALUE!</v>
      </c>
      <c r="T603" s="3195" t="s">
        <v>4385</v>
      </c>
      <c r="Y603" s="3195"/>
      <c r="Z603" s="3195"/>
      <c r="AA603" s="3195"/>
      <c r="AB603" s="3195"/>
      <c r="AC603" s="3195"/>
      <c r="AE603" s="3195"/>
      <c r="AF603" s="3195"/>
      <c r="AG603" s="3195"/>
      <c r="AH603" s="3195"/>
      <c r="AI603" s="3195"/>
    </row>
    <row r="604" spans="1:35" ht="12" customHeight="1">
      <c r="O604" s="3195" t="e">
        <f t="shared" si="35"/>
        <v>#VALUE!</v>
      </c>
      <c r="P604" s="3195" t="e">
        <f t="shared" si="33"/>
        <v>#VALUE!</v>
      </c>
      <c r="T604" s="3195" t="s">
        <v>4386</v>
      </c>
      <c r="Y604" s="3195"/>
      <c r="Z604" s="3195"/>
      <c r="AA604" s="3195"/>
      <c r="AB604" s="3195"/>
      <c r="AC604" s="3195"/>
      <c r="AE604" s="3195"/>
      <c r="AF604" s="3195"/>
      <c r="AG604" s="3195"/>
      <c r="AH604" s="3195"/>
      <c r="AI604" s="3195"/>
    </row>
    <row r="605" spans="1:35" ht="12" customHeight="1">
      <c r="A605" s="3195"/>
      <c r="O605" s="3195" t="e">
        <f t="shared" si="35"/>
        <v>#VALUE!</v>
      </c>
      <c r="P605" s="3195" t="e">
        <f t="shared" si="33"/>
        <v>#VALUE!</v>
      </c>
      <c r="T605" s="3195" t="s">
        <v>8682</v>
      </c>
      <c r="Y605" s="3195"/>
      <c r="Z605" s="3195"/>
      <c r="AA605" s="3195"/>
      <c r="AB605" s="3195"/>
      <c r="AC605" s="3195"/>
      <c r="AE605" s="3195"/>
      <c r="AF605" s="3195"/>
      <c r="AG605" s="3195"/>
      <c r="AH605" s="3195"/>
      <c r="AI605" s="3195"/>
    </row>
    <row r="606" spans="1:35" ht="12" customHeight="1">
      <c r="O606" s="3195" t="e">
        <f t="shared" si="35"/>
        <v>#VALUE!</v>
      </c>
      <c r="P606" s="3195" t="e">
        <f t="shared" si="33"/>
        <v>#VALUE!</v>
      </c>
      <c r="R606" s="3196"/>
      <c r="S606" s="3196"/>
      <c r="T606" s="3196" t="s">
        <v>8681</v>
      </c>
      <c r="U606" s="3196"/>
      <c r="V606" s="3196"/>
      <c r="W606" s="3196"/>
      <c r="X606" s="3196"/>
      <c r="Y606" s="3196"/>
      <c r="Z606" s="3196"/>
      <c r="AA606" s="3196"/>
      <c r="AB606" s="3195"/>
      <c r="AC606" s="3195"/>
      <c r="AE606" s="3195"/>
      <c r="AF606" s="3195"/>
      <c r="AG606" s="3195"/>
      <c r="AH606" s="3195"/>
      <c r="AI606" s="3195"/>
    </row>
    <row r="607" spans="1:35" ht="12" customHeight="1">
      <c r="O607" s="3195" t="e">
        <f t="shared" si="35"/>
        <v>#VALUE!</v>
      </c>
      <c r="P607" s="3195" t="e">
        <f t="shared" si="33"/>
        <v>#VALUE!</v>
      </c>
      <c r="R607" s="3196"/>
      <c r="S607" s="3196"/>
      <c r="T607" s="3196" t="s">
        <v>3601</v>
      </c>
      <c r="U607" s="3196"/>
      <c r="V607" s="3196"/>
      <c r="W607" s="3196"/>
      <c r="X607" s="3196"/>
      <c r="Y607" s="3196"/>
      <c r="Z607" s="3196"/>
      <c r="AA607" s="3196"/>
      <c r="AB607" s="3195"/>
      <c r="AC607" s="3195"/>
      <c r="AE607" s="3195"/>
      <c r="AF607" s="3195"/>
      <c r="AG607" s="3195"/>
      <c r="AH607" s="3195"/>
      <c r="AI607" s="3195"/>
    </row>
    <row r="608" spans="1:35" ht="12" customHeight="1">
      <c r="O608" s="3195" t="e">
        <f t="shared" si="35"/>
        <v>#VALUE!</v>
      </c>
      <c r="P608" s="3195" t="e">
        <f t="shared" si="33"/>
        <v>#VALUE!</v>
      </c>
      <c r="R608" s="3196"/>
      <c r="S608" s="3196"/>
      <c r="T608" s="3196" t="s">
        <v>4387</v>
      </c>
      <c r="U608" s="3196"/>
      <c r="V608" s="3196"/>
      <c r="W608" s="3196"/>
      <c r="X608" s="3196"/>
      <c r="Y608" s="3196"/>
      <c r="Z608" s="3196"/>
      <c r="AA608" s="3196"/>
      <c r="AB608" s="3195"/>
      <c r="AC608" s="3195"/>
      <c r="AE608" s="3195"/>
      <c r="AF608" s="3195"/>
      <c r="AG608" s="3195"/>
      <c r="AH608" s="3195"/>
      <c r="AI608" s="3195"/>
    </row>
    <row r="609" spans="1:35" ht="12" customHeight="1">
      <c r="O609" s="3195" t="str">
        <f t="shared" si="35"/>
        <v>Interrupción: RF = Daño</v>
      </c>
      <c r="P609" s="3195" t="str">
        <f t="shared" si="33"/>
        <v>+20</v>
      </c>
      <c r="R609" s="3196"/>
      <c r="S609" s="3196"/>
      <c r="T609" s="3196" t="s">
        <v>4388</v>
      </c>
      <c r="U609" s="3196"/>
      <c r="V609" s="3196"/>
      <c r="W609" s="3196"/>
      <c r="X609" s="3196"/>
      <c r="Y609" s="3196"/>
      <c r="Z609" s="3196"/>
      <c r="AA609" s="3196"/>
      <c r="AB609" s="3195"/>
      <c r="AC609" s="3195"/>
      <c r="AE609" s="3195"/>
      <c r="AF609" s="3195"/>
      <c r="AG609" s="3195"/>
      <c r="AH609" s="3195"/>
      <c r="AI609" s="3195"/>
    </row>
    <row r="610" spans="1:35" ht="12" customHeight="1">
      <c r="O610" s="3195" t="str">
        <f t="shared" si="35"/>
        <v>Interrupción: RF = Daño</v>
      </c>
      <c r="P610" s="3195" t="str">
        <f t="shared" si="33"/>
        <v>+40</v>
      </c>
      <c r="R610" s="3196"/>
      <c r="S610" s="3196"/>
      <c r="T610" s="3196" t="s">
        <v>4389</v>
      </c>
      <c r="U610" s="3196"/>
      <c r="V610" s="3196"/>
      <c r="W610" s="3196"/>
      <c r="X610" s="3196"/>
      <c r="Y610" s="3196"/>
      <c r="Z610" s="3196"/>
      <c r="AA610" s="3196"/>
      <c r="AB610" s="3195"/>
      <c r="AC610" s="3195"/>
      <c r="AE610" s="3195"/>
      <c r="AF610" s="3195"/>
      <c r="AG610" s="3195"/>
      <c r="AH610" s="3195"/>
      <c r="AI610" s="3195"/>
    </row>
    <row r="611" spans="1:35" ht="12" customHeight="1">
      <c r="O611" s="3195" t="str">
        <f t="shared" si="35"/>
        <v>Interrupción: RF = Daño</v>
      </c>
      <c r="P611" s="3195" t="str">
        <f t="shared" si="33"/>
        <v>+60</v>
      </c>
      <c r="R611" s="3196"/>
      <c r="S611" s="3196"/>
      <c r="T611" s="3196" t="s">
        <v>4390</v>
      </c>
      <c r="U611" s="3196"/>
      <c r="V611" s="3196"/>
      <c r="W611" s="3196"/>
      <c r="X611" s="3196"/>
      <c r="Y611" s="3196"/>
      <c r="Z611" s="3196"/>
      <c r="AA611" s="3196"/>
      <c r="AB611" s="3195"/>
      <c r="AC611" s="3195"/>
      <c r="AE611" s="3195"/>
      <c r="AF611" s="3195"/>
      <c r="AG611" s="3195"/>
      <c r="AH611" s="3195"/>
      <c r="AI611" s="3195"/>
    </row>
    <row r="612" spans="1:35" ht="12" customHeight="1">
      <c r="O612" s="3195" t="str">
        <f t="shared" si="35"/>
        <v>Interrupción: RF = Daño</v>
      </c>
      <c r="P612" s="3195" t="str">
        <f t="shared" si="33"/>
        <v>+80</v>
      </c>
      <c r="R612" s="3196"/>
      <c r="S612" s="3196"/>
      <c r="T612" s="3196" t="s">
        <v>4391</v>
      </c>
      <c r="U612" s="3196"/>
      <c r="V612" s="3196"/>
      <c r="W612" s="3196"/>
      <c r="X612" s="3196"/>
      <c r="Y612" s="3196"/>
      <c r="Z612" s="3196"/>
      <c r="AA612" s="3196"/>
      <c r="AB612" s="3195"/>
      <c r="AC612" s="3195"/>
      <c r="AE612" s="3195"/>
      <c r="AF612" s="3195"/>
      <c r="AG612" s="3195"/>
      <c r="AH612" s="3195"/>
      <c r="AI612" s="3195"/>
    </row>
    <row r="613" spans="1:35" ht="12" customHeight="1">
      <c r="O613" s="3195" t="str">
        <f t="shared" si="35"/>
        <v>Interrupción: RF = Daño</v>
      </c>
      <c r="P613" s="3195" t="str">
        <f t="shared" si="33"/>
        <v>+100</v>
      </c>
      <c r="R613" s="3196"/>
      <c r="S613" s="3196"/>
      <c r="T613" s="3196" t="s">
        <v>4392</v>
      </c>
      <c r="U613" s="3196"/>
      <c r="V613" s="3196"/>
      <c r="W613" s="3196"/>
      <c r="X613" s="3196"/>
      <c r="Y613" s="3196"/>
      <c r="Z613" s="3196"/>
      <c r="AA613" s="3196"/>
      <c r="AB613" s="3195"/>
      <c r="AC613" s="3195"/>
      <c r="AE613" s="3195"/>
      <c r="AF613" s="3195"/>
      <c r="AG613" s="3195"/>
      <c r="AH613" s="3195"/>
      <c r="AI613" s="3195"/>
    </row>
    <row r="614" spans="1:35" ht="12" customHeight="1">
      <c r="O614" s="3195" t="str">
        <f t="shared" si="35"/>
        <v>Interrupción: RF = Daño</v>
      </c>
      <c r="P614" s="3195" t="str">
        <f t="shared" si="33"/>
        <v>+120</v>
      </c>
      <c r="R614" s="3196"/>
      <c r="S614" s="3196"/>
      <c r="T614" s="3196" t="s">
        <v>4393</v>
      </c>
      <c r="U614" s="3196"/>
      <c r="V614" s="3196"/>
      <c r="W614" s="3196"/>
      <c r="X614" s="3196"/>
      <c r="Y614" s="3196"/>
      <c r="Z614" s="3196"/>
      <c r="AA614" s="3196"/>
      <c r="AB614" s="3195"/>
      <c r="AC614" s="3195"/>
      <c r="AE614" s="3195"/>
      <c r="AF614" s="3195"/>
      <c r="AG614" s="3195"/>
      <c r="AH614" s="3195"/>
      <c r="AI614" s="3195"/>
    </row>
    <row r="615" spans="1:35" ht="12" customHeight="1">
      <c r="B615" s="3196"/>
      <c r="C615" s="3196"/>
      <c r="O615" s="3195" t="e">
        <f t="shared" si="35"/>
        <v>#VALUE!</v>
      </c>
      <c r="P615" s="3195" t="e">
        <f t="shared" si="33"/>
        <v>#VALUE!</v>
      </c>
      <c r="Q615" s="3196"/>
      <c r="R615" s="3196"/>
      <c r="S615" s="3196"/>
      <c r="T615" s="3196" t="s">
        <v>4394</v>
      </c>
      <c r="U615" s="3196"/>
      <c r="V615" s="3196"/>
      <c r="W615" s="3196"/>
      <c r="X615" s="3196"/>
      <c r="Y615" s="3196"/>
      <c r="Z615" s="3196"/>
      <c r="AA615" s="3196"/>
      <c r="AB615" s="3196"/>
      <c r="AC615" s="3195"/>
      <c r="AE615" s="3195"/>
      <c r="AF615" s="3195"/>
      <c r="AG615" s="3195"/>
      <c r="AH615" s="3195"/>
      <c r="AI615" s="3195"/>
    </row>
    <row r="616" spans="1:35" ht="12" customHeight="1">
      <c r="O616" s="3195" t="e">
        <f t="shared" si="35"/>
        <v>#VALUE!</v>
      </c>
      <c r="P616" s="3195" t="e">
        <f t="shared" si="33"/>
        <v>#VALUE!</v>
      </c>
      <c r="T616" s="3195" t="s">
        <v>4395</v>
      </c>
      <c r="Y616" s="3195"/>
      <c r="Z616" s="3195"/>
      <c r="AA616" s="3195"/>
      <c r="AB616" s="3195"/>
      <c r="AC616" s="3195"/>
      <c r="AE616" s="3195"/>
      <c r="AF616" s="3195"/>
      <c r="AG616" s="3195"/>
      <c r="AH616" s="3195"/>
      <c r="AI616" s="3195"/>
    </row>
    <row r="617" spans="1:35" ht="12" customHeight="1">
      <c r="A617" s="3195"/>
      <c r="O617" s="3195" t="e">
        <f t="shared" si="35"/>
        <v>#VALUE!</v>
      </c>
      <c r="P617" s="3195" t="e">
        <f t="shared" si="33"/>
        <v>#VALUE!</v>
      </c>
      <c r="T617" s="3195" t="s">
        <v>4396</v>
      </c>
      <c r="Y617" s="3195"/>
      <c r="Z617" s="3195"/>
      <c r="AA617" s="3195"/>
      <c r="AB617" s="3195"/>
      <c r="AC617" s="3195"/>
      <c r="AE617" s="3195"/>
      <c r="AF617" s="3195"/>
      <c r="AG617" s="3195"/>
      <c r="AH617" s="3195"/>
      <c r="AI617" s="3195"/>
    </row>
    <row r="618" spans="1:35" ht="12" customHeight="1">
      <c r="O618" s="3195" t="e">
        <f t="shared" si="35"/>
        <v>#VALUE!</v>
      </c>
      <c r="P618" s="3195" t="e">
        <f t="shared" si="33"/>
        <v>#VALUE!</v>
      </c>
      <c r="R618" s="3196"/>
      <c r="S618" s="3196"/>
      <c r="T618" s="3196" t="s">
        <v>4397</v>
      </c>
      <c r="U618" s="3196"/>
      <c r="V618" s="3196"/>
      <c r="W618" s="3196"/>
      <c r="X618" s="3196"/>
      <c r="Y618" s="3196"/>
      <c r="Z618" s="3196"/>
      <c r="AA618" s="3196"/>
      <c r="AB618" s="3196"/>
      <c r="AC618" s="3195"/>
      <c r="AE618" s="3195"/>
      <c r="AF618" s="3195"/>
      <c r="AG618" s="3195"/>
      <c r="AH618" s="3195"/>
      <c r="AI618" s="3195"/>
    </row>
    <row r="619" spans="1:35" ht="12" customHeight="1">
      <c r="O619" s="3195" t="e">
        <f t="shared" si="35"/>
        <v>#VALUE!</v>
      </c>
      <c r="P619" s="3195" t="e">
        <f t="shared" si="33"/>
        <v>#VALUE!</v>
      </c>
      <c r="R619" s="3196"/>
      <c r="S619" s="3196"/>
      <c r="T619" s="3196" t="s">
        <v>3608</v>
      </c>
      <c r="U619" s="3196"/>
      <c r="V619" s="3196"/>
      <c r="W619" s="3196"/>
      <c r="X619" s="3196"/>
      <c r="Y619" s="3196"/>
      <c r="Z619" s="3196"/>
      <c r="AA619" s="3196"/>
      <c r="AB619" s="3196"/>
      <c r="AC619" s="3195"/>
      <c r="AE619" s="3195"/>
      <c r="AF619" s="3195"/>
      <c r="AG619" s="3195"/>
      <c r="AH619" s="3195"/>
      <c r="AI619" s="3195"/>
    </row>
    <row r="620" spans="1:35" ht="12" customHeight="1">
      <c r="O620" s="3195" t="e">
        <f t="shared" si="35"/>
        <v>#VALUE!</v>
      </c>
      <c r="P620" s="3195" t="e">
        <f t="shared" si="33"/>
        <v>#VALUE!</v>
      </c>
      <c r="R620" s="3196"/>
      <c r="S620" s="3196"/>
      <c r="T620" s="3196" t="s">
        <v>8683</v>
      </c>
      <c r="U620" s="3196"/>
      <c r="V620" s="3196"/>
      <c r="W620" s="3196"/>
      <c r="X620" s="3196"/>
      <c r="Y620" s="3196"/>
      <c r="Z620" s="3196"/>
      <c r="AA620" s="3196"/>
      <c r="AB620" s="3196"/>
      <c r="AC620" s="3195"/>
      <c r="AE620" s="3195"/>
      <c r="AF620" s="3195"/>
      <c r="AG620" s="3195"/>
      <c r="AH620" s="3195"/>
      <c r="AI620" s="3195"/>
    </row>
    <row r="621" spans="1:35" ht="12" customHeight="1">
      <c r="O621" s="3195" t="e">
        <f t="shared" si="35"/>
        <v>#VALUE!</v>
      </c>
      <c r="P621" s="3195" t="e">
        <f t="shared" si="33"/>
        <v>#VALUE!</v>
      </c>
      <c r="R621" s="3196"/>
      <c r="S621" s="3196"/>
      <c r="T621" s="3196" t="s">
        <v>4398</v>
      </c>
      <c r="U621" s="3196"/>
      <c r="V621" s="3196"/>
      <c r="W621" s="3196"/>
      <c r="X621" s="3196"/>
      <c r="Y621" s="3196"/>
      <c r="Z621" s="3196"/>
      <c r="AA621" s="3196"/>
      <c r="AB621" s="3196"/>
      <c r="AC621" s="3195"/>
      <c r="AE621" s="3195"/>
      <c r="AF621" s="3195"/>
      <c r="AG621" s="3195"/>
      <c r="AH621" s="3195"/>
      <c r="AI621" s="3195"/>
    </row>
    <row r="622" spans="1:35" ht="12" customHeight="1">
      <c r="O622" s="3195" t="e">
        <f t="shared" si="35"/>
        <v>#VALUE!</v>
      </c>
      <c r="P622" s="3195" t="e">
        <f t="shared" si="33"/>
        <v>#VALUE!</v>
      </c>
      <c r="R622" s="3196"/>
      <c r="S622" s="3196"/>
      <c r="T622" s="3196" t="s">
        <v>4399</v>
      </c>
      <c r="U622" s="3196"/>
      <c r="V622" s="3196"/>
      <c r="W622" s="3196"/>
      <c r="X622" s="3196"/>
      <c r="Y622" s="3196"/>
      <c r="Z622" s="3196"/>
      <c r="AA622" s="3196"/>
      <c r="AB622" s="3196"/>
      <c r="AC622" s="3195"/>
      <c r="AE622" s="3195"/>
      <c r="AF622" s="3195"/>
      <c r="AG622" s="3195"/>
      <c r="AH622" s="3195"/>
      <c r="AI622" s="3195"/>
    </row>
    <row r="623" spans="1:35" ht="12" customHeight="1">
      <c r="O623" s="3195" t="e">
        <f t="shared" si="35"/>
        <v>#VALUE!</v>
      </c>
      <c r="P623" s="3195" t="e">
        <f t="shared" si="33"/>
        <v>#VALUE!</v>
      </c>
      <c r="R623" s="3196"/>
      <c r="S623" s="3196"/>
      <c r="T623" s="3196" t="s">
        <v>4400</v>
      </c>
      <c r="U623" s="3196"/>
      <c r="V623" s="3196"/>
      <c r="W623" s="3196"/>
      <c r="X623" s="3196"/>
      <c r="Y623" s="3196"/>
      <c r="Z623" s="3196"/>
      <c r="AA623" s="3196"/>
      <c r="AB623" s="3196"/>
      <c r="AC623" s="3195"/>
      <c r="AE623" s="3195"/>
      <c r="AF623" s="3195"/>
      <c r="AG623" s="3195"/>
      <c r="AH623" s="3195"/>
      <c r="AI623" s="3195"/>
    </row>
    <row r="624" spans="1:35" ht="12" customHeight="1">
      <c r="O624" s="3195" t="e">
        <f t="shared" si="35"/>
        <v>#VALUE!</v>
      </c>
      <c r="P624" s="3195" t="e">
        <f t="shared" si="33"/>
        <v>#VALUE!</v>
      </c>
      <c r="R624" s="3196"/>
      <c r="S624" s="3196"/>
      <c r="T624" s="3196" t="s">
        <v>4401</v>
      </c>
      <c r="U624" s="3196"/>
      <c r="V624" s="3196"/>
      <c r="W624" s="3196"/>
      <c r="X624" s="3196"/>
      <c r="Y624" s="3196"/>
      <c r="Z624" s="3196"/>
      <c r="AA624" s="3196"/>
      <c r="AB624" s="3196"/>
      <c r="AC624" s="3195"/>
      <c r="AE624" s="3195"/>
      <c r="AF624" s="3195"/>
      <c r="AG624" s="3195"/>
      <c r="AH624" s="3195"/>
      <c r="AI624" s="3195"/>
    </row>
    <row r="625" spans="1:35" ht="12" customHeight="1">
      <c r="B625" s="3196"/>
      <c r="C625" s="3196"/>
      <c r="O625" s="3195" t="e">
        <f t="shared" si="35"/>
        <v>#VALUE!</v>
      </c>
      <c r="P625" s="3195" t="e">
        <f t="shared" si="33"/>
        <v>#VALUE!</v>
      </c>
      <c r="Q625" s="3196"/>
      <c r="R625" s="3196"/>
      <c r="S625" s="3196"/>
      <c r="T625" s="3196" t="s">
        <v>4402</v>
      </c>
      <c r="U625" s="3196"/>
      <c r="V625" s="3196"/>
      <c r="W625" s="3196"/>
      <c r="X625" s="3196"/>
      <c r="Y625" s="3196"/>
      <c r="Z625" s="3196"/>
      <c r="AA625" s="3196"/>
      <c r="AB625" s="3196"/>
      <c r="AC625" s="3195"/>
      <c r="AE625" s="3195"/>
      <c r="AF625" s="3195"/>
      <c r="AG625" s="3195"/>
      <c r="AH625" s="3195"/>
      <c r="AI625" s="3195"/>
    </row>
    <row r="626" spans="1:35" ht="12" customHeight="1">
      <c r="O626" s="3195" t="e">
        <f t="shared" si="35"/>
        <v>#VALUE!</v>
      </c>
      <c r="P626" s="3195" t="e">
        <f t="shared" si="33"/>
        <v>#VALUE!</v>
      </c>
      <c r="T626" s="3195" t="s">
        <v>3613</v>
      </c>
      <c r="Y626" s="3195"/>
      <c r="Z626" s="3195"/>
      <c r="AA626" s="3195"/>
      <c r="AB626" s="3195"/>
      <c r="AC626" s="3195"/>
      <c r="AE626" s="3195"/>
      <c r="AF626" s="3195"/>
      <c r="AG626" s="3195"/>
      <c r="AH626" s="3195"/>
      <c r="AI626" s="3195"/>
    </row>
    <row r="627" spans="1:35" ht="12" customHeight="1">
      <c r="O627" s="3195" t="e">
        <f t="shared" si="35"/>
        <v>#VALUE!</v>
      </c>
      <c r="P627" s="3195" t="e">
        <f t="shared" si="33"/>
        <v>#VALUE!</v>
      </c>
      <c r="T627" s="3195" t="s">
        <v>4403</v>
      </c>
      <c r="Y627" s="3195"/>
      <c r="Z627" s="3195"/>
      <c r="AA627" s="3195"/>
      <c r="AB627" s="3195"/>
      <c r="AC627" s="3195"/>
      <c r="AE627" s="3195"/>
      <c r="AF627" s="3195"/>
      <c r="AG627" s="3195"/>
      <c r="AH627" s="3195"/>
      <c r="AI627" s="3195"/>
    </row>
    <row r="628" spans="1:35" ht="12" customHeight="1">
      <c r="O628" s="3195" t="e">
        <f t="shared" si="35"/>
        <v>#VALUE!</v>
      </c>
      <c r="P628" s="3195" t="e">
        <f t="shared" si="33"/>
        <v>#VALUE!</v>
      </c>
      <c r="T628" s="3195" t="s">
        <v>4404</v>
      </c>
      <c r="Y628" s="3195"/>
      <c r="Z628" s="3195"/>
      <c r="AA628" s="3195"/>
      <c r="AB628" s="3195"/>
      <c r="AC628" s="3195"/>
      <c r="AE628" s="3195"/>
      <c r="AF628" s="3195"/>
      <c r="AG628" s="3195"/>
      <c r="AH628" s="3195"/>
      <c r="AI628" s="3195"/>
    </row>
    <row r="629" spans="1:35" ht="12" customHeight="1">
      <c r="A629" s="3195"/>
      <c r="O629" s="3195" t="e">
        <f t="shared" si="35"/>
        <v>#VALUE!</v>
      </c>
      <c r="P629" s="3195" t="e">
        <f t="shared" si="33"/>
        <v>#VALUE!</v>
      </c>
      <c r="T629" s="3195" t="s">
        <v>4405</v>
      </c>
      <c r="Y629" s="3195"/>
      <c r="Z629" s="3195"/>
      <c r="AA629" s="3195"/>
      <c r="AB629" s="3195"/>
      <c r="AC629" s="3195"/>
      <c r="AE629" s="3195"/>
      <c r="AF629" s="3195"/>
      <c r="AG629" s="3195"/>
      <c r="AH629" s="3195"/>
      <c r="AI629" s="3195"/>
    </row>
    <row r="630" spans="1:35" ht="12" customHeight="1">
      <c r="O630" s="3195" t="e">
        <f t="shared" si="35"/>
        <v>#VALUE!</v>
      </c>
      <c r="P630" s="3195" t="e">
        <f t="shared" si="33"/>
        <v>#VALUE!</v>
      </c>
      <c r="R630" s="3196"/>
      <c r="S630" s="3196"/>
      <c r="T630" s="3196" t="s">
        <v>4406</v>
      </c>
      <c r="U630" s="3196"/>
      <c r="V630" s="3196"/>
      <c r="W630" s="3196"/>
      <c r="X630" s="3196"/>
      <c r="Y630" s="3196"/>
      <c r="Z630" s="3196"/>
      <c r="AA630" s="3196"/>
      <c r="AB630" s="3196"/>
      <c r="AC630" s="3195"/>
      <c r="AE630" s="3195"/>
      <c r="AF630" s="3195"/>
      <c r="AG630" s="3195"/>
      <c r="AH630" s="3195"/>
      <c r="AI630" s="3195"/>
    </row>
    <row r="631" spans="1:35" ht="12" customHeight="1">
      <c r="B631" s="3196"/>
      <c r="C631" s="3196"/>
      <c r="O631" s="3195" t="e">
        <f t="shared" si="35"/>
        <v>#VALUE!</v>
      </c>
      <c r="P631" s="3195" t="e">
        <f t="shared" si="33"/>
        <v>#VALUE!</v>
      </c>
      <c r="Q631" s="3196"/>
      <c r="R631" s="3196"/>
      <c r="S631" s="3196"/>
      <c r="T631" s="3196" t="s">
        <v>4407</v>
      </c>
      <c r="U631" s="3196"/>
      <c r="V631" s="3196"/>
      <c r="W631" s="3196"/>
      <c r="X631" s="3196"/>
      <c r="Y631" s="3196"/>
      <c r="Z631" s="3196"/>
      <c r="AA631" s="3196"/>
      <c r="AB631" s="3196"/>
      <c r="AC631" s="3195"/>
      <c r="AE631" s="3195"/>
      <c r="AF631" s="3195"/>
      <c r="AG631" s="3195"/>
      <c r="AH631" s="3195"/>
      <c r="AI631" s="3195"/>
    </row>
    <row r="632" spans="1:35" ht="12" customHeight="1">
      <c r="O632" s="3195" t="e">
        <f t="shared" si="35"/>
        <v>#VALUE!</v>
      </c>
      <c r="P632" s="3195" t="e">
        <f t="shared" si="33"/>
        <v>#VALUE!</v>
      </c>
      <c r="T632" s="3195" t="s">
        <v>3619</v>
      </c>
      <c r="Y632" s="3195"/>
      <c r="Z632" s="3195"/>
      <c r="AA632" s="3195"/>
      <c r="AB632" s="3195"/>
      <c r="AC632" s="3195"/>
      <c r="AE632" s="3195"/>
      <c r="AF632" s="3195"/>
      <c r="AG632" s="3195"/>
      <c r="AH632" s="3195"/>
      <c r="AI632" s="3195"/>
    </row>
    <row r="633" spans="1:35" ht="12" customHeight="1">
      <c r="O633" s="3195" t="str">
        <f t="shared" si="35"/>
        <v>Potenciar Crítico</v>
      </c>
      <c r="P633" s="3195" t="str">
        <f t="shared" si="33"/>
        <v>+10</v>
      </c>
      <c r="T633" s="3195" t="s">
        <v>4408</v>
      </c>
      <c r="Y633" s="3195"/>
      <c r="Z633" s="3195"/>
      <c r="AA633" s="3195"/>
      <c r="AB633" s="3195"/>
      <c r="AC633" s="3195"/>
      <c r="AE633" s="3195"/>
      <c r="AF633" s="3195"/>
      <c r="AG633" s="3195"/>
      <c r="AH633" s="3195"/>
      <c r="AI633" s="3195"/>
    </row>
    <row r="634" spans="1:35" ht="12" customHeight="1">
      <c r="B634" s="3196"/>
      <c r="C634" s="3196"/>
      <c r="O634" s="3195" t="str">
        <f t="shared" si="35"/>
        <v>Potenciar Crítico</v>
      </c>
      <c r="P634" s="3195" t="str">
        <f t="shared" si="33"/>
        <v>+25</v>
      </c>
      <c r="Q634" s="3196"/>
      <c r="R634" s="3196"/>
      <c r="S634" s="3196"/>
      <c r="T634" s="3196" t="s">
        <v>4409</v>
      </c>
      <c r="U634" s="3196"/>
      <c r="V634" s="3196"/>
      <c r="W634" s="3196"/>
      <c r="X634" s="3196"/>
      <c r="Y634" s="3196"/>
      <c r="Z634" s="3196"/>
      <c r="AA634" s="3196"/>
      <c r="AB634" s="3196"/>
      <c r="AC634" s="3195"/>
      <c r="AE634" s="3195"/>
      <c r="AF634" s="3195"/>
      <c r="AG634" s="3195"/>
      <c r="AH634" s="3195"/>
      <c r="AI634" s="3195"/>
    </row>
    <row r="635" spans="1:35" ht="12" customHeight="1">
      <c r="O635" s="3195" t="str">
        <f t="shared" si="35"/>
        <v>Potenciar Crítico</v>
      </c>
      <c r="P635" s="3195" t="str">
        <f t="shared" si="33"/>
        <v>+40</v>
      </c>
      <c r="T635" s="3195" t="s">
        <v>4410</v>
      </c>
      <c r="Y635" s="3195"/>
      <c r="Z635" s="3195"/>
      <c r="AA635" s="3195"/>
      <c r="AB635" s="3195"/>
      <c r="AC635" s="3195"/>
      <c r="AE635" s="3195"/>
      <c r="AF635" s="3195"/>
      <c r="AG635" s="3195"/>
      <c r="AH635" s="3195"/>
      <c r="AI635" s="3195"/>
    </row>
    <row r="636" spans="1:35" ht="12" customHeight="1">
      <c r="A636" s="3195"/>
      <c r="O636" s="3195" t="str">
        <f t="shared" si="35"/>
        <v>Potenciar Crítico</v>
      </c>
      <c r="P636" s="3195" t="str">
        <f t="shared" si="33"/>
        <v>+50</v>
      </c>
      <c r="T636" s="3195" t="s">
        <v>4411</v>
      </c>
      <c r="Y636" s="3195"/>
      <c r="Z636" s="3195"/>
      <c r="AA636" s="3195"/>
      <c r="AB636" s="3195"/>
      <c r="AC636" s="3195"/>
      <c r="AE636" s="3195"/>
      <c r="AF636" s="3195"/>
      <c r="AG636" s="3195"/>
      <c r="AH636" s="3195"/>
      <c r="AI636" s="3195"/>
    </row>
    <row r="637" spans="1:35" ht="12" customHeight="1">
      <c r="O637" s="3195" t="str">
        <f t="shared" si="35"/>
        <v>Potenciar Crítico</v>
      </c>
      <c r="P637" s="3195" t="str">
        <f t="shared" si="33"/>
        <v>+75</v>
      </c>
      <c r="R637" s="3196"/>
      <c r="S637" s="3196"/>
      <c r="T637" s="3196" t="s">
        <v>4412</v>
      </c>
      <c r="U637" s="3196"/>
      <c r="V637" s="3196"/>
      <c r="W637" s="3196"/>
      <c r="X637" s="3196"/>
      <c r="Y637" s="3196"/>
      <c r="Z637" s="3196"/>
      <c r="AA637" s="3196"/>
      <c r="AB637" s="3196"/>
      <c r="AC637" s="3195"/>
      <c r="AE637" s="3195"/>
      <c r="AF637" s="3195"/>
      <c r="AG637" s="3195"/>
      <c r="AH637" s="3195"/>
      <c r="AI637" s="3195"/>
    </row>
    <row r="638" spans="1:35" ht="12" customHeight="1">
      <c r="O638" s="3195" t="str">
        <f t="shared" si="35"/>
        <v>Potenciar Crítico</v>
      </c>
      <c r="P638" s="3195" t="str">
        <f t="shared" si="33"/>
        <v>+90</v>
      </c>
      <c r="R638" s="3196"/>
      <c r="S638" s="3196"/>
      <c r="T638" s="3196" t="s">
        <v>4413</v>
      </c>
      <c r="U638" s="3196"/>
      <c r="V638" s="3196"/>
      <c r="W638" s="3196"/>
      <c r="X638" s="3196"/>
      <c r="Y638" s="3196"/>
      <c r="Z638" s="3196"/>
      <c r="AA638" s="3196"/>
      <c r="AB638" s="3196"/>
      <c r="AC638" s="3195"/>
      <c r="AE638" s="3195"/>
      <c r="AF638" s="3195"/>
      <c r="AG638" s="3195"/>
      <c r="AH638" s="3195"/>
      <c r="AI638" s="3195"/>
    </row>
    <row r="639" spans="1:35" ht="12" customHeight="1">
      <c r="B639" s="3196"/>
      <c r="C639" s="3196"/>
      <c r="O639" s="3195" t="str">
        <f t="shared" si="35"/>
        <v>Potenciar Crítico</v>
      </c>
      <c r="P639" s="3195" t="str">
        <f t="shared" si="33"/>
        <v>+100</v>
      </c>
      <c r="Q639" s="3196"/>
      <c r="R639" s="3196"/>
      <c r="S639" s="3196"/>
      <c r="T639" s="3196" t="s">
        <v>4414</v>
      </c>
      <c r="U639" s="3196"/>
      <c r="V639" s="3196"/>
      <c r="W639" s="3196"/>
      <c r="X639" s="3196"/>
      <c r="Y639" s="3196"/>
      <c r="Z639" s="3196"/>
      <c r="AA639" s="3196"/>
      <c r="AB639" s="3196"/>
      <c r="AC639" s="3195"/>
      <c r="AE639" s="3195"/>
      <c r="AF639" s="3195"/>
      <c r="AG639" s="3195"/>
      <c r="AH639" s="3195"/>
      <c r="AI639" s="3195"/>
    </row>
    <row r="640" spans="1:35" ht="12" customHeight="1">
      <c r="O640" s="3195" t="str">
        <f t="shared" si="35"/>
        <v>Potenciar Crítico</v>
      </c>
      <c r="P640" s="3195" t="str">
        <f t="shared" si="33"/>
        <v>+125</v>
      </c>
      <c r="T640" s="3195" t="s">
        <v>4415</v>
      </c>
      <c r="Y640" s="3195"/>
      <c r="Z640" s="3195"/>
      <c r="AA640" s="3195"/>
      <c r="AB640" s="3195"/>
      <c r="AC640" s="3195"/>
      <c r="AE640" s="3195"/>
      <c r="AF640" s="3195"/>
      <c r="AG640" s="3195"/>
      <c r="AH640" s="3195"/>
      <c r="AI640" s="3195"/>
    </row>
    <row r="641" spans="1:35" ht="12" customHeight="1">
      <c r="O641" s="3195" t="str">
        <f t="shared" si="35"/>
        <v>Potenciar Crítico</v>
      </c>
      <c r="P641" s="3195" t="str">
        <f t="shared" si="33"/>
        <v>+150</v>
      </c>
      <c r="T641" s="3195" t="s">
        <v>4416</v>
      </c>
      <c r="Y641" s="3195"/>
      <c r="Z641" s="3195"/>
      <c r="AA641" s="3195"/>
      <c r="AB641" s="3195"/>
      <c r="AC641" s="3195"/>
      <c r="AE641" s="3195"/>
      <c r="AF641" s="3195"/>
      <c r="AG641" s="3195"/>
      <c r="AH641" s="3195"/>
      <c r="AI641" s="3195"/>
    </row>
    <row r="642" spans="1:35" ht="12" customHeight="1">
      <c r="A642" s="3195"/>
      <c r="O642" s="3195" t="str">
        <f t="shared" si="35"/>
        <v>Potenciar Crítico</v>
      </c>
      <c r="P642" s="3195" t="str">
        <f t="shared" si="33"/>
        <v>+175</v>
      </c>
      <c r="T642" s="3195" t="s">
        <v>4417</v>
      </c>
      <c r="Y642" s="3195"/>
      <c r="Z642" s="3195"/>
      <c r="AA642" s="3195"/>
      <c r="AB642" s="3195"/>
      <c r="AC642" s="3195"/>
      <c r="AE642" s="3195"/>
      <c r="AF642" s="3195"/>
      <c r="AG642" s="3195"/>
      <c r="AH642" s="3195"/>
      <c r="AI642" s="3195"/>
    </row>
    <row r="643" spans="1:35" ht="12" customHeight="1">
      <c r="O643" s="3195" t="str">
        <f t="shared" si="35"/>
        <v>Potenciar Crítico</v>
      </c>
      <c r="P643" s="3195" t="str">
        <f t="shared" si="33"/>
        <v>+200</v>
      </c>
      <c r="R643" s="3196"/>
      <c r="S643" s="3196"/>
      <c r="T643" s="3196" t="s">
        <v>4418</v>
      </c>
      <c r="U643" s="3196"/>
      <c r="V643" s="3196"/>
      <c r="W643" s="3196"/>
      <c r="X643" s="3196"/>
      <c r="Y643" s="3196"/>
      <c r="Z643" s="3196"/>
      <c r="AA643" s="3196"/>
      <c r="AB643" s="3195"/>
      <c r="AC643" s="3195"/>
      <c r="AE643" s="3195"/>
      <c r="AF643" s="3195"/>
      <c r="AG643" s="3195"/>
      <c r="AH643" s="3195"/>
      <c r="AI643" s="3195"/>
    </row>
    <row r="644" spans="1:35" ht="12" customHeight="1">
      <c r="O644" s="3195" t="e">
        <f t="shared" si="35"/>
        <v>#VALUE!</v>
      </c>
      <c r="P644" s="3195" t="e">
        <f t="shared" si="33"/>
        <v>#VALUE!</v>
      </c>
      <c r="R644" s="3196"/>
      <c r="S644" s="3196"/>
      <c r="T644" s="3196" t="s">
        <v>4419</v>
      </c>
      <c r="U644" s="3196"/>
      <c r="V644" s="3196"/>
      <c r="W644" s="3196"/>
      <c r="X644" s="3196"/>
      <c r="Y644" s="3196"/>
      <c r="Z644" s="3196"/>
      <c r="AA644" s="3196"/>
      <c r="AB644" s="3195"/>
      <c r="AC644" s="3195"/>
      <c r="AE644" s="3195"/>
      <c r="AF644" s="3195"/>
      <c r="AG644" s="3195"/>
      <c r="AH644" s="3195"/>
      <c r="AI644" s="3195"/>
    </row>
    <row r="645" spans="1:35" ht="12" customHeight="1">
      <c r="O645" s="3195" t="e">
        <f t="shared" si="35"/>
        <v>#VALUE!</v>
      </c>
      <c r="P645" s="3195" t="e">
        <f t="shared" si="33"/>
        <v>#VALUE!</v>
      </c>
      <c r="R645" s="3196"/>
      <c r="S645" s="3196"/>
      <c r="T645" s="3196" t="s">
        <v>15</v>
      </c>
      <c r="U645" s="3196"/>
      <c r="V645" s="3196"/>
      <c r="W645" s="3196"/>
      <c r="X645" s="3196"/>
      <c r="Y645" s="3196"/>
      <c r="Z645" s="3196"/>
      <c r="AA645" s="3196"/>
      <c r="AB645" s="3195"/>
      <c r="AC645" s="3195"/>
      <c r="AE645" s="3195"/>
      <c r="AF645" s="3195"/>
      <c r="AG645" s="3195"/>
      <c r="AH645" s="3195"/>
      <c r="AI645" s="3195"/>
    </row>
    <row r="646" spans="1:35" ht="12" customHeight="1">
      <c r="O646" s="3195" t="e">
        <f t="shared" si="35"/>
        <v>#VALUE!</v>
      </c>
      <c r="P646" s="3195" t="e">
        <f t="shared" si="33"/>
        <v>#VALUE!</v>
      </c>
      <c r="R646" s="3196"/>
      <c r="S646" s="3196"/>
      <c r="T646" s="3196" t="s">
        <v>3625</v>
      </c>
      <c r="U646" s="3196"/>
      <c r="V646" s="3196"/>
      <c r="W646" s="3196"/>
      <c r="X646" s="3196"/>
      <c r="Y646" s="3196"/>
      <c r="Z646" s="3196"/>
      <c r="AA646" s="3196"/>
      <c r="AB646" s="3195"/>
      <c r="AC646" s="3195"/>
      <c r="AE646" s="3195"/>
      <c r="AF646" s="3195"/>
      <c r="AG646" s="3195"/>
      <c r="AH646" s="3195"/>
      <c r="AI646" s="3195"/>
    </row>
    <row r="647" spans="1:35" ht="12" customHeight="1">
      <c r="O647" s="3195" t="str">
        <f t="shared" si="35"/>
        <v>Potenciar Crítico Real</v>
      </c>
      <c r="P647" s="3195" t="str">
        <f t="shared" si="33"/>
        <v>+10</v>
      </c>
      <c r="R647" s="3196"/>
      <c r="S647" s="3196"/>
      <c r="T647" s="3196" t="s">
        <v>4420</v>
      </c>
      <c r="U647" s="3196"/>
      <c r="V647" s="3196"/>
      <c r="W647" s="3196"/>
      <c r="X647" s="3196"/>
      <c r="Y647" s="3196"/>
      <c r="Z647" s="3196"/>
      <c r="AA647" s="3196"/>
      <c r="AB647" s="3195"/>
      <c r="AC647" s="3195"/>
      <c r="AE647" s="3195"/>
      <c r="AF647" s="3195"/>
      <c r="AG647" s="3195"/>
      <c r="AH647" s="3195"/>
      <c r="AI647" s="3195"/>
    </row>
    <row r="648" spans="1:35" ht="12" customHeight="1">
      <c r="O648" s="3195" t="str">
        <f t="shared" ref="O648:O661" si="36">LEFT(T648,FIND(" +",T648)-1)</f>
        <v>Potenciar Crítico Real</v>
      </c>
      <c r="P648" s="3195" t="str">
        <f t="shared" ref="P648:P661" si="37">MID(T648,FIND("+",T648),20)</f>
        <v>+25</v>
      </c>
      <c r="R648" s="3196"/>
      <c r="S648" s="3196"/>
      <c r="T648" s="3196" t="s">
        <v>4421</v>
      </c>
      <c r="U648" s="3196"/>
      <c r="V648" s="3196"/>
      <c r="W648" s="3196"/>
      <c r="X648" s="3196"/>
      <c r="Y648" s="3196"/>
      <c r="Z648" s="3196"/>
      <c r="AA648" s="3196"/>
      <c r="AB648" s="3195"/>
      <c r="AC648" s="3195"/>
      <c r="AE648" s="3195"/>
      <c r="AF648" s="3195"/>
      <c r="AG648" s="3195"/>
      <c r="AH648" s="3195"/>
      <c r="AI648" s="3195"/>
    </row>
    <row r="649" spans="1:35" ht="12" customHeight="1">
      <c r="O649" s="3195" t="str">
        <f t="shared" si="36"/>
        <v>Potenciar Crítico Real</v>
      </c>
      <c r="P649" s="3195" t="str">
        <f t="shared" si="37"/>
        <v>+40</v>
      </c>
      <c r="R649" s="3196"/>
      <c r="S649" s="3196"/>
      <c r="T649" s="3196" t="s">
        <v>4422</v>
      </c>
      <c r="U649" s="3196"/>
      <c r="V649" s="3196"/>
      <c r="W649" s="3196"/>
      <c r="X649" s="3196"/>
      <c r="Y649" s="3196"/>
      <c r="Z649" s="3196"/>
      <c r="AA649" s="3196"/>
      <c r="AB649" s="3195"/>
      <c r="AC649" s="3195"/>
      <c r="AE649" s="3195"/>
      <c r="AF649" s="3195"/>
      <c r="AG649" s="3195"/>
      <c r="AH649" s="3195"/>
      <c r="AI649" s="3195"/>
    </row>
    <row r="650" spans="1:35" ht="12" customHeight="1">
      <c r="O650" s="3195" t="str">
        <f t="shared" si="36"/>
        <v>Potenciar Crítico Real</v>
      </c>
      <c r="P650" s="3195" t="str">
        <f t="shared" si="37"/>
        <v>+50</v>
      </c>
      <c r="R650" s="3196"/>
      <c r="S650" s="3196"/>
      <c r="T650" s="3196" t="s">
        <v>4423</v>
      </c>
      <c r="U650" s="3196"/>
      <c r="V650" s="3196"/>
      <c r="W650" s="3196"/>
      <c r="X650" s="3196"/>
      <c r="Y650" s="3196"/>
      <c r="Z650" s="3196"/>
      <c r="AA650" s="3196"/>
      <c r="AB650" s="3195"/>
      <c r="AC650" s="3195"/>
      <c r="AE650" s="3195"/>
      <c r="AF650" s="3195"/>
      <c r="AG650" s="3195"/>
      <c r="AH650" s="3195"/>
      <c r="AI650" s="3195"/>
    </row>
    <row r="651" spans="1:35" ht="12" customHeight="1">
      <c r="O651" s="3195" t="str">
        <f t="shared" si="36"/>
        <v>Potenciar Crítico Real</v>
      </c>
      <c r="P651" s="3195" t="str">
        <f t="shared" si="37"/>
        <v>+75</v>
      </c>
      <c r="R651" s="3196"/>
      <c r="S651" s="3196"/>
      <c r="T651" s="3196" t="s">
        <v>4424</v>
      </c>
      <c r="U651" s="3196"/>
      <c r="V651" s="3196"/>
      <c r="W651" s="3196"/>
      <c r="X651" s="3196"/>
      <c r="Y651" s="3196"/>
      <c r="Z651" s="3196"/>
      <c r="AA651" s="3196"/>
      <c r="AB651" s="3195"/>
      <c r="AC651" s="3195"/>
      <c r="AE651" s="3195"/>
      <c r="AF651" s="3195"/>
      <c r="AG651" s="3195"/>
      <c r="AH651" s="3195"/>
      <c r="AI651" s="3195"/>
    </row>
    <row r="652" spans="1:35" ht="12" customHeight="1">
      <c r="O652" s="3195" t="str">
        <f t="shared" si="36"/>
        <v>Potenciar Crítico Real</v>
      </c>
      <c r="P652" s="3195" t="str">
        <f t="shared" si="37"/>
        <v>+90</v>
      </c>
      <c r="R652" s="3196"/>
      <c r="S652" s="3196"/>
      <c r="T652" s="3196" t="s">
        <v>4425</v>
      </c>
      <c r="U652" s="3196"/>
      <c r="V652" s="3196"/>
      <c r="W652" s="3196"/>
      <c r="X652" s="3196"/>
      <c r="Y652" s="3196"/>
      <c r="Z652" s="3196"/>
      <c r="AA652" s="3196"/>
      <c r="AB652" s="3195"/>
      <c r="AC652" s="3195"/>
      <c r="AE652" s="3195"/>
      <c r="AF652" s="3195"/>
      <c r="AG652" s="3195"/>
      <c r="AH652" s="3195"/>
      <c r="AI652" s="3195"/>
    </row>
    <row r="653" spans="1:35" ht="12" customHeight="1">
      <c r="O653" s="3195" t="str">
        <f t="shared" si="36"/>
        <v>Potenciar Crítico Real</v>
      </c>
      <c r="P653" s="3195" t="str">
        <f t="shared" si="37"/>
        <v>+100</v>
      </c>
      <c r="R653" s="3196"/>
      <c r="S653" s="3196"/>
      <c r="T653" s="3196" t="s">
        <v>4426</v>
      </c>
      <c r="U653" s="3196"/>
      <c r="V653" s="3196"/>
      <c r="W653" s="3196"/>
      <c r="X653" s="3196"/>
      <c r="Y653" s="3196"/>
      <c r="Z653" s="3196"/>
      <c r="AA653" s="3196"/>
      <c r="AB653" s="3195"/>
      <c r="AC653" s="3195"/>
      <c r="AE653" s="3195"/>
      <c r="AF653" s="3195"/>
      <c r="AG653" s="3195"/>
      <c r="AH653" s="3195"/>
      <c r="AI653" s="3195"/>
    </row>
    <row r="654" spans="1:35" ht="12" customHeight="1">
      <c r="B654" s="3196"/>
      <c r="C654" s="3196"/>
      <c r="O654" s="3195" t="e">
        <f t="shared" si="36"/>
        <v>#VALUE!</v>
      </c>
      <c r="P654" s="3195" t="e">
        <f t="shared" si="37"/>
        <v>#VALUE!</v>
      </c>
      <c r="Q654" s="3196"/>
      <c r="R654" s="3196"/>
      <c r="S654" s="3196"/>
      <c r="T654" s="3196" t="s">
        <v>4419</v>
      </c>
      <c r="U654" s="3196"/>
      <c r="V654" s="3196"/>
      <c r="W654" s="3196"/>
      <c r="X654" s="3196"/>
      <c r="Y654" s="3196"/>
      <c r="Z654" s="3196"/>
      <c r="AA654" s="3196"/>
      <c r="AB654" s="3196"/>
      <c r="AC654" s="3195"/>
      <c r="AE654" s="3195"/>
      <c r="AF654" s="3195"/>
      <c r="AG654" s="3195"/>
      <c r="AH654" s="3195"/>
      <c r="AI654" s="3195"/>
    </row>
    <row r="655" spans="1:35" ht="12" customHeight="1">
      <c r="O655" s="3195" t="e">
        <f t="shared" si="36"/>
        <v>#VALUE!</v>
      </c>
      <c r="P655" s="3195" t="e">
        <f t="shared" si="37"/>
        <v>#VALUE!</v>
      </c>
      <c r="T655" s="3195" t="s">
        <v>15</v>
      </c>
      <c r="Y655" s="3195"/>
      <c r="Z655" s="3195"/>
      <c r="AA655" s="3195"/>
      <c r="AB655" s="3195"/>
      <c r="AC655" s="3195"/>
      <c r="AE655" s="3195"/>
      <c r="AF655" s="3195"/>
      <c r="AG655" s="3195"/>
      <c r="AH655" s="3195"/>
      <c r="AI655" s="3195"/>
    </row>
    <row r="656" spans="1:35" ht="12" customHeight="1">
      <c r="A656" s="3195"/>
      <c r="O656" s="3195" t="e">
        <f t="shared" si="36"/>
        <v>#VALUE!</v>
      </c>
      <c r="P656" s="3195" t="e">
        <f t="shared" si="37"/>
        <v>#VALUE!</v>
      </c>
      <c r="T656" s="3195" t="s">
        <v>3628</v>
      </c>
      <c r="Y656" s="3195"/>
      <c r="Z656" s="3195"/>
      <c r="AA656" s="3195"/>
      <c r="AB656" s="3195"/>
      <c r="AC656" s="3195"/>
      <c r="AE656" s="3195"/>
      <c r="AF656" s="3195"/>
      <c r="AG656" s="3195"/>
      <c r="AH656" s="3195"/>
      <c r="AI656" s="3195"/>
    </row>
    <row r="657" spans="1:35" ht="12" customHeight="1">
      <c r="O657" s="3195" t="e">
        <f t="shared" si="36"/>
        <v>#VALUE!</v>
      </c>
      <c r="P657" s="3195" t="e">
        <f t="shared" si="37"/>
        <v>#VALUE!</v>
      </c>
      <c r="R657" s="3196"/>
      <c r="S657" s="3196"/>
      <c r="T657" s="3196" t="s">
        <v>4427</v>
      </c>
      <c r="U657" s="3196"/>
      <c r="V657" s="3196"/>
      <c r="W657" s="3196"/>
      <c r="X657" s="3196"/>
      <c r="Y657" s="3196"/>
      <c r="Z657" s="3196"/>
      <c r="AA657" s="3196"/>
      <c r="AB657" s="3195"/>
      <c r="AC657" s="3195"/>
      <c r="AE657" s="3195"/>
      <c r="AF657" s="3195"/>
      <c r="AG657" s="3195"/>
      <c r="AH657" s="3195"/>
      <c r="AI657" s="3195"/>
    </row>
    <row r="658" spans="1:35" ht="12" customHeight="1">
      <c r="O658" s="3195" t="e">
        <f t="shared" si="36"/>
        <v>#VALUE!</v>
      </c>
      <c r="P658" s="3195" t="e">
        <f t="shared" si="37"/>
        <v>#VALUE!</v>
      </c>
      <c r="R658" s="3196"/>
      <c r="S658" s="3196"/>
      <c r="T658" s="3196" t="s">
        <v>4115</v>
      </c>
      <c r="U658" s="3196"/>
      <c r="V658" s="3196"/>
      <c r="W658" s="3196"/>
      <c r="X658" s="3196"/>
      <c r="Y658" s="3196"/>
      <c r="Z658" s="3196"/>
      <c r="AA658" s="3196"/>
      <c r="AB658" s="3195"/>
      <c r="AC658" s="3195"/>
      <c r="AE658" s="3195"/>
      <c r="AF658" s="3195"/>
      <c r="AG658" s="3195"/>
      <c r="AH658" s="3195"/>
      <c r="AI658" s="3195"/>
    </row>
    <row r="659" spans="1:35" ht="12" customHeight="1">
      <c r="O659" s="3195" t="e">
        <f t="shared" si="36"/>
        <v>#VALUE!</v>
      </c>
      <c r="P659" s="3195" t="e">
        <f t="shared" si="37"/>
        <v>#VALUE!</v>
      </c>
      <c r="R659" s="3196"/>
      <c r="S659" s="3196"/>
      <c r="T659" s="3196" t="s">
        <v>4116</v>
      </c>
      <c r="U659" s="3196"/>
      <c r="V659" s="3196"/>
      <c r="W659" s="3196"/>
      <c r="X659" s="3196"/>
      <c r="Y659" s="3196"/>
      <c r="Z659" s="3196"/>
      <c r="AA659" s="3196"/>
      <c r="AB659" s="3195"/>
      <c r="AC659" s="3195"/>
      <c r="AE659" s="3195"/>
      <c r="AF659" s="3195"/>
      <c r="AG659" s="3195"/>
      <c r="AH659" s="3195"/>
      <c r="AI659" s="3195"/>
    </row>
    <row r="660" spans="1:35" ht="12" customHeight="1">
      <c r="O660" s="3195" t="e">
        <f t="shared" si="36"/>
        <v>#VALUE!</v>
      </c>
      <c r="P660" s="3195" t="e">
        <f t="shared" si="37"/>
        <v>#VALUE!</v>
      </c>
      <c r="R660" s="3196"/>
      <c r="S660" s="3196"/>
      <c r="T660" s="3196" t="s">
        <v>4428</v>
      </c>
      <c r="U660" s="3196"/>
      <c r="V660" s="3196"/>
      <c r="W660" s="3196"/>
      <c r="X660" s="3196"/>
      <c r="Y660" s="3196"/>
      <c r="Z660" s="3196"/>
      <c r="AA660" s="3196"/>
      <c r="AB660" s="3195"/>
      <c r="AC660" s="3195"/>
      <c r="AE660" s="3195"/>
      <c r="AF660" s="3195"/>
      <c r="AG660" s="3195"/>
      <c r="AH660" s="3195"/>
      <c r="AI660" s="3195"/>
    </row>
    <row r="661" spans="1:35" ht="12" customHeight="1">
      <c r="O661" s="3195" t="e">
        <f t="shared" si="36"/>
        <v>#VALUE!</v>
      </c>
      <c r="P661" s="3195" t="e">
        <f t="shared" si="37"/>
        <v>#VALUE!</v>
      </c>
      <c r="R661" s="3196"/>
      <c r="S661" s="3196"/>
      <c r="T661" s="3196" t="s">
        <v>4429</v>
      </c>
      <c r="U661" s="3196"/>
      <c r="V661" s="3196"/>
      <c r="W661" s="3196"/>
      <c r="X661" s="3196"/>
      <c r="Y661" s="3196"/>
      <c r="Z661" s="3196"/>
      <c r="AA661" s="3196"/>
      <c r="AB661" s="3195"/>
      <c r="AC661" s="3195"/>
      <c r="AE661" s="3195"/>
      <c r="AF661" s="3195"/>
      <c r="AG661" s="3195"/>
      <c r="AH661" s="3195"/>
      <c r="AI661" s="3195"/>
    </row>
    <row r="662" spans="1:35" ht="12" customHeight="1">
      <c r="G662" s="3196"/>
      <c r="H662" s="3196"/>
      <c r="I662" s="3196"/>
      <c r="J662" s="3196"/>
      <c r="K662" s="3196"/>
      <c r="L662" s="3196"/>
      <c r="M662" s="3196"/>
      <c r="N662" s="3196"/>
      <c r="O662" s="3196"/>
      <c r="P662" s="3196"/>
    </row>
    <row r="663" spans="1:35" ht="12" customHeight="1">
      <c r="G663" s="3196"/>
      <c r="H663" s="3196"/>
      <c r="I663" s="3196"/>
      <c r="J663" s="3196"/>
      <c r="K663" s="3196"/>
      <c r="L663" s="3196"/>
      <c r="M663" s="3196"/>
      <c r="N663" s="3196"/>
      <c r="O663" s="3196"/>
      <c r="P663" s="3196"/>
    </row>
    <row r="664" spans="1:35" ht="12" customHeight="1">
      <c r="B664" s="3196"/>
      <c r="C664" s="3196"/>
      <c r="D664" s="3196"/>
      <c r="E664" s="3196"/>
      <c r="F664" s="3196"/>
      <c r="G664" s="3196"/>
      <c r="H664" s="3196"/>
      <c r="I664" s="3196"/>
      <c r="J664" s="3196"/>
      <c r="K664" s="3196"/>
      <c r="L664" s="3196"/>
      <c r="M664" s="3196"/>
      <c r="N664" s="3196"/>
      <c r="O664" s="3196"/>
      <c r="P664" s="3196"/>
      <c r="Q664" s="3196"/>
    </row>
    <row r="666" spans="1:35" ht="12" customHeight="1">
      <c r="A666" s="3195"/>
    </row>
    <row r="667" spans="1:35" ht="12" customHeight="1">
      <c r="G667" s="3196"/>
      <c r="H667" s="3196"/>
      <c r="I667" s="3196"/>
      <c r="J667" s="3196"/>
      <c r="K667" s="3196"/>
      <c r="L667" s="3196"/>
      <c r="M667" s="3196"/>
      <c r="N667" s="3196"/>
      <c r="O667" s="3196"/>
      <c r="P667" s="3196"/>
      <c r="Q667" s="3196"/>
    </row>
    <row r="668" spans="1:35" ht="12" customHeight="1">
      <c r="B668" s="3196"/>
      <c r="C668" s="3196"/>
      <c r="D668" s="3196"/>
      <c r="E668" s="3196"/>
      <c r="F668" s="3196"/>
      <c r="G668" s="3196"/>
      <c r="H668" s="3196"/>
      <c r="I668" s="3196"/>
      <c r="J668" s="3196"/>
      <c r="K668" s="3196"/>
      <c r="L668" s="3196"/>
      <c r="M668" s="3196"/>
      <c r="N668" s="3196"/>
      <c r="O668" s="3196"/>
      <c r="P668" s="3196"/>
      <c r="Q668" s="3196"/>
    </row>
    <row r="670" spans="1:35" ht="12" customHeight="1">
      <c r="B670" s="3196"/>
      <c r="C670" s="3196"/>
      <c r="D670" s="3196"/>
      <c r="E670" s="3196"/>
      <c r="F670" s="3196"/>
      <c r="G670" s="3196"/>
      <c r="H670" s="3196"/>
      <c r="I670" s="3196"/>
      <c r="J670" s="3196"/>
      <c r="K670" s="3196"/>
      <c r="L670" s="3196"/>
      <c r="M670" s="3196"/>
      <c r="N670" s="3196"/>
      <c r="O670" s="3196"/>
      <c r="P670" s="3196"/>
      <c r="Q670" s="3196"/>
    </row>
    <row r="672" spans="1:35" ht="12" customHeight="1">
      <c r="B672" s="3196"/>
      <c r="C672" s="3196"/>
      <c r="D672" s="3196"/>
      <c r="E672" s="3196"/>
      <c r="F672" s="3196"/>
      <c r="G672" s="3196"/>
      <c r="H672" s="3196"/>
      <c r="I672" s="3196"/>
      <c r="J672" s="3196"/>
      <c r="K672" s="3196"/>
      <c r="L672" s="3196"/>
      <c r="M672" s="3196"/>
      <c r="N672" s="3196"/>
      <c r="O672" s="3196"/>
      <c r="P672" s="3196"/>
      <c r="Q672" s="3196"/>
    </row>
    <row r="673" spans="1:1" ht="12" customHeight="1">
      <c r="A673" s="3195"/>
    </row>
    <row r="677" spans="1:1" ht="12" customHeight="1">
      <c r="A677" s="3195"/>
    </row>
    <row r="680" spans="1:1" ht="12" customHeight="1">
      <c r="A680" s="3195"/>
    </row>
    <row r="684" spans="1:1" ht="12" customHeight="1">
      <c r="A684" s="3195"/>
    </row>
    <row r="687" spans="1:1" ht="12" customHeight="1">
      <c r="A687" s="3195"/>
    </row>
    <row r="692" spans="1:1" ht="12" customHeight="1">
      <c r="A692" s="3195"/>
    </row>
    <row r="694" spans="1:1" ht="12" customHeight="1">
      <c r="A694" s="3195"/>
    </row>
    <row r="696" spans="1:1" ht="12" customHeight="1">
      <c r="A696" s="3195"/>
    </row>
    <row r="705" spans="1:1" ht="12" customHeight="1">
      <c r="A705" s="3195"/>
    </row>
    <row r="708" spans="1:1" ht="12" customHeight="1">
      <c r="A708" s="3195"/>
    </row>
    <row r="714" spans="1:1" ht="12" customHeight="1">
      <c r="A714" s="3195"/>
    </row>
    <row r="718" spans="1:1" ht="12" customHeight="1">
      <c r="A718" s="3195"/>
    </row>
    <row r="720" spans="1:1" ht="12" customHeight="1">
      <c r="A720" s="3195"/>
    </row>
    <row r="722" spans="1:1" ht="12" customHeight="1">
      <c r="A722" s="3195"/>
    </row>
    <row r="728" spans="1:1" ht="12" customHeight="1">
      <c r="A728" s="3195"/>
    </row>
    <row r="730" spans="1:1" ht="12" customHeight="1">
      <c r="A730" s="3195"/>
    </row>
    <row r="734" spans="1:1" ht="12" customHeight="1">
      <c r="A734" s="3195"/>
    </row>
    <row r="737" spans="1:1" ht="12" customHeight="1">
      <c r="A737" s="3195"/>
    </row>
    <row r="743" spans="1:1" ht="12" customHeight="1">
      <c r="A743" s="3195"/>
    </row>
    <row r="745" spans="1:1" ht="12" customHeight="1">
      <c r="A745" s="3195"/>
    </row>
    <row r="747" spans="1:1" ht="12" customHeight="1">
      <c r="A747" s="3195"/>
    </row>
    <row r="750" spans="1:1" ht="12" customHeight="1">
      <c r="A750" s="3195"/>
    </row>
    <row r="754" spans="1:17" ht="12" customHeight="1">
      <c r="A754" s="3195"/>
    </row>
    <row r="760" spans="1:17" ht="12" customHeight="1">
      <c r="B760" s="3196"/>
      <c r="C760" s="3196"/>
      <c r="D760" s="3196"/>
      <c r="E760" s="3196"/>
      <c r="F760" s="3196"/>
      <c r="G760" s="3196"/>
      <c r="H760" s="3196"/>
      <c r="I760" s="3196"/>
      <c r="J760" s="3196"/>
      <c r="K760" s="3196"/>
      <c r="L760" s="3196"/>
      <c r="M760" s="3196"/>
      <c r="N760" s="3196"/>
      <c r="O760" s="3196"/>
      <c r="P760" s="3196"/>
      <c r="Q760" s="3196"/>
    </row>
    <row r="761" spans="1:17" ht="12" customHeight="1">
      <c r="A761" s="3195"/>
    </row>
    <row r="767" spans="1:17" ht="12" customHeight="1">
      <c r="A767" s="3195"/>
    </row>
  </sheetData>
  <sheetProtection selectLockedCells="1"/>
  <mergeCells count="1">
    <mergeCell ref="B2:C2"/>
  </mergeCells>
  <conditionalFormatting sqref="BV12:BV13">
    <cfRule type="cellIs" dxfId="316" priority="5667" stopIfTrue="1" operator="greaterThan">
      <formula>#REF!</formula>
    </cfRule>
  </conditionalFormatting>
  <conditionalFormatting sqref="BV23:BV24">
    <cfRule type="cellIs" dxfId="315" priority="5668" stopIfTrue="1" operator="greaterThan">
      <formula>#REF!</formula>
    </cfRule>
  </conditionalFormatting>
  <conditionalFormatting sqref="BV34:BV35">
    <cfRule type="cellIs" dxfId="314" priority="5669" stopIfTrue="1" operator="greaterThan">
      <formula>#REF!</formula>
    </cfRule>
  </conditionalFormatting>
  <conditionalFormatting sqref="BV45:BV46">
    <cfRule type="cellIs" dxfId="313" priority="5670" stopIfTrue="1" operator="greaterThan">
      <formula>#REF!</formula>
    </cfRule>
  </conditionalFormatting>
  <conditionalFormatting sqref="BV56:BV57">
    <cfRule type="cellIs" dxfId="312" priority="5671" stopIfTrue="1" operator="greaterThan">
      <formula>#REF!</formula>
    </cfRule>
  </conditionalFormatting>
  <pageMargins left="0.7" right="0.7" top="0.75" bottom="0.75" header="0.3" footer="0.3"/>
  <pageSetup paperSize="9" orientation="portrait" horizontalDpi="300" verticalDpi="0" copies="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6D6CA-035C-4A33-BDD4-E30F45668CF1}">
  <sheetPr codeName="Hoja11"/>
  <dimension ref="B1:DH451"/>
  <sheetViews>
    <sheetView tabSelected="1" zoomScaleNormal="100" zoomScaleSheetLayoutView="40" workbookViewId="0">
      <selection activeCell="AL17" sqref="AL17"/>
    </sheetView>
  </sheetViews>
  <sheetFormatPr defaultColWidth="5.7109375" defaultRowHeight="11.25"/>
  <cols>
    <col min="1" max="3" width="5.7109375" style="3185" customWidth="1"/>
    <col min="4" max="4" width="5.7109375" style="3186" customWidth="1"/>
    <col min="5" max="55" width="5.7109375" style="3185" customWidth="1"/>
    <col min="56" max="56" width="8.140625" style="3185" hidden="1" customWidth="1"/>
    <col min="57" max="57" width="7.140625" style="3185" customWidth="1"/>
    <col min="58" max="58" width="0.5703125" style="3185" customWidth="1"/>
    <col min="59" max="59" width="2" style="3185" customWidth="1"/>
    <col min="60" max="60" width="1.7109375" style="3185" customWidth="1"/>
    <col min="61" max="101" width="5.7109375" style="3185"/>
    <col min="102" max="102" width="2" style="3185" customWidth="1"/>
    <col min="103" max="103" width="0.85546875" style="3185" customWidth="1"/>
    <col min="104" max="104" width="2" style="3185" customWidth="1"/>
    <col min="105" max="105" width="8.85546875" style="3185" customWidth="1"/>
    <col min="106" max="106" width="12.140625" style="3185" customWidth="1"/>
    <col min="107" max="107" width="9.140625" style="3185" customWidth="1"/>
    <col min="108" max="108" width="13.5703125" style="3185" customWidth="1"/>
    <col min="109" max="109" width="1.85546875" style="3185" customWidth="1"/>
    <col min="110" max="110" width="2" style="3185" customWidth="1"/>
    <col min="111" max="16384" width="5.7109375" style="3185"/>
  </cols>
  <sheetData>
    <row r="1" spans="2:112" ht="12" customHeight="1" thickBot="1">
      <c r="AE1" s="5686"/>
    </row>
    <row r="2" spans="2:112" ht="12" customHeight="1">
      <c r="B2" s="5714" t="s">
        <v>10333</v>
      </c>
      <c r="C2" s="5715"/>
      <c r="D2" s="5715"/>
      <c r="E2" s="5715"/>
      <c r="F2" s="5715"/>
      <c r="G2" s="5715"/>
      <c r="H2" s="5715"/>
      <c r="I2" s="5715"/>
      <c r="J2" s="5715"/>
      <c r="K2" s="5715"/>
      <c r="L2" s="5715"/>
      <c r="M2" s="5715"/>
      <c r="N2" s="5715"/>
      <c r="O2" s="5715"/>
      <c r="P2" s="5715"/>
      <c r="Q2" s="5715"/>
      <c r="R2" s="5715"/>
      <c r="S2" s="5715"/>
      <c r="T2" s="5715"/>
      <c r="U2" s="5715"/>
      <c r="V2" s="5715"/>
      <c r="W2" s="5715"/>
      <c r="X2" s="5715"/>
      <c r="Y2" s="5715"/>
      <c r="Z2" s="5715"/>
      <c r="AA2" s="5715"/>
      <c r="AB2" s="5715"/>
      <c r="AC2" s="5715"/>
      <c r="AD2" s="5715"/>
      <c r="AE2" s="5716"/>
      <c r="AF2" s="3188"/>
    </row>
    <row r="3" spans="2:112" ht="12" customHeight="1">
      <c r="B3" s="5717"/>
      <c r="C3" s="4852"/>
      <c r="D3" s="4852"/>
      <c r="E3" s="4852"/>
      <c r="F3" s="4852"/>
      <c r="G3" s="4852"/>
      <c r="H3" s="4852"/>
      <c r="I3" s="4852"/>
      <c r="J3" s="4852"/>
      <c r="K3" s="4852"/>
      <c r="L3" s="4852"/>
      <c r="M3" s="4852"/>
      <c r="N3" s="4852"/>
      <c r="O3" s="4852"/>
      <c r="P3" s="4852"/>
      <c r="Q3" s="4852"/>
      <c r="R3" s="4852"/>
      <c r="S3" s="4852"/>
      <c r="T3" s="4852"/>
      <c r="U3" s="4852"/>
      <c r="V3" s="4852"/>
      <c r="W3" s="4852"/>
      <c r="X3" s="4852"/>
      <c r="Y3" s="4852"/>
      <c r="Z3" s="4852"/>
      <c r="AA3" s="4852"/>
      <c r="AB3" s="4852"/>
      <c r="AC3" s="4852"/>
      <c r="AD3" s="4852"/>
      <c r="AE3" s="5718"/>
      <c r="AF3" s="3188"/>
      <c r="DA3" s="3187"/>
      <c r="DB3" s="3187"/>
      <c r="DC3" s="3187"/>
      <c r="DD3" s="3187"/>
    </row>
    <row r="4" spans="2:112" ht="12" customHeight="1">
      <c r="B4" s="5760" t="s">
        <v>8061</v>
      </c>
      <c r="C4" s="5761"/>
      <c r="D4" s="5761"/>
      <c r="E4" s="5761"/>
      <c r="F4" s="5761"/>
      <c r="G4" s="5761"/>
      <c r="H4" s="5761"/>
      <c r="I4" s="5761"/>
      <c r="J4" s="5761"/>
      <c r="K4" s="5761"/>
      <c r="L4" s="5761"/>
      <c r="M4" s="5762"/>
      <c r="N4" s="5690" t="s">
        <v>1627</v>
      </c>
      <c r="O4" s="5734">
        <v>1</v>
      </c>
      <c r="P4" s="5690" t="s">
        <v>1817</v>
      </c>
      <c r="Q4" s="5710">
        <v>20</v>
      </c>
      <c r="R4" s="5690" t="s">
        <v>10344</v>
      </c>
      <c r="S4" s="5690"/>
      <c r="T4" s="5739" t="s">
        <v>10328</v>
      </c>
      <c r="U4" s="5740"/>
      <c r="V4" s="5740"/>
      <c r="W4" s="5740"/>
      <c r="X4" s="5740"/>
      <c r="Y4" s="5740"/>
      <c r="Z4" s="5740"/>
      <c r="AA4" s="5740"/>
      <c r="AB4" s="5740"/>
      <c r="AC4" s="5740"/>
      <c r="AD4" s="5740"/>
      <c r="AE4" s="5741"/>
      <c r="AF4" s="3188"/>
      <c r="AG4" s="3188"/>
      <c r="AH4" s="3188"/>
      <c r="AI4" s="3188"/>
      <c r="AJ4" s="3188"/>
      <c r="AK4" s="3188"/>
      <c r="AL4" s="3188"/>
      <c r="AM4" s="3188"/>
      <c r="AN4" s="3188"/>
      <c r="AO4" s="3188"/>
      <c r="AP4" s="3188"/>
      <c r="AQ4" s="3188"/>
      <c r="AR4" s="3188"/>
      <c r="AS4" s="3188"/>
      <c r="AT4" s="3188"/>
      <c r="AU4" s="3188"/>
      <c r="AV4" s="3188"/>
      <c r="DA4" s="3187"/>
      <c r="DB4" s="3187"/>
      <c r="DC4" s="3187"/>
      <c r="DD4" s="3187"/>
    </row>
    <row r="5" spans="2:112" ht="12" customHeight="1">
      <c r="B5" s="5736"/>
      <c r="C5" s="5737"/>
      <c r="D5" s="5737"/>
      <c r="E5" s="5737"/>
      <c r="F5" s="5737"/>
      <c r="G5" s="5737"/>
      <c r="H5" s="5737"/>
      <c r="I5" s="5737"/>
      <c r="J5" s="5737"/>
      <c r="K5" s="5737"/>
      <c r="L5" s="5737"/>
      <c r="M5" s="5738"/>
      <c r="N5" s="5690"/>
      <c r="O5" s="5734"/>
      <c r="P5" s="5690"/>
      <c r="Q5" s="5710"/>
      <c r="R5" s="5690"/>
      <c r="S5" s="5690"/>
      <c r="T5" s="5742"/>
      <c r="U5" s="5743"/>
      <c r="V5" s="5743"/>
      <c r="W5" s="5743"/>
      <c r="X5" s="5743"/>
      <c r="Y5" s="5743"/>
      <c r="Z5" s="5743"/>
      <c r="AA5" s="5743"/>
      <c r="AB5" s="5743"/>
      <c r="AC5" s="5743"/>
      <c r="AD5" s="5743"/>
      <c r="AE5" s="5744"/>
      <c r="AF5" s="3188"/>
      <c r="AG5" s="3188"/>
      <c r="AH5" s="3188"/>
      <c r="AI5" s="3188"/>
      <c r="AJ5" s="3188"/>
      <c r="AK5" s="3188"/>
      <c r="AL5" s="3188"/>
      <c r="AM5" s="3188"/>
      <c r="AN5" s="3188"/>
      <c r="AO5" s="3188"/>
      <c r="AP5" s="3188"/>
      <c r="AQ5" s="3188"/>
      <c r="AR5" s="3188"/>
      <c r="AS5" s="3188"/>
      <c r="AT5" s="3188"/>
      <c r="AU5" s="3188"/>
      <c r="AV5" s="3188"/>
      <c r="DA5" s="3187"/>
      <c r="DB5" s="3187"/>
      <c r="DC5" s="3187"/>
      <c r="DD5" s="3187"/>
    </row>
    <row r="6" spans="2:112" ht="12" customHeight="1">
      <c r="B6" s="5731" t="s">
        <v>3313</v>
      </c>
      <c r="C6" s="5712"/>
      <c r="D6" s="5712"/>
      <c r="E6" s="5712"/>
      <c r="F6" s="5712"/>
      <c r="G6" s="5712"/>
      <c r="H6" s="5712"/>
      <c r="I6" s="5712" t="s">
        <v>1673</v>
      </c>
      <c r="J6" s="5712"/>
      <c r="K6" s="5712"/>
      <c r="L6" s="5712"/>
      <c r="M6" s="5712"/>
      <c r="N6" s="5712" t="str">
        <f>"Mant / SMe / Sma"</f>
        <v>Mant / SMe / Sma</v>
      </c>
      <c r="O6" s="5712"/>
      <c r="P6" s="5712"/>
      <c r="Q6" s="5712" t="s">
        <v>1811</v>
      </c>
      <c r="R6" s="5712" t="s">
        <v>3303</v>
      </c>
      <c r="S6" s="5732" t="s">
        <v>10343</v>
      </c>
      <c r="T6" s="5754" t="s">
        <v>1801</v>
      </c>
      <c r="U6" s="5753"/>
      <c r="V6" s="5753"/>
      <c r="W6" s="5753"/>
      <c r="X6" s="5753"/>
      <c r="Y6" s="5753"/>
      <c r="Z6" s="5753"/>
      <c r="AA6" s="5753"/>
      <c r="AB6" s="5753"/>
      <c r="AC6" s="5753"/>
      <c r="AD6" s="5753"/>
      <c r="AE6" s="5753"/>
      <c r="AG6" s="3188"/>
      <c r="AH6" s="3188"/>
      <c r="AI6" s="3188"/>
      <c r="AJ6" s="3188"/>
      <c r="AK6" s="3188"/>
      <c r="AL6" s="3188"/>
      <c r="AM6" s="3188"/>
      <c r="AN6" s="3188"/>
      <c r="AO6" s="3188"/>
      <c r="AP6" s="3188"/>
      <c r="AQ6" s="3188"/>
      <c r="AR6" s="3188"/>
      <c r="AS6" s="3188"/>
      <c r="AT6" s="3188"/>
      <c r="AU6" s="3188"/>
      <c r="AV6" s="3188"/>
      <c r="AW6" s="3188"/>
      <c r="DA6" s="3187"/>
      <c r="DB6" s="3187"/>
      <c r="DC6" s="3187"/>
      <c r="DD6" s="3187"/>
    </row>
    <row r="7" spans="2:112" ht="12" customHeight="1">
      <c r="B7" s="5729"/>
      <c r="C7" s="5730"/>
      <c r="D7" s="5730"/>
      <c r="E7" s="5730"/>
      <c r="F7" s="5730"/>
      <c r="G7" s="5730"/>
      <c r="H7" s="5730"/>
      <c r="I7" s="5730"/>
      <c r="J7" s="5730"/>
      <c r="K7" s="5730"/>
      <c r="L7" s="5730"/>
      <c r="M7" s="5730"/>
      <c r="N7" s="5730"/>
      <c r="O7" s="5730"/>
      <c r="P7" s="5730"/>
      <c r="Q7" s="5730"/>
      <c r="R7" s="5730"/>
      <c r="S7" s="5733"/>
      <c r="T7" s="5694" t="s">
        <v>1682</v>
      </c>
      <c r="U7" s="5695" t="s">
        <v>10340</v>
      </c>
      <c r="V7" s="5694" t="s">
        <v>1809</v>
      </c>
      <c r="W7" s="5695" t="s">
        <v>10340</v>
      </c>
      <c r="X7" s="5694" t="s">
        <v>1687</v>
      </c>
      <c r="Y7" s="5695" t="s">
        <v>10340</v>
      </c>
      <c r="Z7" s="5694" t="s">
        <v>1692</v>
      </c>
      <c r="AA7" s="5695" t="s">
        <v>10340</v>
      </c>
      <c r="AB7" s="5694" t="s">
        <v>1700</v>
      </c>
      <c r="AC7" s="5695" t="s">
        <v>10340</v>
      </c>
      <c r="AD7" s="5694" t="s">
        <v>1701</v>
      </c>
      <c r="AE7" s="5695" t="s">
        <v>10340</v>
      </c>
      <c r="AN7" s="3188"/>
      <c r="AO7" s="3188"/>
      <c r="AP7" s="3188"/>
      <c r="AQ7" s="3188"/>
      <c r="AR7" s="3188"/>
      <c r="AS7" s="3188"/>
      <c r="AT7" s="3188"/>
      <c r="AU7" s="3188"/>
      <c r="AV7" s="3188"/>
      <c r="AW7" s="3188"/>
      <c r="DA7" s="3187"/>
    </row>
    <row r="8" spans="2:112" ht="12" customHeight="1">
      <c r="B8" s="5710" t="s">
        <v>10346</v>
      </c>
      <c r="C8" s="5710"/>
      <c r="D8" s="5709" t="s">
        <v>10274</v>
      </c>
      <c r="E8" s="5709"/>
      <c r="F8" s="5709"/>
      <c r="G8" s="5709"/>
      <c r="H8" s="5709"/>
      <c r="I8" s="5691" t="s">
        <v>10348</v>
      </c>
      <c r="J8" s="5691"/>
      <c r="K8" s="5691"/>
      <c r="L8" s="5691"/>
      <c r="M8" s="5691"/>
      <c r="N8" s="5688" t="s">
        <v>7137</v>
      </c>
      <c r="O8" s="5688"/>
      <c r="P8" s="5688"/>
      <c r="Q8" s="5692">
        <v>15</v>
      </c>
      <c r="R8" s="5692">
        <v>10</v>
      </c>
      <c r="S8" s="5692">
        <v>2</v>
      </c>
      <c r="T8" s="5700">
        <v>1</v>
      </c>
      <c r="U8" s="5701"/>
      <c r="V8" s="5701"/>
      <c r="W8" s="5701"/>
      <c r="X8" s="5701"/>
      <c r="Y8" s="5701"/>
      <c r="Z8" s="5701"/>
      <c r="AA8" s="5701"/>
      <c r="AB8" s="5701"/>
      <c r="AC8" s="5701"/>
      <c r="AD8" s="5701"/>
      <c r="AE8" s="5701"/>
      <c r="AN8" s="3188"/>
      <c r="AO8" s="3188"/>
      <c r="AP8" s="3188"/>
      <c r="AQ8" s="3188"/>
      <c r="AR8" s="3188"/>
      <c r="AS8" s="3188"/>
      <c r="AT8" s="3188"/>
      <c r="AU8" s="3188"/>
      <c r="AV8" s="3188"/>
      <c r="AW8" s="3188"/>
      <c r="DH8" s="3186"/>
    </row>
    <row r="9" spans="2:112" ht="12" customHeight="1">
      <c r="B9" s="5710" t="s">
        <v>10347</v>
      </c>
      <c r="C9" s="5710"/>
      <c r="D9" s="5709" t="s">
        <v>4248</v>
      </c>
      <c r="E9" s="5709"/>
      <c r="F9" s="5709"/>
      <c r="G9" s="5709"/>
      <c r="H9" s="5709"/>
      <c r="I9" s="5691"/>
      <c r="J9" s="5691"/>
      <c r="K9" s="5691"/>
      <c r="L9" s="5691"/>
      <c r="M9" s="5691"/>
      <c r="N9" s="5688" t="s">
        <v>7137</v>
      </c>
      <c r="O9" s="5688"/>
      <c r="P9" s="5688"/>
      <c r="Q9" s="5692">
        <v>15</v>
      </c>
      <c r="R9" s="5692">
        <v>10</v>
      </c>
      <c r="S9" s="5692">
        <v>2</v>
      </c>
      <c r="T9" s="5702"/>
      <c r="U9" s="5701"/>
      <c r="V9" s="5701"/>
      <c r="W9" s="5701"/>
      <c r="X9" s="5701"/>
      <c r="Y9" s="5701"/>
      <c r="Z9" s="5701"/>
      <c r="AA9" s="5701"/>
      <c r="AB9" s="5701"/>
      <c r="AC9" s="5701"/>
      <c r="AD9" s="5701"/>
      <c r="AE9" s="5701"/>
      <c r="AN9" s="3188"/>
      <c r="AO9" s="3188"/>
      <c r="AP9" s="3188"/>
      <c r="AQ9" s="3188"/>
      <c r="AR9" s="3188"/>
      <c r="AS9" s="3188"/>
      <c r="AT9" s="3188"/>
      <c r="AU9" s="3188"/>
      <c r="AV9" s="3188"/>
      <c r="AW9" s="3188"/>
      <c r="DG9" s="3186"/>
    </row>
    <row r="10" spans="2:112" ht="12" customHeight="1">
      <c r="B10" s="5710"/>
      <c r="C10" s="5710"/>
      <c r="D10" s="5709" t="s">
        <v>10261</v>
      </c>
      <c r="E10" s="5709"/>
      <c r="F10" s="5709"/>
      <c r="G10" s="5709"/>
      <c r="H10" s="5709"/>
      <c r="I10" s="5691"/>
      <c r="J10" s="5691"/>
      <c r="K10" s="5691"/>
      <c r="L10" s="5691"/>
      <c r="M10" s="5691"/>
      <c r="N10" s="5688" t="s">
        <v>10321</v>
      </c>
      <c r="O10" s="5688"/>
      <c r="P10" s="5688"/>
      <c r="Q10" s="5692">
        <v>15</v>
      </c>
      <c r="R10" s="5692">
        <v>10</v>
      </c>
      <c r="S10" s="5692">
        <v>2</v>
      </c>
      <c r="T10" s="5703"/>
      <c r="U10" s="5701"/>
      <c r="V10" s="5701"/>
      <c r="W10" s="5701"/>
      <c r="X10" s="5701"/>
      <c r="Y10" s="5701"/>
      <c r="Z10" s="5701"/>
      <c r="AA10" s="5701"/>
      <c r="AB10" s="5701"/>
      <c r="AC10" s="5701"/>
      <c r="AD10" s="5701"/>
      <c r="AE10" s="5701"/>
      <c r="AP10" s="3188"/>
      <c r="AQ10" s="3188"/>
      <c r="AR10" s="3188"/>
      <c r="AS10" s="3188"/>
      <c r="AT10" s="3188"/>
      <c r="AU10" s="3188"/>
      <c r="AV10" s="3188"/>
      <c r="AW10" s="3188"/>
      <c r="DD10" s="3187"/>
      <c r="DG10" s="3186"/>
    </row>
    <row r="11" spans="2:112" ht="12" customHeight="1">
      <c r="B11" s="5710"/>
      <c r="C11" s="5710"/>
      <c r="D11" s="5709" t="s">
        <v>3613</v>
      </c>
      <c r="E11" s="5709"/>
      <c r="F11" s="5709"/>
      <c r="G11" s="5709"/>
      <c r="H11" s="5709"/>
      <c r="I11" s="5691"/>
      <c r="J11" s="5691"/>
      <c r="K11" s="5691"/>
      <c r="L11" s="5691"/>
      <c r="M11" s="5691"/>
      <c r="N11" s="5688" t="s">
        <v>1766</v>
      </c>
      <c r="O11" s="5688"/>
      <c r="P11" s="5688"/>
      <c r="Q11" s="5692">
        <v>15</v>
      </c>
      <c r="R11" s="5692">
        <v>10</v>
      </c>
      <c r="S11" s="5692">
        <v>0</v>
      </c>
      <c r="T11" s="5702"/>
      <c r="U11" s="5701"/>
      <c r="V11" s="5701"/>
      <c r="W11" s="5701"/>
      <c r="X11" s="5701"/>
      <c r="Y11" s="5701"/>
      <c r="Z11" s="5701"/>
      <c r="AA11" s="5701"/>
      <c r="AB11" s="5701"/>
      <c r="AC11" s="5701"/>
      <c r="AD11" s="5701"/>
      <c r="AE11" s="5701"/>
      <c r="AP11" s="3188"/>
      <c r="AQ11" s="3188"/>
      <c r="AR11" s="3188"/>
      <c r="AS11" s="3188"/>
      <c r="AT11" s="3188"/>
      <c r="AU11" s="3188"/>
      <c r="AV11" s="3188"/>
      <c r="AW11" s="3188"/>
      <c r="DD11" s="3187"/>
      <c r="DG11" s="3186"/>
    </row>
    <row r="12" spans="2:112" ht="12" customHeight="1">
      <c r="B12" s="5710"/>
      <c r="C12" s="5710"/>
      <c r="D12" s="5735" t="s">
        <v>3595</v>
      </c>
      <c r="E12" s="5735"/>
      <c r="F12" s="5735"/>
      <c r="G12" s="5735"/>
      <c r="H12" s="5735"/>
      <c r="I12" s="5693"/>
      <c r="J12" s="5693"/>
      <c r="K12" s="5693"/>
      <c r="L12" s="5693"/>
      <c r="M12" s="5693"/>
      <c r="N12" s="5706" t="s">
        <v>1766</v>
      </c>
      <c r="O12" s="5706"/>
      <c r="P12" s="5706"/>
      <c r="Q12" s="5696">
        <v>15</v>
      </c>
      <c r="R12" s="5696">
        <v>10</v>
      </c>
      <c r="S12" s="5692">
        <v>0</v>
      </c>
      <c r="T12" s="5704"/>
      <c r="U12" s="5705"/>
      <c r="V12" s="5705"/>
      <c r="W12" s="5705"/>
      <c r="X12" s="5705"/>
      <c r="Y12" s="5705"/>
      <c r="Z12" s="5705"/>
      <c r="AA12" s="5705"/>
      <c r="AB12" s="5705"/>
      <c r="AC12" s="5705"/>
      <c r="AD12" s="5705"/>
      <c r="AE12" s="5705"/>
      <c r="AP12" s="3188"/>
      <c r="AW12" s="3188"/>
      <c r="DD12" s="3187"/>
      <c r="DG12" s="3186"/>
    </row>
    <row r="13" spans="2:112" ht="12" customHeight="1">
      <c r="B13" s="5720" t="s">
        <v>3299</v>
      </c>
      <c r="C13" s="5690"/>
      <c r="D13" s="5690"/>
      <c r="E13" s="5697" t="s">
        <v>10341</v>
      </c>
      <c r="F13" s="5697"/>
      <c r="G13" s="5697"/>
      <c r="H13" s="5697"/>
      <c r="I13" s="5697"/>
      <c r="J13" s="5708" t="s">
        <v>10335</v>
      </c>
      <c r="K13" s="5708"/>
      <c r="L13" s="5708"/>
      <c r="M13" s="5692"/>
      <c r="N13" s="5692"/>
      <c r="O13" s="5692"/>
      <c r="P13" s="5692"/>
      <c r="Q13" s="5692">
        <v>-10</v>
      </c>
      <c r="R13" s="5692"/>
      <c r="S13" s="5759"/>
      <c r="T13" s="5755" t="s">
        <v>1861</v>
      </c>
      <c r="U13" s="5755"/>
      <c r="V13" s="5755"/>
      <c r="W13" s="5755"/>
      <c r="X13" s="5755"/>
      <c r="Y13" s="5755"/>
      <c r="Z13" s="5755"/>
      <c r="AA13" s="5755"/>
      <c r="AB13" s="5755"/>
      <c r="AC13" s="5755"/>
      <c r="AD13" s="5755"/>
      <c r="AE13" s="5756"/>
      <c r="DD13" s="3187"/>
      <c r="DG13" s="3186"/>
    </row>
    <row r="14" spans="2:112" ht="12" customHeight="1">
      <c r="B14" s="5720"/>
      <c r="C14" s="5690"/>
      <c r="D14" s="5690"/>
      <c r="E14" s="5698" t="s">
        <v>10336</v>
      </c>
      <c r="F14" s="5698"/>
      <c r="G14" s="5698"/>
      <c r="H14" s="5698"/>
      <c r="I14" s="5698"/>
      <c r="J14" s="5709" t="s">
        <v>10337</v>
      </c>
      <c r="K14" s="5709"/>
      <c r="L14" s="5709"/>
      <c r="M14" s="5692"/>
      <c r="N14" s="5692"/>
      <c r="O14" s="5692"/>
      <c r="P14" s="5692"/>
      <c r="Q14" s="5692">
        <v>-5</v>
      </c>
      <c r="R14" s="5692"/>
      <c r="S14" s="5707"/>
      <c r="T14" s="5757" t="s">
        <v>10345</v>
      </c>
      <c r="U14" s="5757"/>
      <c r="V14" s="5757"/>
      <c r="W14" s="5757"/>
      <c r="X14" s="5757"/>
      <c r="Y14" s="5757"/>
      <c r="Z14" s="5757"/>
      <c r="AA14" s="5757"/>
      <c r="AB14" s="5757"/>
      <c r="AC14" s="5757"/>
      <c r="AD14" s="5757"/>
      <c r="AE14" s="5757"/>
      <c r="DD14" s="3187"/>
      <c r="DG14" s="3186"/>
    </row>
    <row r="15" spans="2:112" ht="12" customHeight="1">
      <c r="B15" s="5720"/>
      <c r="C15" s="5690"/>
      <c r="D15" s="5690"/>
      <c r="E15" s="5698" t="s">
        <v>10338</v>
      </c>
      <c r="F15" s="5698"/>
      <c r="G15" s="5698"/>
      <c r="H15" s="5698"/>
      <c r="I15" s="5698"/>
      <c r="J15" s="5709" t="s">
        <v>10339</v>
      </c>
      <c r="K15" s="5709"/>
      <c r="L15" s="5709"/>
      <c r="M15" s="5692"/>
      <c r="N15" s="5692"/>
      <c r="O15" s="5692"/>
      <c r="P15" s="5692"/>
      <c r="Q15" s="5692">
        <v>-10</v>
      </c>
      <c r="R15" s="5692"/>
      <c r="S15" s="5707"/>
      <c r="T15" s="5758"/>
      <c r="U15" s="5758"/>
      <c r="V15" s="5758"/>
      <c r="W15" s="5758"/>
      <c r="X15" s="5758"/>
      <c r="Y15" s="5758"/>
      <c r="Z15" s="5758"/>
      <c r="AA15" s="5758"/>
      <c r="AB15" s="5758"/>
      <c r="AC15" s="5758"/>
      <c r="AD15" s="5758"/>
      <c r="AE15" s="5758"/>
      <c r="DG15" s="3186"/>
    </row>
    <row r="16" spans="2:112" ht="12" customHeight="1">
      <c r="B16" s="5745" t="s">
        <v>10342</v>
      </c>
      <c r="C16" s="5746"/>
      <c r="D16" s="5746"/>
      <c r="E16" s="5699" t="s">
        <v>2446</v>
      </c>
      <c r="F16" s="5692"/>
      <c r="G16" s="5692"/>
      <c r="H16" s="5692"/>
      <c r="I16" s="5692"/>
      <c r="J16" s="5692"/>
      <c r="K16" s="5692"/>
      <c r="L16" s="5692"/>
      <c r="M16" s="5692"/>
      <c r="N16" s="5692"/>
      <c r="O16" s="5692"/>
      <c r="P16" s="5692"/>
      <c r="Q16" s="5692"/>
      <c r="R16" s="5692"/>
      <c r="S16" s="5707"/>
      <c r="T16" s="5758"/>
      <c r="U16" s="5758"/>
      <c r="V16" s="5758"/>
      <c r="W16" s="5758"/>
      <c r="X16" s="5758"/>
      <c r="Y16" s="5758"/>
      <c r="Z16" s="5758"/>
      <c r="AA16" s="5758"/>
      <c r="AB16" s="5758"/>
      <c r="AC16" s="5758"/>
      <c r="AD16" s="5758"/>
      <c r="AE16" s="5758"/>
      <c r="DG16" s="3186"/>
    </row>
    <row r="17" spans="2:111" ht="12" customHeight="1">
      <c r="B17" s="5721" t="s">
        <v>10334</v>
      </c>
      <c r="C17" s="5711"/>
      <c r="D17" s="5711"/>
      <c r="E17" s="5747"/>
      <c r="F17" s="5747"/>
      <c r="G17" s="5748"/>
      <c r="H17" s="5748"/>
      <c r="I17" s="5748"/>
      <c r="J17" s="5749"/>
      <c r="K17" s="5748"/>
      <c r="L17" s="5748"/>
      <c r="M17" s="5748"/>
      <c r="N17" s="5748"/>
      <c r="O17" s="5748"/>
      <c r="P17" s="5748"/>
      <c r="Q17" s="5713"/>
      <c r="R17" s="5713"/>
      <c r="S17" s="5749"/>
      <c r="T17" s="5758"/>
      <c r="U17" s="5758"/>
      <c r="V17" s="5758"/>
      <c r="W17" s="5758"/>
      <c r="X17" s="5758"/>
      <c r="Y17" s="5758"/>
      <c r="Z17" s="5758"/>
      <c r="AA17" s="5758"/>
      <c r="AB17" s="5758"/>
      <c r="AC17" s="5758"/>
      <c r="AD17" s="5758"/>
      <c r="AE17" s="5758"/>
      <c r="DG17" s="3186"/>
    </row>
    <row r="18" spans="2:111" ht="12" customHeight="1">
      <c r="T18" s="5758"/>
      <c r="U18" s="5758"/>
      <c r="V18" s="5758"/>
      <c r="W18" s="5758"/>
      <c r="X18" s="5758"/>
      <c r="Y18" s="5758"/>
      <c r="Z18" s="5758"/>
      <c r="AA18" s="5758"/>
      <c r="AB18" s="5758"/>
      <c r="AC18" s="5758"/>
      <c r="AD18" s="5758"/>
      <c r="AE18" s="5758"/>
      <c r="DG18" s="3186"/>
    </row>
    <row r="19" spans="2:111" ht="12" customHeight="1">
      <c r="T19" s="5758"/>
      <c r="U19" s="5758"/>
      <c r="V19" s="5758"/>
      <c r="W19" s="5758"/>
      <c r="X19" s="5758"/>
      <c r="Y19" s="5758"/>
      <c r="Z19" s="5758"/>
      <c r="AA19" s="5758"/>
      <c r="AB19" s="5758"/>
      <c r="AC19" s="5758"/>
      <c r="AD19" s="5758"/>
      <c r="AE19" s="5758"/>
      <c r="DG19" s="3186"/>
    </row>
    <row r="20" spans="2:111" ht="12" customHeight="1">
      <c r="T20" s="5758"/>
      <c r="U20" s="5758"/>
      <c r="V20" s="5758"/>
      <c r="W20" s="5758"/>
      <c r="X20" s="5758"/>
      <c r="Y20" s="5758"/>
      <c r="Z20" s="5758"/>
      <c r="AA20" s="5758"/>
      <c r="AB20" s="5758"/>
      <c r="AC20" s="5758"/>
      <c r="AD20" s="5758"/>
      <c r="AE20" s="5758"/>
      <c r="DG20" s="3186"/>
    </row>
    <row r="21" spans="2:111" ht="12" customHeight="1">
      <c r="T21" s="5758"/>
      <c r="U21" s="5758"/>
      <c r="V21" s="5758"/>
      <c r="W21" s="5758"/>
      <c r="X21" s="5758"/>
      <c r="Y21" s="5758"/>
      <c r="Z21" s="5758"/>
      <c r="AA21" s="5758"/>
      <c r="AB21" s="5758"/>
      <c r="AC21" s="5758"/>
      <c r="AD21" s="5758"/>
      <c r="AE21" s="5758"/>
      <c r="DG21" s="3186"/>
    </row>
    <row r="22" spans="2:111" ht="12" customHeight="1">
      <c r="T22" s="5758"/>
      <c r="U22" s="5758"/>
      <c r="V22" s="5758"/>
      <c r="W22" s="5758"/>
      <c r="X22" s="5758"/>
      <c r="Y22" s="5758"/>
      <c r="Z22" s="5758"/>
      <c r="AA22" s="5758"/>
      <c r="AB22" s="5758"/>
      <c r="AC22" s="5758"/>
      <c r="AD22" s="5758"/>
      <c r="AE22" s="5758"/>
      <c r="DG22" s="3186"/>
    </row>
    <row r="23" spans="2:111" ht="12" customHeight="1">
      <c r="T23" s="5758"/>
      <c r="U23" s="5758"/>
      <c r="V23" s="5758"/>
      <c r="W23" s="5758"/>
      <c r="X23" s="5758"/>
      <c r="Y23" s="5758"/>
      <c r="Z23" s="5758"/>
      <c r="AA23" s="5758"/>
      <c r="AB23" s="5758"/>
      <c r="AC23" s="5758"/>
      <c r="AD23" s="5758"/>
      <c r="AE23" s="5758"/>
      <c r="DG23" s="3186"/>
    </row>
    <row r="24" spans="2:111" ht="12" customHeight="1">
      <c r="T24" s="5758"/>
      <c r="U24" s="5758"/>
      <c r="V24" s="5758"/>
      <c r="W24" s="5758"/>
      <c r="X24" s="5758"/>
      <c r="Y24" s="5758"/>
      <c r="Z24" s="5758"/>
      <c r="AA24" s="5758"/>
      <c r="AB24" s="5758"/>
      <c r="AC24" s="5758"/>
      <c r="AD24" s="5758"/>
      <c r="AE24" s="5758"/>
      <c r="DG24" s="3186"/>
    </row>
    <row r="25" spans="2:111" ht="12" customHeight="1">
      <c r="T25" s="5758"/>
      <c r="U25" s="5758"/>
      <c r="V25" s="5758"/>
      <c r="W25" s="5758"/>
      <c r="X25" s="5758"/>
      <c r="Y25" s="5758"/>
      <c r="Z25" s="5758"/>
      <c r="AA25" s="5758"/>
      <c r="AB25" s="5758"/>
      <c r="AC25" s="5758"/>
      <c r="AD25" s="5758"/>
      <c r="AE25" s="5758"/>
      <c r="DG25" s="3186"/>
    </row>
    <row r="26" spans="2:111" ht="12" customHeight="1">
      <c r="B26" s="5750" t="s">
        <v>10332</v>
      </c>
      <c r="C26" s="5751"/>
      <c r="D26" s="5751"/>
      <c r="E26" s="5751"/>
      <c r="F26" s="5751"/>
      <c r="G26" s="5751"/>
      <c r="H26" s="5751"/>
      <c r="I26" s="5751"/>
      <c r="J26" s="5751"/>
      <c r="K26" s="5751"/>
      <c r="L26" s="5751"/>
      <c r="M26" s="5751"/>
      <c r="N26" s="5751"/>
      <c r="O26" s="5751"/>
      <c r="P26" s="5751"/>
      <c r="Q26" s="5751"/>
      <c r="R26" s="5751"/>
      <c r="S26" s="5751"/>
      <c r="T26" s="5751"/>
      <c r="U26" s="5751"/>
      <c r="V26" s="5751"/>
      <c r="W26" s="5751"/>
      <c r="X26" s="5751"/>
      <c r="Y26" s="5751"/>
      <c r="Z26" s="5751"/>
      <c r="AA26" s="5751"/>
      <c r="AB26" s="5751"/>
      <c r="AC26" s="5751"/>
      <c r="AD26" s="5751"/>
      <c r="AE26" s="5752"/>
      <c r="DG26" s="3186"/>
    </row>
    <row r="27" spans="2:111" ht="12" customHeight="1">
      <c r="B27" s="5722" t="str">
        <f>INDEX($D$8:$D$12,1)</f>
        <v>Aumento de Daño</v>
      </c>
      <c r="C27" s="4851"/>
      <c r="D27" s="4851"/>
      <c r="E27" s="4851"/>
      <c r="F27" s="4851"/>
      <c r="G27" s="5687"/>
      <c r="H27" s="4850" t="str">
        <f>INDEX($D$8:$D$12,2)</f>
        <v>Ataque capaz de Dañar Energía</v>
      </c>
      <c r="I27" s="4851"/>
      <c r="J27" s="4851"/>
      <c r="K27" s="4851"/>
      <c r="L27" s="4851"/>
      <c r="M27" s="5687"/>
      <c r="N27" s="4850" t="str">
        <f>D10</f>
        <v>Habilidad de Ataque</v>
      </c>
      <c r="O27" s="4851"/>
      <c r="P27" s="4851"/>
      <c r="Q27" s="4851"/>
      <c r="R27" s="4851"/>
      <c r="S27" s="5687"/>
      <c r="T27" s="4850" t="str">
        <f>D11</f>
        <v>Marca</v>
      </c>
      <c r="U27" s="4851"/>
      <c r="V27" s="4851"/>
      <c r="W27" s="4851"/>
      <c r="X27" s="4851"/>
      <c r="Y27" s="5687"/>
      <c r="Z27" s="4850" t="str">
        <f>D12</f>
        <v>Impacto</v>
      </c>
      <c r="AA27" s="4851"/>
      <c r="AB27" s="4851"/>
      <c r="AC27" s="4851"/>
      <c r="AD27" s="4851"/>
      <c r="AE27" s="5723"/>
      <c r="DG27" s="3186"/>
    </row>
    <row r="28" spans="2:111" ht="12" customHeight="1">
      <c r="B28" s="5719" t="s">
        <v>10327</v>
      </c>
      <c r="C28" s="5688"/>
      <c r="D28" s="5688"/>
      <c r="E28" s="5688"/>
      <c r="F28" s="5688"/>
      <c r="G28" s="5688"/>
      <c r="H28" s="5689" t="s">
        <v>10329</v>
      </c>
      <c r="I28" s="5689"/>
      <c r="J28" s="5689"/>
      <c r="K28" s="5689"/>
      <c r="L28" s="5689"/>
      <c r="M28" s="5689"/>
      <c r="N28" s="5689"/>
      <c r="O28" s="5689"/>
      <c r="P28" s="5689"/>
      <c r="Q28" s="5689"/>
      <c r="R28" s="5689"/>
      <c r="S28" s="5689"/>
      <c r="T28" s="5689"/>
      <c r="U28" s="5689"/>
      <c r="V28" s="5689"/>
      <c r="W28" s="5689"/>
      <c r="X28" s="5689"/>
      <c r="Y28" s="5689"/>
      <c r="Z28" s="5689"/>
      <c r="AA28" s="5689"/>
      <c r="AB28" s="5689"/>
      <c r="AC28" s="5689"/>
      <c r="AD28" s="5689"/>
      <c r="AE28" s="5724"/>
      <c r="DG28" s="3186"/>
    </row>
    <row r="29" spans="2:111" ht="12" customHeight="1">
      <c r="B29" s="5719" t="s">
        <v>10316</v>
      </c>
      <c r="C29" s="5688"/>
      <c r="D29" s="5688"/>
      <c r="E29" s="5688"/>
      <c r="F29" s="5688"/>
      <c r="G29" s="5688"/>
      <c r="H29" s="5688" t="s">
        <v>10247</v>
      </c>
      <c r="I29" s="5688"/>
      <c r="J29" s="5688"/>
      <c r="K29" s="5688"/>
      <c r="L29" s="5688"/>
      <c r="M29" s="5688"/>
      <c r="N29" s="5688"/>
      <c r="O29" s="5688"/>
      <c r="P29" s="5688"/>
      <c r="Q29" s="5688"/>
      <c r="R29" s="5688"/>
      <c r="S29" s="5688"/>
      <c r="T29" s="5688"/>
      <c r="U29" s="5688"/>
      <c r="V29" s="5688"/>
      <c r="W29" s="5688"/>
      <c r="X29" s="5688"/>
      <c r="Y29" s="5688"/>
      <c r="Z29" s="5688"/>
      <c r="AA29" s="5688"/>
      <c r="AB29" s="5688"/>
      <c r="AC29" s="5688"/>
      <c r="AD29" s="5688"/>
      <c r="AE29" s="5725"/>
      <c r="AF29" s="3209"/>
      <c r="DG29" s="3186"/>
    </row>
    <row r="30" spans="2:111" ht="12" customHeight="1">
      <c r="B30" s="5719"/>
      <c r="C30" s="5688"/>
      <c r="D30" s="5688"/>
      <c r="E30" s="5688"/>
      <c r="F30" s="5688"/>
      <c r="G30" s="5688"/>
      <c r="H30" s="5688" t="s">
        <v>10330</v>
      </c>
      <c r="I30" s="5688"/>
      <c r="J30" s="5688"/>
      <c r="K30" s="5688"/>
      <c r="L30" s="5688"/>
      <c r="M30" s="5688"/>
      <c r="N30" s="5688"/>
      <c r="O30" s="5688"/>
      <c r="P30" s="5688"/>
      <c r="Q30" s="5688"/>
      <c r="R30" s="5688"/>
      <c r="S30" s="5688"/>
      <c r="T30" s="5688"/>
      <c r="U30" s="5688"/>
      <c r="V30" s="5688"/>
      <c r="W30" s="5688"/>
      <c r="X30" s="5688"/>
      <c r="Y30" s="5688"/>
      <c r="Z30" s="5688"/>
      <c r="AA30" s="5688"/>
      <c r="AB30" s="5688"/>
      <c r="AC30" s="5688"/>
      <c r="AD30" s="5688"/>
      <c r="AE30" s="5725"/>
      <c r="AF30" s="3209"/>
      <c r="DG30" s="3186"/>
    </row>
    <row r="31" spans="2:111" ht="12" customHeight="1">
      <c r="B31" s="5719"/>
      <c r="C31" s="5688"/>
      <c r="D31" s="5688"/>
      <c r="E31" s="5688"/>
      <c r="F31" s="5688"/>
      <c r="G31" s="5688"/>
      <c r="H31" s="5688" t="s">
        <v>10250</v>
      </c>
      <c r="I31" s="5688"/>
      <c r="J31" s="5688"/>
      <c r="K31" s="5688"/>
      <c r="L31" s="5688"/>
      <c r="M31" s="5688"/>
      <c r="N31" s="5688"/>
      <c r="O31" s="5688"/>
      <c r="P31" s="5688"/>
      <c r="Q31" s="5688"/>
      <c r="R31" s="5688"/>
      <c r="S31" s="5688"/>
      <c r="T31" s="5688"/>
      <c r="U31" s="5688"/>
      <c r="V31" s="5688"/>
      <c r="W31" s="5688"/>
      <c r="X31" s="5688"/>
      <c r="Y31" s="5688"/>
      <c r="Z31" s="5688"/>
      <c r="AA31" s="5688"/>
      <c r="AB31" s="5688"/>
      <c r="AC31" s="5688"/>
      <c r="AD31" s="5688"/>
      <c r="AE31" s="5725"/>
      <c r="AF31" s="3209"/>
      <c r="DG31" s="3186"/>
    </row>
    <row r="32" spans="2:111" ht="12" customHeight="1">
      <c r="B32" s="5719"/>
      <c r="C32" s="5688"/>
      <c r="D32" s="5688"/>
      <c r="E32" s="5688"/>
      <c r="F32" s="5688"/>
      <c r="G32" s="5688"/>
      <c r="H32" s="5688" t="s">
        <v>10257</v>
      </c>
      <c r="I32" s="5688"/>
      <c r="J32" s="5688"/>
      <c r="K32" s="5688"/>
      <c r="L32" s="5688"/>
      <c r="M32" s="5688"/>
      <c r="N32" s="5688"/>
      <c r="O32" s="5688"/>
      <c r="P32" s="5688"/>
      <c r="Q32" s="5688"/>
      <c r="R32" s="5688"/>
      <c r="S32" s="5688"/>
      <c r="T32" s="5688"/>
      <c r="U32" s="5688"/>
      <c r="V32" s="5688"/>
      <c r="W32" s="5688"/>
      <c r="X32" s="5688"/>
      <c r="Y32" s="5688"/>
      <c r="Z32" s="5688"/>
      <c r="AA32" s="5688"/>
      <c r="AB32" s="5688"/>
      <c r="AC32" s="5688"/>
      <c r="AD32" s="5688"/>
      <c r="AE32" s="5725"/>
      <c r="AF32" s="3209"/>
      <c r="DG32" s="3186"/>
    </row>
    <row r="33" spans="2:112" ht="12" customHeight="1">
      <c r="B33" s="5719"/>
      <c r="C33" s="5688"/>
      <c r="D33" s="5688"/>
      <c r="E33" s="5688"/>
      <c r="F33" s="5688"/>
      <c r="G33" s="5688"/>
      <c r="H33" s="5688" t="s">
        <v>10331</v>
      </c>
      <c r="I33" s="5688"/>
      <c r="J33" s="5688"/>
      <c r="K33" s="5688"/>
      <c r="L33" s="5688"/>
      <c r="M33" s="5688"/>
      <c r="N33" s="5688"/>
      <c r="O33" s="5688"/>
      <c r="P33" s="5688"/>
      <c r="Q33" s="5688"/>
      <c r="R33" s="5688"/>
      <c r="S33" s="5688"/>
      <c r="T33" s="5688"/>
      <c r="U33" s="5688"/>
      <c r="V33" s="5688"/>
      <c r="W33" s="5688"/>
      <c r="X33" s="5688"/>
      <c r="Y33" s="5688"/>
      <c r="Z33" s="5688"/>
      <c r="AA33" s="5688"/>
      <c r="AB33" s="5688"/>
      <c r="AC33" s="5688"/>
      <c r="AD33" s="5688"/>
      <c r="AE33" s="5725"/>
      <c r="AF33" s="3209"/>
      <c r="DG33" s="3186"/>
    </row>
    <row r="34" spans="2:112" ht="12" customHeight="1">
      <c r="B34" s="5719"/>
      <c r="C34" s="5688"/>
      <c r="D34" s="5688"/>
      <c r="E34" s="5688"/>
      <c r="F34" s="5688"/>
      <c r="G34" s="5688"/>
      <c r="H34" s="5688" t="s">
        <v>10256</v>
      </c>
      <c r="I34" s="5688"/>
      <c r="J34" s="5688"/>
      <c r="K34" s="5688"/>
      <c r="L34" s="5688"/>
      <c r="M34" s="5688"/>
      <c r="N34" s="5688"/>
      <c r="O34" s="5688"/>
      <c r="P34" s="5688"/>
      <c r="Q34" s="5688"/>
      <c r="R34" s="5688"/>
      <c r="S34" s="5688"/>
      <c r="T34" s="5688"/>
      <c r="U34" s="5688"/>
      <c r="V34" s="5688"/>
      <c r="W34" s="5688"/>
      <c r="X34" s="5688"/>
      <c r="Y34" s="5688"/>
      <c r="Z34" s="5688"/>
      <c r="AA34" s="5688"/>
      <c r="AB34" s="5688"/>
      <c r="AC34" s="5688"/>
      <c r="AD34" s="5688"/>
      <c r="AE34" s="5725"/>
      <c r="AF34" s="3209"/>
      <c r="DG34" s="3186"/>
    </row>
    <row r="35" spans="2:112" ht="12" customHeight="1" thickBot="1">
      <c r="B35" s="5726"/>
      <c r="C35" s="5727"/>
      <c r="D35" s="5727"/>
      <c r="E35" s="5727"/>
      <c r="F35" s="5727"/>
      <c r="G35" s="5727"/>
      <c r="H35" s="5727"/>
      <c r="I35" s="5727"/>
      <c r="J35" s="5727"/>
      <c r="K35" s="5727"/>
      <c r="L35" s="5727"/>
      <c r="M35" s="5727"/>
      <c r="N35" s="5727"/>
      <c r="O35" s="5727"/>
      <c r="P35" s="5727"/>
      <c r="Q35" s="5727"/>
      <c r="R35" s="5727"/>
      <c r="S35" s="5727"/>
      <c r="T35" s="5727"/>
      <c r="U35" s="5727"/>
      <c r="V35" s="5727"/>
      <c r="W35" s="5727"/>
      <c r="X35" s="5727"/>
      <c r="Y35" s="5727"/>
      <c r="Z35" s="5727"/>
      <c r="AA35" s="5727"/>
      <c r="AB35" s="5727"/>
      <c r="AC35" s="5727"/>
      <c r="AD35" s="5727"/>
      <c r="AE35" s="5728"/>
      <c r="AF35" s="3209"/>
      <c r="DG35" s="3186"/>
    </row>
    <row r="36" spans="2:112" ht="12" customHeight="1">
      <c r="B36" s="4849" t="str">
        <f>VLOOKUP(B27,Tabla_Efectos_Referencias,2,FALSE)</f>
        <v>'Tablas Técnicas'!$P$144:$P$159</v>
      </c>
      <c r="C36" s="4849"/>
      <c r="D36" s="4849"/>
      <c r="E36" s="4849"/>
      <c r="F36" s="4849"/>
      <c r="G36" s="4849" t="e">
        <f>VLOOKUP(H27,Tabla_Efectos_Referencias,2,FALSE)</f>
        <v>#N/A</v>
      </c>
      <c r="H36" s="4849"/>
      <c r="I36" s="4849"/>
      <c r="J36" s="4849"/>
      <c r="K36" s="4849"/>
      <c r="L36" s="4849" t="e">
        <f>VLOOKUP(M27,Tabla_Efectos_Referencias,2,FALSE)</f>
        <v>#N/A</v>
      </c>
      <c r="M36" s="4849"/>
      <c r="N36" s="4849"/>
      <c r="O36" s="4849"/>
      <c r="P36" s="4849"/>
      <c r="Q36" s="4849" t="e">
        <f>VLOOKUP(#REF!,Tabla_Efectos_Referencias,2,FALSE)</f>
        <v>#REF!</v>
      </c>
      <c r="R36" s="4849"/>
      <c r="S36" s="4849"/>
      <c r="T36" s="4849"/>
      <c r="U36" s="4849"/>
      <c r="V36" s="4849"/>
      <c r="W36" s="4849"/>
      <c r="X36" s="4849"/>
      <c r="Y36" s="4849"/>
      <c r="Z36" s="4849"/>
      <c r="AA36" s="4849"/>
      <c r="AB36" s="4849"/>
      <c r="AC36" s="4849"/>
      <c r="AD36" s="4849"/>
      <c r="AE36" s="4849"/>
      <c r="AF36" s="3209"/>
      <c r="DG36" s="3186"/>
    </row>
    <row r="37" spans="2:112" ht="12" customHeight="1">
      <c r="B37" s="3209"/>
      <c r="C37" s="3209"/>
      <c r="E37" s="3209"/>
      <c r="F37" s="3209"/>
      <c r="G37" s="3209"/>
      <c r="H37" s="3209"/>
      <c r="I37" s="3209"/>
      <c r="J37" s="3209"/>
      <c r="K37" s="3209"/>
      <c r="L37" s="3209"/>
      <c r="M37" s="3209"/>
      <c r="N37" s="3209"/>
      <c r="O37" s="3209"/>
      <c r="P37" s="3209"/>
      <c r="Q37" s="3209"/>
      <c r="R37" s="3209"/>
      <c r="S37" s="3209"/>
      <c r="T37" s="3209"/>
      <c r="U37" s="3209"/>
      <c r="V37" s="3209"/>
      <c r="W37" s="3209"/>
      <c r="X37" s="3209"/>
      <c r="Y37" s="3209"/>
      <c r="Z37" s="3209"/>
      <c r="AA37" s="3209"/>
      <c r="AB37" s="3209"/>
      <c r="AC37" s="3209"/>
      <c r="AD37" s="3209"/>
      <c r="AE37" s="3209"/>
      <c r="AF37" s="3209"/>
      <c r="DG37" s="3186"/>
    </row>
    <row r="38" spans="2:112" ht="12" customHeight="1">
      <c r="DG38" s="3186"/>
    </row>
    <row r="39" spans="2:112" ht="12" customHeight="1">
      <c r="DG39" s="3186"/>
    </row>
    <row r="40" spans="2:112" ht="12" customHeight="1">
      <c r="DG40" s="3186"/>
    </row>
    <row r="41" spans="2:112" ht="12" customHeight="1">
      <c r="DG41" s="3186"/>
    </row>
    <row r="42" spans="2:112" ht="12" customHeight="1">
      <c r="DG42" s="3186"/>
    </row>
    <row r="43" spans="2:112" ht="12" customHeight="1">
      <c r="D43" s="3185"/>
      <c r="DG43" s="3186"/>
    </row>
    <row r="44" spans="2:112" ht="12" customHeight="1">
      <c r="D44" s="3185"/>
      <c r="DG44" s="3186"/>
    </row>
    <row r="45" spans="2:112" ht="12" customHeight="1">
      <c r="D45" s="3185"/>
      <c r="DH45" s="3186"/>
    </row>
    <row r="46" spans="2:112" ht="12" customHeight="1">
      <c r="D46" s="3185"/>
      <c r="DG46" s="3186"/>
    </row>
    <row r="47" spans="2:112" ht="12" customHeight="1">
      <c r="D47" s="3185"/>
      <c r="DD47" s="3187"/>
      <c r="DG47" s="3186"/>
    </row>
    <row r="48" spans="2:112" ht="12" customHeight="1">
      <c r="D48" s="3185"/>
      <c r="DD48" s="3187"/>
      <c r="DG48" s="3186"/>
    </row>
    <row r="49" spans="4:111" ht="12" customHeight="1">
      <c r="D49" s="3185"/>
      <c r="DD49" s="3187"/>
      <c r="DG49" s="3186"/>
    </row>
    <row r="50" spans="4:111" ht="12" customHeight="1">
      <c r="D50" s="3185"/>
      <c r="DD50" s="3187"/>
      <c r="DG50" s="3186"/>
    </row>
    <row r="51" spans="4:111" ht="12" customHeight="1">
      <c r="D51" s="3185"/>
      <c r="DD51" s="3187"/>
      <c r="DG51" s="3186"/>
    </row>
    <row r="52" spans="4:111" ht="12" customHeight="1">
      <c r="D52" s="3185"/>
      <c r="DG52" s="3186"/>
    </row>
    <row r="53" spans="4:111" ht="12" customHeight="1">
      <c r="D53" s="3185"/>
      <c r="DG53" s="3186"/>
    </row>
    <row r="54" spans="4:111" ht="12" customHeight="1">
      <c r="D54" s="3185"/>
      <c r="DG54" s="3186"/>
    </row>
    <row r="55" spans="4:111" ht="12" customHeight="1">
      <c r="D55" s="3185"/>
      <c r="DG55" s="3186"/>
    </row>
    <row r="56" spans="4:111" ht="12" customHeight="1">
      <c r="D56" s="3185"/>
      <c r="DG56" s="3186"/>
    </row>
    <row r="57" spans="4:111" ht="12" customHeight="1">
      <c r="D57" s="3185"/>
      <c r="DG57" s="3186"/>
    </row>
    <row r="58" spans="4:111" ht="12" customHeight="1">
      <c r="D58" s="3185"/>
      <c r="DG58" s="3186"/>
    </row>
    <row r="59" spans="4:111" ht="12" customHeight="1">
      <c r="D59" s="3185"/>
      <c r="DG59" s="3186"/>
    </row>
    <row r="60" spans="4:111" ht="12" customHeight="1">
      <c r="D60" s="3185"/>
      <c r="DG60" s="3186"/>
    </row>
    <row r="61" spans="4:111" ht="12" customHeight="1">
      <c r="D61" s="3185"/>
      <c r="DG61" s="3186"/>
    </row>
    <row r="62" spans="4:111" ht="12" customHeight="1">
      <c r="D62" s="3185"/>
      <c r="DG62" s="3186"/>
    </row>
    <row r="63" spans="4:111" ht="12" customHeight="1">
      <c r="D63" s="3185"/>
      <c r="DG63" s="3186"/>
    </row>
    <row r="64" spans="4:111" ht="12" customHeight="1">
      <c r="D64" s="3185"/>
      <c r="DG64" s="3186"/>
    </row>
    <row r="65" spans="4:111" ht="12" customHeight="1">
      <c r="D65" s="3185"/>
      <c r="DG65" s="3186"/>
    </row>
    <row r="66" spans="4:111" ht="12" customHeight="1">
      <c r="D66" s="3185"/>
      <c r="DG66" s="3186"/>
    </row>
    <row r="67" spans="4:111" ht="12" customHeight="1">
      <c r="D67" s="3185"/>
      <c r="DG67" s="3186"/>
    </row>
    <row r="68" spans="4:111" ht="12" customHeight="1">
      <c r="D68" s="3185"/>
      <c r="DG68" s="3186"/>
    </row>
    <row r="69" spans="4:111" ht="12" customHeight="1">
      <c r="D69" s="3185"/>
      <c r="DG69" s="3186"/>
    </row>
    <row r="70" spans="4:111" ht="12" customHeight="1">
      <c r="D70" s="3185"/>
      <c r="DG70" s="3186"/>
    </row>
    <row r="71" spans="4:111" ht="12" customHeight="1">
      <c r="D71" s="3185"/>
      <c r="DG71" s="3186"/>
    </row>
    <row r="72" spans="4:111" ht="12" customHeight="1">
      <c r="D72" s="3185"/>
      <c r="DG72" s="3186"/>
    </row>
    <row r="73" spans="4:111" ht="12" customHeight="1">
      <c r="D73" s="3185"/>
      <c r="DG73" s="3186"/>
    </row>
    <row r="74" spans="4:111" ht="12" customHeight="1">
      <c r="D74" s="3185"/>
      <c r="DG74" s="3186"/>
    </row>
    <row r="75" spans="4:111" ht="12" customHeight="1">
      <c r="D75" s="3185"/>
      <c r="DG75" s="3186"/>
    </row>
    <row r="76" spans="4:111" ht="12" customHeight="1">
      <c r="D76" s="3185"/>
      <c r="DG76" s="3186"/>
    </row>
    <row r="77" spans="4:111" ht="12" customHeight="1">
      <c r="D77" s="3185"/>
      <c r="DG77" s="3186"/>
    </row>
    <row r="78" spans="4:111" ht="12" customHeight="1">
      <c r="D78" s="3185"/>
      <c r="DG78" s="3186"/>
    </row>
    <row r="79" spans="4:111" ht="12" customHeight="1">
      <c r="D79" s="3185"/>
      <c r="DG79" s="3186"/>
    </row>
    <row r="80" spans="4:111" ht="12" customHeight="1">
      <c r="D80" s="3185"/>
      <c r="DG80" s="3186"/>
    </row>
    <row r="81" spans="4:112" ht="12" customHeight="1">
      <c r="D81" s="3185"/>
      <c r="DG81" s="3186"/>
    </row>
    <row r="82" spans="4:112" ht="12" customHeight="1">
      <c r="D82" s="3185"/>
      <c r="DH82" s="3186"/>
    </row>
    <row r="83" spans="4:112" ht="12" customHeight="1">
      <c r="D83" s="3185"/>
      <c r="DG83" s="3186"/>
    </row>
    <row r="84" spans="4:112" ht="12" customHeight="1">
      <c r="D84" s="3185"/>
      <c r="DD84" s="3187"/>
      <c r="DG84" s="3186"/>
    </row>
    <row r="85" spans="4:112" ht="12" customHeight="1">
      <c r="D85" s="3185"/>
      <c r="DD85" s="3187"/>
      <c r="DG85" s="3186"/>
    </row>
    <row r="86" spans="4:112" ht="12" customHeight="1">
      <c r="D86" s="3185"/>
      <c r="DD86" s="3187"/>
      <c r="DG86" s="3186"/>
    </row>
    <row r="87" spans="4:112" ht="12" customHeight="1">
      <c r="D87" s="3185"/>
      <c r="DD87" s="3187"/>
      <c r="DG87" s="3186"/>
    </row>
    <row r="88" spans="4:112" ht="12" customHeight="1">
      <c r="D88" s="3185"/>
      <c r="DD88" s="3187"/>
      <c r="DG88" s="3186"/>
    </row>
    <row r="89" spans="4:112" ht="12" customHeight="1">
      <c r="D89" s="3185"/>
      <c r="DG89" s="3186"/>
    </row>
    <row r="90" spans="4:112" ht="12" customHeight="1">
      <c r="D90" s="3185"/>
      <c r="DG90" s="3186"/>
    </row>
    <row r="91" spans="4:112" ht="12" customHeight="1">
      <c r="D91" s="3185"/>
      <c r="DG91" s="3186"/>
    </row>
    <row r="92" spans="4:112" ht="12" customHeight="1">
      <c r="D92" s="3185"/>
      <c r="DG92" s="3186"/>
    </row>
    <row r="93" spans="4:112" ht="12" customHeight="1">
      <c r="D93" s="3185"/>
      <c r="DG93" s="3186"/>
    </row>
    <row r="94" spans="4:112" ht="12" customHeight="1">
      <c r="D94" s="3185"/>
      <c r="DG94" s="3186"/>
    </row>
    <row r="95" spans="4:112" ht="12" customHeight="1">
      <c r="D95" s="3185"/>
      <c r="DG95" s="3186"/>
    </row>
    <row r="96" spans="4:112" ht="12" customHeight="1">
      <c r="D96" s="3185"/>
      <c r="DG96" s="3186"/>
    </row>
    <row r="97" spans="4:111" ht="12" customHeight="1">
      <c r="D97" s="3185"/>
      <c r="DG97" s="3186"/>
    </row>
    <row r="98" spans="4:111" ht="12" customHeight="1">
      <c r="D98" s="3185"/>
      <c r="DG98" s="3186"/>
    </row>
    <row r="99" spans="4:111" ht="12" customHeight="1">
      <c r="D99" s="3185"/>
      <c r="DG99" s="3186"/>
    </row>
    <row r="100" spans="4:111" ht="12" customHeight="1">
      <c r="D100" s="3185"/>
      <c r="DG100" s="3186"/>
    </row>
    <row r="101" spans="4:111" ht="12" customHeight="1">
      <c r="D101" s="3185"/>
      <c r="DG101" s="3186"/>
    </row>
    <row r="102" spans="4:111" ht="12" customHeight="1">
      <c r="D102" s="3185"/>
      <c r="DG102" s="3186"/>
    </row>
    <row r="103" spans="4:111" ht="12" customHeight="1">
      <c r="D103" s="3185"/>
      <c r="DG103" s="3186"/>
    </row>
    <row r="104" spans="4:111" ht="12" customHeight="1">
      <c r="D104" s="3185"/>
      <c r="DG104" s="3186"/>
    </row>
    <row r="105" spans="4:111" ht="12" customHeight="1">
      <c r="D105" s="3185"/>
      <c r="DG105" s="3186"/>
    </row>
    <row r="106" spans="4:111" ht="12" customHeight="1">
      <c r="D106" s="3185"/>
      <c r="DG106" s="3186"/>
    </row>
    <row r="107" spans="4:111" ht="12" customHeight="1">
      <c r="D107" s="3185"/>
      <c r="DG107" s="3186"/>
    </row>
    <row r="108" spans="4:111" ht="12" customHeight="1">
      <c r="D108" s="3185"/>
      <c r="DG108" s="3186"/>
    </row>
    <row r="109" spans="4:111" ht="12" customHeight="1">
      <c r="D109" s="3185"/>
      <c r="DG109" s="3186"/>
    </row>
    <row r="110" spans="4:111" ht="12" customHeight="1">
      <c r="D110" s="3185"/>
      <c r="DG110" s="3186"/>
    </row>
    <row r="111" spans="4:111" ht="12" customHeight="1">
      <c r="D111" s="3185"/>
      <c r="DG111" s="3186"/>
    </row>
    <row r="112" spans="4:111" ht="12" customHeight="1">
      <c r="D112" s="3185"/>
      <c r="DG112" s="3186"/>
    </row>
    <row r="113" spans="4:112" ht="12" customHeight="1">
      <c r="D113" s="3185"/>
      <c r="DG113" s="3186"/>
    </row>
    <row r="114" spans="4:112" ht="12" customHeight="1">
      <c r="D114" s="3185"/>
      <c r="DG114" s="3186"/>
    </row>
    <row r="115" spans="4:112" ht="12" customHeight="1">
      <c r="D115" s="3185"/>
      <c r="DG115" s="3186"/>
    </row>
    <row r="116" spans="4:112" ht="12" customHeight="1">
      <c r="D116" s="3185"/>
      <c r="DG116" s="3186"/>
    </row>
    <row r="117" spans="4:112" ht="12" customHeight="1">
      <c r="D117" s="3185"/>
      <c r="DG117" s="3186"/>
    </row>
    <row r="118" spans="4:112" ht="12" customHeight="1">
      <c r="D118" s="3185"/>
      <c r="DG118" s="3186"/>
    </row>
    <row r="119" spans="4:112" ht="12" customHeight="1">
      <c r="D119" s="3185"/>
      <c r="DH119" s="3186"/>
    </row>
    <row r="120" spans="4:112" ht="12" customHeight="1">
      <c r="D120" s="3185"/>
      <c r="DG120" s="3186"/>
    </row>
    <row r="121" spans="4:112" ht="12" customHeight="1">
      <c r="D121" s="3185"/>
      <c r="DD121" s="3187"/>
      <c r="DG121" s="3186"/>
    </row>
    <row r="122" spans="4:112" ht="12" customHeight="1">
      <c r="D122" s="3185"/>
      <c r="DD122" s="3187"/>
      <c r="DG122" s="3186"/>
    </row>
    <row r="123" spans="4:112" ht="12" customHeight="1">
      <c r="D123" s="3185"/>
      <c r="DD123" s="3187"/>
      <c r="DG123" s="3186"/>
    </row>
    <row r="124" spans="4:112" ht="12" customHeight="1">
      <c r="D124" s="3185"/>
      <c r="DD124" s="3187"/>
      <c r="DG124" s="3186"/>
    </row>
    <row r="125" spans="4:112" ht="12" customHeight="1">
      <c r="D125" s="3185"/>
      <c r="DD125" s="3187"/>
      <c r="DG125" s="3186"/>
    </row>
    <row r="126" spans="4:112" ht="12" customHeight="1">
      <c r="E126" s="3204"/>
      <c r="I126" s="3190"/>
      <c r="J126" s="3190"/>
      <c r="L126" s="3190"/>
      <c r="M126" s="3190"/>
      <c r="O126" s="3190"/>
      <c r="P126" s="3190"/>
      <c r="AT126" s="3202"/>
      <c r="AU126" s="3202"/>
      <c r="AV126" s="3202"/>
      <c r="AW126" s="3202"/>
      <c r="AX126" s="3202"/>
      <c r="AY126" s="3202"/>
      <c r="AZ126" s="3202"/>
      <c r="BA126" s="3202"/>
      <c r="BB126" s="3202"/>
      <c r="DG126" s="3186"/>
    </row>
    <row r="127" spans="4:112" ht="12" customHeight="1">
      <c r="E127" s="3204"/>
      <c r="F127" s="3202"/>
      <c r="G127" s="3202"/>
      <c r="H127" s="3202"/>
      <c r="I127" s="3203"/>
      <c r="J127" s="3203"/>
      <c r="K127" s="3202"/>
      <c r="L127" s="3203"/>
      <c r="M127" s="3203"/>
      <c r="N127" s="3202"/>
      <c r="O127" s="3203"/>
      <c r="P127" s="3203"/>
      <c r="Q127" s="3202"/>
      <c r="R127" s="3202"/>
      <c r="S127" s="3202"/>
      <c r="T127" s="3202"/>
      <c r="U127" s="3202"/>
      <c r="V127" s="3202"/>
      <c r="W127" s="3203"/>
      <c r="X127" s="3202"/>
      <c r="Y127" s="3202"/>
      <c r="Z127" s="3202"/>
      <c r="AA127" s="3202"/>
      <c r="AB127" s="3202"/>
      <c r="AC127" s="3202"/>
      <c r="AD127" s="3202"/>
      <c r="AE127" s="3202"/>
      <c r="AF127" s="3202"/>
      <c r="AG127" s="3203"/>
      <c r="AH127" s="3202"/>
      <c r="AI127" s="3202"/>
      <c r="AJ127" s="3202"/>
      <c r="AK127" s="3202"/>
      <c r="AL127" s="3202"/>
      <c r="AM127" s="3202"/>
      <c r="AN127" s="3202"/>
      <c r="AO127" s="3202"/>
      <c r="AP127" s="3202"/>
      <c r="AQ127" s="3202"/>
      <c r="AR127" s="3202"/>
      <c r="AS127" s="3202"/>
      <c r="AT127" s="3202"/>
      <c r="AU127" s="3202"/>
      <c r="AV127" s="3202"/>
      <c r="AW127" s="3202"/>
      <c r="AX127" s="3202"/>
      <c r="AY127" s="3202"/>
      <c r="AZ127" s="3203"/>
      <c r="BA127" s="3203"/>
      <c r="BB127" s="3202"/>
      <c r="DG127" s="3186"/>
    </row>
    <row r="128" spans="4:112" ht="12" customHeight="1">
      <c r="E128" s="3204"/>
      <c r="F128" s="3202"/>
      <c r="G128" s="3202"/>
      <c r="H128" s="3202"/>
      <c r="I128" s="3203"/>
      <c r="J128" s="3203"/>
      <c r="K128" s="3202"/>
      <c r="L128" s="3203"/>
      <c r="M128" s="3203"/>
      <c r="N128" s="3202"/>
      <c r="O128" s="3203"/>
      <c r="P128" s="3203"/>
      <c r="Q128" s="3202"/>
      <c r="R128" s="3202"/>
      <c r="S128" s="3202"/>
      <c r="T128" s="3202"/>
      <c r="U128" s="3202"/>
      <c r="V128" s="3202"/>
      <c r="W128" s="3202"/>
      <c r="X128" s="3202"/>
      <c r="Y128" s="3202"/>
      <c r="Z128" s="3202"/>
      <c r="AA128" s="3202"/>
      <c r="AB128" s="3202"/>
      <c r="AC128" s="3202"/>
      <c r="AD128" s="3202"/>
      <c r="AE128" s="3202"/>
      <c r="AF128" s="3202"/>
      <c r="AG128" s="3202"/>
      <c r="AH128" s="3202"/>
      <c r="AI128" s="3202"/>
      <c r="AJ128" s="3202"/>
      <c r="AK128" s="3202"/>
      <c r="AL128" s="3202"/>
      <c r="AM128" s="3202"/>
      <c r="AN128" s="3202"/>
      <c r="AO128" s="3202"/>
      <c r="AP128" s="3202"/>
      <c r="AQ128" s="3202"/>
      <c r="AR128" s="3202"/>
      <c r="AS128" s="3202"/>
      <c r="AT128" s="3202"/>
      <c r="AU128" s="3202"/>
      <c r="AV128" s="3202"/>
      <c r="AW128" s="3202"/>
      <c r="AX128" s="3202"/>
      <c r="AY128" s="3202"/>
      <c r="AZ128" s="3202"/>
      <c r="BA128" s="3202"/>
      <c r="BB128" s="3202"/>
      <c r="DG128" s="3186"/>
    </row>
    <row r="129" spans="5:111" ht="12" customHeight="1">
      <c r="E129" s="3204"/>
      <c r="F129" s="3202"/>
      <c r="G129" s="3202"/>
      <c r="H129" s="3202"/>
      <c r="I129" s="3203"/>
      <c r="J129" s="3203"/>
      <c r="K129" s="3202"/>
      <c r="L129" s="3203"/>
      <c r="M129" s="3203"/>
      <c r="N129" s="3202"/>
      <c r="O129" s="3203"/>
      <c r="P129" s="3203"/>
      <c r="Q129" s="3202"/>
      <c r="R129" s="3202"/>
      <c r="S129" s="3202"/>
      <c r="T129" s="3202"/>
      <c r="U129" s="3202"/>
      <c r="V129" s="3202"/>
      <c r="W129" s="3202"/>
      <c r="X129" s="3202"/>
      <c r="Y129" s="3202"/>
      <c r="Z129" s="3202"/>
      <c r="AA129" s="3202"/>
      <c r="AB129" s="3202"/>
      <c r="AC129" s="3202"/>
      <c r="AD129" s="3202"/>
      <c r="AE129" s="3202"/>
      <c r="AF129" s="3202"/>
      <c r="AG129" s="3202"/>
      <c r="AH129" s="3202"/>
      <c r="AI129" s="3202"/>
      <c r="AJ129" s="3202"/>
      <c r="AK129" s="3202"/>
      <c r="AL129" s="3202"/>
      <c r="AM129" s="3202"/>
      <c r="AN129" s="3202"/>
      <c r="AO129" s="3202"/>
      <c r="AP129" s="3202"/>
      <c r="AQ129" s="3202"/>
      <c r="AR129" s="3202"/>
      <c r="AS129" s="3202"/>
      <c r="AT129" s="3202"/>
      <c r="AU129" s="3202"/>
      <c r="AV129" s="3202"/>
      <c r="AW129" s="3202"/>
      <c r="AX129" s="3202"/>
      <c r="AY129" s="3202"/>
      <c r="AZ129" s="3203"/>
      <c r="BA129" s="3203"/>
      <c r="BB129" s="3202"/>
      <c r="DG129" s="3186"/>
    </row>
    <row r="130" spans="5:111" ht="12" customHeight="1">
      <c r="E130" s="3204"/>
      <c r="F130" s="3202"/>
      <c r="G130" s="3202"/>
      <c r="H130" s="3202"/>
      <c r="I130" s="3203"/>
      <c r="J130" s="3203"/>
      <c r="K130" s="3202"/>
      <c r="L130" s="3203"/>
      <c r="M130" s="3203"/>
      <c r="N130" s="3202"/>
      <c r="O130" s="3203"/>
      <c r="P130" s="3203"/>
      <c r="Q130" s="3202"/>
      <c r="R130" s="3202"/>
      <c r="S130" s="3202"/>
      <c r="T130" s="3202"/>
      <c r="U130" s="3202"/>
      <c r="V130" s="3203"/>
      <c r="W130" s="3203"/>
      <c r="X130" s="3203"/>
      <c r="Y130" s="3203"/>
      <c r="Z130" s="3203"/>
      <c r="AA130" s="3203"/>
      <c r="AB130" s="3203"/>
      <c r="AC130" s="3203"/>
      <c r="AD130" s="3203"/>
      <c r="AE130" s="3203"/>
      <c r="AF130" s="3203"/>
      <c r="AG130" s="3203"/>
      <c r="AH130" s="3203"/>
      <c r="AI130" s="3203"/>
      <c r="AJ130" s="3203"/>
      <c r="AK130" s="3203"/>
      <c r="AL130" s="3203"/>
      <c r="AM130" s="3203"/>
      <c r="AN130" s="3203"/>
      <c r="AO130" s="3203"/>
      <c r="AP130" s="3203"/>
      <c r="AQ130" s="3202"/>
      <c r="AR130" s="3202"/>
      <c r="AS130" s="3202"/>
      <c r="AT130" s="3202"/>
      <c r="AU130" s="3202"/>
      <c r="AV130" s="3202"/>
      <c r="AW130" s="3202"/>
      <c r="AX130" s="3202"/>
      <c r="AY130" s="3202"/>
      <c r="AZ130" s="3201"/>
      <c r="BA130" s="3201"/>
      <c r="BB130" s="3202"/>
      <c r="DG130" s="3186"/>
    </row>
    <row r="131" spans="5:111" ht="12" customHeight="1">
      <c r="E131" s="3204"/>
      <c r="F131" s="3202"/>
      <c r="G131" s="3202"/>
      <c r="H131" s="3202"/>
      <c r="I131" s="3203"/>
      <c r="J131" s="3203"/>
      <c r="K131" s="3202"/>
      <c r="L131" s="3203"/>
      <c r="M131" s="3203"/>
      <c r="N131" s="3202"/>
      <c r="O131" s="3203"/>
      <c r="P131" s="3203"/>
      <c r="Q131" s="3202"/>
      <c r="R131" s="3202"/>
      <c r="S131" s="3202"/>
      <c r="T131" s="3202"/>
      <c r="U131" s="3202"/>
      <c r="V131" s="3203"/>
      <c r="W131" s="3203"/>
      <c r="X131" s="3203"/>
      <c r="Y131" s="3203"/>
      <c r="Z131" s="3203"/>
      <c r="AA131" s="3203"/>
      <c r="AB131" s="3203"/>
      <c r="AC131" s="3203"/>
      <c r="AD131" s="3203"/>
      <c r="AE131" s="3203"/>
      <c r="AF131" s="3203"/>
      <c r="AG131" s="3203"/>
      <c r="AH131" s="3203"/>
      <c r="AI131" s="3203"/>
      <c r="AJ131" s="3203"/>
      <c r="AK131" s="3203"/>
      <c r="AL131" s="3203"/>
      <c r="AM131" s="3203"/>
      <c r="AN131" s="3203"/>
      <c r="AO131" s="3203"/>
      <c r="AP131" s="3203"/>
      <c r="AQ131" s="3202"/>
      <c r="AR131" s="3202"/>
      <c r="AS131" s="3202"/>
      <c r="AT131" s="3202"/>
      <c r="AU131" s="3202"/>
      <c r="AV131" s="3202"/>
      <c r="AW131" s="3202"/>
      <c r="AX131" s="3202"/>
      <c r="AY131" s="3202"/>
      <c r="AZ131" s="3205"/>
      <c r="BA131" s="3205"/>
      <c r="BB131" s="3202"/>
      <c r="DG131" s="3186"/>
    </row>
    <row r="132" spans="5:111" ht="12" customHeight="1">
      <c r="E132" s="3204"/>
      <c r="I132" s="3190"/>
      <c r="J132" s="3190"/>
      <c r="L132" s="3190"/>
      <c r="M132" s="3190"/>
      <c r="O132" s="3190"/>
      <c r="P132" s="3190"/>
      <c r="AT132" s="3202"/>
      <c r="AU132" s="3202"/>
      <c r="AV132" s="3202"/>
      <c r="AW132" s="3202"/>
      <c r="AX132" s="3202"/>
      <c r="AY132" s="3202"/>
      <c r="BB132" s="3202"/>
      <c r="DG132" s="3186"/>
    </row>
    <row r="133" spans="5:111" ht="12" customHeight="1">
      <c r="E133" s="3204"/>
      <c r="F133" s="3202"/>
      <c r="G133" s="3202"/>
      <c r="H133" s="3202"/>
      <c r="I133" s="3203"/>
      <c r="J133" s="3203"/>
      <c r="K133" s="3202"/>
      <c r="L133" s="3203"/>
      <c r="M133" s="3203"/>
      <c r="N133" s="3202"/>
      <c r="O133" s="3203"/>
      <c r="P133" s="3203"/>
      <c r="Q133" s="3202"/>
      <c r="R133" s="3202"/>
      <c r="S133" s="3202"/>
      <c r="T133" s="3202"/>
      <c r="U133" s="3202"/>
      <c r="V133" s="3202"/>
      <c r="W133" s="3203"/>
      <c r="X133" s="3202"/>
      <c r="Y133" s="3202"/>
      <c r="Z133" s="3202"/>
      <c r="AA133" s="3202"/>
      <c r="AB133" s="3202"/>
      <c r="AC133" s="3202"/>
      <c r="AD133" s="3202"/>
      <c r="AE133" s="3202"/>
      <c r="AF133" s="3202"/>
      <c r="AG133" s="3203"/>
      <c r="AH133" s="3202"/>
      <c r="AI133" s="3202"/>
      <c r="AJ133" s="3202"/>
      <c r="AK133" s="3202"/>
      <c r="AL133" s="3202"/>
      <c r="AM133" s="3202"/>
      <c r="AN133" s="3202"/>
      <c r="AO133" s="3202"/>
      <c r="AP133" s="3202"/>
      <c r="AQ133" s="3202"/>
      <c r="AR133" s="3202"/>
      <c r="AS133" s="3202"/>
      <c r="AT133" s="3202"/>
      <c r="AU133" s="3202"/>
      <c r="AV133" s="3202"/>
      <c r="AW133" s="3202"/>
      <c r="AX133" s="3202"/>
      <c r="AY133" s="3202"/>
      <c r="AZ133" s="3201"/>
      <c r="BA133" s="3201"/>
      <c r="BB133" s="3202"/>
      <c r="BC133" s="3201"/>
      <c r="BD133" s="3201"/>
      <c r="BE133" s="3201"/>
      <c r="DG133" s="3186"/>
    </row>
    <row r="134" spans="5:111" ht="12" customHeight="1">
      <c r="E134" s="3204"/>
      <c r="F134" s="3202"/>
      <c r="G134" s="3202"/>
      <c r="H134" s="3202"/>
      <c r="I134" s="3203"/>
      <c r="J134" s="3203"/>
      <c r="K134" s="3202"/>
      <c r="L134" s="3203"/>
      <c r="M134" s="3203"/>
      <c r="N134" s="3202"/>
      <c r="O134" s="3203"/>
      <c r="P134" s="3203"/>
      <c r="Q134" s="3202"/>
      <c r="R134" s="3202"/>
      <c r="S134" s="3202"/>
      <c r="T134" s="3202"/>
      <c r="U134" s="3202"/>
      <c r="V134" s="3202"/>
      <c r="W134" s="3202"/>
      <c r="X134" s="3202"/>
      <c r="Y134" s="3202"/>
      <c r="Z134" s="3202"/>
      <c r="AA134" s="3202"/>
      <c r="AB134" s="3202"/>
      <c r="AC134" s="3202"/>
      <c r="AD134" s="3202"/>
      <c r="AE134" s="3202"/>
      <c r="AF134" s="3202"/>
      <c r="AG134" s="3202"/>
      <c r="AH134" s="3202"/>
      <c r="AI134" s="3202"/>
      <c r="AJ134" s="3202"/>
      <c r="AK134" s="3202"/>
      <c r="AL134" s="3202"/>
      <c r="AM134" s="3202"/>
      <c r="AN134" s="3202"/>
      <c r="AO134" s="3202"/>
      <c r="AP134" s="3202"/>
      <c r="AQ134" s="3202"/>
      <c r="AR134" s="3202"/>
      <c r="AS134" s="3202"/>
      <c r="AT134" s="3202"/>
      <c r="AU134" s="3202"/>
      <c r="AV134" s="3202"/>
      <c r="AW134" s="3202"/>
      <c r="AX134" s="3202"/>
      <c r="AY134" s="3202"/>
      <c r="AZ134" s="3205"/>
      <c r="BA134" s="3206"/>
      <c r="BB134" s="3202"/>
      <c r="BC134" s="3205"/>
      <c r="BD134" s="3205"/>
      <c r="BE134" s="3205"/>
      <c r="DG134" s="3186"/>
    </row>
    <row r="135" spans="5:111" ht="12" customHeight="1">
      <c r="E135" s="3204"/>
      <c r="F135" s="3202"/>
      <c r="G135" s="3202"/>
      <c r="H135" s="3202"/>
      <c r="I135" s="3203"/>
      <c r="J135" s="3203"/>
      <c r="K135" s="3202"/>
      <c r="L135" s="3203"/>
      <c r="M135" s="3203"/>
      <c r="N135" s="3202"/>
      <c r="O135" s="3203"/>
      <c r="P135" s="3203"/>
      <c r="Q135" s="3202"/>
      <c r="R135" s="3202"/>
      <c r="S135" s="3202"/>
      <c r="T135" s="3202"/>
      <c r="U135" s="3202"/>
      <c r="V135" s="3202"/>
      <c r="W135" s="3202"/>
      <c r="X135" s="3202"/>
      <c r="Y135" s="3202"/>
      <c r="Z135" s="3202"/>
      <c r="AA135" s="3202"/>
      <c r="AB135" s="3202"/>
      <c r="AC135" s="3202"/>
      <c r="AD135" s="3202"/>
      <c r="AE135" s="3202"/>
      <c r="AF135" s="3202"/>
      <c r="AG135" s="3202"/>
      <c r="AH135" s="3202"/>
      <c r="AI135" s="3202"/>
      <c r="AJ135" s="3202"/>
      <c r="AK135" s="3202"/>
      <c r="AL135" s="3202"/>
      <c r="AM135" s="3202"/>
      <c r="AN135" s="3202"/>
      <c r="AO135" s="3202"/>
      <c r="AP135" s="3202"/>
      <c r="AQ135" s="3202"/>
      <c r="AR135" s="3202"/>
      <c r="AS135" s="3202"/>
      <c r="AT135" s="3202"/>
      <c r="AU135" s="3202"/>
      <c r="AV135" s="3202"/>
      <c r="AW135" s="3202"/>
      <c r="AX135" s="3202"/>
      <c r="AY135" s="3202"/>
      <c r="AZ135" s="3201"/>
      <c r="BA135" s="3201"/>
      <c r="BB135" s="3202"/>
      <c r="BC135" s="3201"/>
      <c r="BD135" s="3201"/>
      <c r="BE135" s="3201"/>
      <c r="DG135" s="3186"/>
    </row>
    <row r="136" spans="5:111" ht="12" customHeight="1">
      <c r="E136" s="3204"/>
      <c r="F136" s="3202"/>
      <c r="G136" s="3202"/>
      <c r="H136" s="3202"/>
      <c r="I136" s="3203"/>
      <c r="J136" s="3203"/>
      <c r="K136" s="3202"/>
      <c r="L136" s="3203"/>
      <c r="M136" s="3203"/>
      <c r="N136" s="3202"/>
      <c r="O136" s="3203"/>
      <c r="P136" s="3203"/>
      <c r="Q136" s="3202"/>
      <c r="R136" s="3202"/>
      <c r="S136" s="3202"/>
      <c r="T136" s="3202"/>
      <c r="U136" s="3202"/>
      <c r="V136" s="3203"/>
      <c r="W136" s="3203"/>
      <c r="X136" s="3203"/>
      <c r="Y136" s="3203"/>
      <c r="Z136" s="3203"/>
      <c r="AA136" s="3203"/>
      <c r="AB136" s="3203"/>
      <c r="AC136" s="3203"/>
      <c r="AD136" s="3203"/>
      <c r="AE136" s="3203"/>
      <c r="AF136" s="3203"/>
      <c r="AG136" s="3203"/>
      <c r="AH136" s="3203"/>
      <c r="AI136" s="3203"/>
      <c r="AJ136" s="3203"/>
      <c r="AK136" s="3203"/>
      <c r="AL136" s="3203"/>
      <c r="AM136" s="3203"/>
      <c r="AN136" s="3203"/>
      <c r="AO136" s="3203"/>
      <c r="AP136" s="3203"/>
      <c r="AQ136" s="3202"/>
      <c r="AR136" s="3202"/>
      <c r="AS136" s="3202"/>
      <c r="AT136" s="3202"/>
      <c r="AU136" s="3202"/>
      <c r="AV136" s="3202"/>
      <c r="AW136" s="3202"/>
      <c r="AX136" s="3202"/>
      <c r="AY136" s="3202"/>
      <c r="AZ136" s="3205"/>
      <c r="BA136" s="3206"/>
      <c r="BB136" s="3202"/>
      <c r="BC136" s="3205"/>
      <c r="BD136" s="3205"/>
      <c r="BE136" s="3205"/>
      <c r="DG136" s="3186"/>
    </row>
    <row r="137" spans="5:111" ht="12" customHeight="1">
      <c r="E137" s="3204"/>
      <c r="F137" s="3202"/>
      <c r="G137" s="3202"/>
      <c r="H137" s="3202"/>
      <c r="I137" s="3203"/>
      <c r="J137" s="3203"/>
      <c r="K137" s="3202"/>
      <c r="L137" s="3203"/>
      <c r="M137" s="3203"/>
      <c r="N137" s="3202"/>
      <c r="O137" s="3203"/>
      <c r="P137" s="3203"/>
      <c r="Q137" s="3202"/>
      <c r="R137" s="3202"/>
      <c r="S137" s="3202"/>
      <c r="T137" s="3202"/>
      <c r="U137" s="3202"/>
      <c r="V137" s="3203"/>
      <c r="W137" s="3203"/>
      <c r="X137" s="3203"/>
      <c r="Y137" s="3203"/>
      <c r="Z137" s="3203"/>
      <c r="AA137" s="3203"/>
      <c r="AB137" s="3203"/>
      <c r="AC137" s="3203"/>
      <c r="AD137" s="3203"/>
      <c r="AE137" s="3203"/>
      <c r="AF137" s="3203"/>
      <c r="AG137" s="3203"/>
      <c r="AH137" s="3203"/>
      <c r="AI137" s="3203"/>
      <c r="AJ137" s="3203"/>
      <c r="AK137" s="3203"/>
      <c r="AL137" s="3203"/>
      <c r="AM137" s="3203"/>
      <c r="AN137" s="3203"/>
      <c r="AO137" s="3203"/>
      <c r="AP137" s="3203"/>
      <c r="AQ137" s="3202"/>
      <c r="AR137" s="3202"/>
      <c r="AS137" s="3202"/>
      <c r="AT137" s="3202"/>
      <c r="AU137" s="3202"/>
      <c r="AV137" s="3202"/>
      <c r="AW137" s="3202"/>
      <c r="AX137" s="3202"/>
      <c r="AY137" s="3202"/>
      <c r="AZ137" s="3201"/>
      <c r="BA137" s="3201"/>
      <c r="BB137" s="3202"/>
      <c r="BC137" s="3201"/>
      <c r="BD137" s="3201"/>
      <c r="BE137" s="3201"/>
      <c r="DG137" s="3186"/>
    </row>
    <row r="138" spans="5:111" ht="12" customHeight="1">
      <c r="E138" s="3204"/>
      <c r="I138" s="3190"/>
      <c r="J138" s="3190"/>
      <c r="L138" s="3190"/>
      <c r="M138" s="3190"/>
      <c r="O138" s="3190"/>
      <c r="P138" s="3190"/>
      <c r="AT138" s="3202"/>
      <c r="AU138" s="3202"/>
      <c r="AV138" s="3202"/>
      <c r="AW138" s="3202"/>
      <c r="AX138" s="3202"/>
      <c r="AY138" s="3202"/>
      <c r="AZ138" s="3205"/>
      <c r="BA138" s="3206"/>
      <c r="BB138" s="3202"/>
      <c r="BC138" s="3205"/>
      <c r="BD138" s="3205"/>
      <c r="BE138" s="3205"/>
      <c r="DG138" s="3186"/>
    </row>
    <row r="139" spans="5:111" ht="12" customHeight="1">
      <c r="E139" s="3204"/>
      <c r="F139" s="3202"/>
      <c r="G139" s="3202"/>
      <c r="H139" s="3202"/>
      <c r="I139" s="3203"/>
      <c r="J139" s="3203"/>
      <c r="K139" s="3202"/>
      <c r="L139" s="3203"/>
      <c r="M139" s="3203"/>
      <c r="N139" s="3202"/>
      <c r="O139" s="3203"/>
      <c r="P139" s="3203"/>
      <c r="Q139" s="3202"/>
      <c r="R139" s="3202"/>
      <c r="S139" s="3202"/>
      <c r="T139" s="3202"/>
      <c r="U139" s="3202"/>
      <c r="V139" s="3202"/>
      <c r="W139" s="3203"/>
      <c r="X139" s="3202"/>
      <c r="Y139" s="3202"/>
      <c r="Z139" s="3202"/>
      <c r="AA139" s="3202"/>
      <c r="AB139" s="3202"/>
      <c r="AC139" s="3202"/>
      <c r="AD139" s="3202"/>
      <c r="AE139" s="3202"/>
      <c r="AF139" s="3202"/>
      <c r="AG139" s="3203"/>
      <c r="AH139" s="3202"/>
      <c r="AI139" s="3202"/>
      <c r="AJ139" s="3202"/>
      <c r="AK139" s="3202"/>
      <c r="AL139" s="3202"/>
      <c r="AM139" s="3202"/>
      <c r="AN139" s="3202"/>
      <c r="AO139" s="3202"/>
      <c r="AP139" s="3202"/>
      <c r="AQ139" s="3202"/>
      <c r="AR139" s="3202"/>
      <c r="AS139" s="3202"/>
      <c r="AT139" s="3202"/>
      <c r="AU139" s="3202"/>
      <c r="AV139" s="3202"/>
      <c r="AW139" s="3202"/>
      <c r="AX139" s="3202"/>
      <c r="AY139" s="3202"/>
      <c r="AZ139" s="3201"/>
      <c r="BA139" s="3201"/>
      <c r="BB139" s="3202"/>
      <c r="BC139" s="3201"/>
      <c r="BD139" s="3201"/>
      <c r="BE139" s="3201"/>
      <c r="DG139" s="3186"/>
    </row>
    <row r="140" spans="5:111" ht="12" customHeight="1">
      <c r="E140" s="3204"/>
      <c r="F140" s="3202"/>
      <c r="G140" s="3202"/>
      <c r="H140" s="3202"/>
      <c r="I140" s="3203"/>
      <c r="J140" s="3203"/>
      <c r="K140" s="3202"/>
      <c r="L140" s="3203"/>
      <c r="M140" s="3203"/>
      <c r="N140" s="3202"/>
      <c r="O140" s="3203"/>
      <c r="P140" s="3203"/>
      <c r="Q140" s="3202"/>
      <c r="R140" s="3202"/>
      <c r="S140" s="3202"/>
      <c r="T140" s="3202"/>
      <c r="U140" s="3202"/>
      <c r="V140" s="3202"/>
      <c r="W140" s="3202"/>
      <c r="X140" s="3202"/>
      <c r="Y140" s="3202"/>
      <c r="Z140" s="3202"/>
      <c r="AA140" s="3202"/>
      <c r="AB140" s="3202"/>
      <c r="AC140" s="3202"/>
      <c r="AD140" s="3202"/>
      <c r="AE140" s="3202"/>
      <c r="AF140" s="3202"/>
      <c r="AG140" s="3202"/>
      <c r="AH140" s="3202"/>
      <c r="AI140" s="3202"/>
      <c r="AJ140" s="3202"/>
      <c r="AK140" s="3202"/>
      <c r="AL140" s="3202"/>
      <c r="AM140" s="3202"/>
      <c r="AN140" s="3202"/>
      <c r="AO140" s="3202"/>
      <c r="AP140" s="3202"/>
      <c r="AQ140" s="3202"/>
      <c r="AR140" s="3202"/>
      <c r="AS140" s="3202"/>
      <c r="AT140" s="3202"/>
      <c r="AU140" s="3202"/>
      <c r="AV140" s="3202"/>
      <c r="AW140" s="3202"/>
      <c r="AX140" s="3202"/>
      <c r="AY140" s="3202"/>
      <c r="AZ140" s="3205"/>
      <c r="BA140" s="3206"/>
      <c r="BB140" s="3202"/>
      <c r="BC140" s="3205"/>
      <c r="BD140" s="3205"/>
      <c r="BE140" s="3205"/>
      <c r="DG140" s="3186"/>
    </row>
    <row r="141" spans="5:111" ht="12" customHeight="1">
      <c r="E141" s="3204"/>
      <c r="F141" s="3202"/>
      <c r="G141" s="3202"/>
      <c r="H141" s="3202"/>
      <c r="I141" s="3203"/>
      <c r="J141" s="3203"/>
      <c r="K141" s="3202"/>
      <c r="L141" s="3203"/>
      <c r="M141" s="3203"/>
      <c r="N141" s="3202"/>
      <c r="O141" s="3203"/>
      <c r="P141" s="3203"/>
      <c r="Q141" s="3202"/>
      <c r="R141" s="3202"/>
      <c r="S141" s="3202"/>
      <c r="T141" s="3202"/>
      <c r="U141" s="3202"/>
      <c r="V141" s="3202"/>
      <c r="W141" s="3202"/>
      <c r="X141" s="3202"/>
      <c r="Y141" s="3202"/>
      <c r="Z141" s="3202"/>
      <c r="AA141" s="3202"/>
      <c r="AB141" s="3202"/>
      <c r="AC141" s="3202"/>
      <c r="AD141" s="3202"/>
      <c r="AE141" s="3202"/>
      <c r="AF141" s="3202"/>
      <c r="AG141" s="3202"/>
      <c r="AH141" s="3202"/>
      <c r="AI141" s="3202"/>
      <c r="AJ141" s="3202"/>
      <c r="AK141" s="3202"/>
      <c r="AL141" s="3202"/>
      <c r="AM141" s="3202"/>
      <c r="AN141" s="3202"/>
      <c r="AO141" s="3202"/>
      <c r="AP141" s="3202"/>
      <c r="AQ141" s="3202"/>
      <c r="AR141" s="3202"/>
      <c r="AS141" s="3202"/>
      <c r="AT141" s="3202"/>
      <c r="AU141" s="3202"/>
      <c r="AV141" s="3202"/>
      <c r="AW141" s="3202"/>
      <c r="AX141" s="3202"/>
      <c r="AY141" s="3202"/>
      <c r="AZ141" s="3201"/>
      <c r="BA141" s="3201"/>
      <c r="BB141" s="3202"/>
      <c r="BC141" s="3201"/>
      <c r="BD141" s="3201"/>
      <c r="BE141" s="3201"/>
      <c r="DG141" s="3186"/>
    </row>
    <row r="142" spans="5:111" ht="12" customHeight="1">
      <c r="E142" s="3204"/>
      <c r="F142" s="3202"/>
      <c r="G142" s="3202"/>
      <c r="H142" s="3202"/>
      <c r="I142" s="3203"/>
      <c r="J142" s="3203"/>
      <c r="K142" s="3202"/>
      <c r="L142" s="3203"/>
      <c r="M142" s="3203"/>
      <c r="N142" s="3202"/>
      <c r="O142" s="3203"/>
      <c r="P142" s="3203"/>
      <c r="Q142" s="3202"/>
      <c r="R142" s="3202"/>
      <c r="S142" s="3202"/>
      <c r="T142" s="3202"/>
      <c r="U142" s="3202"/>
      <c r="V142" s="3203"/>
      <c r="W142" s="3203"/>
      <c r="X142" s="3203"/>
      <c r="Y142" s="3203"/>
      <c r="Z142" s="3203"/>
      <c r="AA142" s="3203"/>
      <c r="AB142" s="3203"/>
      <c r="AC142" s="3203"/>
      <c r="AD142" s="3203"/>
      <c r="AE142" s="3203"/>
      <c r="AF142" s="3203"/>
      <c r="AG142" s="3203"/>
      <c r="AH142" s="3203"/>
      <c r="AI142" s="3203"/>
      <c r="AJ142" s="3203"/>
      <c r="AK142" s="3203"/>
      <c r="AL142" s="3203"/>
      <c r="AM142" s="3203"/>
      <c r="AN142" s="3203"/>
      <c r="AO142" s="3203"/>
      <c r="AP142" s="3203"/>
      <c r="AQ142" s="3202"/>
      <c r="AR142" s="3202"/>
      <c r="AS142" s="3202"/>
      <c r="AT142" s="3202"/>
      <c r="AU142" s="3202"/>
      <c r="AV142" s="3202"/>
      <c r="AW142" s="3202"/>
      <c r="AX142" s="3202"/>
      <c r="AY142" s="3202"/>
      <c r="AZ142" s="3205"/>
      <c r="BA142" s="3206"/>
      <c r="BB142" s="3202"/>
      <c r="BC142" s="3205"/>
      <c r="BD142" s="3205"/>
      <c r="BE142" s="3205"/>
      <c r="DG142" s="3186"/>
    </row>
    <row r="143" spans="5:111" ht="12" customHeight="1">
      <c r="E143" s="3204"/>
      <c r="F143" s="3202"/>
      <c r="G143" s="3202"/>
      <c r="H143" s="3202"/>
      <c r="I143" s="3203"/>
      <c r="J143" s="3203"/>
      <c r="K143" s="3202"/>
      <c r="L143" s="3203"/>
      <c r="M143" s="3203"/>
      <c r="N143" s="3202"/>
      <c r="O143" s="3203"/>
      <c r="P143" s="3203"/>
      <c r="Q143" s="3202"/>
      <c r="R143" s="3202"/>
      <c r="S143" s="3202"/>
      <c r="T143" s="3202"/>
      <c r="U143" s="3202"/>
      <c r="V143" s="3203"/>
      <c r="W143" s="3203"/>
      <c r="X143" s="3203"/>
      <c r="Y143" s="3203"/>
      <c r="Z143" s="3203"/>
      <c r="AA143" s="3203"/>
      <c r="AB143" s="3203"/>
      <c r="AC143" s="3203"/>
      <c r="AD143" s="3203"/>
      <c r="AE143" s="3203"/>
      <c r="AF143" s="3203"/>
      <c r="AG143" s="3203"/>
      <c r="AH143" s="3203"/>
      <c r="AI143" s="3203"/>
      <c r="AJ143" s="3203"/>
      <c r="AK143" s="3203"/>
      <c r="AL143" s="3203"/>
      <c r="AM143" s="3203"/>
      <c r="AN143" s="3203"/>
      <c r="AO143" s="3203"/>
      <c r="AP143" s="3203"/>
      <c r="AQ143" s="3202"/>
      <c r="AR143" s="3202"/>
      <c r="AS143" s="3202"/>
      <c r="AT143" s="3202"/>
      <c r="AU143" s="3202"/>
      <c r="AV143" s="3202"/>
      <c r="AW143" s="3202"/>
      <c r="AX143" s="3202"/>
      <c r="AY143" s="3202"/>
      <c r="AZ143" s="3201"/>
      <c r="BA143" s="3201"/>
      <c r="BB143" s="3202"/>
      <c r="BC143" s="3201"/>
      <c r="BD143" s="3201"/>
      <c r="BE143" s="3201"/>
      <c r="DG143" s="3186"/>
    </row>
    <row r="144" spans="5:111" ht="12" customHeight="1">
      <c r="E144" s="3204"/>
      <c r="I144" s="3190"/>
      <c r="J144" s="3190"/>
      <c r="L144" s="3190"/>
      <c r="M144" s="3190"/>
      <c r="O144" s="3190"/>
      <c r="P144" s="3190"/>
      <c r="AT144" s="3202"/>
      <c r="AU144" s="3202"/>
      <c r="AV144" s="3202"/>
      <c r="AW144" s="3202"/>
      <c r="AX144" s="3202"/>
      <c r="AY144" s="3202"/>
      <c r="AZ144" s="3205"/>
      <c r="BA144" s="3206"/>
      <c r="BB144" s="3202"/>
      <c r="BC144" s="3205"/>
      <c r="BD144" s="3205"/>
      <c r="BE144" s="3205"/>
      <c r="DG144" s="3186"/>
    </row>
    <row r="145" spans="4:112" ht="12" customHeight="1">
      <c r="E145" s="3204"/>
      <c r="F145" s="3202"/>
      <c r="G145" s="3202"/>
      <c r="H145" s="3202"/>
      <c r="I145" s="3203"/>
      <c r="J145" s="3203"/>
      <c r="K145" s="3202"/>
      <c r="L145" s="3203"/>
      <c r="M145" s="3203"/>
      <c r="N145" s="3202"/>
      <c r="O145" s="3203"/>
      <c r="P145" s="3203"/>
      <c r="Q145" s="3202"/>
      <c r="R145" s="3202"/>
      <c r="S145" s="3202"/>
      <c r="T145" s="3202"/>
      <c r="U145" s="3202"/>
      <c r="V145" s="3202"/>
      <c r="W145" s="3203"/>
      <c r="X145" s="3202"/>
      <c r="Y145" s="3202"/>
      <c r="Z145" s="3202"/>
      <c r="AA145" s="3202"/>
      <c r="AB145" s="3202"/>
      <c r="AC145" s="3202"/>
      <c r="AD145" s="3202"/>
      <c r="AE145" s="3202"/>
      <c r="AF145" s="3202"/>
      <c r="AG145" s="3203"/>
      <c r="AH145" s="3202"/>
      <c r="AI145" s="3202"/>
      <c r="AJ145" s="3202"/>
      <c r="AK145" s="3202"/>
      <c r="AL145" s="3202"/>
      <c r="AM145" s="3202"/>
      <c r="AN145" s="3202"/>
      <c r="AO145" s="3202"/>
      <c r="AP145" s="3202"/>
      <c r="AQ145" s="3202"/>
      <c r="AR145" s="3202"/>
      <c r="AS145" s="3202"/>
      <c r="AT145" s="3202"/>
      <c r="AU145" s="3202"/>
      <c r="AV145" s="3202"/>
      <c r="AW145" s="3202"/>
      <c r="AX145" s="3202"/>
      <c r="AY145" s="3202"/>
      <c r="DG145" s="3186"/>
    </row>
    <row r="146" spans="4:112" ht="12" customHeight="1">
      <c r="E146" s="3204"/>
      <c r="F146" s="3202"/>
      <c r="G146" s="3202"/>
      <c r="H146" s="3202"/>
      <c r="I146" s="3203"/>
      <c r="J146" s="3203"/>
      <c r="K146" s="3202"/>
      <c r="L146" s="3203"/>
      <c r="M146" s="3203"/>
      <c r="N146" s="3202"/>
      <c r="O146" s="3203"/>
      <c r="P146" s="3203"/>
      <c r="Q146" s="3202"/>
      <c r="R146" s="3202"/>
      <c r="S146" s="3202"/>
      <c r="T146" s="3202"/>
      <c r="U146" s="3202"/>
      <c r="V146" s="3202"/>
      <c r="W146" s="3202"/>
      <c r="X146" s="3202"/>
      <c r="Y146" s="3202"/>
      <c r="Z146" s="3202"/>
      <c r="AA146" s="3202"/>
      <c r="AB146" s="3202"/>
      <c r="AC146" s="3202"/>
      <c r="AD146" s="3202"/>
      <c r="AE146" s="3202"/>
      <c r="AF146" s="3202"/>
      <c r="AG146" s="3202"/>
      <c r="AH146" s="3202"/>
      <c r="AI146" s="3202"/>
      <c r="AJ146" s="3202"/>
      <c r="AK146" s="3202"/>
      <c r="AL146" s="3202"/>
      <c r="AM146" s="3202"/>
      <c r="AN146" s="3202"/>
      <c r="AO146" s="3202"/>
      <c r="AP146" s="3202"/>
      <c r="AQ146" s="3202"/>
      <c r="AR146" s="3202"/>
      <c r="AS146" s="3202"/>
      <c r="AT146" s="3202"/>
      <c r="AU146" s="3202"/>
      <c r="AV146" s="3202"/>
      <c r="AW146" s="3202"/>
      <c r="AX146" s="3202"/>
      <c r="AY146" s="3202"/>
      <c r="DG146" s="3186"/>
    </row>
    <row r="147" spans="4:112" ht="12" customHeight="1">
      <c r="E147" s="3204"/>
      <c r="F147" s="3202"/>
      <c r="G147" s="3202"/>
      <c r="H147" s="3202"/>
      <c r="I147" s="3203"/>
      <c r="J147" s="3203"/>
      <c r="K147" s="3202"/>
      <c r="L147" s="3203"/>
      <c r="M147" s="3203"/>
      <c r="N147" s="3202"/>
      <c r="O147" s="3203"/>
      <c r="P147" s="3203"/>
      <c r="Q147" s="3202"/>
      <c r="R147" s="3202"/>
      <c r="S147" s="3202"/>
      <c r="T147" s="3202"/>
      <c r="U147" s="3202"/>
      <c r="V147" s="3202"/>
      <c r="W147" s="3202"/>
      <c r="X147" s="3202"/>
      <c r="Y147" s="3202"/>
      <c r="Z147" s="3202"/>
      <c r="AA147" s="3202"/>
      <c r="AB147" s="3202"/>
      <c r="AC147" s="3202"/>
      <c r="AD147" s="3202"/>
      <c r="AE147" s="3202"/>
      <c r="AF147" s="3202"/>
      <c r="AG147" s="3202"/>
      <c r="AH147" s="3202"/>
      <c r="AI147" s="3202"/>
      <c r="AJ147" s="3202"/>
      <c r="AK147" s="3202"/>
      <c r="AL147" s="3202"/>
      <c r="AM147" s="3202"/>
      <c r="AN147" s="3202"/>
      <c r="AO147" s="3202"/>
      <c r="AP147" s="3202"/>
      <c r="AQ147" s="3202"/>
      <c r="AR147" s="3202"/>
      <c r="AS147" s="3202"/>
      <c r="AT147" s="3202"/>
      <c r="AU147" s="3202"/>
      <c r="AV147" s="3202"/>
      <c r="AW147" s="3202"/>
      <c r="AX147" s="3202"/>
      <c r="AY147" s="3202"/>
      <c r="DG147" s="3186"/>
    </row>
    <row r="148" spans="4:112" ht="12" customHeight="1">
      <c r="E148" s="3204"/>
      <c r="F148" s="3202"/>
      <c r="G148" s="3202"/>
      <c r="H148" s="3202"/>
      <c r="I148" s="3203"/>
      <c r="J148" s="3203"/>
      <c r="K148" s="3202"/>
      <c r="L148" s="3203"/>
      <c r="M148" s="3203"/>
      <c r="N148" s="3202"/>
      <c r="O148" s="3203"/>
      <c r="P148" s="3203"/>
      <c r="Q148" s="3202"/>
      <c r="R148" s="3202"/>
      <c r="S148" s="3202"/>
      <c r="T148" s="3202"/>
      <c r="U148" s="3202"/>
      <c r="V148" s="3203"/>
      <c r="W148" s="3203"/>
      <c r="X148" s="3203"/>
      <c r="Y148" s="3203"/>
      <c r="Z148" s="3203"/>
      <c r="AA148" s="3203"/>
      <c r="AB148" s="3203"/>
      <c r="AC148" s="3203"/>
      <c r="AD148" s="3203"/>
      <c r="AE148" s="3203"/>
      <c r="AF148" s="3203"/>
      <c r="AG148" s="3203"/>
      <c r="AH148" s="3203"/>
      <c r="AI148" s="3203"/>
      <c r="AJ148" s="3203"/>
      <c r="AK148" s="3203"/>
      <c r="AL148" s="3203"/>
      <c r="AM148" s="3203"/>
      <c r="AN148" s="3203"/>
      <c r="AO148" s="3203"/>
      <c r="AP148" s="3203"/>
      <c r="AQ148" s="3202"/>
      <c r="AR148" s="3202"/>
      <c r="AS148" s="3202"/>
      <c r="AT148" s="3202"/>
      <c r="AU148" s="3202"/>
      <c r="AV148" s="3202"/>
      <c r="AW148" s="3202"/>
      <c r="AX148" s="3202"/>
      <c r="AY148" s="3202"/>
      <c r="DG148" s="3186"/>
    </row>
    <row r="149" spans="4:112" ht="12" customHeight="1">
      <c r="E149" s="3204"/>
      <c r="F149" s="3202"/>
      <c r="G149" s="3202"/>
      <c r="H149" s="3202"/>
      <c r="I149" s="3203"/>
      <c r="J149" s="3203"/>
      <c r="K149" s="3202"/>
      <c r="L149" s="3203"/>
      <c r="M149" s="3203"/>
      <c r="N149" s="3202"/>
      <c r="O149" s="3203"/>
      <c r="P149" s="3203"/>
      <c r="Q149" s="3202"/>
      <c r="R149" s="3202"/>
      <c r="S149" s="3202"/>
      <c r="T149" s="3202"/>
      <c r="U149" s="3202"/>
      <c r="V149" s="3203"/>
      <c r="W149" s="3203"/>
      <c r="X149" s="3203"/>
      <c r="Y149" s="3203"/>
      <c r="Z149" s="3203"/>
      <c r="AA149" s="3203"/>
      <c r="AB149" s="3203"/>
      <c r="AC149" s="3203"/>
      <c r="AD149" s="3203"/>
      <c r="AE149" s="3203"/>
      <c r="AF149" s="3203"/>
      <c r="AG149" s="3203"/>
      <c r="AH149" s="3203"/>
      <c r="AI149" s="3203"/>
      <c r="AJ149" s="3203"/>
      <c r="AK149" s="3203"/>
      <c r="AL149" s="3203"/>
      <c r="AM149" s="3203"/>
      <c r="AN149" s="3203"/>
      <c r="AO149" s="3203"/>
      <c r="AP149" s="3203"/>
      <c r="AQ149" s="3202"/>
      <c r="AR149" s="3202"/>
      <c r="AS149" s="3202"/>
      <c r="AT149" s="3202"/>
      <c r="AU149" s="3202"/>
      <c r="AV149" s="3202"/>
      <c r="AW149" s="3202"/>
      <c r="AX149" s="3202"/>
      <c r="AY149" s="3202"/>
      <c r="DG149" s="3186"/>
    </row>
    <row r="150" spans="4:112" ht="12" customHeight="1">
      <c r="AQ150" s="3201"/>
      <c r="AR150" s="3201"/>
      <c r="AS150" s="3201"/>
      <c r="AT150" s="3202"/>
      <c r="AU150" s="3202"/>
      <c r="AV150" s="3202"/>
      <c r="AW150" s="3202"/>
      <c r="AX150" s="3202"/>
      <c r="AY150" s="3202"/>
      <c r="AZ150" s="3201"/>
      <c r="BA150" s="3201"/>
      <c r="BB150" s="3202"/>
      <c r="DG150" s="3186"/>
    </row>
    <row r="151" spans="4:112" ht="12" customHeight="1">
      <c r="E151" s="3204"/>
      <c r="F151" s="3202"/>
      <c r="G151" s="3202"/>
      <c r="H151" s="3202"/>
      <c r="I151" s="3202"/>
      <c r="J151" s="3202"/>
      <c r="K151" s="3202"/>
      <c r="L151" s="3202"/>
      <c r="M151" s="3202"/>
      <c r="N151" s="3202"/>
      <c r="O151" s="3202"/>
      <c r="P151" s="3202"/>
      <c r="Q151" s="3202"/>
      <c r="R151" s="3202"/>
      <c r="S151" s="3202"/>
      <c r="T151" s="3202"/>
      <c r="U151" s="3202"/>
      <c r="V151" s="3202"/>
      <c r="W151" s="3202"/>
      <c r="X151" s="3202"/>
      <c r="Y151" s="3202"/>
      <c r="Z151" s="3202"/>
      <c r="AA151" s="3202"/>
      <c r="AB151" s="3202"/>
      <c r="AC151" s="3202"/>
      <c r="AD151" s="3202"/>
      <c r="AE151" s="3202"/>
      <c r="AF151" s="3202"/>
      <c r="AG151" s="3202"/>
      <c r="AH151" s="3202"/>
      <c r="AI151" s="3202"/>
      <c r="AJ151" s="3202"/>
      <c r="AK151" s="3202"/>
      <c r="AL151" s="3202"/>
      <c r="AM151" s="3202"/>
      <c r="AN151" s="3202"/>
      <c r="AO151" s="3202"/>
      <c r="AP151" s="3202"/>
      <c r="AQ151" s="3202"/>
      <c r="AR151" s="3203"/>
      <c r="AS151" s="3203"/>
      <c r="AT151" s="3202"/>
      <c r="AU151" s="3202"/>
      <c r="AV151" s="3202"/>
      <c r="AW151" s="3202"/>
      <c r="AX151" s="3202"/>
      <c r="AY151" s="3202"/>
      <c r="AZ151" s="3205"/>
      <c r="BA151" s="3205"/>
      <c r="BB151" s="3202"/>
      <c r="DG151" s="3186"/>
    </row>
    <row r="152" spans="4:112" ht="12" customHeight="1">
      <c r="E152" s="3204"/>
      <c r="F152" s="3202"/>
      <c r="G152" s="3202"/>
      <c r="H152" s="3202"/>
      <c r="I152" s="3202"/>
      <c r="J152" s="3202"/>
      <c r="K152" s="3202"/>
      <c r="L152" s="3202"/>
      <c r="M152" s="3202"/>
      <c r="N152" s="3202"/>
      <c r="O152" s="3202"/>
      <c r="P152" s="3202"/>
      <c r="Q152" s="3202"/>
      <c r="R152" s="3202"/>
      <c r="S152" s="3202"/>
      <c r="T152" s="3202"/>
      <c r="U152" s="3202"/>
      <c r="V152" s="3202"/>
      <c r="W152" s="3202"/>
      <c r="X152" s="3202"/>
      <c r="Y152" s="3202"/>
      <c r="Z152" s="3202"/>
      <c r="AA152" s="3202"/>
      <c r="AB152" s="3202"/>
      <c r="AC152" s="3202"/>
      <c r="AD152" s="3202"/>
      <c r="AE152" s="3202"/>
      <c r="AF152" s="3202"/>
      <c r="AG152" s="3202"/>
      <c r="AH152" s="3202"/>
      <c r="AI152" s="3202"/>
      <c r="AJ152" s="3202"/>
      <c r="AK152" s="3202"/>
      <c r="AL152" s="3202"/>
      <c r="AM152" s="3202"/>
      <c r="AN152" s="3202"/>
      <c r="AO152" s="3202"/>
      <c r="AP152" s="3202"/>
      <c r="AQ152" s="3202"/>
      <c r="AR152" s="3202"/>
      <c r="AS152" s="3202"/>
      <c r="AT152" s="3202"/>
      <c r="AU152" s="3202"/>
      <c r="AV152" s="3202"/>
      <c r="AW152" s="3202"/>
      <c r="AX152" s="3202"/>
      <c r="AY152" s="3202"/>
      <c r="BB152" s="3202"/>
      <c r="DG152" s="3186"/>
    </row>
    <row r="153" spans="4:112" ht="12" customHeight="1">
      <c r="E153" s="3204"/>
      <c r="F153" s="3202"/>
      <c r="G153" s="3202"/>
      <c r="H153" s="3202"/>
      <c r="I153" s="3202"/>
      <c r="J153" s="3202"/>
      <c r="K153" s="3202"/>
      <c r="L153" s="3202"/>
      <c r="M153" s="3202"/>
      <c r="N153" s="3202"/>
      <c r="O153" s="3202"/>
      <c r="P153" s="3202"/>
      <c r="Q153" s="3202"/>
      <c r="R153" s="3202"/>
      <c r="S153" s="3202"/>
      <c r="T153" s="3202"/>
      <c r="U153" s="3202"/>
      <c r="V153" s="3202"/>
      <c r="W153" s="3202"/>
      <c r="X153" s="3202"/>
      <c r="Y153" s="3202"/>
      <c r="Z153" s="3202"/>
      <c r="AA153" s="3202"/>
      <c r="AB153" s="3202"/>
      <c r="AC153" s="3202"/>
      <c r="AD153" s="3202"/>
      <c r="AE153" s="3202"/>
      <c r="AF153" s="3202"/>
      <c r="AG153" s="3202"/>
      <c r="AH153" s="3202"/>
      <c r="AI153" s="3202"/>
      <c r="AJ153" s="3202"/>
      <c r="AK153" s="3202"/>
      <c r="AL153" s="3202"/>
      <c r="AM153" s="3202"/>
      <c r="AN153" s="3202"/>
      <c r="AO153" s="3202"/>
      <c r="AP153" s="3202"/>
      <c r="AQ153" s="3202"/>
      <c r="AR153" s="3202"/>
      <c r="AS153" s="3202"/>
      <c r="AT153" s="3202"/>
      <c r="AU153" s="3202"/>
      <c r="AV153" s="3202"/>
      <c r="AW153" s="3202"/>
      <c r="AX153" s="3202"/>
      <c r="AY153" s="3202"/>
      <c r="BB153" s="3202"/>
      <c r="DG153" s="3186"/>
    </row>
    <row r="154" spans="4:112" ht="12" customHeight="1">
      <c r="DG154" s="3186"/>
    </row>
    <row r="155" spans="4:112" ht="12" customHeight="1">
      <c r="E155" s="3191"/>
      <c r="F155" s="3192"/>
      <c r="G155" s="3192"/>
      <c r="H155" s="3192"/>
      <c r="I155" s="3192"/>
      <c r="J155" s="3192"/>
      <c r="K155" s="3192"/>
      <c r="L155" s="3192"/>
      <c r="M155" s="3192"/>
      <c r="N155" s="3192"/>
      <c r="O155" s="3192"/>
      <c r="P155" s="3192"/>
      <c r="Q155" s="3192"/>
      <c r="R155" s="3192"/>
      <c r="S155" s="3192"/>
      <c r="T155" s="3192"/>
      <c r="U155" s="3192"/>
      <c r="V155" s="3192"/>
      <c r="X155" s="3192"/>
      <c r="Y155" s="3192"/>
      <c r="Z155" s="3192"/>
      <c r="AA155" s="3192"/>
      <c r="AB155" s="3192"/>
      <c r="AC155" s="3192"/>
      <c r="AD155" s="3192"/>
      <c r="AE155" s="3192"/>
      <c r="AH155" s="3192"/>
      <c r="AI155" s="3192"/>
      <c r="AJ155" s="3192"/>
      <c r="AK155" s="3192"/>
      <c r="AL155" s="3192"/>
      <c r="AM155" s="3192"/>
      <c r="AN155" s="3192"/>
      <c r="AO155" s="3192"/>
      <c r="BB155" s="3192"/>
      <c r="DG155" s="3186"/>
    </row>
    <row r="156" spans="4:112" ht="12" customHeight="1">
      <c r="D156" s="3207"/>
      <c r="E156" s="3204"/>
      <c r="F156" s="3202"/>
      <c r="G156" s="3202"/>
      <c r="H156" s="3202"/>
      <c r="I156" s="3202"/>
      <c r="J156" s="3202"/>
      <c r="K156" s="3202"/>
      <c r="L156" s="3202"/>
      <c r="M156" s="3202"/>
      <c r="N156" s="3202"/>
      <c r="O156" s="3202"/>
      <c r="P156" s="3202"/>
      <c r="Q156" s="3202"/>
      <c r="R156" s="3202"/>
      <c r="S156" s="3202"/>
      <c r="T156" s="3201"/>
      <c r="U156" s="3201"/>
      <c r="V156" s="3201"/>
      <c r="W156" s="3201"/>
      <c r="X156" s="3201"/>
      <c r="Y156" s="3201"/>
      <c r="Z156" s="3201"/>
      <c r="AA156" s="3201"/>
      <c r="AB156" s="3201"/>
      <c r="AC156" s="3201"/>
      <c r="AD156" s="3201"/>
      <c r="AE156" s="3201"/>
      <c r="AF156" s="3201"/>
      <c r="AG156" s="3201"/>
      <c r="AH156" s="3201"/>
      <c r="AI156" s="3201"/>
      <c r="AJ156" s="3201"/>
      <c r="AK156" s="3201"/>
      <c r="AL156" s="3201"/>
      <c r="AM156" s="3201"/>
      <c r="AN156" s="3201"/>
      <c r="AO156" s="3201"/>
      <c r="AP156" s="3201"/>
      <c r="AQ156" s="3201"/>
      <c r="AR156" s="3201"/>
      <c r="AS156" s="3201"/>
      <c r="AT156" s="3201"/>
      <c r="AU156" s="3201"/>
      <c r="AV156" s="3201"/>
      <c r="AW156" s="3201"/>
      <c r="AX156" s="3201"/>
      <c r="AY156" s="3201"/>
      <c r="AZ156" s="3202"/>
      <c r="BA156" s="3202"/>
      <c r="BB156" s="3202"/>
      <c r="DH156" s="3186"/>
    </row>
    <row r="157" spans="4:112" ht="12" customHeight="1">
      <c r="E157" s="3204"/>
      <c r="F157" s="3202"/>
      <c r="AT157" s="3202"/>
      <c r="AU157" s="3202"/>
      <c r="AV157" s="3202"/>
      <c r="AW157" s="3202"/>
      <c r="AX157" s="3202"/>
      <c r="AY157" s="3202"/>
      <c r="AZ157" s="3193"/>
      <c r="BB157" s="3202"/>
      <c r="DG157" s="3186"/>
    </row>
    <row r="158" spans="4:112" ht="12" customHeight="1">
      <c r="E158" s="3204"/>
      <c r="F158" s="3202"/>
      <c r="G158" s="3202"/>
      <c r="H158" s="3202"/>
      <c r="I158" s="3203"/>
      <c r="J158" s="3203"/>
      <c r="K158" s="3202"/>
      <c r="L158" s="3203"/>
      <c r="M158" s="3203"/>
      <c r="N158" s="3202"/>
      <c r="O158" s="3203"/>
      <c r="P158" s="3203"/>
      <c r="Q158" s="3202"/>
      <c r="R158" s="3202"/>
      <c r="S158" s="3202"/>
      <c r="T158" s="3202"/>
      <c r="U158" s="3202"/>
      <c r="V158" s="3202"/>
      <c r="W158" s="3203"/>
      <c r="X158" s="3202"/>
      <c r="Y158" s="3202"/>
      <c r="Z158" s="3202"/>
      <c r="AA158" s="3202"/>
      <c r="AB158" s="3202"/>
      <c r="AC158" s="3202"/>
      <c r="AD158" s="3202"/>
      <c r="AE158" s="3202"/>
      <c r="AF158" s="3202"/>
      <c r="AG158" s="3203"/>
      <c r="AH158" s="3202"/>
      <c r="AI158" s="3202"/>
      <c r="AJ158" s="3202"/>
      <c r="AK158" s="3202"/>
      <c r="AL158" s="3202"/>
      <c r="AM158" s="3202"/>
      <c r="AN158" s="3202"/>
      <c r="AO158" s="3202"/>
      <c r="AP158" s="3202"/>
      <c r="AQ158" s="3202"/>
      <c r="AR158" s="3202"/>
      <c r="AS158" s="3202"/>
      <c r="AT158" s="3202"/>
      <c r="AU158" s="3202"/>
      <c r="AV158" s="3202"/>
      <c r="AW158" s="3202"/>
      <c r="AX158" s="3202"/>
      <c r="AY158" s="3202"/>
      <c r="AZ158" s="3202"/>
      <c r="BA158" s="3202"/>
      <c r="BB158" s="3202"/>
      <c r="DD158" s="3187"/>
      <c r="DG158" s="3186"/>
    </row>
    <row r="159" spans="4:112" ht="12" customHeight="1">
      <c r="E159" s="3204"/>
      <c r="F159" s="3202"/>
      <c r="G159" s="3202"/>
      <c r="H159" s="3202"/>
      <c r="I159" s="3203"/>
      <c r="J159" s="3203"/>
      <c r="K159" s="3202"/>
      <c r="L159" s="3203"/>
      <c r="M159" s="3203"/>
      <c r="N159" s="3202"/>
      <c r="O159" s="3203"/>
      <c r="P159" s="3203"/>
      <c r="Q159" s="3202"/>
      <c r="R159" s="3202"/>
      <c r="S159" s="3202"/>
      <c r="T159" s="3202"/>
      <c r="U159" s="3202"/>
      <c r="V159" s="3202"/>
      <c r="W159" s="3202"/>
      <c r="X159" s="3202"/>
      <c r="Y159" s="3202"/>
      <c r="Z159" s="3202"/>
      <c r="AA159" s="3202"/>
      <c r="AB159" s="3202"/>
      <c r="AC159" s="3202"/>
      <c r="AD159" s="3202"/>
      <c r="AE159" s="3202"/>
      <c r="AF159" s="3202"/>
      <c r="AG159" s="3202"/>
      <c r="AH159" s="3202"/>
      <c r="AI159" s="3202"/>
      <c r="AJ159" s="3202"/>
      <c r="AK159" s="3202"/>
      <c r="AL159" s="3202"/>
      <c r="AM159" s="3202"/>
      <c r="AN159" s="3202"/>
      <c r="AO159" s="3202"/>
      <c r="AP159" s="3202"/>
      <c r="AQ159" s="3202"/>
      <c r="AR159" s="3202"/>
      <c r="AS159" s="3202"/>
      <c r="AT159" s="3202"/>
      <c r="AU159" s="3202"/>
      <c r="AV159" s="3202"/>
      <c r="AW159" s="3202"/>
      <c r="AX159" s="3202"/>
      <c r="AY159" s="3202"/>
      <c r="AZ159" s="3205"/>
      <c r="BA159" s="3205"/>
      <c r="BB159" s="3202"/>
      <c r="DD159" s="3187"/>
      <c r="DG159" s="3186"/>
    </row>
    <row r="160" spans="4:112" ht="12" customHeight="1">
      <c r="E160" s="3204"/>
      <c r="F160" s="3202"/>
      <c r="G160" s="3202"/>
      <c r="H160" s="3202"/>
      <c r="I160" s="3203"/>
      <c r="J160" s="3203"/>
      <c r="K160" s="3202"/>
      <c r="L160" s="3203"/>
      <c r="M160" s="3203"/>
      <c r="N160" s="3202"/>
      <c r="O160" s="3203"/>
      <c r="P160" s="3203"/>
      <c r="Q160" s="3202"/>
      <c r="R160" s="3202"/>
      <c r="S160" s="3202"/>
      <c r="T160" s="3202"/>
      <c r="U160" s="3202"/>
      <c r="V160" s="3202"/>
      <c r="W160" s="3202"/>
      <c r="X160" s="3202"/>
      <c r="Y160" s="3202"/>
      <c r="Z160" s="3202"/>
      <c r="AA160" s="3202"/>
      <c r="AB160" s="3202"/>
      <c r="AC160" s="3202"/>
      <c r="AD160" s="3202"/>
      <c r="AE160" s="3202"/>
      <c r="AF160" s="3202"/>
      <c r="AG160" s="3202"/>
      <c r="AH160" s="3202"/>
      <c r="AI160" s="3202"/>
      <c r="AJ160" s="3202"/>
      <c r="AK160" s="3202"/>
      <c r="AL160" s="3202"/>
      <c r="AM160" s="3202"/>
      <c r="AN160" s="3202"/>
      <c r="AO160" s="3202"/>
      <c r="AP160" s="3202"/>
      <c r="AQ160" s="3202"/>
      <c r="AR160" s="3202"/>
      <c r="AS160" s="3202"/>
      <c r="AT160" s="3202"/>
      <c r="AU160" s="3202"/>
      <c r="AV160" s="3202"/>
      <c r="AW160" s="3202"/>
      <c r="AX160" s="3202"/>
      <c r="AY160" s="3202"/>
      <c r="BB160" s="3202"/>
      <c r="DD160" s="3187"/>
      <c r="DG160" s="3186"/>
    </row>
    <row r="161" spans="5:111" ht="12" customHeight="1">
      <c r="E161" s="3204"/>
      <c r="F161" s="3202"/>
      <c r="G161" s="3202"/>
      <c r="H161" s="3202"/>
      <c r="I161" s="3203"/>
      <c r="J161" s="3203"/>
      <c r="K161" s="3202"/>
      <c r="L161" s="3203"/>
      <c r="M161" s="3203"/>
      <c r="N161" s="3202"/>
      <c r="O161" s="3203"/>
      <c r="P161" s="3203"/>
      <c r="Q161" s="3202"/>
      <c r="R161" s="3202"/>
      <c r="S161" s="3202"/>
      <c r="T161" s="3202"/>
      <c r="U161" s="3202"/>
      <c r="V161" s="3203"/>
      <c r="W161" s="3203"/>
      <c r="X161" s="3203"/>
      <c r="Y161" s="3203"/>
      <c r="Z161" s="3203"/>
      <c r="AA161" s="3203"/>
      <c r="AB161" s="3203"/>
      <c r="AC161" s="3203"/>
      <c r="AD161" s="3203"/>
      <c r="AE161" s="3203"/>
      <c r="AF161" s="3203"/>
      <c r="AG161" s="3203"/>
      <c r="AH161" s="3203"/>
      <c r="AI161" s="3203"/>
      <c r="AJ161" s="3203"/>
      <c r="AK161" s="3203"/>
      <c r="AL161" s="3203"/>
      <c r="AM161" s="3203"/>
      <c r="AN161" s="3203"/>
      <c r="AO161" s="3203"/>
      <c r="AP161" s="3203"/>
      <c r="AQ161" s="3202"/>
      <c r="AR161" s="3202"/>
      <c r="AS161" s="3202"/>
      <c r="AT161" s="3202"/>
      <c r="AU161" s="3202"/>
      <c r="AV161" s="3202"/>
      <c r="AW161" s="3202"/>
      <c r="AX161" s="3202"/>
      <c r="AY161" s="3202"/>
      <c r="AZ161" s="3202"/>
      <c r="BA161" s="3202"/>
      <c r="BB161" s="3202"/>
      <c r="DD161" s="3187"/>
      <c r="DG161" s="3186"/>
    </row>
    <row r="162" spans="5:111" ht="12" customHeight="1">
      <c r="E162" s="3204"/>
      <c r="F162" s="3202"/>
      <c r="G162" s="3202"/>
      <c r="H162" s="3202"/>
      <c r="I162" s="3203"/>
      <c r="J162" s="3203"/>
      <c r="K162" s="3202"/>
      <c r="L162" s="3203"/>
      <c r="M162" s="3203"/>
      <c r="N162" s="3202"/>
      <c r="O162" s="3203"/>
      <c r="P162" s="3203"/>
      <c r="Q162" s="3202"/>
      <c r="R162" s="3202"/>
      <c r="S162" s="3202"/>
      <c r="T162" s="3202"/>
      <c r="U162" s="3202"/>
      <c r="V162" s="3203"/>
      <c r="W162" s="3203"/>
      <c r="X162" s="3203"/>
      <c r="Y162" s="3203"/>
      <c r="Z162" s="3203"/>
      <c r="AA162" s="3203"/>
      <c r="AB162" s="3203"/>
      <c r="AC162" s="3203"/>
      <c r="AD162" s="3203"/>
      <c r="AE162" s="3203"/>
      <c r="AF162" s="3203"/>
      <c r="AG162" s="3203"/>
      <c r="AH162" s="3203"/>
      <c r="AI162" s="3203"/>
      <c r="AJ162" s="3203"/>
      <c r="AK162" s="3203"/>
      <c r="AL162" s="3203"/>
      <c r="AM162" s="3203"/>
      <c r="AN162" s="3203"/>
      <c r="AO162" s="3203"/>
      <c r="AP162" s="3203"/>
      <c r="AQ162" s="3202"/>
      <c r="AR162" s="3202"/>
      <c r="AS162" s="3202"/>
      <c r="AT162" s="3202"/>
      <c r="AU162" s="3202"/>
      <c r="AV162" s="3202"/>
      <c r="AW162" s="3202"/>
      <c r="AX162" s="3202"/>
      <c r="AY162" s="3202"/>
      <c r="AZ162" s="3203"/>
      <c r="BA162" s="3203"/>
      <c r="BB162" s="3202"/>
      <c r="DD162" s="3187"/>
      <c r="DG162" s="3186"/>
    </row>
    <row r="163" spans="5:111" ht="12" customHeight="1">
      <c r="E163" s="3204"/>
      <c r="I163" s="3190"/>
      <c r="J163" s="3190"/>
      <c r="L163" s="3190"/>
      <c r="M163" s="3190"/>
      <c r="O163" s="3190"/>
      <c r="P163" s="3190"/>
      <c r="AT163" s="3202"/>
      <c r="AU163" s="3202"/>
      <c r="AV163" s="3202"/>
      <c r="AW163" s="3202"/>
      <c r="AX163" s="3202"/>
      <c r="AY163" s="3202"/>
      <c r="AZ163" s="3202"/>
      <c r="BA163" s="3202"/>
      <c r="BB163" s="3202"/>
      <c r="DG163" s="3186"/>
    </row>
    <row r="164" spans="5:111" ht="12" customHeight="1">
      <c r="E164" s="3204"/>
      <c r="F164" s="3202"/>
      <c r="G164" s="3202"/>
      <c r="H164" s="3202"/>
      <c r="I164" s="3203"/>
      <c r="J164" s="3203"/>
      <c r="K164" s="3202"/>
      <c r="L164" s="3203"/>
      <c r="M164" s="3203"/>
      <c r="N164" s="3202"/>
      <c r="O164" s="3203"/>
      <c r="P164" s="3203"/>
      <c r="Q164" s="3202"/>
      <c r="R164" s="3202"/>
      <c r="S164" s="3202"/>
      <c r="T164" s="3202"/>
      <c r="U164" s="3202"/>
      <c r="V164" s="3202"/>
      <c r="W164" s="3203"/>
      <c r="X164" s="3202"/>
      <c r="Y164" s="3202"/>
      <c r="Z164" s="3202"/>
      <c r="AA164" s="3202"/>
      <c r="AB164" s="3202"/>
      <c r="AC164" s="3202"/>
      <c r="AD164" s="3202"/>
      <c r="AE164" s="3202"/>
      <c r="AF164" s="3202"/>
      <c r="AG164" s="3203"/>
      <c r="AH164" s="3202"/>
      <c r="AI164" s="3202"/>
      <c r="AJ164" s="3202"/>
      <c r="AK164" s="3202"/>
      <c r="AL164" s="3202"/>
      <c r="AM164" s="3202"/>
      <c r="AN164" s="3202"/>
      <c r="AO164" s="3202"/>
      <c r="AP164" s="3202"/>
      <c r="AQ164" s="3202"/>
      <c r="AR164" s="3202"/>
      <c r="AS164" s="3202"/>
      <c r="AT164" s="3202"/>
      <c r="AU164" s="3202"/>
      <c r="AV164" s="3202"/>
      <c r="AW164" s="3202"/>
      <c r="AX164" s="3202"/>
      <c r="AY164" s="3202"/>
      <c r="AZ164" s="3203"/>
      <c r="BA164" s="3203"/>
      <c r="BB164" s="3202"/>
      <c r="DG164" s="3186"/>
    </row>
    <row r="165" spans="5:111" ht="12" customHeight="1">
      <c r="E165" s="3204"/>
      <c r="F165" s="3202"/>
      <c r="G165" s="3202"/>
      <c r="H165" s="3202"/>
      <c r="I165" s="3203"/>
      <c r="J165" s="3203"/>
      <c r="K165" s="3202"/>
      <c r="L165" s="3203"/>
      <c r="M165" s="3203"/>
      <c r="N165" s="3202"/>
      <c r="O165" s="3203"/>
      <c r="P165" s="3203"/>
      <c r="Q165" s="3202"/>
      <c r="R165" s="3202"/>
      <c r="S165" s="3202"/>
      <c r="T165" s="3202"/>
      <c r="U165" s="3202"/>
      <c r="V165" s="3202"/>
      <c r="W165" s="3202"/>
      <c r="X165" s="3202"/>
      <c r="Y165" s="3202"/>
      <c r="Z165" s="3202"/>
      <c r="AA165" s="3202"/>
      <c r="AB165" s="3202"/>
      <c r="AC165" s="3202"/>
      <c r="AD165" s="3202"/>
      <c r="AE165" s="3202"/>
      <c r="AF165" s="3202"/>
      <c r="AG165" s="3202"/>
      <c r="AH165" s="3202"/>
      <c r="AI165" s="3202"/>
      <c r="AJ165" s="3202"/>
      <c r="AK165" s="3202"/>
      <c r="AL165" s="3202"/>
      <c r="AM165" s="3202"/>
      <c r="AN165" s="3202"/>
      <c r="AO165" s="3202"/>
      <c r="AP165" s="3202"/>
      <c r="AQ165" s="3202"/>
      <c r="AR165" s="3202"/>
      <c r="AS165" s="3202"/>
      <c r="AT165" s="3202"/>
      <c r="AU165" s="3202"/>
      <c r="AV165" s="3202"/>
      <c r="AW165" s="3202"/>
      <c r="AX165" s="3202"/>
      <c r="AY165" s="3202"/>
      <c r="AZ165" s="3202"/>
      <c r="BA165" s="3202"/>
      <c r="BB165" s="3202"/>
      <c r="DG165" s="3186"/>
    </row>
    <row r="166" spans="5:111" ht="12" customHeight="1">
      <c r="E166" s="3204"/>
      <c r="F166" s="3202"/>
      <c r="G166" s="3202"/>
      <c r="H166" s="3202"/>
      <c r="I166" s="3203"/>
      <c r="J166" s="3203"/>
      <c r="K166" s="3202"/>
      <c r="L166" s="3203"/>
      <c r="M166" s="3203"/>
      <c r="N166" s="3202"/>
      <c r="O166" s="3203"/>
      <c r="P166" s="3203"/>
      <c r="Q166" s="3202"/>
      <c r="R166" s="3202"/>
      <c r="S166" s="3202"/>
      <c r="T166" s="3202"/>
      <c r="U166" s="3202"/>
      <c r="V166" s="3202"/>
      <c r="W166" s="3202"/>
      <c r="X166" s="3202"/>
      <c r="Y166" s="3202"/>
      <c r="Z166" s="3202"/>
      <c r="AA166" s="3202"/>
      <c r="AB166" s="3202"/>
      <c r="AC166" s="3202"/>
      <c r="AD166" s="3202"/>
      <c r="AE166" s="3202"/>
      <c r="AF166" s="3202"/>
      <c r="AG166" s="3202"/>
      <c r="AH166" s="3202"/>
      <c r="AI166" s="3202"/>
      <c r="AJ166" s="3202"/>
      <c r="AK166" s="3202"/>
      <c r="AL166" s="3202"/>
      <c r="AM166" s="3202"/>
      <c r="AN166" s="3202"/>
      <c r="AO166" s="3202"/>
      <c r="AP166" s="3202"/>
      <c r="AQ166" s="3202"/>
      <c r="AR166" s="3202"/>
      <c r="AS166" s="3202"/>
      <c r="AT166" s="3202"/>
      <c r="AU166" s="3202"/>
      <c r="AV166" s="3202"/>
      <c r="AW166" s="3202"/>
      <c r="AX166" s="3202"/>
      <c r="AY166" s="3202"/>
      <c r="AZ166" s="3203"/>
      <c r="BA166" s="3203"/>
      <c r="BB166" s="3202"/>
      <c r="DG166" s="3186"/>
    </row>
    <row r="167" spans="5:111" ht="12" customHeight="1">
      <c r="E167" s="3204"/>
      <c r="F167" s="3202"/>
      <c r="G167" s="3202"/>
      <c r="H167" s="3202"/>
      <c r="I167" s="3203"/>
      <c r="J167" s="3203"/>
      <c r="K167" s="3202"/>
      <c r="L167" s="3203"/>
      <c r="M167" s="3203"/>
      <c r="N167" s="3202"/>
      <c r="O167" s="3203"/>
      <c r="P167" s="3203"/>
      <c r="Q167" s="3202"/>
      <c r="R167" s="3202"/>
      <c r="S167" s="3202"/>
      <c r="T167" s="3202"/>
      <c r="U167" s="3202"/>
      <c r="V167" s="3203"/>
      <c r="W167" s="3203"/>
      <c r="X167" s="3203"/>
      <c r="Y167" s="3203"/>
      <c r="Z167" s="3203"/>
      <c r="AA167" s="3203"/>
      <c r="AB167" s="3203"/>
      <c r="AC167" s="3203"/>
      <c r="AD167" s="3203"/>
      <c r="AE167" s="3203"/>
      <c r="AF167" s="3203"/>
      <c r="AG167" s="3203"/>
      <c r="AH167" s="3203"/>
      <c r="AI167" s="3203"/>
      <c r="AJ167" s="3203"/>
      <c r="AK167" s="3203"/>
      <c r="AL167" s="3203"/>
      <c r="AM167" s="3203"/>
      <c r="AN167" s="3203"/>
      <c r="AO167" s="3203"/>
      <c r="AP167" s="3203"/>
      <c r="AQ167" s="3202"/>
      <c r="AR167" s="3202"/>
      <c r="AS167" s="3202"/>
      <c r="AT167" s="3202"/>
      <c r="AU167" s="3202"/>
      <c r="AV167" s="3202"/>
      <c r="AW167" s="3202"/>
      <c r="AX167" s="3202"/>
      <c r="AY167" s="3202"/>
      <c r="AZ167" s="3201"/>
      <c r="BA167" s="3201"/>
      <c r="BB167" s="3202"/>
      <c r="DG167" s="3186"/>
    </row>
    <row r="168" spans="5:111" ht="12" customHeight="1">
      <c r="E168" s="3204"/>
      <c r="F168" s="3202"/>
      <c r="G168" s="3202"/>
      <c r="H168" s="3202"/>
      <c r="I168" s="3203"/>
      <c r="J168" s="3203"/>
      <c r="K168" s="3202"/>
      <c r="L168" s="3203"/>
      <c r="M168" s="3203"/>
      <c r="N168" s="3202"/>
      <c r="O168" s="3203"/>
      <c r="P168" s="3203"/>
      <c r="Q168" s="3202"/>
      <c r="R168" s="3202"/>
      <c r="S168" s="3202"/>
      <c r="T168" s="3202"/>
      <c r="U168" s="3202"/>
      <c r="V168" s="3203"/>
      <c r="W168" s="3203"/>
      <c r="X168" s="3203"/>
      <c r="Y168" s="3203"/>
      <c r="Z168" s="3203"/>
      <c r="AA168" s="3203"/>
      <c r="AB168" s="3203"/>
      <c r="AC168" s="3203"/>
      <c r="AD168" s="3203"/>
      <c r="AE168" s="3203"/>
      <c r="AF168" s="3203"/>
      <c r="AG168" s="3203"/>
      <c r="AH168" s="3203"/>
      <c r="AI168" s="3203"/>
      <c r="AJ168" s="3203"/>
      <c r="AK168" s="3203"/>
      <c r="AL168" s="3203"/>
      <c r="AM168" s="3203"/>
      <c r="AN168" s="3203"/>
      <c r="AO168" s="3203"/>
      <c r="AP168" s="3203"/>
      <c r="AQ168" s="3202"/>
      <c r="AR168" s="3202"/>
      <c r="AS168" s="3202"/>
      <c r="AT168" s="3202"/>
      <c r="AU168" s="3202"/>
      <c r="AV168" s="3202"/>
      <c r="AW168" s="3202"/>
      <c r="AX168" s="3202"/>
      <c r="AY168" s="3202"/>
      <c r="AZ168" s="3205"/>
      <c r="BA168" s="3205"/>
      <c r="BB168" s="3202"/>
      <c r="DG168" s="3186"/>
    </row>
    <row r="169" spans="5:111" ht="12" customHeight="1">
      <c r="E169" s="3204"/>
      <c r="I169" s="3190"/>
      <c r="J169" s="3190"/>
      <c r="L169" s="3190"/>
      <c r="M169" s="3190"/>
      <c r="O169" s="3190"/>
      <c r="P169" s="3190"/>
      <c r="AT169" s="3202"/>
      <c r="AU169" s="3202"/>
      <c r="AV169" s="3202"/>
      <c r="AW169" s="3202"/>
      <c r="AX169" s="3202"/>
      <c r="AY169" s="3202"/>
      <c r="BB169" s="3202"/>
      <c r="DG169" s="3186"/>
    </row>
    <row r="170" spans="5:111" ht="12" customHeight="1">
      <c r="E170" s="3204"/>
      <c r="F170" s="3202"/>
      <c r="G170" s="3202"/>
      <c r="H170" s="3202"/>
      <c r="I170" s="3203"/>
      <c r="J170" s="3203"/>
      <c r="K170" s="3202"/>
      <c r="L170" s="3203"/>
      <c r="M170" s="3203"/>
      <c r="N170" s="3202"/>
      <c r="O170" s="3203"/>
      <c r="P170" s="3203"/>
      <c r="Q170" s="3202"/>
      <c r="R170" s="3202"/>
      <c r="S170" s="3202"/>
      <c r="T170" s="3202"/>
      <c r="U170" s="3202"/>
      <c r="V170" s="3202"/>
      <c r="W170" s="3203"/>
      <c r="X170" s="3202"/>
      <c r="Y170" s="3202"/>
      <c r="Z170" s="3202"/>
      <c r="AA170" s="3202"/>
      <c r="AB170" s="3202"/>
      <c r="AC170" s="3202"/>
      <c r="AD170" s="3202"/>
      <c r="AE170" s="3202"/>
      <c r="AF170" s="3202"/>
      <c r="AG170" s="3203"/>
      <c r="AH170" s="3202"/>
      <c r="AI170" s="3202"/>
      <c r="AJ170" s="3202"/>
      <c r="AK170" s="3202"/>
      <c r="AL170" s="3202"/>
      <c r="AM170" s="3202"/>
      <c r="AN170" s="3202"/>
      <c r="AO170" s="3202"/>
      <c r="AP170" s="3202"/>
      <c r="AQ170" s="3202"/>
      <c r="AR170" s="3202"/>
      <c r="AS170" s="3202"/>
      <c r="AT170" s="3202"/>
      <c r="AU170" s="3202"/>
      <c r="AV170" s="3202"/>
      <c r="AW170" s="3202"/>
      <c r="AX170" s="3202"/>
      <c r="AY170" s="3202"/>
      <c r="AZ170" s="3201"/>
      <c r="BA170" s="3201"/>
      <c r="BB170" s="3202"/>
      <c r="BC170" s="3201"/>
      <c r="BD170" s="3201"/>
      <c r="BE170" s="3201"/>
      <c r="DG170" s="3186"/>
    </row>
    <row r="171" spans="5:111" ht="12" customHeight="1">
      <c r="E171" s="3204"/>
      <c r="F171" s="3202"/>
      <c r="G171" s="3202"/>
      <c r="H171" s="3202"/>
      <c r="I171" s="3203"/>
      <c r="J171" s="3203"/>
      <c r="K171" s="3202"/>
      <c r="L171" s="3203"/>
      <c r="M171" s="3203"/>
      <c r="N171" s="3202"/>
      <c r="O171" s="3203"/>
      <c r="P171" s="3203"/>
      <c r="Q171" s="3202"/>
      <c r="R171" s="3202"/>
      <c r="S171" s="3202"/>
      <c r="T171" s="3202"/>
      <c r="U171" s="3202"/>
      <c r="V171" s="3202"/>
      <c r="W171" s="3202"/>
      <c r="X171" s="3202"/>
      <c r="Y171" s="3202"/>
      <c r="Z171" s="3202"/>
      <c r="AA171" s="3202"/>
      <c r="AB171" s="3202"/>
      <c r="AC171" s="3202"/>
      <c r="AD171" s="3202"/>
      <c r="AE171" s="3202"/>
      <c r="AF171" s="3202"/>
      <c r="AG171" s="3202"/>
      <c r="AH171" s="3202"/>
      <c r="AI171" s="3202"/>
      <c r="AJ171" s="3202"/>
      <c r="AK171" s="3202"/>
      <c r="AL171" s="3202"/>
      <c r="AM171" s="3202"/>
      <c r="AN171" s="3202"/>
      <c r="AO171" s="3202"/>
      <c r="AP171" s="3202"/>
      <c r="AQ171" s="3202"/>
      <c r="AR171" s="3202"/>
      <c r="AS171" s="3202"/>
      <c r="AT171" s="3202"/>
      <c r="AU171" s="3202"/>
      <c r="AV171" s="3202"/>
      <c r="AW171" s="3202"/>
      <c r="AX171" s="3202"/>
      <c r="AY171" s="3202"/>
      <c r="AZ171" s="3205"/>
      <c r="BA171" s="3206"/>
      <c r="BB171" s="3202"/>
      <c r="BC171" s="3205"/>
      <c r="BD171" s="3205"/>
      <c r="BE171" s="3205"/>
      <c r="DG171" s="3186"/>
    </row>
    <row r="172" spans="5:111" ht="12" customHeight="1">
      <c r="E172" s="3204"/>
      <c r="F172" s="3202"/>
      <c r="G172" s="3202"/>
      <c r="H172" s="3202"/>
      <c r="I172" s="3203"/>
      <c r="J172" s="3203"/>
      <c r="K172" s="3202"/>
      <c r="L172" s="3203"/>
      <c r="M172" s="3203"/>
      <c r="N172" s="3202"/>
      <c r="O172" s="3203"/>
      <c r="P172" s="3203"/>
      <c r="Q172" s="3202"/>
      <c r="R172" s="3202"/>
      <c r="S172" s="3202"/>
      <c r="T172" s="3202"/>
      <c r="U172" s="3202"/>
      <c r="V172" s="3202"/>
      <c r="W172" s="3202"/>
      <c r="X172" s="3202"/>
      <c r="Y172" s="3202"/>
      <c r="Z172" s="3202"/>
      <c r="AA172" s="3202"/>
      <c r="AB172" s="3202"/>
      <c r="AC172" s="3202"/>
      <c r="AD172" s="3202"/>
      <c r="AE172" s="3202"/>
      <c r="AF172" s="3202"/>
      <c r="AG172" s="3202"/>
      <c r="AH172" s="3202"/>
      <c r="AI172" s="3202"/>
      <c r="AJ172" s="3202"/>
      <c r="AK172" s="3202"/>
      <c r="AL172" s="3202"/>
      <c r="AM172" s="3202"/>
      <c r="AN172" s="3202"/>
      <c r="AO172" s="3202"/>
      <c r="AP172" s="3202"/>
      <c r="AQ172" s="3202"/>
      <c r="AR172" s="3202"/>
      <c r="AS172" s="3202"/>
      <c r="AT172" s="3202"/>
      <c r="AU172" s="3202"/>
      <c r="AV172" s="3202"/>
      <c r="AW172" s="3202"/>
      <c r="AX172" s="3202"/>
      <c r="AY172" s="3202"/>
      <c r="AZ172" s="3201"/>
      <c r="BA172" s="3201"/>
      <c r="BB172" s="3202"/>
      <c r="BC172" s="3201"/>
      <c r="BD172" s="3201"/>
      <c r="BE172" s="3201"/>
      <c r="DG172" s="3186"/>
    </row>
    <row r="173" spans="5:111" ht="12" customHeight="1">
      <c r="E173" s="3204"/>
      <c r="F173" s="3202"/>
      <c r="G173" s="3202"/>
      <c r="H173" s="3202"/>
      <c r="I173" s="3203"/>
      <c r="J173" s="3203"/>
      <c r="K173" s="3202"/>
      <c r="L173" s="3203"/>
      <c r="M173" s="3203"/>
      <c r="N173" s="3202"/>
      <c r="O173" s="3203"/>
      <c r="P173" s="3203"/>
      <c r="Q173" s="3202"/>
      <c r="R173" s="3202"/>
      <c r="S173" s="3202"/>
      <c r="T173" s="3202"/>
      <c r="U173" s="3202"/>
      <c r="V173" s="3203"/>
      <c r="W173" s="3203"/>
      <c r="X173" s="3203"/>
      <c r="Y173" s="3203"/>
      <c r="Z173" s="3203"/>
      <c r="AA173" s="3203"/>
      <c r="AB173" s="3203"/>
      <c r="AC173" s="3203"/>
      <c r="AD173" s="3203"/>
      <c r="AE173" s="3203"/>
      <c r="AF173" s="3203"/>
      <c r="AG173" s="3203"/>
      <c r="AH173" s="3203"/>
      <c r="AI173" s="3203"/>
      <c r="AJ173" s="3203"/>
      <c r="AK173" s="3203"/>
      <c r="AL173" s="3203"/>
      <c r="AM173" s="3203"/>
      <c r="AN173" s="3203"/>
      <c r="AO173" s="3203"/>
      <c r="AP173" s="3203"/>
      <c r="AQ173" s="3202"/>
      <c r="AR173" s="3202"/>
      <c r="AS173" s="3202"/>
      <c r="AT173" s="3202"/>
      <c r="AU173" s="3202"/>
      <c r="AV173" s="3202"/>
      <c r="AW173" s="3202"/>
      <c r="AX173" s="3202"/>
      <c r="AY173" s="3202"/>
      <c r="AZ173" s="3205"/>
      <c r="BA173" s="3206"/>
      <c r="BB173" s="3202"/>
      <c r="BC173" s="3205"/>
      <c r="BD173" s="3205"/>
      <c r="BE173" s="3205"/>
      <c r="DG173" s="3186"/>
    </row>
    <row r="174" spans="5:111" ht="12" customHeight="1">
      <c r="E174" s="3204"/>
      <c r="F174" s="3202"/>
      <c r="G174" s="3202"/>
      <c r="H174" s="3202"/>
      <c r="I174" s="3203"/>
      <c r="J174" s="3203"/>
      <c r="K174" s="3202"/>
      <c r="L174" s="3203"/>
      <c r="M174" s="3203"/>
      <c r="N174" s="3202"/>
      <c r="O174" s="3203"/>
      <c r="P174" s="3203"/>
      <c r="Q174" s="3202"/>
      <c r="R174" s="3202"/>
      <c r="S174" s="3202"/>
      <c r="T174" s="3202"/>
      <c r="U174" s="3202"/>
      <c r="V174" s="3203"/>
      <c r="W174" s="3203"/>
      <c r="X174" s="3203"/>
      <c r="Y174" s="3203"/>
      <c r="Z174" s="3203"/>
      <c r="AA174" s="3203"/>
      <c r="AB174" s="3203"/>
      <c r="AC174" s="3203"/>
      <c r="AD174" s="3203"/>
      <c r="AE174" s="3203"/>
      <c r="AF174" s="3203"/>
      <c r="AG174" s="3203"/>
      <c r="AH174" s="3203"/>
      <c r="AI174" s="3203"/>
      <c r="AJ174" s="3203"/>
      <c r="AK174" s="3203"/>
      <c r="AL174" s="3203"/>
      <c r="AM174" s="3203"/>
      <c r="AN174" s="3203"/>
      <c r="AO174" s="3203"/>
      <c r="AP174" s="3203"/>
      <c r="AQ174" s="3202"/>
      <c r="AR174" s="3202"/>
      <c r="AS174" s="3202"/>
      <c r="AT174" s="3202"/>
      <c r="AU174" s="3202"/>
      <c r="AV174" s="3202"/>
      <c r="AW174" s="3202"/>
      <c r="AX174" s="3202"/>
      <c r="AY174" s="3202"/>
      <c r="AZ174" s="3201"/>
      <c r="BA174" s="3201"/>
      <c r="BB174" s="3202"/>
      <c r="BC174" s="3201"/>
      <c r="BD174" s="3201"/>
      <c r="BE174" s="3201"/>
      <c r="DG174" s="3186"/>
    </row>
    <row r="175" spans="5:111" ht="12" customHeight="1">
      <c r="E175" s="3204"/>
      <c r="I175" s="3190"/>
      <c r="J175" s="3190"/>
      <c r="L175" s="3190"/>
      <c r="M175" s="3190"/>
      <c r="O175" s="3190"/>
      <c r="P175" s="3190"/>
      <c r="AT175" s="3202"/>
      <c r="AU175" s="3202"/>
      <c r="AV175" s="3202"/>
      <c r="AW175" s="3202"/>
      <c r="AX175" s="3202"/>
      <c r="AY175" s="3202"/>
      <c r="AZ175" s="3205"/>
      <c r="BA175" s="3206"/>
      <c r="BB175" s="3202"/>
      <c r="BC175" s="3205"/>
      <c r="BD175" s="3205"/>
      <c r="BE175" s="3205"/>
      <c r="DG175" s="3186"/>
    </row>
    <row r="176" spans="5:111" ht="12" customHeight="1">
      <c r="E176" s="3204"/>
      <c r="F176" s="3202"/>
      <c r="G176" s="3202"/>
      <c r="H176" s="3202"/>
      <c r="I176" s="3203"/>
      <c r="J176" s="3203"/>
      <c r="K176" s="3202"/>
      <c r="L176" s="3203"/>
      <c r="M176" s="3203"/>
      <c r="N176" s="3202"/>
      <c r="O176" s="3203"/>
      <c r="P176" s="3203"/>
      <c r="Q176" s="3202"/>
      <c r="R176" s="3202"/>
      <c r="S176" s="3202"/>
      <c r="T176" s="3202"/>
      <c r="U176" s="3202"/>
      <c r="V176" s="3202"/>
      <c r="W176" s="3203"/>
      <c r="X176" s="3202"/>
      <c r="Y176" s="3202"/>
      <c r="Z176" s="3202"/>
      <c r="AA176" s="3202"/>
      <c r="AB176" s="3202"/>
      <c r="AC176" s="3202"/>
      <c r="AD176" s="3202"/>
      <c r="AE176" s="3202"/>
      <c r="AF176" s="3202"/>
      <c r="AG176" s="3203"/>
      <c r="AH176" s="3202"/>
      <c r="AI176" s="3202"/>
      <c r="AJ176" s="3202"/>
      <c r="AK176" s="3202"/>
      <c r="AL176" s="3202"/>
      <c r="AM176" s="3202"/>
      <c r="AN176" s="3202"/>
      <c r="AO176" s="3202"/>
      <c r="AP176" s="3202"/>
      <c r="AQ176" s="3202"/>
      <c r="AR176" s="3202"/>
      <c r="AS176" s="3202"/>
      <c r="AT176" s="3202"/>
      <c r="AU176" s="3202"/>
      <c r="AV176" s="3202"/>
      <c r="AW176" s="3202"/>
      <c r="AX176" s="3202"/>
      <c r="AY176" s="3202"/>
      <c r="AZ176" s="3201"/>
      <c r="BA176" s="3201"/>
      <c r="BB176" s="3202"/>
      <c r="BC176" s="3201"/>
      <c r="BD176" s="3201"/>
      <c r="BE176" s="3201"/>
      <c r="DG176" s="3186"/>
    </row>
    <row r="177" spans="5:111" ht="12" customHeight="1">
      <c r="E177" s="3204"/>
      <c r="F177" s="3202"/>
      <c r="G177" s="3202"/>
      <c r="H177" s="3202"/>
      <c r="I177" s="3203"/>
      <c r="J177" s="3203"/>
      <c r="K177" s="3202"/>
      <c r="L177" s="3203"/>
      <c r="M177" s="3203"/>
      <c r="N177" s="3202"/>
      <c r="O177" s="3203"/>
      <c r="P177" s="3203"/>
      <c r="Q177" s="3202"/>
      <c r="R177" s="3202"/>
      <c r="S177" s="3202"/>
      <c r="T177" s="3202"/>
      <c r="U177" s="3202"/>
      <c r="V177" s="3202"/>
      <c r="W177" s="3202"/>
      <c r="X177" s="3202"/>
      <c r="Y177" s="3202"/>
      <c r="Z177" s="3202"/>
      <c r="AA177" s="3202"/>
      <c r="AB177" s="3202"/>
      <c r="AC177" s="3202"/>
      <c r="AD177" s="3202"/>
      <c r="AE177" s="3202"/>
      <c r="AF177" s="3202"/>
      <c r="AG177" s="3202"/>
      <c r="AH177" s="3202"/>
      <c r="AI177" s="3202"/>
      <c r="AJ177" s="3202"/>
      <c r="AK177" s="3202"/>
      <c r="AL177" s="3202"/>
      <c r="AM177" s="3202"/>
      <c r="AN177" s="3202"/>
      <c r="AO177" s="3202"/>
      <c r="AP177" s="3202"/>
      <c r="AQ177" s="3202"/>
      <c r="AR177" s="3202"/>
      <c r="AS177" s="3202"/>
      <c r="AT177" s="3202"/>
      <c r="AU177" s="3202"/>
      <c r="AV177" s="3202"/>
      <c r="AW177" s="3202"/>
      <c r="AX177" s="3202"/>
      <c r="AY177" s="3202"/>
      <c r="AZ177" s="3205"/>
      <c r="BA177" s="3206"/>
      <c r="BB177" s="3202"/>
      <c r="BC177" s="3205"/>
      <c r="BD177" s="3205"/>
      <c r="BE177" s="3205"/>
      <c r="DG177" s="3186"/>
    </row>
    <row r="178" spans="5:111" ht="12" customHeight="1">
      <c r="E178" s="3204"/>
      <c r="F178" s="3202"/>
      <c r="G178" s="3202"/>
      <c r="H178" s="3202"/>
      <c r="I178" s="3203"/>
      <c r="J178" s="3203"/>
      <c r="K178" s="3202"/>
      <c r="L178" s="3203"/>
      <c r="M178" s="3203"/>
      <c r="N178" s="3202"/>
      <c r="O178" s="3203"/>
      <c r="P178" s="3203"/>
      <c r="Q178" s="3202"/>
      <c r="R178" s="3202"/>
      <c r="S178" s="3202"/>
      <c r="T178" s="3202"/>
      <c r="U178" s="3202"/>
      <c r="V178" s="3202"/>
      <c r="W178" s="3202"/>
      <c r="X178" s="3202"/>
      <c r="Y178" s="3202"/>
      <c r="Z178" s="3202"/>
      <c r="AA178" s="3202"/>
      <c r="AB178" s="3202"/>
      <c r="AC178" s="3202"/>
      <c r="AD178" s="3202"/>
      <c r="AE178" s="3202"/>
      <c r="AF178" s="3202"/>
      <c r="AG178" s="3202"/>
      <c r="AH178" s="3202"/>
      <c r="AI178" s="3202"/>
      <c r="AJ178" s="3202"/>
      <c r="AK178" s="3202"/>
      <c r="AL178" s="3202"/>
      <c r="AM178" s="3202"/>
      <c r="AN178" s="3202"/>
      <c r="AO178" s="3202"/>
      <c r="AP178" s="3202"/>
      <c r="AQ178" s="3202"/>
      <c r="AR178" s="3202"/>
      <c r="AS178" s="3202"/>
      <c r="AT178" s="3202"/>
      <c r="AU178" s="3202"/>
      <c r="AV178" s="3202"/>
      <c r="AW178" s="3202"/>
      <c r="AX178" s="3202"/>
      <c r="AY178" s="3202"/>
      <c r="AZ178" s="3201"/>
      <c r="BA178" s="3201"/>
      <c r="BB178" s="3202"/>
      <c r="BC178" s="3201"/>
      <c r="BD178" s="3201"/>
      <c r="BE178" s="3201"/>
      <c r="DG178" s="3186"/>
    </row>
    <row r="179" spans="5:111" ht="12" customHeight="1">
      <c r="E179" s="3204"/>
      <c r="F179" s="3202"/>
      <c r="G179" s="3202"/>
      <c r="H179" s="3202"/>
      <c r="I179" s="3203"/>
      <c r="J179" s="3203"/>
      <c r="K179" s="3202"/>
      <c r="L179" s="3203"/>
      <c r="M179" s="3203"/>
      <c r="N179" s="3202"/>
      <c r="O179" s="3203"/>
      <c r="P179" s="3203"/>
      <c r="Q179" s="3202"/>
      <c r="R179" s="3202"/>
      <c r="S179" s="3202"/>
      <c r="T179" s="3202"/>
      <c r="U179" s="3202"/>
      <c r="V179" s="3203"/>
      <c r="W179" s="3203"/>
      <c r="X179" s="3203"/>
      <c r="Y179" s="3203"/>
      <c r="Z179" s="3203"/>
      <c r="AA179" s="3203"/>
      <c r="AB179" s="3203"/>
      <c r="AC179" s="3203"/>
      <c r="AD179" s="3203"/>
      <c r="AE179" s="3203"/>
      <c r="AF179" s="3203"/>
      <c r="AG179" s="3203"/>
      <c r="AH179" s="3203"/>
      <c r="AI179" s="3203"/>
      <c r="AJ179" s="3203"/>
      <c r="AK179" s="3203"/>
      <c r="AL179" s="3203"/>
      <c r="AM179" s="3203"/>
      <c r="AN179" s="3203"/>
      <c r="AO179" s="3203"/>
      <c r="AP179" s="3203"/>
      <c r="AQ179" s="3202"/>
      <c r="AR179" s="3202"/>
      <c r="AS179" s="3202"/>
      <c r="AT179" s="3202"/>
      <c r="AU179" s="3202"/>
      <c r="AV179" s="3202"/>
      <c r="AW179" s="3202"/>
      <c r="AX179" s="3202"/>
      <c r="AY179" s="3202"/>
      <c r="AZ179" s="3205"/>
      <c r="BA179" s="3206"/>
      <c r="BB179" s="3202"/>
      <c r="BC179" s="3205"/>
      <c r="BD179" s="3205"/>
      <c r="BE179" s="3205"/>
      <c r="DG179" s="3186"/>
    </row>
    <row r="180" spans="5:111" ht="12" customHeight="1">
      <c r="E180" s="3204"/>
      <c r="F180" s="3202"/>
      <c r="G180" s="3202"/>
      <c r="H180" s="3202"/>
      <c r="I180" s="3203"/>
      <c r="J180" s="3203"/>
      <c r="K180" s="3202"/>
      <c r="L180" s="3203"/>
      <c r="M180" s="3203"/>
      <c r="N180" s="3202"/>
      <c r="O180" s="3203"/>
      <c r="P180" s="3203"/>
      <c r="Q180" s="3202"/>
      <c r="R180" s="3202"/>
      <c r="S180" s="3202"/>
      <c r="T180" s="3202"/>
      <c r="U180" s="3202"/>
      <c r="V180" s="3203"/>
      <c r="W180" s="3203"/>
      <c r="X180" s="3203"/>
      <c r="Y180" s="3203"/>
      <c r="Z180" s="3203"/>
      <c r="AA180" s="3203"/>
      <c r="AB180" s="3203"/>
      <c r="AC180" s="3203"/>
      <c r="AD180" s="3203"/>
      <c r="AE180" s="3203"/>
      <c r="AF180" s="3203"/>
      <c r="AG180" s="3203"/>
      <c r="AH180" s="3203"/>
      <c r="AI180" s="3203"/>
      <c r="AJ180" s="3203"/>
      <c r="AK180" s="3203"/>
      <c r="AL180" s="3203"/>
      <c r="AM180" s="3203"/>
      <c r="AN180" s="3203"/>
      <c r="AO180" s="3203"/>
      <c r="AP180" s="3203"/>
      <c r="AQ180" s="3202"/>
      <c r="AR180" s="3202"/>
      <c r="AS180" s="3202"/>
      <c r="AT180" s="3202"/>
      <c r="AU180" s="3202"/>
      <c r="AV180" s="3202"/>
      <c r="AW180" s="3202"/>
      <c r="AX180" s="3202"/>
      <c r="AY180" s="3202"/>
      <c r="AZ180" s="3201"/>
      <c r="BA180" s="3201"/>
      <c r="BB180" s="3202"/>
      <c r="BC180" s="3201"/>
      <c r="BD180" s="3201"/>
      <c r="BE180" s="3201"/>
      <c r="DG180" s="3186"/>
    </row>
    <row r="181" spans="5:111" ht="12" customHeight="1">
      <c r="E181" s="3204"/>
      <c r="I181" s="3190"/>
      <c r="J181" s="3190"/>
      <c r="L181" s="3190"/>
      <c r="M181" s="3190"/>
      <c r="O181" s="3190"/>
      <c r="P181" s="3190"/>
      <c r="AT181" s="3202"/>
      <c r="AU181" s="3202"/>
      <c r="AV181" s="3202"/>
      <c r="AW181" s="3202"/>
      <c r="AX181" s="3202"/>
      <c r="AY181" s="3202"/>
      <c r="AZ181" s="3205"/>
      <c r="BA181" s="3206"/>
      <c r="BB181" s="3202"/>
      <c r="BC181" s="3205"/>
      <c r="BD181" s="3205"/>
      <c r="BE181" s="3205"/>
      <c r="DG181" s="3186"/>
    </row>
    <row r="182" spans="5:111" ht="12" customHeight="1">
      <c r="E182" s="3204"/>
      <c r="F182" s="3202"/>
      <c r="G182" s="3202"/>
      <c r="H182" s="3202"/>
      <c r="I182" s="3203"/>
      <c r="J182" s="3203"/>
      <c r="K182" s="3202"/>
      <c r="L182" s="3203"/>
      <c r="M182" s="3203"/>
      <c r="N182" s="3202"/>
      <c r="O182" s="3203"/>
      <c r="P182" s="3203"/>
      <c r="Q182" s="3202"/>
      <c r="R182" s="3202"/>
      <c r="S182" s="3202"/>
      <c r="T182" s="3202"/>
      <c r="U182" s="3202"/>
      <c r="V182" s="3202"/>
      <c r="W182" s="3203"/>
      <c r="X182" s="3202"/>
      <c r="Y182" s="3202"/>
      <c r="Z182" s="3202"/>
      <c r="AA182" s="3202"/>
      <c r="AB182" s="3202"/>
      <c r="AC182" s="3202"/>
      <c r="AD182" s="3202"/>
      <c r="AE182" s="3202"/>
      <c r="AF182" s="3202"/>
      <c r="AG182" s="3203"/>
      <c r="AH182" s="3202"/>
      <c r="AI182" s="3202"/>
      <c r="AJ182" s="3202"/>
      <c r="AK182" s="3202"/>
      <c r="AL182" s="3202"/>
      <c r="AM182" s="3202"/>
      <c r="AN182" s="3202"/>
      <c r="AO182" s="3202"/>
      <c r="AP182" s="3202"/>
      <c r="AQ182" s="3202"/>
      <c r="AR182" s="3202"/>
      <c r="AS182" s="3202"/>
      <c r="AT182" s="3202"/>
      <c r="AU182" s="3202"/>
      <c r="AV182" s="3202"/>
      <c r="AW182" s="3202"/>
      <c r="AX182" s="3202"/>
      <c r="AY182" s="3202"/>
      <c r="DG182" s="3186"/>
    </row>
    <row r="183" spans="5:111" ht="12" customHeight="1">
      <c r="E183" s="3204"/>
      <c r="F183" s="3202"/>
      <c r="G183" s="3202"/>
      <c r="H183" s="3202"/>
      <c r="I183" s="3203"/>
      <c r="J183" s="3203"/>
      <c r="K183" s="3202"/>
      <c r="L183" s="3203"/>
      <c r="M183" s="3203"/>
      <c r="N183" s="3202"/>
      <c r="O183" s="3203"/>
      <c r="P183" s="3203"/>
      <c r="Q183" s="3202"/>
      <c r="R183" s="3202"/>
      <c r="S183" s="3202"/>
      <c r="T183" s="3202"/>
      <c r="U183" s="3202"/>
      <c r="V183" s="3202"/>
      <c r="W183" s="3202"/>
      <c r="X183" s="3202"/>
      <c r="Y183" s="3202"/>
      <c r="Z183" s="3202"/>
      <c r="AA183" s="3202"/>
      <c r="AB183" s="3202"/>
      <c r="AC183" s="3202"/>
      <c r="AD183" s="3202"/>
      <c r="AE183" s="3202"/>
      <c r="AF183" s="3202"/>
      <c r="AG183" s="3202"/>
      <c r="AH183" s="3202"/>
      <c r="AI183" s="3202"/>
      <c r="AJ183" s="3202"/>
      <c r="AK183" s="3202"/>
      <c r="AL183" s="3202"/>
      <c r="AM183" s="3202"/>
      <c r="AN183" s="3202"/>
      <c r="AO183" s="3202"/>
      <c r="AP183" s="3202"/>
      <c r="AQ183" s="3202"/>
      <c r="AR183" s="3202"/>
      <c r="AS183" s="3202"/>
      <c r="AT183" s="3202"/>
      <c r="AU183" s="3202"/>
      <c r="AV183" s="3202"/>
      <c r="AW183" s="3202"/>
      <c r="AX183" s="3202"/>
      <c r="AY183" s="3202"/>
      <c r="DG183" s="3186"/>
    </row>
    <row r="184" spans="5:111" ht="12" customHeight="1">
      <c r="E184" s="3204"/>
      <c r="F184" s="3202"/>
      <c r="G184" s="3202"/>
      <c r="H184" s="3202"/>
      <c r="I184" s="3203"/>
      <c r="J184" s="3203"/>
      <c r="K184" s="3202"/>
      <c r="L184" s="3203"/>
      <c r="M184" s="3203"/>
      <c r="N184" s="3202"/>
      <c r="O184" s="3203"/>
      <c r="P184" s="3203"/>
      <c r="Q184" s="3202"/>
      <c r="R184" s="3202"/>
      <c r="S184" s="3202"/>
      <c r="T184" s="3202"/>
      <c r="U184" s="3202"/>
      <c r="V184" s="3202"/>
      <c r="W184" s="3202"/>
      <c r="X184" s="3202"/>
      <c r="Y184" s="3202"/>
      <c r="Z184" s="3202"/>
      <c r="AA184" s="3202"/>
      <c r="AB184" s="3202"/>
      <c r="AC184" s="3202"/>
      <c r="AD184" s="3202"/>
      <c r="AE184" s="3202"/>
      <c r="AF184" s="3202"/>
      <c r="AG184" s="3202"/>
      <c r="AH184" s="3202"/>
      <c r="AI184" s="3202"/>
      <c r="AJ184" s="3202"/>
      <c r="AK184" s="3202"/>
      <c r="AL184" s="3202"/>
      <c r="AM184" s="3202"/>
      <c r="AN184" s="3202"/>
      <c r="AO184" s="3202"/>
      <c r="AP184" s="3202"/>
      <c r="AQ184" s="3202"/>
      <c r="AR184" s="3202"/>
      <c r="AS184" s="3202"/>
      <c r="AT184" s="3202"/>
      <c r="AU184" s="3202"/>
      <c r="AV184" s="3202"/>
      <c r="AW184" s="3202"/>
      <c r="AX184" s="3202"/>
      <c r="AY184" s="3202"/>
      <c r="DG184" s="3186"/>
    </row>
    <row r="185" spans="5:111" ht="12" customHeight="1">
      <c r="E185" s="3204"/>
      <c r="F185" s="3202"/>
      <c r="G185" s="3202"/>
      <c r="H185" s="3202"/>
      <c r="I185" s="3203"/>
      <c r="J185" s="3203"/>
      <c r="K185" s="3202"/>
      <c r="L185" s="3203"/>
      <c r="M185" s="3203"/>
      <c r="N185" s="3202"/>
      <c r="O185" s="3203"/>
      <c r="P185" s="3203"/>
      <c r="Q185" s="3202"/>
      <c r="R185" s="3202"/>
      <c r="S185" s="3202"/>
      <c r="T185" s="3202"/>
      <c r="U185" s="3202"/>
      <c r="V185" s="3203"/>
      <c r="W185" s="3203"/>
      <c r="X185" s="3203"/>
      <c r="Y185" s="3203"/>
      <c r="Z185" s="3203"/>
      <c r="AA185" s="3203"/>
      <c r="AB185" s="3203"/>
      <c r="AC185" s="3203"/>
      <c r="AD185" s="3203"/>
      <c r="AE185" s="3203"/>
      <c r="AF185" s="3203"/>
      <c r="AG185" s="3203"/>
      <c r="AH185" s="3203"/>
      <c r="AI185" s="3203"/>
      <c r="AJ185" s="3203"/>
      <c r="AK185" s="3203"/>
      <c r="AL185" s="3203"/>
      <c r="AM185" s="3203"/>
      <c r="AN185" s="3203"/>
      <c r="AO185" s="3203"/>
      <c r="AP185" s="3203"/>
      <c r="AQ185" s="3202"/>
      <c r="AR185" s="3202"/>
      <c r="AS185" s="3202"/>
      <c r="AT185" s="3202"/>
      <c r="AU185" s="3202"/>
      <c r="AV185" s="3202"/>
      <c r="AW185" s="3202"/>
      <c r="AX185" s="3202"/>
      <c r="AY185" s="3202"/>
      <c r="DG185" s="3186"/>
    </row>
    <row r="186" spans="5:111" ht="12" customHeight="1">
      <c r="E186" s="3204"/>
      <c r="F186" s="3202"/>
      <c r="G186" s="3202"/>
      <c r="H186" s="3202"/>
      <c r="I186" s="3203"/>
      <c r="J186" s="3203"/>
      <c r="K186" s="3202"/>
      <c r="L186" s="3203"/>
      <c r="M186" s="3203"/>
      <c r="N186" s="3202"/>
      <c r="O186" s="3203"/>
      <c r="P186" s="3203"/>
      <c r="Q186" s="3202"/>
      <c r="R186" s="3202"/>
      <c r="S186" s="3202"/>
      <c r="T186" s="3202"/>
      <c r="U186" s="3202"/>
      <c r="V186" s="3203"/>
      <c r="W186" s="3203"/>
      <c r="X186" s="3203"/>
      <c r="Y186" s="3203"/>
      <c r="Z186" s="3203"/>
      <c r="AA186" s="3203"/>
      <c r="AB186" s="3203"/>
      <c r="AC186" s="3203"/>
      <c r="AD186" s="3203"/>
      <c r="AE186" s="3203"/>
      <c r="AF186" s="3203"/>
      <c r="AG186" s="3203"/>
      <c r="AH186" s="3203"/>
      <c r="AI186" s="3203"/>
      <c r="AJ186" s="3203"/>
      <c r="AK186" s="3203"/>
      <c r="AL186" s="3203"/>
      <c r="AM186" s="3203"/>
      <c r="AN186" s="3203"/>
      <c r="AO186" s="3203"/>
      <c r="AP186" s="3203"/>
      <c r="AQ186" s="3202"/>
      <c r="AR186" s="3202"/>
      <c r="AS186" s="3202"/>
      <c r="AT186" s="3202"/>
      <c r="AU186" s="3202"/>
      <c r="AV186" s="3202"/>
      <c r="AW186" s="3202"/>
      <c r="AX186" s="3202"/>
      <c r="AY186" s="3202"/>
      <c r="DG186" s="3186"/>
    </row>
    <row r="187" spans="5:111" ht="12" customHeight="1">
      <c r="AQ187" s="3201"/>
      <c r="AR187" s="3201"/>
      <c r="AS187" s="3201"/>
      <c r="AT187" s="3202"/>
      <c r="AU187" s="3202"/>
      <c r="AV187" s="3202"/>
      <c r="AW187" s="3202"/>
      <c r="AX187" s="3202"/>
      <c r="AY187" s="3202"/>
      <c r="AZ187" s="3201"/>
      <c r="BA187" s="3201"/>
      <c r="BB187" s="3202"/>
      <c r="DG187" s="3186"/>
    </row>
    <row r="188" spans="5:111" ht="12" customHeight="1">
      <c r="E188" s="3204"/>
      <c r="F188" s="3202"/>
      <c r="G188" s="3202"/>
      <c r="H188" s="3202"/>
      <c r="I188" s="3202"/>
      <c r="J188" s="3202"/>
      <c r="K188" s="3202"/>
      <c r="L188" s="3202"/>
      <c r="M188" s="3202"/>
      <c r="N188" s="3202"/>
      <c r="O188" s="3202"/>
      <c r="P188" s="3202"/>
      <c r="Q188" s="3202"/>
      <c r="R188" s="3202"/>
      <c r="S188" s="3202"/>
      <c r="T188" s="3202"/>
      <c r="U188" s="3202"/>
      <c r="V188" s="3202"/>
      <c r="W188" s="3202"/>
      <c r="X188" s="3202"/>
      <c r="Y188" s="3202"/>
      <c r="Z188" s="3202"/>
      <c r="AA188" s="3202"/>
      <c r="AB188" s="3202"/>
      <c r="AC188" s="3202"/>
      <c r="AD188" s="3202"/>
      <c r="AE188" s="3202"/>
      <c r="AF188" s="3202"/>
      <c r="AG188" s="3202"/>
      <c r="AH188" s="3202"/>
      <c r="AI188" s="3202"/>
      <c r="AJ188" s="3202"/>
      <c r="AK188" s="3202"/>
      <c r="AL188" s="3202"/>
      <c r="AM188" s="3202"/>
      <c r="AN188" s="3202"/>
      <c r="AO188" s="3202"/>
      <c r="AP188" s="3202"/>
      <c r="AQ188" s="3202"/>
      <c r="AR188" s="3203"/>
      <c r="AS188" s="3203"/>
      <c r="AT188" s="3202"/>
      <c r="AU188" s="3202"/>
      <c r="AV188" s="3202"/>
      <c r="AW188" s="3202"/>
      <c r="AX188" s="3202"/>
      <c r="AY188" s="3202"/>
      <c r="AZ188" s="3205"/>
      <c r="BA188" s="3205"/>
      <c r="BB188" s="3202"/>
      <c r="DG188" s="3186"/>
    </row>
    <row r="189" spans="5:111" ht="12" customHeight="1">
      <c r="E189" s="3204"/>
      <c r="F189" s="3202"/>
      <c r="G189" s="3202"/>
      <c r="H189" s="3202"/>
      <c r="I189" s="3202"/>
      <c r="J189" s="3202"/>
      <c r="K189" s="3202"/>
      <c r="L189" s="3202"/>
      <c r="M189" s="3202"/>
      <c r="N189" s="3202"/>
      <c r="O189" s="3202"/>
      <c r="P189" s="3202"/>
      <c r="Q189" s="3202"/>
      <c r="R189" s="3202"/>
      <c r="S189" s="3202"/>
      <c r="T189" s="3202"/>
      <c r="U189" s="3202"/>
      <c r="V189" s="3202"/>
      <c r="W189" s="3202"/>
      <c r="X189" s="3202"/>
      <c r="Y189" s="3202"/>
      <c r="Z189" s="3202"/>
      <c r="AA189" s="3202"/>
      <c r="AB189" s="3202"/>
      <c r="AC189" s="3202"/>
      <c r="AD189" s="3202"/>
      <c r="AE189" s="3202"/>
      <c r="AF189" s="3202"/>
      <c r="AG189" s="3202"/>
      <c r="AH189" s="3202"/>
      <c r="AI189" s="3202"/>
      <c r="AJ189" s="3202"/>
      <c r="AK189" s="3202"/>
      <c r="AL189" s="3202"/>
      <c r="AM189" s="3202"/>
      <c r="AN189" s="3202"/>
      <c r="AO189" s="3202"/>
      <c r="AP189" s="3202"/>
      <c r="AQ189" s="3202"/>
      <c r="AR189" s="3202"/>
      <c r="AS189" s="3202"/>
      <c r="AT189" s="3202"/>
      <c r="AU189" s="3202"/>
      <c r="AV189" s="3202"/>
      <c r="AW189" s="3202"/>
      <c r="AX189" s="3202"/>
      <c r="AY189" s="3202"/>
      <c r="BB189" s="3202"/>
      <c r="DG189" s="3186"/>
    </row>
    <row r="190" spans="5:111" ht="12" customHeight="1">
      <c r="E190" s="3204"/>
      <c r="F190" s="3202"/>
      <c r="G190" s="3202"/>
      <c r="H190" s="3202"/>
      <c r="I190" s="3202"/>
      <c r="J190" s="3202"/>
      <c r="K190" s="3202"/>
      <c r="L190" s="3202"/>
      <c r="M190" s="3202"/>
      <c r="N190" s="3202"/>
      <c r="O190" s="3202"/>
      <c r="P190" s="3202"/>
      <c r="Q190" s="3202"/>
      <c r="R190" s="3202"/>
      <c r="S190" s="3202"/>
      <c r="T190" s="3202"/>
      <c r="U190" s="3202"/>
      <c r="V190" s="3202"/>
      <c r="W190" s="3202"/>
      <c r="X190" s="3202"/>
      <c r="Y190" s="3202"/>
      <c r="Z190" s="3202"/>
      <c r="AA190" s="3202"/>
      <c r="AB190" s="3202"/>
      <c r="AC190" s="3202"/>
      <c r="AD190" s="3202"/>
      <c r="AE190" s="3202"/>
      <c r="AF190" s="3202"/>
      <c r="AG190" s="3202"/>
      <c r="AH190" s="3202"/>
      <c r="AI190" s="3202"/>
      <c r="AJ190" s="3202"/>
      <c r="AK190" s="3202"/>
      <c r="AL190" s="3202"/>
      <c r="AM190" s="3202"/>
      <c r="AN190" s="3202"/>
      <c r="AO190" s="3202"/>
      <c r="AP190" s="3202"/>
      <c r="AQ190" s="3202"/>
      <c r="AR190" s="3202"/>
      <c r="AS190" s="3202"/>
      <c r="AT190" s="3202"/>
      <c r="AU190" s="3202"/>
      <c r="AV190" s="3202"/>
      <c r="AW190" s="3202"/>
      <c r="AX190" s="3202"/>
      <c r="AY190" s="3202"/>
      <c r="BB190" s="3202"/>
      <c r="DG190" s="3186"/>
    </row>
    <row r="191" spans="5:111" ht="12" customHeight="1">
      <c r="DG191" s="3186"/>
    </row>
    <row r="192" spans="5:111" ht="12" customHeight="1">
      <c r="E192" s="3191"/>
      <c r="F192" s="3192"/>
      <c r="G192" s="3192"/>
      <c r="H192" s="3192"/>
      <c r="I192" s="3192"/>
      <c r="J192" s="3192"/>
      <c r="K192" s="3192"/>
      <c r="L192" s="3192"/>
      <c r="M192" s="3192"/>
      <c r="N192" s="3192"/>
      <c r="O192" s="3192"/>
      <c r="P192" s="3192"/>
      <c r="Q192" s="3192"/>
      <c r="R192" s="3192"/>
      <c r="S192" s="3192"/>
      <c r="T192" s="3192"/>
      <c r="U192" s="3192"/>
      <c r="V192" s="3192"/>
      <c r="X192" s="3192"/>
      <c r="Y192" s="3192"/>
      <c r="Z192" s="3192"/>
      <c r="AA192" s="3192"/>
      <c r="AB192" s="3192"/>
      <c r="AC192" s="3192"/>
      <c r="AD192" s="3192"/>
      <c r="AE192" s="3192"/>
      <c r="AH192" s="3192"/>
      <c r="AI192" s="3192"/>
      <c r="AJ192" s="3192"/>
      <c r="AK192" s="3192"/>
      <c r="AL192" s="3192"/>
      <c r="AM192" s="3192"/>
      <c r="AN192" s="3192"/>
      <c r="AO192" s="3192"/>
      <c r="BB192" s="3192"/>
      <c r="DG192" s="3186"/>
    </row>
    <row r="193" spans="4:112" ht="12" customHeight="1">
      <c r="D193" s="3207"/>
      <c r="E193" s="3204"/>
      <c r="F193" s="3202"/>
      <c r="G193" s="3202"/>
      <c r="H193" s="3202"/>
      <c r="I193" s="3202"/>
      <c r="J193" s="3202"/>
      <c r="K193" s="3202"/>
      <c r="L193" s="3202"/>
      <c r="M193" s="3202"/>
      <c r="N193" s="3202"/>
      <c r="O193" s="3202"/>
      <c r="P193" s="3202"/>
      <c r="Q193" s="3202"/>
      <c r="R193" s="3202"/>
      <c r="S193" s="3202"/>
      <c r="T193" s="3201"/>
      <c r="U193" s="3201"/>
      <c r="V193" s="3201"/>
      <c r="W193" s="3201"/>
      <c r="X193" s="3201"/>
      <c r="Y193" s="3201"/>
      <c r="Z193" s="3201"/>
      <c r="AA193" s="3201"/>
      <c r="AB193" s="3201"/>
      <c r="AC193" s="3201"/>
      <c r="AD193" s="3201"/>
      <c r="AE193" s="3201"/>
      <c r="AF193" s="3201"/>
      <c r="AG193" s="3201"/>
      <c r="AH193" s="3201"/>
      <c r="AI193" s="3201"/>
      <c r="AJ193" s="3201"/>
      <c r="AK193" s="3201"/>
      <c r="AL193" s="3201"/>
      <c r="AM193" s="3201"/>
      <c r="AN193" s="3201"/>
      <c r="AO193" s="3201"/>
      <c r="AP193" s="3201"/>
      <c r="AQ193" s="3201"/>
      <c r="AR193" s="3201"/>
      <c r="AS193" s="3201"/>
      <c r="AT193" s="3201"/>
      <c r="AU193" s="3201"/>
      <c r="AV193" s="3201"/>
      <c r="AW193" s="3201"/>
      <c r="AX193" s="3201"/>
      <c r="AY193" s="3201"/>
      <c r="AZ193" s="3202"/>
      <c r="BA193" s="3202"/>
      <c r="BB193" s="3202"/>
      <c r="DH193" s="3186"/>
    </row>
    <row r="194" spans="4:112" ht="12" customHeight="1">
      <c r="E194" s="3204"/>
      <c r="F194" s="3202"/>
      <c r="AT194" s="3202"/>
      <c r="AU194" s="3202"/>
      <c r="AV194" s="3202"/>
      <c r="AW194" s="3202"/>
      <c r="AX194" s="3202"/>
      <c r="AY194" s="3202"/>
      <c r="AZ194" s="3193"/>
      <c r="BB194" s="3202"/>
      <c r="DG194" s="3186"/>
    </row>
    <row r="195" spans="4:112" ht="12" customHeight="1">
      <c r="E195" s="3204"/>
      <c r="F195" s="3202"/>
      <c r="G195" s="3202"/>
      <c r="H195" s="3202"/>
      <c r="I195" s="3203"/>
      <c r="J195" s="3203"/>
      <c r="K195" s="3202"/>
      <c r="L195" s="3203"/>
      <c r="M195" s="3203"/>
      <c r="N195" s="3202"/>
      <c r="O195" s="3203"/>
      <c r="P195" s="3203"/>
      <c r="Q195" s="3202"/>
      <c r="R195" s="3202"/>
      <c r="S195" s="3202"/>
      <c r="T195" s="3202"/>
      <c r="U195" s="3202"/>
      <c r="V195" s="3202"/>
      <c r="W195" s="3203"/>
      <c r="X195" s="3202"/>
      <c r="Y195" s="3202"/>
      <c r="Z195" s="3202"/>
      <c r="AA195" s="3202"/>
      <c r="AB195" s="3202"/>
      <c r="AC195" s="3202"/>
      <c r="AD195" s="3202"/>
      <c r="AE195" s="3202"/>
      <c r="AF195" s="3202"/>
      <c r="AG195" s="3203"/>
      <c r="AH195" s="3202"/>
      <c r="AI195" s="3202"/>
      <c r="AJ195" s="3202"/>
      <c r="AK195" s="3202"/>
      <c r="AL195" s="3202"/>
      <c r="AM195" s="3202"/>
      <c r="AN195" s="3202"/>
      <c r="AO195" s="3202"/>
      <c r="AP195" s="3202"/>
      <c r="AQ195" s="3202"/>
      <c r="AR195" s="3202"/>
      <c r="AS195" s="3202"/>
      <c r="AT195" s="3202"/>
      <c r="AU195" s="3202"/>
      <c r="AV195" s="3202"/>
      <c r="AW195" s="3202"/>
      <c r="AX195" s="3202"/>
      <c r="AY195" s="3202"/>
      <c r="AZ195" s="3202"/>
      <c r="BA195" s="3202"/>
      <c r="BB195" s="3202"/>
      <c r="DD195" s="3187"/>
      <c r="DG195" s="3186"/>
    </row>
    <row r="196" spans="4:112" ht="12" customHeight="1">
      <c r="E196" s="3204"/>
      <c r="F196" s="3202"/>
      <c r="G196" s="3202"/>
      <c r="H196" s="3202"/>
      <c r="I196" s="3203"/>
      <c r="J196" s="3203"/>
      <c r="K196" s="3202"/>
      <c r="L196" s="3203"/>
      <c r="M196" s="3203"/>
      <c r="N196" s="3202"/>
      <c r="O196" s="3203"/>
      <c r="P196" s="3203"/>
      <c r="Q196" s="3202"/>
      <c r="R196" s="3202"/>
      <c r="S196" s="3202"/>
      <c r="T196" s="3202"/>
      <c r="U196" s="3202"/>
      <c r="V196" s="3202"/>
      <c r="W196" s="3202"/>
      <c r="X196" s="3202"/>
      <c r="Y196" s="3202"/>
      <c r="Z196" s="3202"/>
      <c r="AA196" s="3202"/>
      <c r="AB196" s="3202"/>
      <c r="AC196" s="3202"/>
      <c r="AD196" s="3202"/>
      <c r="AE196" s="3202"/>
      <c r="AF196" s="3202"/>
      <c r="AG196" s="3202"/>
      <c r="AH196" s="3202"/>
      <c r="AI196" s="3202"/>
      <c r="AJ196" s="3202"/>
      <c r="AK196" s="3202"/>
      <c r="AL196" s="3202"/>
      <c r="AM196" s="3202"/>
      <c r="AN196" s="3202"/>
      <c r="AO196" s="3202"/>
      <c r="AP196" s="3202"/>
      <c r="AQ196" s="3202"/>
      <c r="AR196" s="3202"/>
      <c r="AS196" s="3202"/>
      <c r="AT196" s="3202"/>
      <c r="AU196" s="3202"/>
      <c r="AV196" s="3202"/>
      <c r="AW196" s="3202"/>
      <c r="AX196" s="3202"/>
      <c r="AY196" s="3202"/>
      <c r="AZ196" s="3205"/>
      <c r="BA196" s="3205"/>
      <c r="BB196" s="3202"/>
      <c r="DD196" s="3187"/>
      <c r="DG196" s="3186"/>
    </row>
    <row r="197" spans="4:112" ht="12" customHeight="1">
      <c r="E197" s="3204"/>
      <c r="F197" s="3202"/>
      <c r="G197" s="3202"/>
      <c r="H197" s="3202"/>
      <c r="I197" s="3203"/>
      <c r="J197" s="3203"/>
      <c r="K197" s="3202"/>
      <c r="L197" s="3203"/>
      <c r="M197" s="3203"/>
      <c r="N197" s="3202"/>
      <c r="O197" s="3203"/>
      <c r="P197" s="3203"/>
      <c r="Q197" s="3202"/>
      <c r="R197" s="3202"/>
      <c r="S197" s="3202"/>
      <c r="T197" s="3202"/>
      <c r="U197" s="3202"/>
      <c r="V197" s="3202"/>
      <c r="W197" s="3202"/>
      <c r="X197" s="3202"/>
      <c r="Y197" s="3202"/>
      <c r="Z197" s="3202"/>
      <c r="AA197" s="3202"/>
      <c r="AB197" s="3202"/>
      <c r="AC197" s="3202"/>
      <c r="AD197" s="3202"/>
      <c r="AE197" s="3202"/>
      <c r="AF197" s="3202"/>
      <c r="AG197" s="3202"/>
      <c r="AH197" s="3202"/>
      <c r="AI197" s="3202"/>
      <c r="AJ197" s="3202"/>
      <c r="AK197" s="3202"/>
      <c r="AL197" s="3202"/>
      <c r="AM197" s="3202"/>
      <c r="AN197" s="3202"/>
      <c r="AO197" s="3202"/>
      <c r="AP197" s="3202"/>
      <c r="AQ197" s="3202"/>
      <c r="AR197" s="3202"/>
      <c r="AS197" s="3202"/>
      <c r="AT197" s="3202"/>
      <c r="AU197" s="3202"/>
      <c r="AV197" s="3202"/>
      <c r="AW197" s="3202"/>
      <c r="AX197" s="3202"/>
      <c r="AY197" s="3202"/>
      <c r="BB197" s="3202"/>
      <c r="DD197" s="3187"/>
      <c r="DG197" s="3186"/>
    </row>
    <row r="198" spans="4:112" ht="12" customHeight="1">
      <c r="E198" s="3204"/>
      <c r="F198" s="3202"/>
      <c r="G198" s="3202"/>
      <c r="H198" s="3202"/>
      <c r="I198" s="3203"/>
      <c r="J198" s="3203"/>
      <c r="K198" s="3202"/>
      <c r="L198" s="3203"/>
      <c r="M198" s="3203"/>
      <c r="N198" s="3202"/>
      <c r="O198" s="3203"/>
      <c r="P198" s="3203"/>
      <c r="Q198" s="3202"/>
      <c r="R198" s="3202"/>
      <c r="S198" s="3202"/>
      <c r="T198" s="3202"/>
      <c r="U198" s="3202"/>
      <c r="V198" s="3203"/>
      <c r="W198" s="3203"/>
      <c r="X198" s="3203"/>
      <c r="Y198" s="3203"/>
      <c r="Z198" s="3203"/>
      <c r="AA198" s="3203"/>
      <c r="AB198" s="3203"/>
      <c r="AC198" s="3203"/>
      <c r="AD198" s="3203"/>
      <c r="AE198" s="3203"/>
      <c r="AF198" s="3203"/>
      <c r="AG198" s="3203"/>
      <c r="AH198" s="3203"/>
      <c r="AI198" s="3203"/>
      <c r="AJ198" s="3203"/>
      <c r="AK198" s="3203"/>
      <c r="AL198" s="3203"/>
      <c r="AM198" s="3203"/>
      <c r="AN198" s="3203"/>
      <c r="AO198" s="3203"/>
      <c r="AP198" s="3203"/>
      <c r="AQ198" s="3202"/>
      <c r="AR198" s="3202"/>
      <c r="AS198" s="3202"/>
      <c r="AT198" s="3202"/>
      <c r="AU198" s="3202"/>
      <c r="AV198" s="3202"/>
      <c r="AW198" s="3202"/>
      <c r="AX198" s="3202"/>
      <c r="AY198" s="3202"/>
      <c r="AZ198" s="3202"/>
      <c r="BA198" s="3202"/>
      <c r="BB198" s="3202"/>
      <c r="DD198" s="3187"/>
      <c r="DG198" s="3186"/>
    </row>
    <row r="199" spans="4:112" ht="12" customHeight="1">
      <c r="E199" s="3204"/>
      <c r="F199" s="3202"/>
      <c r="G199" s="3202"/>
      <c r="H199" s="3202"/>
      <c r="I199" s="3203"/>
      <c r="J199" s="3203"/>
      <c r="K199" s="3202"/>
      <c r="L199" s="3203"/>
      <c r="M199" s="3203"/>
      <c r="N199" s="3202"/>
      <c r="O199" s="3203"/>
      <c r="P199" s="3203"/>
      <c r="Q199" s="3202"/>
      <c r="R199" s="3202"/>
      <c r="S199" s="3202"/>
      <c r="T199" s="3202"/>
      <c r="U199" s="3202"/>
      <c r="V199" s="3203"/>
      <c r="W199" s="3203"/>
      <c r="X199" s="3203"/>
      <c r="Y199" s="3203"/>
      <c r="Z199" s="3203"/>
      <c r="AA199" s="3203"/>
      <c r="AB199" s="3203"/>
      <c r="AC199" s="3203"/>
      <c r="AD199" s="3203"/>
      <c r="AE199" s="3203"/>
      <c r="AF199" s="3203"/>
      <c r="AG199" s="3203"/>
      <c r="AH199" s="3203"/>
      <c r="AI199" s="3203"/>
      <c r="AJ199" s="3203"/>
      <c r="AK199" s="3203"/>
      <c r="AL199" s="3203"/>
      <c r="AM199" s="3203"/>
      <c r="AN199" s="3203"/>
      <c r="AO199" s="3203"/>
      <c r="AP199" s="3203"/>
      <c r="AQ199" s="3202"/>
      <c r="AR199" s="3202"/>
      <c r="AS199" s="3202"/>
      <c r="AT199" s="3202"/>
      <c r="AU199" s="3202"/>
      <c r="AV199" s="3202"/>
      <c r="AW199" s="3202"/>
      <c r="AX199" s="3202"/>
      <c r="AY199" s="3202"/>
      <c r="AZ199" s="3203"/>
      <c r="BA199" s="3203"/>
      <c r="BB199" s="3202"/>
      <c r="DD199" s="3187"/>
      <c r="DG199" s="3186"/>
    </row>
    <row r="200" spans="4:112" ht="12" customHeight="1">
      <c r="E200" s="3204"/>
      <c r="I200" s="3190"/>
      <c r="J200" s="3190"/>
      <c r="L200" s="3190"/>
      <c r="M200" s="3190"/>
      <c r="O200" s="3190"/>
      <c r="P200" s="3190"/>
      <c r="AT200" s="3202"/>
      <c r="AU200" s="3202"/>
      <c r="AV200" s="3202"/>
      <c r="AW200" s="3202"/>
      <c r="AX200" s="3202"/>
      <c r="AY200" s="3202"/>
      <c r="AZ200" s="3202"/>
      <c r="BA200" s="3202"/>
      <c r="BB200" s="3202"/>
      <c r="DG200" s="3186"/>
    </row>
    <row r="201" spans="4:112" ht="12" customHeight="1">
      <c r="E201" s="3204"/>
      <c r="F201" s="3202"/>
      <c r="G201" s="3202"/>
      <c r="H201" s="3202"/>
      <c r="I201" s="3203"/>
      <c r="J201" s="3203"/>
      <c r="K201" s="3202"/>
      <c r="L201" s="3203"/>
      <c r="M201" s="3203"/>
      <c r="N201" s="3202"/>
      <c r="O201" s="3203"/>
      <c r="P201" s="3203"/>
      <c r="Q201" s="3202"/>
      <c r="R201" s="3202"/>
      <c r="S201" s="3202"/>
      <c r="T201" s="3202"/>
      <c r="U201" s="3202"/>
      <c r="V201" s="3202"/>
      <c r="W201" s="3203"/>
      <c r="X201" s="3202"/>
      <c r="Y201" s="3202"/>
      <c r="Z201" s="3202"/>
      <c r="AA201" s="3202"/>
      <c r="AB201" s="3202"/>
      <c r="AC201" s="3202"/>
      <c r="AD201" s="3202"/>
      <c r="AE201" s="3202"/>
      <c r="AF201" s="3202"/>
      <c r="AG201" s="3203"/>
      <c r="AH201" s="3202"/>
      <c r="AI201" s="3202"/>
      <c r="AJ201" s="3202"/>
      <c r="AK201" s="3202"/>
      <c r="AL201" s="3202"/>
      <c r="AM201" s="3202"/>
      <c r="AN201" s="3202"/>
      <c r="AO201" s="3202"/>
      <c r="AP201" s="3202"/>
      <c r="AQ201" s="3202"/>
      <c r="AR201" s="3202"/>
      <c r="AS201" s="3202"/>
      <c r="AT201" s="3202"/>
      <c r="AU201" s="3202"/>
      <c r="AV201" s="3202"/>
      <c r="AW201" s="3202"/>
      <c r="AX201" s="3202"/>
      <c r="AY201" s="3202"/>
      <c r="AZ201" s="3203"/>
      <c r="BA201" s="3203"/>
      <c r="BB201" s="3202"/>
      <c r="DG201" s="3186"/>
    </row>
    <row r="202" spans="4:112" ht="12" customHeight="1">
      <c r="E202" s="3204"/>
      <c r="F202" s="3202"/>
      <c r="G202" s="3202"/>
      <c r="H202" s="3202"/>
      <c r="I202" s="3203"/>
      <c r="J202" s="3203"/>
      <c r="K202" s="3202"/>
      <c r="L202" s="3203"/>
      <c r="M202" s="3203"/>
      <c r="N202" s="3202"/>
      <c r="O202" s="3203"/>
      <c r="P202" s="3203"/>
      <c r="Q202" s="3202"/>
      <c r="R202" s="3202"/>
      <c r="S202" s="3202"/>
      <c r="T202" s="3202"/>
      <c r="U202" s="3202"/>
      <c r="V202" s="3202"/>
      <c r="W202" s="3202"/>
      <c r="X202" s="3202"/>
      <c r="Y202" s="3202"/>
      <c r="Z202" s="3202"/>
      <c r="AA202" s="3202"/>
      <c r="AB202" s="3202"/>
      <c r="AC202" s="3202"/>
      <c r="AD202" s="3202"/>
      <c r="AE202" s="3202"/>
      <c r="AF202" s="3202"/>
      <c r="AG202" s="3202"/>
      <c r="AH202" s="3202"/>
      <c r="AI202" s="3202"/>
      <c r="AJ202" s="3202"/>
      <c r="AK202" s="3202"/>
      <c r="AL202" s="3202"/>
      <c r="AM202" s="3202"/>
      <c r="AN202" s="3202"/>
      <c r="AO202" s="3202"/>
      <c r="AP202" s="3202"/>
      <c r="AQ202" s="3202"/>
      <c r="AR202" s="3202"/>
      <c r="AS202" s="3202"/>
      <c r="AT202" s="3202"/>
      <c r="AU202" s="3202"/>
      <c r="AV202" s="3202"/>
      <c r="AW202" s="3202"/>
      <c r="AX202" s="3202"/>
      <c r="AY202" s="3202"/>
      <c r="AZ202" s="3202"/>
      <c r="BA202" s="3202"/>
      <c r="BB202" s="3202"/>
      <c r="DG202" s="3186"/>
    </row>
    <row r="203" spans="4:112" ht="12" customHeight="1">
      <c r="E203" s="3204"/>
      <c r="F203" s="3202"/>
      <c r="G203" s="3202"/>
      <c r="H203" s="3202"/>
      <c r="I203" s="3203"/>
      <c r="J203" s="3203"/>
      <c r="K203" s="3202"/>
      <c r="L203" s="3203"/>
      <c r="M203" s="3203"/>
      <c r="N203" s="3202"/>
      <c r="O203" s="3203"/>
      <c r="P203" s="3203"/>
      <c r="Q203" s="3202"/>
      <c r="R203" s="3202"/>
      <c r="S203" s="3202"/>
      <c r="T203" s="3202"/>
      <c r="U203" s="3202"/>
      <c r="V203" s="3202"/>
      <c r="W203" s="3202"/>
      <c r="X203" s="3202"/>
      <c r="Y203" s="3202"/>
      <c r="Z203" s="3202"/>
      <c r="AA203" s="3202"/>
      <c r="AB203" s="3202"/>
      <c r="AC203" s="3202"/>
      <c r="AD203" s="3202"/>
      <c r="AE203" s="3202"/>
      <c r="AF203" s="3202"/>
      <c r="AG203" s="3202"/>
      <c r="AH203" s="3202"/>
      <c r="AI203" s="3202"/>
      <c r="AJ203" s="3202"/>
      <c r="AK203" s="3202"/>
      <c r="AL203" s="3202"/>
      <c r="AM203" s="3202"/>
      <c r="AN203" s="3202"/>
      <c r="AO203" s="3202"/>
      <c r="AP203" s="3202"/>
      <c r="AQ203" s="3202"/>
      <c r="AR203" s="3202"/>
      <c r="AS203" s="3202"/>
      <c r="AT203" s="3202"/>
      <c r="AU203" s="3202"/>
      <c r="AV203" s="3202"/>
      <c r="AW203" s="3202"/>
      <c r="AX203" s="3202"/>
      <c r="AY203" s="3202"/>
      <c r="AZ203" s="3203"/>
      <c r="BA203" s="3203"/>
      <c r="BB203" s="3202"/>
      <c r="DG203" s="3186"/>
    </row>
    <row r="204" spans="4:112" ht="12" customHeight="1">
      <c r="E204" s="3204"/>
      <c r="F204" s="3202"/>
      <c r="G204" s="3202"/>
      <c r="H204" s="3202"/>
      <c r="I204" s="3203"/>
      <c r="J204" s="3203"/>
      <c r="K204" s="3202"/>
      <c r="L204" s="3203"/>
      <c r="M204" s="3203"/>
      <c r="N204" s="3202"/>
      <c r="O204" s="3203"/>
      <c r="P204" s="3203"/>
      <c r="Q204" s="3202"/>
      <c r="R204" s="3202"/>
      <c r="S204" s="3202"/>
      <c r="T204" s="3202"/>
      <c r="U204" s="3202"/>
      <c r="V204" s="3203"/>
      <c r="W204" s="3203"/>
      <c r="X204" s="3203"/>
      <c r="Y204" s="3203"/>
      <c r="Z204" s="3203"/>
      <c r="AA204" s="3203"/>
      <c r="AB204" s="3203"/>
      <c r="AC204" s="3203"/>
      <c r="AD204" s="3203"/>
      <c r="AE204" s="3203"/>
      <c r="AF204" s="3203"/>
      <c r="AG204" s="3203"/>
      <c r="AH204" s="3203"/>
      <c r="AI204" s="3203"/>
      <c r="AJ204" s="3203"/>
      <c r="AK204" s="3203"/>
      <c r="AL204" s="3203"/>
      <c r="AM204" s="3203"/>
      <c r="AN204" s="3203"/>
      <c r="AO204" s="3203"/>
      <c r="AP204" s="3203"/>
      <c r="AQ204" s="3202"/>
      <c r="AR204" s="3202"/>
      <c r="AS204" s="3202"/>
      <c r="AT204" s="3202"/>
      <c r="AU204" s="3202"/>
      <c r="AV204" s="3202"/>
      <c r="AW204" s="3202"/>
      <c r="AX204" s="3202"/>
      <c r="AY204" s="3202"/>
      <c r="AZ204" s="3201"/>
      <c r="BA204" s="3201"/>
      <c r="BB204" s="3202"/>
      <c r="DG204" s="3186"/>
    </row>
    <row r="205" spans="4:112" ht="12" customHeight="1">
      <c r="E205" s="3204"/>
      <c r="F205" s="3202"/>
      <c r="G205" s="3202"/>
      <c r="H205" s="3202"/>
      <c r="I205" s="3203"/>
      <c r="J205" s="3203"/>
      <c r="K205" s="3202"/>
      <c r="L205" s="3203"/>
      <c r="M205" s="3203"/>
      <c r="N205" s="3202"/>
      <c r="O205" s="3203"/>
      <c r="P205" s="3203"/>
      <c r="Q205" s="3202"/>
      <c r="R205" s="3202"/>
      <c r="S205" s="3202"/>
      <c r="T205" s="3202"/>
      <c r="U205" s="3202"/>
      <c r="V205" s="3203"/>
      <c r="W205" s="3203"/>
      <c r="X205" s="3203"/>
      <c r="Y205" s="3203"/>
      <c r="Z205" s="3203"/>
      <c r="AA205" s="3203"/>
      <c r="AB205" s="3203"/>
      <c r="AC205" s="3203"/>
      <c r="AD205" s="3203"/>
      <c r="AE205" s="3203"/>
      <c r="AF205" s="3203"/>
      <c r="AG205" s="3203"/>
      <c r="AH205" s="3203"/>
      <c r="AI205" s="3203"/>
      <c r="AJ205" s="3203"/>
      <c r="AK205" s="3203"/>
      <c r="AL205" s="3203"/>
      <c r="AM205" s="3203"/>
      <c r="AN205" s="3203"/>
      <c r="AO205" s="3203"/>
      <c r="AP205" s="3203"/>
      <c r="AQ205" s="3202"/>
      <c r="AR205" s="3202"/>
      <c r="AS205" s="3202"/>
      <c r="AT205" s="3202"/>
      <c r="AU205" s="3202"/>
      <c r="AV205" s="3202"/>
      <c r="AW205" s="3202"/>
      <c r="AX205" s="3202"/>
      <c r="AY205" s="3202"/>
      <c r="AZ205" s="3205"/>
      <c r="BA205" s="3205"/>
      <c r="BB205" s="3202"/>
      <c r="DG205" s="3186"/>
    </row>
    <row r="206" spans="4:112" ht="12" customHeight="1">
      <c r="E206" s="3204"/>
      <c r="I206" s="3190"/>
      <c r="J206" s="3190"/>
      <c r="L206" s="3190"/>
      <c r="M206" s="3190"/>
      <c r="O206" s="3190"/>
      <c r="P206" s="3190"/>
      <c r="AT206" s="3202"/>
      <c r="AU206" s="3202"/>
      <c r="AV206" s="3202"/>
      <c r="AW206" s="3202"/>
      <c r="AX206" s="3202"/>
      <c r="AY206" s="3202"/>
      <c r="BB206" s="3202"/>
      <c r="DG206" s="3186"/>
    </row>
    <row r="207" spans="4:112" ht="12" customHeight="1">
      <c r="E207" s="3204"/>
      <c r="F207" s="3202"/>
      <c r="G207" s="3202"/>
      <c r="H207" s="3202"/>
      <c r="I207" s="3203"/>
      <c r="J207" s="3203"/>
      <c r="K207" s="3202"/>
      <c r="L207" s="3203"/>
      <c r="M207" s="3203"/>
      <c r="N207" s="3202"/>
      <c r="O207" s="3203"/>
      <c r="P207" s="3203"/>
      <c r="Q207" s="3202"/>
      <c r="R207" s="3202"/>
      <c r="S207" s="3202"/>
      <c r="T207" s="3202"/>
      <c r="U207" s="3202"/>
      <c r="V207" s="3202"/>
      <c r="W207" s="3203"/>
      <c r="X207" s="3202"/>
      <c r="Y207" s="3202"/>
      <c r="Z207" s="3202"/>
      <c r="AA207" s="3202"/>
      <c r="AB207" s="3202"/>
      <c r="AC207" s="3202"/>
      <c r="AD207" s="3202"/>
      <c r="AE207" s="3202"/>
      <c r="AF207" s="3202"/>
      <c r="AG207" s="3203"/>
      <c r="AH207" s="3202"/>
      <c r="AI207" s="3202"/>
      <c r="AJ207" s="3202"/>
      <c r="AK207" s="3202"/>
      <c r="AL207" s="3202"/>
      <c r="AM207" s="3202"/>
      <c r="AN207" s="3202"/>
      <c r="AO207" s="3202"/>
      <c r="AP207" s="3202"/>
      <c r="AQ207" s="3202"/>
      <c r="AR207" s="3202"/>
      <c r="AS207" s="3202"/>
      <c r="AT207" s="3202"/>
      <c r="AU207" s="3202"/>
      <c r="AV207" s="3202"/>
      <c r="AW207" s="3202"/>
      <c r="AX207" s="3202"/>
      <c r="AY207" s="3202"/>
      <c r="AZ207" s="3201"/>
      <c r="BA207" s="3201"/>
      <c r="BB207" s="3202"/>
      <c r="BC207" s="3201"/>
      <c r="BD207" s="3201"/>
      <c r="BE207" s="3201"/>
      <c r="DG207" s="3186"/>
    </row>
    <row r="208" spans="4:112" ht="12" customHeight="1">
      <c r="E208" s="3204"/>
      <c r="F208" s="3202"/>
      <c r="G208" s="3202"/>
      <c r="H208" s="3202"/>
      <c r="I208" s="3203"/>
      <c r="J208" s="3203"/>
      <c r="K208" s="3202"/>
      <c r="L208" s="3203"/>
      <c r="M208" s="3203"/>
      <c r="N208" s="3202"/>
      <c r="O208" s="3203"/>
      <c r="P208" s="3203"/>
      <c r="Q208" s="3202"/>
      <c r="R208" s="3202"/>
      <c r="S208" s="3202"/>
      <c r="T208" s="3202"/>
      <c r="U208" s="3202"/>
      <c r="V208" s="3202"/>
      <c r="W208" s="3202"/>
      <c r="X208" s="3202"/>
      <c r="Y208" s="3202"/>
      <c r="Z208" s="3202"/>
      <c r="AA208" s="3202"/>
      <c r="AB208" s="3202"/>
      <c r="AC208" s="3202"/>
      <c r="AD208" s="3202"/>
      <c r="AE208" s="3202"/>
      <c r="AF208" s="3202"/>
      <c r="AG208" s="3202"/>
      <c r="AH208" s="3202"/>
      <c r="AI208" s="3202"/>
      <c r="AJ208" s="3202"/>
      <c r="AK208" s="3202"/>
      <c r="AL208" s="3202"/>
      <c r="AM208" s="3202"/>
      <c r="AN208" s="3202"/>
      <c r="AO208" s="3202"/>
      <c r="AP208" s="3202"/>
      <c r="AQ208" s="3202"/>
      <c r="AR208" s="3202"/>
      <c r="AS208" s="3202"/>
      <c r="AT208" s="3202"/>
      <c r="AU208" s="3202"/>
      <c r="AV208" s="3202"/>
      <c r="AW208" s="3202"/>
      <c r="AX208" s="3202"/>
      <c r="AY208" s="3202"/>
      <c r="AZ208" s="3205"/>
      <c r="BA208" s="3206"/>
      <c r="BB208" s="3202"/>
      <c r="BC208" s="3205"/>
      <c r="BD208" s="3205"/>
      <c r="BE208" s="3205"/>
      <c r="DG208" s="3186"/>
    </row>
    <row r="209" spans="5:111" ht="12" customHeight="1">
      <c r="E209" s="3204"/>
      <c r="F209" s="3202"/>
      <c r="G209" s="3202"/>
      <c r="H209" s="3202"/>
      <c r="I209" s="3203"/>
      <c r="J209" s="3203"/>
      <c r="K209" s="3202"/>
      <c r="L209" s="3203"/>
      <c r="M209" s="3203"/>
      <c r="N209" s="3202"/>
      <c r="O209" s="3203"/>
      <c r="P209" s="3203"/>
      <c r="Q209" s="3202"/>
      <c r="R209" s="3202"/>
      <c r="S209" s="3202"/>
      <c r="T209" s="3202"/>
      <c r="U209" s="3202"/>
      <c r="V209" s="3202"/>
      <c r="W209" s="3202"/>
      <c r="X209" s="3202"/>
      <c r="Y209" s="3202"/>
      <c r="Z209" s="3202"/>
      <c r="AA209" s="3202"/>
      <c r="AB209" s="3202"/>
      <c r="AC209" s="3202"/>
      <c r="AD209" s="3202"/>
      <c r="AE209" s="3202"/>
      <c r="AF209" s="3202"/>
      <c r="AG209" s="3202"/>
      <c r="AH209" s="3202"/>
      <c r="AI209" s="3202"/>
      <c r="AJ209" s="3202"/>
      <c r="AK209" s="3202"/>
      <c r="AL209" s="3202"/>
      <c r="AM209" s="3202"/>
      <c r="AN209" s="3202"/>
      <c r="AO209" s="3202"/>
      <c r="AP209" s="3202"/>
      <c r="AQ209" s="3202"/>
      <c r="AR209" s="3202"/>
      <c r="AS209" s="3202"/>
      <c r="AT209" s="3202"/>
      <c r="AU209" s="3202"/>
      <c r="AV209" s="3202"/>
      <c r="AW209" s="3202"/>
      <c r="AX209" s="3202"/>
      <c r="AY209" s="3202"/>
      <c r="AZ209" s="3201"/>
      <c r="BA209" s="3201"/>
      <c r="BB209" s="3202"/>
      <c r="BC209" s="3201"/>
      <c r="BD209" s="3201"/>
      <c r="BE209" s="3201"/>
      <c r="DG209" s="3186"/>
    </row>
    <row r="210" spans="5:111" ht="12" customHeight="1">
      <c r="E210" s="3204"/>
      <c r="F210" s="3202"/>
      <c r="G210" s="3202"/>
      <c r="H210" s="3202"/>
      <c r="I210" s="3203"/>
      <c r="J210" s="3203"/>
      <c r="K210" s="3202"/>
      <c r="L210" s="3203"/>
      <c r="M210" s="3203"/>
      <c r="N210" s="3202"/>
      <c r="O210" s="3203"/>
      <c r="P210" s="3203"/>
      <c r="Q210" s="3202"/>
      <c r="R210" s="3202"/>
      <c r="S210" s="3202"/>
      <c r="T210" s="3202"/>
      <c r="U210" s="3202"/>
      <c r="V210" s="3203"/>
      <c r="W210" s="3203"/>
      <c r="X210" s="3203"/>
      <c r="Y210" s="3203"/>
      <c r="Z210" s="3203"/>
      <c r="AA210" s="3203"/>
      <c r="AB210" s="3203"/>
      <c r="AC210" s="3203"/>
      <c r="AD210" s="3203"/>
      <c r="AE210" s="3203"/>
      <c r="AF210" s="3203"/>
      <c r="AG210" s="3203"/>
      <c r="AH210" s="3203"/>
      <c r="AI210" s="3203"/>
      <c r="AJ210" s="3203"/>
      <c r="AK210" s="3203"/>
      <c r="AL210" s="3203"/>
      <c r="AM210" s="3203"/>
      <c r="AN210" s="3203"/>
      <c r="AO210" s="3203"/>
      <c r="AP210" s="3203"/>
      <c r="AQ210" s="3202"/>
      <c r="AR210" s="3202"/>
      <c r="AS210" s="3202"/>
      <c r="AT210" s="3202"/>
      <c r="AU210" s="3202"/>
      <c r="AV210" s="3202"/>
      <c r="AW210" s="3202"/>
      <c r="AX210" s="3202"/>
      <c r="AY210" s="3202"/>
      <c r="AZ210" s="3205"/>
      <c r="BA210" s="3206"/>
      <c r="BB210" s="3202"/>
      <c r="BC210" s="3205"/>
      <c r="BD210" s="3205"/>
      <c r="BE210" s="3205"/>
      <c r="DG210" s="3186"/>
    </row>
    <row r="211" spans="5:111" ht="12" customHeight="1">
      <c r="E211" s="3204"/>
      <c r="F211" s="3202"/>
      <c r="G211" s="3202"/>
      <c r="H211" s="3202"/>
      <c r="I211" s="3203"/>
      <c r="J211" s="3203"/>
      <c r="K211" s="3202"/>
      <c r="L211" s="3203"/>
      <c r="M211" s="3203"/>
      <c r="N211" s="3202"/>
      <c r="O211" s="3203"/>
      <c r="P211" s="3203"/>
      <c r="Q211" s="3202"/>
      <c r="R211" s="3202"/>
      <c r="S211" s="3202"/>
      <c r="T211" s="3202"/>
      <c r="U211" s="3202"/>
      <c r="V211" s="3203"/>
      <c r="W211" s="3203"/>
      <c r="X211" s="3203"/>
      <c r="Y211" s="3203"/>
      <c r="Z211" s="3203"/>
      <c r="AA211" s="3203"/>
      <c r="AB211" s="3203"/>
      <c r="AC211" s="3203"/>
      <c r="AD211" s="3203"/>
      <c r="AE211" s="3203"/>
      <c r="AF211" s="3203"/>
      <c r="AG211" s="3203"/>
      <c r="AH211" s="3203"/>
      <c r="AI211" s="3203"/>
      <c r="AJ211" s="3203"/>
      <c r="AK211" s="3203"/>
      <c r="AL211" s="3203"/>
      <c r="AM211" s="3203"/>
      <c r="AN211" s="3203"/>
      <c r="AO211" s="3203"/>
      <c r="AP211" s="3203"/>
      <c r="AQ211" s="3202"/>
      <c r="AR211" s="3202"/>
      <c r="AS211" s="3202"/>
      <c r="AT211" s="3202"/>
      <c r="AU211" s="3202"/>
      <c r="AV211" s="3202"/>
      <c r="AW211" s="3202"/>
      <c r="AX211" s="3202"/>
      <c r="AY211" s="3202"/>
      <c r="AZ211" s="3201"/>
      <c r="BA211" s="3201"/>
      <c r="BB211" s="3202"/>
      <c r="BC211" s="3201"/>
      <c r="BD211" s="3201"/>
      <c r="BE211" s="3201"/>
      <c r="DG211" s="3186"/>
    </row>
    <row r="212" spans="5:111" ht="12" customHeight="1">
      <c r="E212" s="3204"/>
      <c r="I212" s="3190"/>
      <c r="J212" s="3190"/>
      <c r="L212" s="3190"/>
      <c r="M212" s="3190"/>
      <c r="O212" s="3190"/>
      <c r="P212" s="3190"/>
      <c r="AT212" s="3202"/>
      <c r="AU212" s="3202"/>
      <c r="AV212" s="3202"/>
      <c r="AW212" s="3202"/>
      <c r="AX212" s="3202"/>
      <c r="AY212" s="3202"/>
      <c r="AZ212" s="3205"/>
      <c r="BA212" s="3206"/>
      <c r="BB212" s="3202"/>
      <c r="BC212" s="3205"/>
      <c r="BD212" s="3205"/>
      <c r="BE212" s="3205"/>
      <c r="DG212" s="3186"/>
    </row>
    <row r="213" spans="5:111" ht="12" customHeight="1">
      <c r="E213" s="3204"/>
      <c r="F213" s="3202"/>
      <c r="G213" s="3202"/>
      <c r="H213" s="3202"/>
      <c r="I213" s="3203"/>
      <c r="J213" s="3203"/>
      <c r="K213" s="3202"/>
      <c r="L213" s="3203"/>
      <c r="M213" s="3203"/>
      <c r="N213" s="3202"/>
      <c r="O213" s="3203"/>
      <c r="P213" s="3203"/>
      <c r="Q213" s="3202"/>
      <c r="R213" s="3202"/>
      <c r="S213" s="3202"/>
      <c r="T213" s="3202"/>
      <c r="U213" s="3202"/>
      <c r="V213" s="3202"/>
      <c r="W213" s="3203"/>
      <c r="X213" s="3202"/>
      <c r="Y213" s="3202"/>
      <c r="Z213" s="3202"/>
      <c r="AA213" s="3202"/>
      <c r="AB213" s="3202"/>
      <c r="AC213" s="3202"/>
      <c r="AD213" s="3202"/>
      <c r="AE213" s="3202"/>
      <c r="AF213" s="3202"/>
      <c r="AG213" s="3203"/>
      <c r="AH213" s="3202"/>
      <c r="AI213" s="3202"/>
      <c r="AJ213" s="3202"/>
      <c r="AK213" s="3202"/>
      <c r="AL213" s="3202"/>
      <c r="AM213" s="3202"/>
      <c r="AN213" s="3202"/>
      <c r="AO213" s="3202"/>
      <c r="AP213" s="3202"/>
      <c r="AQ213" s="3202"/>
      <c r="AR213" s="3202"/>
      <c r="AS213" s="3202"/>
      <c r="AT213" s="3202"/>
      <c r="AU213" s="3202"/>
      <c r="AV213" s="3202"/>
      <c r="AW213" s="3202"/>
      <c r="AX213" s="3202"/>
      <c r="AY213" s="3202"/>
      <c r="AZ213" s="3201"/>
      <c r="BA213" s="3201"/>
      <c r="BB213" s="3202"/>
      <c r="BC213" s="3201"/>
      <c r="BD213" s="3201"/>
      <c r="BE213" s="3201"/>
      <c r="DG213" s="3186"/>
    </row>
    <row r="214" spans="5:111" ht="12" customHeight="1">
      <c r="E214" s="3204"/>
      <c r="F214" s="3202"/>
      <c r="G214" s="3202"/>
      <c r="H214" s="3202"/>
      <c r="I214" s="3203"/>
      <c r="J214" s="3203"/>
      <c r="K214" s="3202"/>
      <c r="L214" s="3203"/>
      <c r="M214" s="3203"/>
      <c r="N214" s="3202"/>
      <c r="O214" s="3203"/>
      <c r="P214" s="3203"/>
      <c r="Q214" s="3202"/>
      <c r="R214" s="3202"/>
      <c r="S214" s="3202"/>
      <c r="T214" s="3202"/>
      <c r="U214" s="3202"/>
      <c r="V214" s="3202"/>
      <c r="W214" s="3202"/>
      <c r="X214" s="3202"/>
      <c r="Y214" s="3202"/>
      <c r="Z214" s="3202"/>
      <c r="AA214" s="3202"/>
      <c r="AB214" s="3202"/>
      <c r="AC214" s="3202"/>
      <c r="AD214" s="3202"/>
      <c r="AE214" s="3202"/>
      <c r="AF214" s="3202"/>
      <c r="AG214" s="3202"/>
      <c r="AH214" s="3202"/>
      <c r="AI214" s="3202"/>
      <c r="AJ214" s="3202"/>
      <c r="AK214" s="3202"/>
      <c r="AL214" s="3202"/>
      <c r="AM214" s="3202"/>
      <c r="AN214" s="3202"/>
      <c r="AO214" s="3202"/>
      <c r="AP214" s="3202"/>
      <c r="AQ214" s="3202"/>
      <c r="AR214" s="3202"/>
      <c r="AS214" s="3202"/>
      <c r="AT214" s="3202"/>
      <c r="AU214" s="3202"/>
      <c r="AV214" s="3202"/>
      <c r="AW214" s="3202"/>
      <c r="AX214" s="3202"/>
      <c r="AY214" s="3202"/>
      <c r="AZ214" s="3205"/>
      <c r="BA214" s="3206"/>
      <c r="BB214" s="3202"/>
      <c r="BC214" s="3205"/>
      <c r="BD214" s="3205"/>
      <c r="BE214" s="3205"/>
      <c r="DG214" s="3186"/>
    </row>
    <row r="215" spans="5:111" ht="12" customHeight="1">
      <c r="E215" s="3204"/>
      <c r="F215" s="3202"/>
      <c r="G215" s="3202"/>
      <c r="H215" s="3202"/>
      <c r="I215" s="3203"/>
      <c r="J215" s="3203"/>
      <c r="K215" s="3202"/>
      <c r="L215" s="3203"/>
      <c r="M215" s="3203"/>
      <c r="N215" s="3202"/>
      <c r="O215" s="3203"/>
      <c r="P215" s="3203"/>
      <c r="Q215" s="3202"/>
      <c r="R215" s="3202"/>
      <c r="S215" s="3202"/>
      <c r="T215" s="3202"/>
      <c r="U215" s="3202"/>
      <c r="V215" s="3202"/>
      <c r="W215" s="3202"/>
      <c r="X215" s="3202"/>
      <c r="Y215" s="3202"/>
      <c r="Z215" s="3202"/>
      <c r="AA215" s="3202"/>
      <c r="AB215" s="3202"/>
      <c r="AC215" s="3202"/>
      <c r="AD215" s="3202"/>
      <c r="AE215" s="3202"/>
      <c r="AF215" s="3202"/>
      <c r="AG215" s="3202"/>
      <c r="AH215" s="3202"/>
      <c r="AI215" s="3202"/>
      <c r="AJ215" s="3202"/>
      <c r="AK215" s="3202"/>
      <c r="AL215" s="3202"/>
      <c r="AM215" s="3202"/>
      <c r="AN215" s="3202"/>
      <c r="AO215" s="3202"/>
      <c r="AP215" s="3202"/>
      <c r="AQ215" s="3202"/>
      <c r="AR215" s="3202"/>
      <c r="AS215" s="3202"/>
      <c r="AT215" s="3202"/>
      <c r="AU215" s="3202"/>
      <c r="AV215" s="3202"/>
      <c r="AW215" s="3202"/>
      <c r="AX215" s="3202"/>
      <c r="AY215" s="3202"/>
      <c r="AZ215" s="3201"/>
      <c r="BA215" s="3201"/>
      <c r="BB215" s="3202"/>
      <c r="BC215" s="3201"/>
      <c r="BD215" s="3201"/>
      <c r="BE215" s="3201"/>
      <c r="DG215" s="3186"/>
    </row>
    <row r="216" spans="5:111" ht="12" customHeight="1">
      <c r="E216" s="3204"/>
      <c r="F216" s="3202"/>
      <c r="G216" s="3202"/>
      <c r="H216" s="3202"/>
      <c r="I216" s="3203"/>
      <c r="J216" s="3203"/>
      <c r="K216" s="3202"/>
      <c r="L216" s="3203"/>
      <c r="M216" s="3203"/>
      <c r="N216" s="3202"/>
      <c r="O216" s="3203"/>
      <c r="P216" s="3203"/>
      <c r="Q216" s="3202"/>
      <c r="R216" s="3202"/>
      <c r="S216" s="3202"/>
      <c r="T216" s="3202"/>
      <c r="U216" s="3202"/>
      <c r="V216" s="3203"/>
      <c r="W216" s="3203"/>
      <c r="X216" s="3203"/>
      <c r="Y216" s="3203"/>
      <c r="Z216" s="3203"/>
      <c r="AA216" s="3203"/>
      <c r="AB216" s="3203"/>
      <c r="AC216" s="3203"/>
      <c r="AD216" s="3203"/>
      <c r="AE216" s="3203"/>
      <c r="AF216" s="3203"/>
      <c r="AG216" s="3203"/>
      <c r="AH216" s="3203"/>
      <c r="AI216" s="3203"/>
      <c r="AJ216" s="3203"/>
      <c r="AK216" s="3203"/>
      <c r="AL216" s="3203"/>
      <c r="AM216" s="3203"/>
      <c r="AN216" s="3203"/>
      <c r="AO216" s="3203"/>
      <c r="AP216" s="3203"/>
      <c r="AQ216" s="3202"/>
      <c r="AR216" s="3202"/>
      <c r="AS216" s="3202"/>
      <c r="AT216" s="3202"/>
      <c r="AU216" s="3202"/>
      <c r="AV216" s="3202"/>
      <c r="AW216" s="3202"/>
      <c r="AX216" s="3202"/>
      <c r="AY216" s="3202"/>
      <c r="AZ216" s="3205"/>
      <c r="BA216" s="3206"/>
      <c r="BB216" s="3202"/>
      <c r="BC216" s="3205"/>
      <c r="BD216" s="3205"/>
      <c r="BE216" s="3205"/>
      <c r="DG216" s="3186"/>
    </row>
    <row r="217" spans="5:111" ht="12" customHeight="1">
      <c r="E217" s="3204"/>
      <c r="F217" s="3202"/>
      <c r="G217" s="3202"/>
      <c r="H217" s="3202"/>
      <c r="I217" s="3203"/>
      <c r="J217" s="3203"/>
      <c r="K217" s="3202"/>
      <c r="L217" s="3203"/>
      <c r="M217" s="3203"/>
      <c r="N217" s="3202"/>
      <c r="O217" s="3203"/>
      <c r="P217" s="3203"/>
      <c r="Q217" s="3202"/>
      <c r="R217" s="3202"/>
      <c r="S217" s="3202"/>
      <c r="T217" s="3202"/>
      <c r="U217" s="3202"/>
      <c r="V217" s="3203"/>
      <c r="W217" s="3203"/>
      <c r="X217" s="3203"/>
      <c r="Y217" s="3203"/>
      <c r="Z217" s="3203"/>
      <c r="AA217" s="3203"/>
      <c r="AB217" s="3203"/>
      <c r="AC217" s="3203"/>
      <c r="AD217" s="3203"/>
      <c r="AE217" s="3203"/>
      <c r="AF217" s="3203"/>
      <c r="AG217" s="3203"/>
      <c r="AH217" s="3203"/>
      <c r="AI217" s="3203"/>
      <c r="AJ217" s="3203"/>
      <c r="AK217" s="3203"/>
      <c r="AL217" s="3203"/>
      <c r="AM217" s="3203"/>
      <c r="AN217" s="3203"/>
      <c r="AO217" s="3203"/>
      <c r="AP217" s="3203"/>
      <c r="AQ217" s="3202"/>
      <c r="AR217" s="3202"/>
      <c r="AS217" s="3202"/>
      <c r="AT217" s="3202"/>
      <c r="AU217" s="3202"/>
      <c r="AV217" s="3202"/>
      <c r="AW217" s="3202"/>
      <c r="AX217" s="3202"/>
      <c r="AY217" s="3202"/>
      <c r="AZ217" s="3201"/>
      <c r="BA217" s="3201"/>
      <c r="BB217" s="3202"/>
      <c r="BC217" s="3201"/>
      <c r="BD217" s="3201"/>
      <c r="BE217" s="3201"/>
      <c r="DG217" s="3186"/>
    </row>
    <row r="218" spans="5:111" ht="12" customHeight="1">
      <c r="E218" s="3204"/>
      <c r="I218" s="3190"/>
      <c r="J218" s="3190"/>
      <c r="L218" s="3190"/>
      <c r="M218" s="3190"/>
      <c r="O218" s="3190"/>
      <c r="P218" s="3190"/>
      <c r="AT218" s="3202"/>
      <c r="AU218" s="3202"/>
      <c r="AV218" s="3202"/>
      <c r="AW218" s="3202"/>
      <c r="AX218" s="3202"/>
      <c r="AY218" s="3202"/>
      <c r="AZ218" s="3205"/>
      <c r="BA218" s="3206"/>
      <c r="BB218" s="3202"/>
      <c r="BC218" s="3205"/>
      <c r="BD218" s="3205"/>
      <c r="BE218" s="3205"/>
      <c r="DG218" s="3186"/>
    </row>
    <row r="219" spans="5:111" ht="12" customHeight="1">
      <c r="E219" s="3204"/>
      <c r="F219" s="3202"/>
      <c r="G219" s="3202"/>
      <c r="H219" s="3202"/>
      <c r="I219" s="3203"/>
      <c r="J219" s="3203"/>
      <c r="K219" s="3202"/>
      <c r="L219" s="3203"/>
      <c r="M219" s="3203"/>
      <c r="N219" s="3202"/>
      <c r="O219" s="3203"/>
      <c r="P219" s="3203"/>
      <c r="Q219" s="3202"/>
      <c r="R219" s="3202"/>
      <c r="S219" s="3202"/>
      <c r="T219" s="3202"/>
      <c r="U219" s="3202"/>
      <c r="V219" s="3202"/>
      <c r="W219" s="3203"/>
      <c r="X219" s="3202"/>
      <c r="Y219" s="3202"/>
      <c r="Z219" s="3202"/>
      <c r="AA219" s="3202"/>
      <c r="AB219" s="3202"/>
      <c r="AC219" s="3202"/>
      <c r="AD219" s="3202"/>
      <c r="AE219" s="3202"/>
      <c r="AF219" s="3202"/>
      <c r="AG219" s="3203"/>
      <c r="AH219" s="3202"/>
      <c r="AI219" s="3202"/>
      <c r="AJ219" s="3202"/>
      <c r="AK219" s="3202"/>
      <c r="AL219" s="3202"/>
      <c r="AM219" s="3202"/>
      <c r="AN219" s="3202"/>
      <c r="AO219" s="3202"/>
      <c r="AP219" s="3202"/>
      <c r="AQ219" s="3202"/>
      <c r="AR219" s="3202"/>
      <c r="AS219" s="3202"/>
      <c r="AT219" s="3202"/>
      <c r="AU219" s="3202"/>
      <c r="AV219" s="3202"/>
      <c r="AW219" s="3202"/>
      <c r="AX219" s="3202"/>
      <c r="AY219" s="3202"/>
      <c r="DG219" s="3186"/>
    </row>
    <row r="220" spans="5:111" ht="12" customHeight="1">
      <c r="E220" s="3204"/>
      <c r="F220" s="3202"/>
      <c r="G220" s="3202"/>
      <c r="H220" s="3202"/>
      <c r="I220" s="3203"/>
      <c r="J220" s="3203"/>
      <c r="K220" s="3202"/>
      <c r="L220" s="3203"/>
      <c r="M220" s="3203"/>
      <c r="N220" s="3202"/>
      <c r="O220" s="3203"/>
      <c r="P220" s="3203"/>
      <c r="Q220" s="3202"/>
      <c r="R220" s="3202"/>
      <c r="S220" s="3202"/>
      <c r="T220" s="3202"/>
      <c r="U220" s="3202"/>
      <c r="V220" s="3202"/>
      <c r="W220" s="3202"/>
      <c r="X220" s="3202"/>
      <c r="Y220" s="3202"/>
      <c r="Z220" s="3202"/>
      <c r="AA220" s="3202"/>
      <c r="AB220" s="3202"/>
      <c r="AC220" s="3202"/>
      <c r="AD220" s="3202"/>
      <c r="AE220" s="3202"/>
      <c r="AF220" s="3202"/>
      <c r="AG220" s="3202"/>
      <c r="AH220" s="3202"/>
      <c r="AI220" s="3202"/>
      <c r="AJ220" s="3202"/>
      <c r="AK220" s="3202"/>
      <c r="AL220" s="3202"/>
      <c r="AM220" s="3202"/>
      <c r="AN220" s="3202"/>
      <c r="AO220" s="3202"/>
      <c r="AP220" s="3202"/>
      <c r="AQ220" s="3202"/>
      <c r="AR220" s="3202"/>
      <c r="AS220" s="3202"/>
      <c r="AT220" s="3202"/>
      <c r="AU220" s="3202"/>
      <c r="AV220" s="3202"/>
      <c r="AW220" s="3202"/>
      <c r="AX220" s="3202"/>
      <c r="AY220" s="3202"/>
      <c r="DG220" s="3186"/>
    </row>
    <row r="221" spans="5:111" ht="12" customHeight="1">
      <c r="E221" s="3204"/>
      <c r="F221" s="3202"/>
      <c r="G221" s="3202"/>
      <c r="H221" s="3202"/>
      <c r="I221" s="3203"/>
      <c r="J221" s="3203"/>
      <c r="K221" s="3202"/>
      <c r="L221" s="3203"/>
      <c r="M221" s="3203"/>
      <c r="N221" s="3202"/>
      <c r="O221" s="3203"/>
      <c r="P221" s="3203"/>
      <c r="Q221" s="3202"/>
      <c r="R221" s="3202"/>
      <c r="S221" s="3202"/>
      <c r="T221" s="3202"/>
      <c r="U221" s="3202"/>
      <c r="V221" s="3202"/>
      <c r="W221" s="3202"/>
      <c r="X221" s="3202"/>
      <c r="Y221" s="3202"/>
      <c r="Z221" s="3202"/>
      <c r="AA221" s="3202"/>
      <c r="AB221" s="3202"/>
      <c r="AC221" s="3202"/>
      <c r="AD221" s="3202"/>
      <c r="AE221" s="3202"/>
      <c r="AF221" s="3202"/>
      <c r="AG221" s="3202"/>
      <c r="AH221" s="3202"/>
      <c r="AI221" s="3202"/>
      <c r="AJ221" s="3202"/>
      <c r="AK221" s="3202"/>
      <c r="AL221" s="3202"/>
      <c r="AM221" s="3202"/>
      <c r="AN221" s="3202"/>
      <c r="AO221" s="3202"/>
      <c r="AP221" s="3202"/>
      <c r="AQ221" s="3202"/>
      <c r="AR221" s="3202"/>
      <c r="AS221" s="3202"/>
      <c r="AT221" s="3202"/>
      <c r="AU221" s="3202"/>
      <c r="AV221" s="3202"/>
      <c r="AW221" s="3202"/>
      <c r="AX221" s="3202"/>
      <c r="AY221" s="3202"/>
      <c r="DG221" s="3186"/>
    </row>
    <row r="222" spans="5:111" ht="12" customHeight="1">
      <c r="E222" s="3204"/>
      <c r="F222" s="3202"/>
      <c r="G222" s="3202"/>
      <c r="H222" s="3202"/>
      <c r="I222" s="3203"/>
      <c r="J222" s="3203"/>
      <c r="K222" s="3202"/>
      <c r="L222" s="3203"/>
      <c r="M222" s="3203"/>
      <c r="N222" s="3202"/>
      <c r="O222" s="3203"/>
      <c r="P222" s="3203"/>
      <c r="Q222" s="3202"/>
      <c r="R222" s="3202"/>
      <c r="S222" s="3202"/>
      <c r="T222" s="3202"/>
      <c r="U222" s="3202"/>
      <c r="V222" s="3203"/>
      <c r="W222" s="3203"/>
      <c r="X222" s="3203"/>
      <c r="Y222" s="3203"/>
      <c r="Z222" s="3203"/>
      <c r="AA222" s="3203"/>
      <c r="AB222" s="3203"/>
      <c r="AC222" s="3203"/>
      <c r="AD222" s="3203"/>
      <c r="AE222" s="3203"/>
      <c r="AF222" s="3203"/>
      <c r="AG222" s="3203"/>
      <c r="AH222" s="3203"/>
      <c r="AI222" s="3203"/>
      <c r="AJ222" s="3203"/>
      <c r="AK222" s="3203"/>
      <c r="AL222" s="3203"/>
      <c r="AM222" s="3203"/>
      <c r="AN222" s="3203"/>
      <c r="AO222" s="3203"/>
      <c r="AP222" s="3203"/>
      <c r="AQ222" s="3202"/>
      <c r="AR222" s="3202"/>
      <c r="AS222" s="3202"/>
      <c r="AT222" s="3202"/>
      <c r="AU222" s="3202"/>
      <c r="AV222" s="3202"/>
      <c r="AW222" s="3202"/>
      <c r="AX222" s="3202"/>
      <c r="AY222" s="3202"/>
      <c r="DG222" s="3186"/>
    </row>
    <row r="223" spans="5:111" ht="12" customHeight="1">
      <c r="E223" s="3204"/>
      <c r="F223" s="3202"/>
      <c r="G223" s="3202"/>
      <c r="H223" s="3202"/>
      <c r="I223" s="3203"/>
      <c r="J223" s="3203"/>
      <c r="K223" s="3202"/>
      <c r="L223" s="3203"/>
      <c r="M223" s="3203"/>
      <c r="N223" s="3202"/>
      <c r="O223" s="3203"/>
      <c r="P223" s="3203"/>
      <c r="Q223" s="3202"/>
      <c r="R223" s="3202"/>
      <c r="S223" s="3202"/>
      <c r="T223" s="3202"/>
      <c r="U223" s="3202"/>
      <c r="V223" s="3203"/>
      <c r="W223" s="3203"/>
      <c r="X223" s="3203"/>
      <c r="Y223" s="3203"/>
      <c r="Z223" s="3203"/>
      <c r="AA223" s="3203"/>
      <c r="AB223" s="3203"/>
      <c r="AC223" s="3203"/>
      <c r="AD223" s="3203"/>
      <c r="AE223" s="3203"/>
      <c r="AF223" s="3203"/>
      <c r="AG223" s="3203"/>
      <c r="AH223" s="3203"/>
      <c r="AI223" s="3203"/>
      <c r="AJ223" s="3203"/>
      <c r="AK223" s="3203"/>
      <c r="AL223" s="3203"/>
      <c r="AM223" s="3203"/>
      <c r="AN223" s="3203"/>
      <c r="AO223" s="3203"/>
      <c r="AP223" s="3203"/>
      <c r="AQ223" s="3202"/>
      <c r="AR223" s="3202"/>
      <c r="AS223" s="3202"/>
      <c r="AT223" s="3202"/>
      <c r="AU223" s="3202"/>
      <c r="AV223" s="3202"/>
      <c r="AW223" s="3202"/>
      <c r="AX223" s="3202"/>
      <c r="AY223" s="3202"/>
      <c r="DG223" s="3186"/>
    </row>
    <row r="224" spans="5:111" ht="12" customHeight="1">
      <c r="AQ224" s="3201"/>
      <c r="AR224" s="3201"/>
      <c r="AS224" s="3201"/>
      <c r="AT224" s="3202"/>
      <c r="AU224" s="3202"/>
      <c r="AV224" s="3202"/>
      <c r="AW224" s="3202"/>
      <c r="AX224" s="3202"/>
      <c r="AY224" s="3202"/>
      <c r="AZ224" s="3201"/>
      <c r="BA224" s="3201"/>
      <c r="BB224" s="3202"/>
      <c r="DG224" s="3186"/>
    </row>
    <row r="225" spans="4:112" ht="12" customHeight="1">
      <c r="E225" s="3204"/>
      <c r="F225" s="3202"/>
      <c r="G225" s="3202"/>
      <c r="H225" s="3202"/>
      <c r="I225" s="3202"/>
      <c r="J225" s="3202"/>
      <c r="K225" s="3202"/>
      <c r="L225" s="3202"/>
      <c r="M225" s="3202"/>
      <c r="N225" s="3202"/>
      <c r="O225" s="3202"/>
      <c r="P225" s="3202"/>
      <c r="Q225" s="3202"/>
      <c r="R225" s="3202"/>
      <c r="S225" s="3202"/>
      <c r="T225" s="3202"/>
      <c r="U225" s="3202"/>
      <c r="V225" s="3202"/>
      <c r="W225" s="3202"/>
      <c r="X225" s="3202"/>
      <c r="Y225" s="3202"/>
      <c r="Z225" s="3202"/>
      <c r="AA225" s="3202"/>
      <c r="AB225" s="3202"/>
      <c r="AC225" s="3202"/>
      <c r="AD225" s="3202"/>
      <c r="AE225" s="3202"/>
      <c r="AF225" s="3202"/>
      <c r="AG225" s="3202"/>
      <c r="AH225" s="3202"/>
      <c r="AI225" s="3202"/>
      <c r="AJ225" s="3202"/>
      <c r="AK225" s="3202"/>
      <c r="AL225" s="3202"/>
      <c r="AM225" s="3202"/>
      <c r="AN225" s="3202"/>
      <c r="AO225" s="3202"/>
      <c r="AP225" s="3202"/>
      <c r="AQ225" s="3202"/>
      <c r="AR225" s="3203"/>
      <c r="AS225" s="3203"/>
      <c r="AT225" s="3202"/>
      <c r="AU225" s="3202"/>
      <c r="AV225" s="3202"/>
      <c r="AW225" s="3202"/>
      <c r="AX225" s="3202"/>
      <c r="AY225" s="3202"/>
      <c r="AZ225" s="3205"/>
      <c r="BA225" s="3205"/>
      <c r="BB225" s="3202"/>
      <c r="DG225" s="3186"/>
    </row>
    <row r="226" spans="4:112" ht="12" customHeight="1">
      <c r="E226" s="3204"/>
      <c r="F226" s="3202"/>
      <c r="G226" s="3202"/>
      <c r="H226" s="3202"/>
      <c r="I226" s="3202"/>
      <c r="J226" s="3202"/>
      <c r="K226" s="3202"/>
      <c r="L226" s="3202"/>
      <c r="M226" s="3202"/>
      <c r="N226" s="3202"/>
      <c r="O226" s="3202"/>
      <c r="P226" s="3202"/>
      <c r="Q226" s="3202"/>
      <c r="R226" s="3202"/>
      <c r="S226" s="3202"/>
      <c r="T226" s="3202"/>
      <c r="U226" s="3202"/>
      <c r="V226" s="3202"/>
      <c r="W226" s="3202"/>
      <c r="X226" s="3202"/>
      <c r="Y226" s="3202"/>
      <c r="Z226" s="3202"/>
      <c r="AA226" s="3202"/>
      <c r="AB226" s="3202"/>
      <c r="AC226" s="3202"/>
      <c r="AD226" s="3202"/>
      <c r="AE226" s="3202"/>
      <c r="AF226" s="3202"/>
      <c r="AG226" s="3202"/>
      <c r="AH226" s="3202"/>
      <c r="AI226" s="3202"/>
      <c r="AJ226" s="3202"/>
      <c r="AK226" s="3202"/>
      <c r="AL226" s="3202"/>
      <c r="AM226" s="3202"/>
      <c r="AN226" s="3202"/>
      <c r="AO226" s="3202"/>
      <c r="AP226" s="3202"/>
      <c r="AQ226" s="3202"/>
      <c r="AR226" s="3202"/>
      <c r="AS226" s="3202"/>
      <c r="AT226" s="3202"/>
      <c r="AU226" s="3202"/>
      <c r="AV226" s="3202"/>
      <c r="AW226" s="3202"/>
      <c r="AX226" s="3202"/>
      <c r="AY226" s="3202"/>
      <c r="BB226" s="3202"/>
      <c r="DG226" s="3186"/>
    </row>
    <row r="227" spans="4:112" ht="12" customHeight="1">
      <c r="E227" s="3204"/>
      <c r="F227" s="3202"/>
      <c r="G227" s="3202"/>
      <c r="H227" s="3202"/>
      <c r="I227" s="3202"/>
      <c r="J227" s="3202"/>
      <c r="K227" s="3202"/>
      <c r="L227" s="3202"/>
      <c r="M227" s="3202"/>
      <c r="N227" s="3202"/>
      <c r="O227" s="3202"/>
      <c r="P227" s="3202"/>
      <c r="Q227" s="3202"/>
      <c r="R227" s="3202"/>
      <c r="S227" s="3202"/>
      <c r="T227" s="3202"/>
      <c r="U227" s="3202"/>
      <c r="V227" s="3202"/>
      <c r="W227" s="3202"/>
      <c r="X227" s="3202"/>
      <c r="Y227" s="3202"/>
      <c r="Z227" s="3202"/>
      <c r="AA227" s="3202"/>
      <c r="AB227" s="3202"/>
      <c r="AC227" s="3202"/>
      <c r="AD227" s="3202"/>
      <c r="AE227" s="3202"/>
      <c r="AF227" s="3202"/>
      <c r="AG227" s="3202"/>
      <c r="AH227" s="3202"/>
      <c r="AI227" s="3202"/>
      <c r="AJ227" s="3202"/>
      <c r="AK227" s="3202"/>
      <c r="AL227" s="3202"/>
      <c r="AM227" s="3202"/>
      <c r="AN227" s="3202"/>
      <c r="AO227" s="3202"/>
      <c r="AP227" s="3202"/>
      <c r="AQ227" s="3202"/>
      <c r="AR227" s="3202"/>
      <c r="AS227" s="3202"/>
      <c r="AT227" s="3202"/>
      <c r="AU227" s="3202"/>
      <c r="AV227" s="3202"/>
      <c r="AW227" s="3202"/>
      <c r="AX227" s="3202"/>
      <c r="AY227" s="3202"/>
      <c r="BB227" s="3202"/>
      <c r="DG227" s="3186"/>
    </row>
    <row r="228" spans="4:112" ht="12" customHeight="1">
      <c r="DG228" s="3186"/>
    </row>
    <row r="229" spans="4:112" ht="12" customHeight="1">
      <c r="E229" s="3191"/>
      <c r="F229" s="3192"/>
      <c r="G229" s="3192"/>
      <c r="H229" s="3192"/>
      <c r="I229" s="3192"/>
      <c r="J229" s="3192"/>
      <c r="K229" s="3192"/>
      <c r="L229" s="3192"/>
      <c r="M229" s="3192"/>
      <c r="N229" s="3192"/>
      <c r="O229" s="3192"/>
      <c r="P229" s="3192"/>
      <c r="Q229" s="3192"/>
      <c r="R229" s="3192"/>
      <c r="S229" s="3192"/>
      <c r="T229" s="3192"/>
      <c r="U229" s="3192"/>
      <c r="V229" s="3192"/>
      <c r="X229" s="3192"/>
      <c r="Y229" s="3192"/>
      <c r="Z229" s="3192"/>
      <c r="AA229" s="3192"/>
      <c r="AB229" s="3192"/>
      <c r="AC229" s="3192"/>
      <c r="AD229" s="3192"/>
      <c r="AE229" s="3192"/>
      <c r="AH229" s="3192"/>
      <c r="AI229" s="3192"/>
      <c r="AJ229" s="3192"/>
      <c r="AK229" s="3192"/>
      <c r="AL229" s="3192"/>
      <c r="AM229" s="3192"/>
      <c r="AN229" s="3192"/>
      <c r="AO229" s="3192"/>
      <c r="BB229" s="3192"/>
      <c r="DG229" s="3186"/>
    </row>
    <row r="230" spans="4:112" ht="12" customHeight="1">
      <c r="D230" s="3207"/>
      <c r="E230" s="3204"/>
      <c r="F230" s="3202"/>
      <c r="G230" s="3202"/>
      <c r="H230" s="3202"/>
      <c r="I230" s="3202"/>
      <c r="J230" s="3202"/>
      <c r="K230" s="3202"/>
      <c r="L230" s="3202"/>
      <c r="M230" s="3202"/>
      <c r="N230" s="3202"/>
      <c r="O230" s="3202"/>
      <c r="P230" s="3202"/>
      <c r="Q230" s="3202"/>
      <c r="R230" s="3202"/>
      <c r="S230" s="3202"/>
      <c r="T230" s="3201"/>
      <c r="U230" s="3201"/>
      <c r="V230" s="3201"/>
      <c r="W230" s="3201"/>
      <c r="X230" s="3201"/>
      <c r="Y230" s="3201"/>
      <c r="Z230" s="3201"/>
      <c r="AA230" s="3201"/>
      <c r="AB230" s="3201"/>
      <c r="AC230" s="3201"/>
      <c r="AD230" s="3201"/>
      <c r="AE230" s="3201"/>
      <c r="AF230" s="3201"/>
      <c r="AG230" s="3201"/>
      <c r="AH230" s="3201"/>
      <c r="AI230" s="3201"/>
      <c r="AJ230" s="3201"/>
      <c r="AK230" s="3201"/>
      <c r="AL230" s="3201"/>
      <c r="AM230" s="3201"/>
      <c r="AN230" s="3201"/>
      <c r="AO230" s="3201"/>
      <c r="AP230" s="3201"/>
      <c r="AQ230" s="3201"/>
      <c r="AR230" s="3201"/>
      <c r="AS230" s="3201"/>
      <c r="AT230" s="3201"/>
      <c r="AU230" s="3201"/>
      <c r="AV230" s="3201"/>
      <c r="AW230" s="3201"/>
      <c r="AX230" s="3201"/>
      <c r="AY230" s="3201"/>
      <c r="AZ230" s="3202"/>
      <c r="BA230" s="3202"/>
      <c r="BB230" s="3202"/>
      <c r="DH230" s="3186"/>
    </row>
    <row r="231" spans="4:112" ht="12" customHeight="1">
      <c r="E231" s="3204"/>
      <c r="F231" s="3202"/>
      <c r="AT231" s="3202"/>
      <c r="AU231" s="3202"/>
      <c r="AV231" s="3202"/>
      <c r="AW231" s="3202"/>
      <c r="AX231" s="3202"/>
      <c r="AY231" s="3202"/>
      <c r="AZ231" s="3193"/>
      <c r="BB231" s="3202"/>
      <c r="DG231" s="3186"/>
    </row>
    <row r="232" spans="4:112" ht="12" customHeight="1">
      <c r="E232" s="3204"/>
      <c r="F232" s="3202"/>
      <c r="G232" s="3202"/>
      <c r="H232" s="3202"/>
      <c r="I232" s="3203"/>
      <c r="J232" s="3203"/>
      <c r="K232" s="3202"/>
      <c r="L232" s="3203"/>
      <c r="M232" s="3203"/>
      <c r="N232" s="3202"/>
      <c r="O232" s="3203"/>
      <c r="P232" s="3203"/>
      <c r="Q232" s="3202"/>
      <c r="R232" s="3202"/>
      <c r="S232" s="3202"/>
      <c r="T232" s="3202"/>
      <c r="U232" s="3202"/>
      <c r="V232" s="3202"/>
      <c r="W232" s="3203"/>
      <c r="X232" s="3202"/>
      <c r="Y232" s="3202"/>
      <c r="Z232" s="3202"/>
      <c r="AA232" s="3202"/>
      <c r="AB232" s="3202"/>
      <c r="AC232" s="3202"/>
      <c r="AD232" s="3202"/>
      <c r="AE232" s="3202"/>
      <c r="AF232" s="3202"/>
      <c r="AG232" s="3203"/>
      <c r="AH232" s="3202"/>
      <c r="AI232" s="3202"/>
      <c r="AJ232" s="3202"/>
      <c r="AK232" s="3202"/>
      <c r="AL232" s="3202"/>
      <c r="AM232" s="3202"/>
      <c r="AN232" s="3202"/>
      <c r="AO232" s="3202"/>
      <c r="AP232" s="3202"/>
      <c r="AQ232" s="3202"/>
      <c r="AR232" s="3202"/>
      <c r="AS232" s="3202"/>
      <c r="AT232" s="3202"/>
      <c r="AU232" s="3202"/>
      <c r="AV232" s="3202"/>
      <c r="AW232" s="3202"/>
      <c r="AX232" s="3202"/>
      <c r="AY232" s="3202"/>
      <c r="AZ232" s="3202"/>
      <c r="BA232" s="3202"/>
      <c r="BB232" s="3202"/>
      <c r="DD232" s="3187"/>
      <c r="DG232" s="3186"/>
    </row>
    <row r="233" spans="4:112" ht="12" customHeight="1">
      <c r="E233" s="3204"/>
      <c r="F233" s="3202"/>
      <c r="G233" s="3202"/>
      <c r="H233" s="3202"/>
      <c r="I233" s="3203"/>
      <c r="J233" s="3203"/>
      <c r="K233" s="3202"/>
      <c r="L233" s="3203"/>
      <c r="M233" s="3203"/>
      <c r="N233" s="3202"/>
      <c r="O233" s="3203"/>
      <c r="P233" s="3203"/>
      <c r="Q233" s="3202"/>
      <c r="R233" s="3202"/>
      <c r="S233" s="3202"/>
      <c r="T233" s="3202"/>
      <c r="U233" s="3202"/>
      <c r="V233" s="3202"/>
      <c r="W233" s="3202"/>
      <c r="X233" s="3202"/>
      <c r="Y233" s="3202"/>
      <c r="Z233" s="3202"/>
      <c r="AA233" s="3202"/>
      <c r="AB233" s="3202"/>
      <c r="AC233" s="3202"/>
      <c r="AD233" s="3202"/>
      <c r="AE233" s="3202"/>
      <c r="AF233" s="3202"/>
      <c r="AG233" s="3202"/>
      <c r="AH233" s="3202"/>
      <c r="AI233" s="3202"/>
      <c r="AJ233" s="3202"/>
      <c r="AK233" s="3202"/>
      <c r="AL233" s="3202"/>
      <c r="AM233" s="3202"/>
      <c r="AN233" s="3202"/>
      <c r="AO233" s="3202"/>
      <c r="AP233" s="3202"/>
      <c r="AQ233" s="3202"/>
      <c r="AR233" s="3202"/>
      <c r="AS233" s="3202"/>
      <c r="AT233" s="3202"/>
      <c r="AU233" s="3202"/>
      <c r="AV233" s="3202"/>
      <c r="AW233" s="3202"/>
      <c r="AX233" s="3202"/>
      <c r="AY233" s="3202"/>
      <c r="AZ233" s="3205"/>
      <c r="BA233" s="3205"/>
      <c r="BB233" s="3202"/>
      <c r="DD233" s="3187"/>
      <c r="DG233" s="3186"/>
    </row>
    <row r="234" spans="4:112" ht="12" customHeight="1">
      <c r="E234" s="3204"/>
      <c r="F234" s="3202"/>
      <c r="G234" s="3202"/>
      <c r="H234" s="3202"/>
      <c r="I234" s="3203"/>
      <c r="J234" s="3203"/>
      <c r="K234" s="3202"/>
      <c r="L234" s="3203"/>
      <c r="M234" s="3203"/>
      <c r="N234" s="3202"/>
      <c r="O234" s="3203"/>
      <c r="P234" s="3203"/>
      <c r="Q234" s="3202"/>
      <c r="R234" s="3202"/>
      <c r="S234" s="3202"/>
      <c r="T234" s="3202"/>
      <c r="U234" s="3202"/>
      <c r="V234" s="3202"/>
      <c r="W234" s="3202"/>
      <c r="X234" s="3202"/>
      <c r="Y234" s="3202"/>
      <c r="Z234" s="3202"/>
      <c r="AA234" s="3202"/>
      <c r="AB234" s="3202"/>
      <c r="AC234" s="3202"/>
      <c r="AD234" s="3202"/>
      <c r="AE234" s="3202"/>
      <c r="AF234" s="3202"/>
      <c r="AG234" s="3202"/>
      <c r="AH234" s="3202"/>
      <c r="AI234" s="3202"/>
      <c r="AJ234" s="3202"/>
      <c r="AK234" s="3202"/>
      <c r="AL234" s="3202"/>
      <c r="AM234" s="3202"/>
      <c r="AN234" s="3202"/>
      <c r="AO234" s="3202"/>
      <c r="AP234" s="3202"/>
      <c r="AQ234" s="3202"/>
      <c r="AR234" s="3202"/>
      <c r="AS234" s="3202"/>
      <c r="AT234" s="3202"/>
      <c r="AU234" s="3202"/>
      <c r="AV234" s="3202"/>
      <c r="AW234" s="3202"/>
      <c r="AX234" s="3202"/>
      <c r="AY234" s="3202"/>
      <c r="BB234" s="3202"/>
      <c r="DD234" s="3187"/>
      <c r="DG234" s="3186"/>
    </row>
    <row r="235" spans="4:112" ht="12" customHeight="1">
      <c r="E235" s="3204"/>
      <c r="F235" s="3202"/>
      <c r="G235" s="3202"/>
      <c r="H235" s="3202"/>
      <c r="I235" s="3203"/>
      <c r="J235" s="3203"/>
      <c r="K235" s="3202"/>
      <c r="L235" s="3203"/>
      <c r="M235" s="3203"/>
      <c r="N235" s="3202"/>
      <c r="O235" s="3203"/>
      <c r="P235" s="3203"/>
      <c r="Q235" s="3202"/>
      <c r="R235" s="3202"/>
      <c r="S235" s="3202"/>
      <c r="T235" s="3202"/>
      <c r="U235" s="3202"/>
      <c r="V235" s="3203"/>
      <c r="W235" s="3203"/>
      <c r="X235" s="3203"/>
      <c r="Y235" s="3203"/>
      <c r="Z235" s="3203"/>
      <c r="AA235" s="3203"/>
      <c r="AB235" s="3203"/>
      <c r="AC235" s="3203"/>
      <c r="AD235" s="3203"/>
      <c r="AE235" s="3203"/>
      <c r="AF235" s="3203"/>
      <c r="AG235" s="3203"/>
      <c r="AH235" s="3203"/>
      <c r="AI235" s="3203"/>
      <c r="AJ235" s="3203"/>
      <c r="AK235" s="3203"/>
      <c r="AL235" s="3203"/>
      <c r="AM235" s="3203"/>
      <c r="AN235" s="3203"/>
      <c r="AO235" s="3203"/>
      <c r="AP235" s="3203"/>
      <c r="AQ235" s="3202"/>
      <c r="AR235" s="3202"/>
      <c r="AS235" s="3202"/>
      <c r="AT235" s="3202"/>
      <c r="AU235" s="3202"/>
      <c r="AV235" s="3202"/>
      <c r="AW235" s="3202"/>
      <c r="AX235" s="3202"/>
      <c r="AY235" s="3202"/>
      <c r="AZ235" s="3202"/>
      <c r="BA235" s="3202"/>
      <c r="BB235" s="3202"/>
      <c r="DD235" s="3187"/>
      <c r="DG235" s="3186"/>
    </row>
    <row r="236" spans="4:112" ht="12" customHeight="1">
      <c r="E236" s="3204"/>
      <c r="F236" s="3202"/>
      <c r="G236" s="3202"/>
      <c r="H236" s="3202"/>
      <c r="I236" s="3203"/>
      <c r="J236" s="3203"/>
      <c r="K236" s="3202"/>
      <c r="L236" s="3203"/>
      <c r="M236" s="3203"/>
      <c r="N236" s="3202"/>
      <c r="O236" s="3203"/>
      <c r="P236" s="3203"/>
      <c r="Q236" s="3202"/>
      <c r="R236" s="3202"/>
      <c r="S236" s="3202"/>
      <c r="T236" s="3202"/>
      <c r="U236" s="3202"/>
      <c r="V236" s="3203"/>
      <c r="W236" s="3203"/>
      <c r="X236" s="3203"/>
      <c r="Y236" s="3203"/>
      <c r="Z236" s="3203"/>
      <c r="AA236" s="3203"/>
      <c r="AB236" s="3203"/>
      <c r="AC236" s="3203"/>
      <c r="AD236" s="3203"/>
      <c r="AE236" s="3203"/>
      <c r="AF236" s="3203"/>
      <c r="AG236" s="3203"/>
      <c r="AH236" s="3203"/>
      <c r="AI236" s="3203"/>
      <c r="AJ236" s="3203"/>
      <c r="AK236" s="3203"/>
      <c r="AL236" s="3203"/>
      <c r="AM236" s="3203"/>
      <c r="AN236" s="3203"/>
      <c r="AO236" s="3203"/>
      <c r="AP236" s="3203"/>
      <c r="AQ236" s="3202"/>
      <c r="AR236" s="3202"/>
      <c r="AS236" s="3202"/>
      <c r="AT236" s="3202"/>
      <c r="AU236" s="3202"/>
      <c r="AV236" s="3202"/>
      <c r="AW236" s="3202"/>
      <c r="AX236" s="3202"/>
      <c r="AY236" s="3202"/>
      <c r="AZ236" s="3203"/>
      <c r="BA236" s="3203"/>
      <c r="BB236" s="3202"/>
      <c r="DD236" s="3187"/>
      <c r="DG236" s="3186"/>
    </row>
    <row r="237" spans="4:112" ht="12" customHeight="1">
      <c r="E237" s="3204"/>
      <c r="I237" s="3190"/>
      <c r="J237" s="3190"/>
      <c r="L237" s="3190"/>
      <c r="M237" s="3190"/>
      <c r="O237" s="3190"/>
      <c r="P237" s="3190"/>
      <c r="AT237" s="3202"/>
      <c r="AU237" s="3202"/>
      <c r="AV237" s="3202"/>
      <c r="AW237" s="3202"/>
      <c r="AX237" s="3202"/>
      <c r="AY237" s="3202"/>
      <c r="AZ237" s="3202"/>
      <c r="BA237" s="3202"/>
      <c r="BB237" s="3202"/>
      <c r="DG237" s="3186"/>
    </row>
    <row r="238" spans="4:112" ht="12" customHeight="1">
      <c r="E238" s="3204"/>
      <c r="F238" s="3202"/>
      <c r="G238" s="3202"/>
      <c r="H238" s="3202"/>
      <c r="I238" s="3203"/>
      <c r="J238" s="3203"/>
      <c r="K238" s="3202"/>
      <c r="L238" s="3203"/>
      <c r="M238" s="3203"/>
      <c r="N238" s="3202"/>
      <c r="O238" s="3203"/>
      <c r="P238" s="3203"/>
      <c r="Q238" s="3202"/>
      <c r="R238" s="3202"/>
      <c r="S238" s="3202"/>
      <c r="T238" s="3202"/>
      <c r="U238" s="3202"/>
      <c r="V238" s="3202"/>
      <c r="W238" s="3203"/>
      <c r="X238" s="3202"/>
      <c r="Y238" s="3202"/>
      <c r="Z238" s="3202"/>
      <c r="AA238" s="3202"/>
      <c r="AB238" s="3202"/>
      <c r="AC238" s="3202"/>
      <c r="AD238" s="3202"/>
      <c r="AE238" s="3202"/>
      <c r="AF238" s="3202"/>
      <c r="AG238" s="3203"/>
      <c r="AH238" s="3202"/>
      <c r="AI238" s="3202"/>
      <c r="AJ238" s="3202"/>
      <c r="AK238" s="3202"/>
      <c r="AL238" s="3202"/>
      <c r="AM238" s="3202"/>
      <c r="AN238" s="3202"/>
      <c r="AO238" s="3202"/>
      <c r="AP238" s="3202"/>
      <c r="AQ238" s="3202"/>
      <c r="AR238" s="3202"/>
      <c r="AS238" s="3202"/>
      <c r="AT238" s="3202"/>
      <c r="AU238" s="3202"/>
      <c r="AV238" s="3202"/>
      <c r="AW238" s="3202"/>
      <c r="AX238" s="3202"/>
      <c r="AY238" s="3202"/>
      <c r="AZ238" s="3203"/>
      <c r="BA238" s="3203"/>
      <c r="BB238" s="3202"/>
      <c r="DG238" s="3186"/>
    </row>
    <row r="239" spans="4:112" ht="12" customHeight="1">
      <c r="E239" s="3204"/>
      <c r="F239" s="3202"/>
      <c r="G239" s="3202"/>
      <c r="H239" s="3202"/>
      <c r="I239" s="3203"/>
      <c r="J239" s="3203"/>
      <c r="K239" s="3202"/>
      <c r="L239" s="3203"/>
      <c r="M239" s="3203"/>
      <c r="N239" s="3202"/>
      <c r="O239" s="3203"/>
      <c r="P239" s="3203"/>
      <c r="Q239" s="3202"/>
      <c r="R239" s="3202"/>
      <c r="S239" s="3202"/>
      <c r="T239" s="3202"/>
      <c r="U239" s="3202"/>
      <c r="V239" s="3202"/>
      <c r="W239" s="3202"/>
      <c r="X239" s="3202"/>
      <c r="Y239" s="3202"/>
      <c r="Z239" s="3202"/>
      <c r="AA239" s="3202"/>
      <c r="AB239" s="3202"/>
      <c r="AC239" s="3202"/>
      <c r="AD239" s="3202"/>
      <c r="AE239" s="3202"/>
      <c r="AF239" s="3202"/>
      <c r="AG239" s="3202"/>
      <c r="AH239" s="3202"/>
      <c r="AI239" s="3202"/>
      <c r="AJ239" s="3202"/>
      <c r="AK239" s="3202"/>
      <c r="AL239" s="3202"/>
      <c r="AM239" s="3202"/>
      <c r="AN239" s="3202"/>
      <c r="AO239" s="3202"/>
      <c r="AP239" s="3202"/>
      <c r="AQ239" s="3202"/>
      <c r="AR239" s="3202"/>
      <c r="AS239" s="3202"/>
      <c r="AT239" s="3202"/>
      <c r="AU239" s="3202"/>
      <c r="AV239" s="3202"/>
      <c r="AW239" s="3202"/>
      <c r="AX239" s="3202"/>
      <c r="AY239" s="3202"/>
      <c r="AZ239" s="3202"/>
      <c r="BA239" s="3202"/>
      <c r="BB239" s="3202"/>
      <c r="DG239" s="3186"/>
    </row>
    <row r="240" spans="4:112" ht="12" customHeight="1">
      <c r="E240" s="3204"/>
      <c r="F240" s="3202"/>
      <c r="G240" s="3202"/>
      <c r="H240" s="3202"/>
      <c r="I240" s="3203"/>
      <c r="J240" s="3203"/>
      <c r="K240" s="3202"/>
      <c r="L240" s="3203"/>
      <c r="M240" s="3203"/>
      <c r="N240" s="3202"/>
      <c r="O240" s="3203"/>
      <c r="P240" s="3203"/>
      <c r="Q240" s="3202"/>
      <c r="R240" s="3202"/>
      <c r="S240" s="3202"/>
      <c r="T240" s="3202"/>
      <c r="U240" s="3202"/>
      <c r="V240" s="3202"/>
      <c r="W240" s="3202"/>
      <c r="X240" s="3202"/>
      <c r="Y240" s="3202"/>
      <c r="Z240" s="3202"/>
      <c r="AA240" s="3202"/>
      <c r="AB240" s="3202"/>
      <c r="AC240" s="3202"/>
      <c r="AD240" s="3202"/>
      <c r="AE240" s="3202"/>
      <c r="AF240" s="3202"/>
      <c r="AG240" s="3202"/>
      <c r="AH240" s="3202"/>
      <c r="AI240" s="3202"/>
      <c r="AJ240" s="3202"/>
      <c r="AK240" s="3202"/>
      <c r="AL240" s="3202"/>
      <c r="AM240" s="3202"/>
      <c r="AN240" s="3202"/>
      <c r="AO240" s="3202"/>
      <c r="AP240" s="3202"/>
      <c r="AQ240" s="3202"/>
      <c r="AR240" s="3202"/>
      <c r="AS240" s="3202"/>
      <c r="AT240" s="3202"/>
      <c r="AU240" s="3202"/>
      <c r="AV240" s="3202"/>
      <c r="AW240" s="3202"/>
      <c r="AX240" s="3202"/>
      <c r="AY240" s="3202"/>
      <c r="AZ240" s="3203"/>
      <c r="BA240" s="3203"/>
      <c r="BB240" s="3202"/>
      <c r="DG240" s="3186"/>
    </row>
    <row r="241" spans="5:111" ht="12" customHeight="1">
      <c r="E241" s="3204"/>
      <c r="F241" s="3202"/>
      <c r="G241" s="3202"/>
      <c r="H241" s="3202"/>
      <c r="I241" s="3203"/>
      <c r="J241" s="3203"/>
      <c r="K241" s="3202"/>
      <c r="L241" s="3203"/>
      <c r="M241" s="3203"/>
      <c r="N241" s="3202"/>
      <c r="O241" s="3203"/>
      <c r="P241" s="3203"/>
      <c r="Q241" s="3202"/>
      <c r="R241" s="3202"/>
      <c r="S241" s="3202"/>
      <c r="T241" s="3202"/>
      <c r="U241" s="3202"/>
      <c r="V241" s="3203"/>
      <c r="W241" s="3203"/>
      <c r="X241" s="3203"/>
      <c r="Y241" s="3203"/>
      <c r="Z241" s="3203"/>
      <c r="AA241" s="3203"/>
      <c r="AB241" s="3203"/>
      <c r="AC241" s="3203"/>
      <c r="AD241" s="3203"/>
      <c r="AE241" s="3203"/>
      <c r="AF241" s="3203"/>
      <c r="AG241" s="3203"/>
      <c r="AH241" s="3203"/>
      <c r="AI241" s="3203"/>
      <c r="AJ241" s="3203"/>
      <c r="AK241" s="3203"/>
      <c r="AL241" s="3203"/>
      <c r="AM241" s="3203"/>
      <c r="AN241" s="3203"/>
      <c r="AO241" s="3203"/>
      <c r="AP241" s="3203"/>
      <c r="AQ241" s="3202"/>
      <c r="AR241" s="3202"/>
      <c r="AS241" s="3202"/>
      <c r="AT241" s="3202"/>
      <c r="AU241" s="3202"/>
      <c r="AV241" s="3202"/>
      <c r="AW241" s="3202"/>
      <c r="AX241" s="3202"/>
      <c r="AY241" s="3202"/>
      <c r="AZ241" s="3201"/>
      <c r="BA241" s="3201"/>
      <c r="BB241" s="3202"/>
      <c r="DG241" s="3186"/>
    </row>
    <row r="242" spans="5:111" ht="12" customHeight="1">
      <c r="E242" s="3204"/>
      <c r="F242" s="3202"/>
      <c r="G242" s="3202"/>
      <c r="H242" s="3202"/>
      <c r="I242" s="3203"/>
      <c r="J242" s="3203"/>
      <c r="K242" s="3202"/>
      <c r="L242" s="3203"/>
      <c r="M242" s="3203"/>
      <c r="N242" s="3202"/>
      <c r="O242" s="3203"/>
      <c r="P242" s="3203"/>
      <c r="Q242" s="3202"/>
      <c r="R242" s="3202"/>
      <c r="S242" s="3202"/>
      <c r="T242" s="3202"/>
      <c r="U242" s="3202"/>
      <c r="V242" s="3203"/>
      <c r="W242" s="3203"/>
      <c r="X242" s="3203"/>
      <c r="Y242" s="3203"/>
      <c r="Z242" s="3203"/>
      <c r="AA242" s="3203"/>
      <c r="AB242" s="3203"/>
      <c r="AC242" s="3203"/>
      <c r="AD242" s="3203"/>
      <c r="AE242" s="3203"/>
      <c r="AF242" s="3203"/>
      <c r="AG242" s="3203"/>
      <c r="AH242" s="3203"/>
      <c r="AI242" s="3203"/>
      <c r="AJ242" s="3203"/>
      <c r="AK242" s="3203"/>
      <c r="AL242" s="3203"/>
      <c r="AM242" s="3203"/>
      <c r="AN242" s="3203"/>
      <c r="AO242" s="3203"/>
      <c r="AP242" s="3203"/>
      <c r="AQ242" s="3202"/>
      <c r="AR242" s="3202"/>
      <c r="AS242" s="3202"/>
      <c r="AT242" s="3202"/>
      <c r="AU242" s="3202"/>
      <c r="AV242" s="3202"/>
      <c r="AW242" s="3202"/>
      <c r="AX242" s="3202"/>
      <c r="AY242" s="3202"/>
      <c r="AZ242" s="3205"/>
      <c r="BA242" s="3205"/>
      <c r="BB242" s="3202"/>
      <c r="DG242" s="3186"/>
    </row>
    <row r="243" spans="5:111" ht="12" customHeight="1">
      <c r="E243" s="3204"/>
      <c r="I243" s="3190"/>
      <c r="J243" s="3190"/>
      <c r="L243" s="3190"/>
      <c r="M243" s="3190"/>
      <c r="O243" s="3190"/>
      <c r="P243" s="3190"/>
      <c r="AT243" s="3202"/>
      <c r="AU243" s="3202"/>
      <c r="AV243" s="3202"/>
      <c r="AW243" s="3202"/>
      <c r="AX243" s="3202"/>
      <c r="AY243" s="3202"/>
      <c r="BB243" s="3202"/>
      <c r="DG243" s="3186"/>
    </row>
    <row r="244" spans="5:111" ht="12" customHeight="1">
      <c r="E244" s="3204"/>
      <c r="F244" s="3202"/>
      <c r="G244" s="3202"/>
      <c r="H244" s="3202"/>
      <c r="I244" s="3203"/>
      <c r="J244" s="3203"/>
      <c r="K244" s="3202"/>
      <c r="L244" s="3203"/>
      <c r="M244" s="3203"/>
      <c r="N244" s="3202"/>
      <c r="O244" s="3203"/>
      <c r="P244" s="3203"/>
      <c r="Q244" s="3202"/>
      <c r="R244" s="3202"/>
      <c r="S244" s="3202"/>
      <c r="T244" s="3202"/>
      <c r="U244" s="3202"/>
      <c r="V244" s="3202"/>
      <c r="W244" s="3203"/>
      <c r="X244" s="3202"/>
      <c r="Y244" s="3202"/>
      <c r="Z244" s="3202"/>
      <c r="AA244" s="3202"/>
      <c r="AB244" s="3202"/>
      <c r="AC244" s="3202"/>
      <c r="AD244" s="3202"/>
      <c r="AE244" s="3202"/>
      <c r="AF244" s="3202"/>
      <c r="AG244" s="3203"/>
      <c r="AH244" s="3202"/>
      <c r="AI244" s="3202"/>
      <c r="AJ244" s="3202"/>
      <c r="AK244" s="3202"/>
      <c r="AL244" s="3202"/>
      <c r="AM244" s="3202"/>
      <c r="AN244" s="3202"/>
      <c r="AO244" s="3202"/>
      <c r="AP244" s="3202"/>
      <c r="AQ244" s="3202"/>
      <c r="AR244" s="3202"/>
      <c r="AS244" s="3202"/>
      <c r="AT244" s="3202"/>
      <c r="AU244" s="3202"/>
      <c r="AV244" s="3202"/>
      <c r="AW244" s="3202"/>
      <c r="AX244" s="3202"/>
      <c r="AY244" s="3202"/>
      <c r="AZ244" s="3201"/>
      <c r="BA244" s="3201"/>
      <c r="BB244" s="3202"/>
      <c r="BC244" s="3201"/>
      <c r="BD244" s="3201"/>
      <c r="BE244" s="3201"/>
      <c r="DG244" s="3186"/>
    </row>
    <row r="245" spans="5:111" ht="12" customHeight="1">
      <c r="E245" s="3204"/>
      <c r="F245" s="3202"/>
      <c r="G245" s="3202"/>
      <c r="H245" s="3202"/>
      <c r="I245" s="3203"/>
      <c r="J245" s="3203"/>
      <c r="K245" s="3202"/>
      <c r="L245" s="3203"/>
      <c r="M245" s="3203"/>
      <c r="N245" s="3202"/>
      <c r="O245" s="3203"/>
      <c r="P245" s="3203"/>
      <c r="Q245" s="3202"/>
      <c r="R245" s="3202"/>
      <c r="S245" s="3202"/>
      <c r="T245" s="3202"/>
      <c r="U245" s="3202"/>
      <c r="V245" s="3202"/>
      <c r="W245" s="3202"/>
      <c r="X245" s="3202"/>
      <c r="Y245" s="3202"/>
      <c r="Z245" s="3202"/>
      <c r="AA245" s="3202"/>
      <c r="AB245" s="3202"/>
      <c r="AC245" s="3202"/>
      <c r="AD245" s="3202"/>
      <c r="AE245" s="3202"/>
      <c r="AF245" s="3202"/>
      <c r="AG245" s="3202"/>
      <c r="AH245" s="3202"/>
      <c r="AI245" s="3202"/>
      <c r="AJ245" s="3202"/>
      <c r="AK245" s="3202"/>
      <c r="AL245" s="3202"/>
      <c r="AM245" s="3202"/>
      <c r="AN245" s="3202"/>
      <c r="AO245" s="3202"/>
      <c r="AP245" s="3202"/>
      <c r="AQ245" s="3202"/>
      <c r="AR245" s="3202"/>
      <c r="AS245" s="3202"/>
      <c r="AT245" s="3202"/>
      <c r="AU245" s="3202"/>
      <c r="AV245" s="3202"/>
      <c r="AW245" s="3202"/>
      <c r="AX245" s="3202"/>
      <c r="AY245" s="3202"/>
      <c r="AZ245" s="3205"/>
      <c r="BA245" s="3206"/>
      <c r="BB245" s="3202"/>
      <c r="BC245" s="3205"/>
      <c r="BD245" s="3205"/>
      <c r="BE245" s="3205"/>
      <c r="DG245" s="3186"/>
    </row>
    <row r="246" spans="5:111" ht="12" customHeight="1">
      <c r="E246" s="3204"/>
      <c r="F246" s="3202"/>
      <c r="G246" s="3202"/>
      <c r="H246" s="3202"/>
      <c r="I246" s="3203"/>
      <c r="J246" s="3203"/>
      <c r="K246" s="3202"/>
      <c r="L246" s="3203"/>
      <c r="M246" s="3203"/>
      <c r="N246" s="3202"/>
      <c r="O246" s="3203"/>
      <c r="P246" s="3203"/>
      <c r="Q246" s="3202"/>
      <c r="R246" s="3202"/>
      <c r="S246" s="3202"/>
      <c r="T246" s="3202"/>
      <c r="U246" s="3202"/>
      <c r="V246" s="3202"/>
      <c r="W246" s="3202"/>
      <c r="X246" s="3202"/>
      <c r="Y246" s="3202"/>
      <c r="Z246" s="3202"/>
      <c r="AA246" s="3202"/>
      <c r="AB246" s="3202"/>
      <c r="AC246" s="3202"/>
      <c r="AD246" s="3202"/>
      <c r="AE246" s="3202"/>
      <c r="AF246" s="3202"/>
      <c r="AG246" s="3202"/>
      <c r="AH246" s="3202"/>
      <c r="AI246" s="3202"/>
      <c r="AJ246" s="3202"/>
      <c r="AK246" s="3202"/>
      <c r="AL246" s="3202"/>
      <c r="AM246" s="3202"/>
      <c r="AN246" s="3202"/>
      <c r="AO246" s="3202"/>
      <c r="AP246" s="3202"/>
      <c r="AQ246" s="3202"/>
      <c r="AR246" s="3202"/>
      <c r="AS246" s="3202"/>
      <c r="AT246" s="3202"/>
      <c r="AU246" s="3202"/>
      <c r="AV246" s="3202"/>
      <c r="AW246" s="3202"/>
      <c r="AX246" s="3202"/>
      <c r="AY246" s="3202"/>
      <c r="AZ246" s="3201"/>
      <c r="BA246" s="3201"/>
      <c r="BB246" s="3202"/>
      <c r="BC246" s="3201"/>
      <c r="BD246" s="3201"/>
      <c r="BE246" s="3201"/>
      <c r="DG246" s="3186"/>
    </row>
    <row r="247" spans="5:111" ht="12" customHeight="1">
      <c r="E247" s="3204"/>
      <c r="F247" s="3202"/>
      <c r="G247" s="3202"/>
      <c r="H247" s="3202"/>
      <c r="I247" s="3203"/>
      <c r="J247" s="3203"/>
      <c r="K247" s="3202"/>
      <c r="L247" s="3203"/>
      <c r="M247" s="3203"/>
      <c r="N247" s="3202"/>
      <c r="O247" s="3203"/>
      <c r="P247" s="3203"/>
      <c r="Q247" s="3202"/>
      <c r="R247" s="3202"/>
      <c r="S247" s="3202"/>
      <c r="T247" s="3202"/>
      <c r="U247" s="3202"/>
      <c r="V247" s="3203"/>
      <c r="W247" s="3203"/>
      <c r="X247" s="3203"/>
      <c r="Y247" s="3203"/>
      <c r="Z247" s="3203"/>
      <c r="AA247" s="3203"/>
      <c r="AB247" s="3203"/>
      <c r="AC247" s="3203"/>
      <c r="AD247" s="3203"/>
      <c r="AE247" s="3203"/>
      <c r="AF247" s="3203"/>
      <c r="AG247" s="3203"/>
      <c r="AH247" s="3203"/>
      <c r="AI247" s="3203"/>
      <c r="AJ247" s="3203"/>
      <c r="AK247" s="3203"/>
      <c r="AL247" s="3203"/>
      <c r="AM247" s="3203"/>
      <c r="AN247" s="3203"/>
      <c r="AO247" s="3203"/>
      <c r="AP247" s="3203"/>
      <c r="AQ247" s="3202"/>
      <c r="AR247" s="3202"/>
      <c r="AS247" s="3202"/>
      <c r="AT247" s="3202"/>
      <c r="AU247" s="3202"/>
      <c r="AV247" s="3202"/>
      <c r="AW247" s="3202"/>
      <c r="AX247" s="3202"/>
      <c r="AY247" s="3202"/>
      <c r="AZ247" s="3205"/>
      <c r="BA247" s="3206"/>
      <c r="BB247" s="3202"/>
      <c r="BC247" s="3205"/>
      <c r="BD247" s="3205"/>
      <c r="BE247" s="3205"/>
      <c r="DG247" s="3186"/>
    </row>
    <row r="248" spans="5:111" ht="12" customHeight="1">
      <c r="E248" s="3204"/>
      <c r="F248" s="3202"/>
      <c r="G248" s="3202"/>
      <c r="H248" s="3202"/>
      <c r="I248" s="3203"/>
      <c r="J248" s="3203"/>
      <c r="K248" s="3202"/>
      <c r="L248" s="3203"/>
      <c r="M248" s="3203"/>
      <c r="N248" s="3202"/>
      <c r="O248" s="3203"/>
      <c r="P248" s="3203"/>
      <c r="Q248" s="3202"/>
      <c r="R248" s="3202"/>
      <c r="S248" s="3202"/>
      <c r="T248" s="3202"/>
      <c r="U248" s="3202"/>
      <c r="V248" s="3203"/>
      <c r="W248" s="3203"/>
      <c r="X248" s="3203"/>
      <c r="Y248" s="3203"/>
      <c r="Z248" s="3203"/>
      <c r="AA248" s="3203"/>
      <c r="AB248" s="3203"/>
      <c r="AC248" s="3203"/>
      <c r="AD248" s="3203"/>
      <c r="AE248" s="3203"/>
      <c r="AF248" s="3203"/>
      <c r="AG248" s="3203"/>
      <c r="AH248" s="3203"/>
      <c r="AI248" s="3203"/>
      <c r="AJ248" s="3203"/>
      <c r="AK248" s="3203"/>
      <c r="AL248" s="3203"/>
      <c r="AM248" s="3203"/>
      <c r="AN248" s="3203"/>
      <c r="AO248" s="3203"/>
      <c r="AP248" s="3203"/>
      <c r="AQ248" s="3202"/>
      <c r="AR248" s="3202"/>
      <c r="AS248" s="3202"/>
      <c r="AT248" s="3202"/>
      <c r="AU248" s="3202"/>
      <c r="AV248" s="3202"/>
      <c r="AW248" s="3202"/>
      <c r="AX248" s="3202"/>
      <c r="AY248" s="3202"/>
      <c r="AZ248" s="3201"/>
      <c r="BA248" s="3201"/>
      <c r="BB248" s="3202"/>
      <c r="BC248" s="3201"/>
      <c r="BD248" s="3201"/>
      <c r="BE248" s="3201"/>
      <c r="DG248" s="3186"/>
    </row>
    <row r="249" spans="5:111" ht="12" customHeight="1">
      <c r="E249" s="3204"/>
      <c r="I249" s="3190"/>
      <c r="J249" s="3190"/>
      <c r="L249" s="3190"/>
      <c r="M249" s="3190"/>
      <c r="O249" s="3190"/>
      <c r="P249" s="3190"/>
      <c r="AT249" s="3202"/>
      <c r="AU249" s="3202"/>
      <c r="AV249" s="3202"/>
      <c r="AW249" s="3202"/>
      <c r="AX249" s="3202"/>
      <c r="AY249" s="3202"/>
      <c r="AZ249" s="3205"/>
      <c r="BA249" s="3206"/>
      <c r="BB249" s="3202"/>
      <c r="BC249" s="3205"/>
      <c r="BD249" s="3205"/>
      <c r="BE249" s="3205"/>
      <c r="DG249" s="3186"/>
    </row>
    <row r="250" spans="5:111" ht="12" customHeight="1">
      <c r="E250" s="3204"/>
      <c r="F250" s="3202"/>
      <c r="G250" s="3202"/>
      <c r="H250" s="3202"/>
      <c r="I250" s="3203"/>
      <c r="J250" s="3203"/>
      <c r="K250" s="3202"/>
      <c r="L250" s="3203"/>
      <c r="M250" s="3203"/>
      <c r="N250" s="3202"/>
      <c r="O250" s="3203"/>
      <c r="P250" s="3203"/>
      <c r="Q250" s="3202"/>
      <c r="R250" s="3202"/>
      <c r="S250" s="3202"/>
      <c r="T250" s="3202"/>
      <c r="U250" s="3202"/>
      <c r="V250" s="3202"/>
      <c r="W250" s="3203"/>
      <c r="X250" s="3202"/>
      <c r="Y250" s="3202"/>
      <c r="Z250" s="3202"/>
      <c r="AA250" s="3202"/>
      <c r="AB250" s="3202"/>
      <c r="AC250" s="3202"/>
      <c r="AD250" s="3202"/>
      <c r="AE250" s="3202"/>
      <c r="AF250" s="3202"/>
      <c r="AG250" s="3203"/>
      <c r="AH250" s="3202"/>
      <c r="AI250" s="3202"/>
      <c r="AJ250" s="3202"/>
      <c r="AK250" s="3202"/>
      <c r="AL250" s="3202"/>
      <c r="AM250" s="3202"/>
      <c r="AN250" s="3202"/>
      <c r="AO250" s="3202"/>
      <c r="AP250" s="3202"/>
      <c r="AQ250" s="3202"/>
      <c r="AR250" s="3202"/>
      <c r="AS250" s="3202"/>
      <c r="AT250" s="3202"/>
      <c r="AU250" s="3202"/>
      <c r="AV250" s="3202"/>
      <c r="AW250" s="3202"/>
      <c r="AX250" s="3202"/>
      <c r="AY250" s="3202"/>
      <c r="AZ250" s="3201"/>
      <c r="BA250" s="3201"/>
      <c r="BB250" s="3202"/>
      <c r="BC250" s="3201"/>
      <c r="BD250" s="3201"/>
      <c r="BE250" s="3201"/>
      <c r="DG250" s="3186"/>
    </row>
    <row r="251" spans="5:111" ht="12" customHeight="1">
      <c r="E251" s="3204"/>
      <c r="F251" s="3202"/>
      <c r="G251" s="3202"/>
      <c r="H251" s="3202"/>
      <c r="I251" s="3203"/>
      <c r="J251" s="3203"/>
      <c r="K251" s="3202"/>
      <c r="L251" s="3203"/>
      <c r="M251" s="3203"/>
      <c r="N251" s="3202"/>
      <c r="O251" s="3203"/>
      <c r="P251" s="3203"/>
      <c r="Q251" s="3202"/>
      <c r="R251" s="3202"/>
      <c r="S251" s="3202"/>
      <c r="T251" s="3202"/>
      <c r="U251" s="3202"/>
      <c r="V251" s="3202"/>
      <c r="W251" s="3202"/>
      <c r="X251" s="3202"/>
      <c r="Y251" s="3202"/>
      <c r="Z251" s="3202"/>
      <c r="AA251" s="3202"/>
      <c r="AB251" s="3202"/>
      <c r="AC251" s="3202"/>
      <c r="AD251" s="3202"/>
      <c r="AE251" s="3202"/>
      <c r="AF251" s="3202"/>
      <c r="AG251" s="3202"/>
      <c r="AH251" s="3202"/>
      <c r="AI251" s="3202"/>
      <c r="AJ251" s="3202"/>
      <c r="AK251" s="3202"/>
      <c r="AL251" s="3202"/>
      <c r="AM251" s="3202"/>
      <c r="AN251" s="3202"/>
      <c r="AO251" s="3202"/>
      <c r="AP251" s="3202"/>
      <c r="AQ251" s="3202"/>
      <c r="AR251" s="3202"/>
      <c r="AS251" s="3202"/>
      <c r="AT251" s="3202"/>
      <c r="AU251" s="3202"/>
      <c r="AV251" s="3202"/>
      <c r="AW251" s="3202"/>
      <c r="AX251" s="3202"/>
      <c r="AY251" s="3202"/>
      <c r="AZ251" s="3205"/>
      <c r="BA251" s="3206"/>
      <c r="BB251" s="3202"/>
      <c r="BC251" s="3205"/>
      <c r="BD251" s="3205"/>
      <c r="BE251" s="3205"/>
      <c r="DG251" s="3186"/>
    </row>
    <row r="252" spans="5:111" ht="12" customHeight="1">
      <c r="E252" s="3204"/>
      <c r="F252" s="3202"/>
      <c r="G252" s="3202"/>
      <c r="H252" s="3202"/>
      <c r="I252" s="3203"/>
      <c r="J252" s="3203"/>
      <c r="K252" s="3202"/>
      <c r="L252" s="3203"/>
      <c r="M252" s="3203"/>
      <c r="N252" s="3202"/>
      <c r="O252" s="3203"/>
      <c r="P252" s="3203"/>
      <c r="Q252" s="3202"/>
      <c r="R252" s="3202"/>
      <c r="S252" s="3202"/>
      <c r="T252" s="3202"/>
      <c r="U252" s="3202"/>
      <c r="V252" s="3202"/>
      <c r="W252" s="3202"/>
      <c r="X252" s="3202"/>
      <c r="Y252" s="3202"/>
      <c r="Z252" s="3202"/>
      <c r="AA252" s="3202"/>
      <c r="AB252" s="3202"/>
      <c r="AC252" s="3202"/>
      <c r="AD252" s="3202"/>
      <c r="AE252" s="3202"/>
      <c r="AF252" s="3202"/>
      <c r="AG252" s="3202"/>
      <c r="AH252" s="3202"/>
      <c r="AI252" s="3202"/>
      <c r="AJ252" s="3202"/>
      <c r="AK252" s="3202"/>
      <c r="AL252" s="3202"/>
      <c r="AM252" s="3202"/>
      <c r="AN252" s="3202"/>
      <c r="AO252" s="3202"/>
      <c r="AP252" s="3202"/>
      <c r="AQ252" s="3202"/>
      <c r="AR252" s="3202"/>
      <c r="AS252" s="3202"/>
      <c r="AT252" s="3202"/>
      <c r="AU252" s="3202"/>
      <c r="AV252" s="3202"/>
      <c r="AW252" s="3202"/>
      <c r="AX252" s="3202"/>
      <c r="AY252" s="3202"/>
      <c r="AZ252" s="3201"/>
      <c r="BA252" s="3201"/>
      <c r="BB252" s="3202"/>
      <c r="BC252" s="3201"/>
      <c r="BD252" s="3201"/>
      <c r="BE252" s="3201"/>
      <c r="DG252" s="3186"/>
    </row>
    <row r="253" spans="5:111" ht="12" customHeight="1">
      <c r="E253" s="3204"/>
      <c r="F253" s="3202"/>
      <c r="G253" s="3202"/>
      <c r="H253" s="3202"/>
      <c r="I253" s="3203"/>
      <c r="J253" s="3203"/>
      <c r="K253" s="3202"/>
      <c r="L253" s="3203"/>
      <c r="M253" s="3203"/>
      <c r="N253" s="3202"/>
      <c r="O253" s="3203"/>
      <c r="P253" s="3203"/>
      <c r="Q253" s="3202"/>
      <c r="R253" s="3202"/>
      <c r="S253" s="3202"/>
      <c r="T253" s="3202"/>
      <c r="U253" s="3202"/>
      <c r="V253" s="3203"/>
      <c r="W253" s="3203"/>
      <c r="X253" s="3203"/>
      <c r="Y253" s="3203"/>
      <c r="Z253" s="3203"/>
      <c r="AA253" s="3203"/>
      <c r="AB253" s="3203"/>
      <c r="AC253" s="3203"/>
      <c r="AD253" s="3203"/>
      <c r="AE253" s="3203"/>
      <c r="AF253" s="3203"/>
      <c r="AG253" s="3203"/>
      <c r="AH253" s="3203"/>
      <c r="AI253" s="3203"/>
      <c r="AJ253" s="3203"/>
      <c r="AK253" s="3203"/>
      <c r="AL253" s="3203"/>
      <c r="AM253" s="3203"/>
      <c r="AN253" s="3203"/>
      <c r="AO253" s="3203"/>
      <c r="AP253" s="3203"/>
      <c r="AQ253" s="3202"/>
      <c r="AR253" s="3202"/>
      <c r="AS253" s="3202"/>
      <c r="AT253" s="3202"/>
      <c r="AU253" s="3202"/>
      <c r="AV253" s="3202"/>
      <c r="AW253" s="3202"/>
      <c r="AX253" s="3202"/>
      <c r="AY253" s="3202"/>
      <c r="AZ253" s="3205"/>
      <c r="BA253" s="3206"/>
      <c r="BB253" s="3202"/>
      <c r="BC253" s="3205"/>
      <c r="BD253" s="3205"/>
      <c r="BE253" s="3205"/>
      <c r="DG253" s="3186"/>
    </row>
    <row r="254" spans="5:111" ht="12" customHeight="1">
      <c r="E254" s="3204"/>
      <c r="F254" s="3202"/>
      <c r="G254" s="3202"/>
      <c r="H254" s="3202"/>
      <c r="I254" s="3203"/>
      <c r="J254" s="3203"/>
      <c r="K254" s="3202"/>
      <c r="L254" s="3203"/>
      <c r="M254" s="3203"/>
      <c r="N254" s="3202"/>
      <c r="O254" s="3203"/>
      <c r="P254" s="3203"/>
      <c r="Q254" s="3202"/>
      <c r="R254" s="3202"/>
      <c r="S254" s="3202"/>
      <c r="T254" s="3202"/>
      <c r="U254" s="3202"/>
      <c r="V254" s="3203"/>
      <c r="W254" s="3203"/>
      <c r="X254" s="3203"/>
      <c r="Y254" s="3203"/>
      <c r="Z254" s="3203"/>
      <c r="AA254" s="3203"/>
      <c r="AB254" s="3203"/>
      <c r="AC254" s="3203"/>
      <c r="AD254" s="3203"/>
      <c r="AE254" s="3203"/>
      <c r="AF254" s="3203"/>
      <c r="AG254" s="3203"/>
      <c r="AH254" s="3203"/>
      <c r="AI254" s="3203"/>
      <c r="AJ254" s="3203"/>
      <c r="AK254" s="3203"/>
      <c r="AL254" s="3203"/>
      <c r="AM254" s="3203"/>
      <c r="AN254" s="3203"/>
      <c r="AO254" s="3203"/>
      <c r="AP254" s="3203"/>
      <c r="AQ254" s="3202"/>
      <c r="AR254" s="3202"/>
      <c r="AS254" s="3202"/>
      <c r="AT254" s="3202"/>
      <c r="AU254" s="3202"/>
      <c r="AV254" s="3202"/>
      <c r="AW254" s="3202"/>
      <c r="AX254" s="3202"/>
      <c r="AY254" s="3202"/>
      <c r="AZ254" s="3201"/>
      <c r="BA254" s="3201"/>
      <c r="BB254" s="3202"/>
      <c r="BC254" s="3201"/>
      <c r="BD254" s="3201"/>
      <c r="BE254" s="3201"/>
      <c r="DG254" s="3186"/>
    </row>
    <row r="255" spans="5:111" ht="12" customHeight="1">
      <c r="E255" s="3204"/>
      <c r="I255" s="3190"/>
      <c r="J255" s="3190"/>
      <c r="L255" s="3190"/>
      <c r="M255" s="3190"/>
      <c r="O255" s="3190"/>
      <c r="P255" s="3190"/>
      <c r="AT255" s="3202"/>
      <c r="AU255" s="3202"/>
      <c r="AV255" s="3202"/>
      <c r="AW255" s="3202"/>
      <c r="AX255" s="3202"/>
      <c r="AY255" s="3202"/>
      <c r="AZ255" s="3205"/>
      <c r="BA255" s="3206"/>
      <c r="BB255" s="3202"/>
      <c r="BC255" s="3205"/>
      <c r="BD255" s="3205"/>
      <c r="BE255" s="3205"/>
      <c r="DG255" s="3186"/>
    </row>
    <row r="256" spans="5:111" ht="12" customHeight="1">
      <c r="E256" s="3204"/>
      <c r="F256" s="3202"/>
      <c r="G256" s="3202"/>
      <c r="H256" s="3202"/>
      <c r="I256" s="3203"/>
      <c r="J256" s="3203"/>
      <c r="K256" s="3202"/>
      <c r="L256" s="3203"/>
      <c r="M256" s="3203"/>
      <c r="N256" s="3202"/>
      <c r="O256" s="3203"/>
      <c r="P256" s="3203"/>
      <c r="Q256" s="3202"/>
      <c r="R256" s="3202"/>
      <c r="S256" s="3202"/>
      <c r="T256" s="3202"/>
      <c r="U256" s="3202"/>
      <c r="V256" s="3202"/>
      <c r="W256" s="3203"/>
      <c r="X256" s="3202"/>
      <c r="Y256" s="3202"/>
      <c r="Z256" s="3202"/>
      <c r="AA256" s="3202"/>
      <c r="AB256" s="3202"/>
      <c r="AC256" s="3202"/>
      <c r="AD256" s="3202"/>
      <c r="AE256" s="3202"/>
      <c r="AF256" s="3202"/>
      <c r="AG256" s="3203"/>
      <c r="AH256" s="3202"/>
      <c r="AI256" s="3202"/>
      <c r="AJ256" s="3202"/>
      <c r="AK256" s="3202"/>
      <c r="AL256" s="3202"/>
      <c r="AM256" s="3202"/>
      <c r="AN256" s="3202"/>
      <c r="AO256" s="3202"/>
      <c r="AP256" s="3202"/>
      <c r="AQ256" s="3202"/>
      <c r="AR256" s="3202"/>
      <c r="AS256" s="3202"/>
      <c r="AT256" s="3202"/>
      <c r="AU256" s="3202"/>
      <c r="AV256" s="3202"/>
      <c r="AW256" s="3202"/>
      <c r="AX256" s="3202"/>
      <c r="AY256" s="3202"/>
      <c r="DG256" s="3186"/>
    </row>
    <row r="257" spans="4:112">
      <c r="E257" s="3204"/>
      <c r="F257" s="3202"/>
      <c r="G257" s="3202"/>
      <c r="H257" s="3202"/>
      <c r="I257" s="3203"/>
      <c r="J257" s="3203"/>
      <c r="K257" s="3202"/>
      <c r="L257" s="3203"/>
      <c r="M257" s="3203"/>
      <c r="N257" s="3202"/>
      <c r="O257" s="3203"/>
      <c r="P257" s="3203"/>
      <c r="Q257" s="3202"/>
      <c r="R257" s="3202"/>
      <c r="S257" s="3202"/>
      <c r="T257" s="3202"/>
      <c r="U257" s="3202"/>
      <c r="V257" s="3202"/>
      <c r="W257" s="3202"/>
      <c r="X257" s="3202"/>
      <c r="Y257" s="3202"/>
      <c r="Z257" s="3202"/>
      <c r="AA257" s="3202"/>
      <c r="AB257" s="3202"/>
      <c r="AC257" s="3202"/>
      <c r="AD257" s="3202"/>
      <c r="AE257" s="3202"/>
      <c r="AF257" s="3202"/>
      <c r="AG257" s="3202"/>
      <c r="AH257" s="3202"/>
      <c r="AI257" s="3202"/>
      <c r="AJ257" s="3202"/>
      <c r="AK257" s="3202"/>
      <c r="AL257" s="3202"/>
      <c r="AM257" s="3202"/>
      <c r="AN257" s="3202"/>
      <c r="AO257" s="3202"/>
      <c r="AP257" s="3202"/>
      <c r="AQ257" s="3202"/>
      <c r="AR257" s="3202"/>
      <c r="AS257" s="3202"/>
      <c r="AT257" s="3202"/>
      <c r="AU257" s="3202"/>
      <c r="AV257" s="3202"/>
      <c r="AW257" s="3202"/>
      <c r="AX257" s="3202"/>
      <c r="AY257" s="3202"/>
      <c r="DG257" s="3186"/>
    </row>
    <row r="258" spans="4:112">
      <c r="E258" s="3204"/>
      <c r="F258" s="3202"/>
      <c r="G258" s="3202"/>
      <c r="H258" s="3202"/>
      <c r="I258" s="3203"/>
      <c r="J258" s="3203"/>
      <c r="K258" s="3202"/>
      <c r="L258" s="3203"/>
      <c r="M258" s="3203"/>
      <c r="N258" s="3202"/>
      <c r="O258" s="3203"/>
      <c r="P258" s="3203"/>
      <c r="Q258" s="3202"/>
      <c r="R258" s="3202"/>
      <c r="S258" s="3202"/>
      <c r="T258" s="3202"/>
      <c r="U258" s="3202"/>
      <c r="V258" s="3202"/>
      <c r="W258" s="3202"/>
      <c r="X258" s="3202"/>
      <c r="Y258" s="3202"/>
      <c r="Z258" s="3202"/>
      <c r="AA258" s="3202"/>
      <c r="AB258" s="3202"/>
      <c r="AC258" s="3202"/>
      <c r="AD258" s="3202"/>
      <c r="AE258" s="3202"/>
      <c r="AF258" s="3202"/>
      <c r="AG258" s="3202"/>
      <c r="AH258" s="3202"/>
      <c r="AI258" s="3202"/>
      <c r="AJ258" s="3202"/>
      <c r="AK258" s="3202"/>
      <c r="AL258" s="3202"/>
      <c r="AM258" s="3202"/>
      <c r="AN258" s="3202"/>
      <c r="AO258" s="3202"/>
      <c r="AP258" s="3202"/>
      <c r="AQ258" s="3202"/>
      <c r="AR258" s="3202"/>
      <c r="AS258" s="3202"/>
      <c r="AT258" s="3202"/>
      <c r="AU258" s="3202"/>
      <c r="AV258" s="3202"/>
      <c r="AW258" s="3202"/>
      <c r="AX258" s="3202"/>
      <c r="AY258" s="3202"/>
      <c r="DG258" s="3186"/>
    </row>
    <row r="259" spans="4:112">
      <c r="E259" s="3204"/>
      <c r="F259" s="3202"/>
      <c r="G259" s="3202"/>
      <c r="H259" s="3202"/>
      <c r="I259" s="3203"/>
      <c r="J259" s="3203"/>
      <c r="K259" s="3202"/>
      <c r="L259" s="3203"/>
      <c r="M259" s="3203"/>
      <c r="N259" s="3202"/>
      <c r="O259" s="3203"/>
      <c r="P259" s="3203"/>
      <c r="Q259" s="3202"/>
      <c r="R259" s="3202"/>
      <c r="S259" s="3202"/>
      <c r="T259" s="3202"/>
      <c r="U259" s="3202"/>
      <c r="V259" s="3203"/>
      <c r="W259" s="3203"/>
      <c r="X259" s="3203"/>
      <c r="Y259" s="3203"/>
      <c r="Z259" s="3203"/>
      <c r="AA259" s="3203"/>
      <c r="AB259" s="3203"/>
      <c r="AC259" s="3203"/>
      <c r="AD259" s="3203"/>
      <c r="AE259" s="3203"/>
      <c r="AF259" s="3203"/>
      <c r="AG259" s="3203"/>
      <c r="AH259" s="3203"/>
      <c r="AI259" s="3203"/>
      <c r="AJ259" s="3203"/>
      <c r="AK259" s="3203"/>
      <c r="AL259" s="3203"/>
      <c r="AM259" s="3203"/>
      <c r="AN259" s="3203"/>
      <c r="AO259" s="3203"/>
      <c r="AP259" s="3203"/>
      <c r="AQ259" s="3202"/>
      <c r="AR259" s="3202"/>
      <c r="AS259" s="3202"/>
      <c r="AT259" s="3202"/>
      <c r="AU259" s="3202"/>
      <c r="AV259" s="3202"/>
      <c r="AW259" s="3202"/>
      <c r="AX259" s="3202"/>
      <c r="AY259" s="3202"/>
      <c r="DG259" s="3186"/>
    </row>
    <row r="260" spans="4:112">
      <c r="E260" s="3204"/>
      <c r="F260" s="3202"/>
      <c r="G260" s="3202"/>
      <c r="H260" s="3202"/>
      <c r="I260" s="3203"/>
      <c r="J260" s="3203"/>
      <c r="K260" s="3202"/>
      <c r="L260" s="3203"/>
      <c r="M260" s="3203"/>
      <c r="N260" s="3202"/>
      <c r="O260" s="3203"/>
      <c r="P260" s="3203"/>
      <c r="Q260" s="3202"/>
      <c r="R260" s="3202"/>
      <c r="S260" s="3202"/>
      <c r="T260" s="3202"/>
      <c r="U260" s="3202"/>
      <c r="V260" s="3203"/>
      <c r="W260" s="3203"/>
      <c r="X260" s="3203"/>
      <c r="Y260" s="3203"/>
      <c r="Z260" s="3203"/>
      <c r="AA260" s="3203"/>
      <c r="AB260" s="3203"/>
      <c r="AC260" s="3203"/>
      <c r="AD260" s="3203"/>
      <c r="AE260" s="3203"/>
      <c r="AF260" s="3203"/>
      <c r="AG260" s="3203"/>
      <c r="AH260" s="3203"/>
      <c r="AI260" s="3203"/>
      <c r="AJ260" s="3203"/>
      <c r="AK260" s="3203"/>
      <c r="AL260" s="3203"/>
      <c r="AM260" s="3203"/>
      <c r="AN260" s="3203"/>
      <c r="AO260" s="3203"/>
      <c r="AP260" s="3203"/>
      <c r="AQ260" s="3202"/>
      <c r="AR260" s="3202"/>
      <c r="AS260" s="3202"/>
      <c r="AT260" s="3202"/>
      <c r="AU260" s="3202"/>
      <c r="AV260" s="3202"/>
      <c r="AW260" s="3202"/>
      <c r="AX260" s="3202"/>
      <c r="AY260" s="3202"/>
      <c r="DG260" s="3186"/>
    </row>
    <row r="261" spans="4:112">
      <c r="AQ261" s="3201"/>
      <c r="AR261" s="3201"/>
      <c r="AS261" s="3201"/>
      <c r="AT261" s="3202"/>
      <c r="AU261" s="3202"/>
      <c r="AV261" s="3202"/>
      <c r="AW261" s="3202"/>
      <c r="AX261" s="3202"/>
      <c r="AY261" s="3202"/>
      <c r="AZ261" s="3201"/>
      <c r="BA261" s="3201"/>
      <c r="BB261" s="3202"/>
      <c r="DG261" s="3186"/>
    </row>
    <row r="262" spans="4:112">
      <c r="E262" s="3204"/>
      <c r="F262" s="3202"/>
      <c r="G262" s="3202"/>
      <c r="H262" s="3202"/>
      <c r="I262" s="3202"/>
      <c r="J262" s="3202"/>
      <c r="K262" s="3202"/>
      <c r="L262" s="3202"/>
      <c r="M262" s="3202"/>
      <c r="N262" s="3202"/>
      <c r="O262" s="3202"/>
      <c r="P262" s="3202"/>
      <c r="Q262" s="3202"/>
      <c r="R262" s="3202"/>
      <c r="S262" s="3202"/>
      <c r="T262" s="3202"/>
      <c r="U262" s="3202"/>
      <c r="V262" s="3202"/>
      <c r="W262" s="3202"/>
      <c r="X262" s="3202"/>
      <c r="Y262" s="3202"/>
      <c r="Z262" s="3202"/>
      <c r="AA262" s="3202"/>
      <c r="AB262" s="3202"/>
      <c r="AC262" s="3202"/>
      <c r="AD262" s="3202"/>
      <c r="AE262" s="3202"/>
      <c r="AF262" s="3202"/>
      <c r="AG262" s="3202"/>
      <c r="AH262" s="3202"/>
      <c r="AI262" s="3202"/>
      <c r="AJ262" s="3202"/>
      <c r="AK262" s="3202"/>
      <c r="AL262" s="3202"/>
      <c r="AM262" s="3202"/>
      <c r="AN262" s="3202"/>
      <c r="AO262" s="3202"/>
      <c r="AP262" s="3202"/>
      <c r="AQ262" s="3202"/>
      <c r="AR262" s="3203"/>
      <c r="AS262" s="3203"/>
      <c r="AT262" s="3202"/>
      <c r="AU262" s="3202"/>
      <c r="AV262" s="3202"/>
      <c r="AW262" s="3202"/>
      <c r="AX262" s="3202"/>
      <c r="AY262" s="3202"/>
      <c r="AZ262" s="3205"/>
      <c r="BA262" s="3205"/>
      <c r="BB262" s="3202"/>
      <c r="DG262" s="3186"/>
    </row>
    <row r="263" spans="4:112">
      <c r="E263" s="3204"/>
      <c r="F263" s="3202"/>
      <c r="G263" s="3202"/>
      <c r="H263" s="3202"/>
      <c r="I263" s="3202"/>
      <c r="J263" s="3202"/>
      <c r="K263" s="3202"/>
      <c r="L263" s="3202"/>
      <c r="M263" s="3202"/>
      <c r="N263" s="3202"/>
      <c r="O263" s="3202"/>
      <c r="P263" s="3202"/>
      <c r="Q263" s="3202"/>
      <c r="R263" s="3202"/>
      <c r="S263" s="3202"/>
      <c r="T263" s="3202"/>
      <c r="U263" s="3202"/>
      <c r="V263" s="3202"/>
      <c r="W263" s="3202"/>
      <c r="X263" s="3202"/>
      <c r="Y263" s="3202"/>
      <c r="Z263" s="3202"/>
      <c r="AA263" s="3202"/>
      <c r="AB263" s="3202"/>
      <c r="AC263" s="3202"/>
      <c r="AD263" s="3202"/>
      <c r="AE263" s="3202"/>
      <c r="AF263" s="3202"/>
      <c r="AG263" s="3202"/>
      <c r="AH263" s="3202"/>
      <c r="AI263" s="3202"/>
      <c r="AJ263" s="3202"/>
      <c r="AK263" s="3202"/>
      <c r="AL263" s="3202"/>
      <c r="AM263" s="3202"/>
      <c r="AN263" s="3202"/>
      <c r="AO263" s="3202"/>
      <c r="AP263" s="3202"/>
      <c r="AQ263" s="3202"/>
      <c r="AR263" s="3202"/>
      <c r="AS263" s="3202"/>
      <c r="AT263" s="3202"/>
      <c r="AU263" s="3202"/>
      <c r="AV263" s="3202"/>
      <c r="AW263" s="3202"/>
      <c r="AX263" s="3202"/>
      <c r="AY263" s="3202"/>
      <c r="BB263" s="3202"/>
      <c r="DG263" s="3186"/>
    </row>
    <row r="264" spans="4:112">
      <c r="E264" s="3204"/>
      <c r="F264" s="3202"/>
      <c r="G264" s="3202"/>
      <c r="H264" s="3202"/>
      <c r="I264" s="3202"/>
      <c r="J264" s="3202"/>
      <c r="K264" s="3202"/>
      <c r="L264" s="3202"/>
      <c r="M264" s="3202"/>
      <c r="N264" s="3202"/>
      <c r="O264" s="3202"/>
      <c r="P264" s="3202"/>
      <c r="Q264" s="3202"/>
      <c r="R264" s="3202"/>
      <c r="S264" s="3202"/>
      <c r="T264" s="3202"/>
      <c r="U264" s="3202"/>
      <c r="V264" s="3202"/>
      <c r="W264" s="3202"/>
      <c r="X264" s="3202"/>
      <c r="Y264" s="3202"/>
      <c r="Z264" s="3202"/>
      <c r="AA264" s="3202"/>
      <c r="AB264" s="3202"/>
      <c r="AC264" s="3202"/>
      <c r="AD264" s="3202"/>
      <c r="AE264" s="3202"/>
      <c r="AF264" s="3202"/>
      <c r="AG264" s="3202"/>
      <c r="AH264" s="3202"/>
      <c r="AI264" s="3202"/>
      <c r="AJ264" s="3202"/>
      <c r="AK264" s="3202"/>
      <c r="AL264" s="3202"/>
      <c r="AM264" s="3202"/>
      <c r="AN264" s="3202"/>
      <c r="AO264" s="3202"/>
      <c r="AP264" s="3202"/>
      <c r="AQ264" s="3202"/>
      <c r="AR264" s="3202"/>
      <c r="AS264" s="3202"/>
      <c r="AT264" s="3202"/>
      <c r="AU264" s="3202"/>
      <c r="AV264" s="3202"/>
      <c r="AW264" s="3202"/>
      <c r="AX264" s="3202"/>
      <c r="AY264" s="3202"/>
      <c r="BB264" s="3202"/>
      <c r="DG264" s="3186"/>
    </row>
    <row r="265" spans="4:112">
      <c r="DG265" s="3186"/>
    </row>
    <row r="266" spans="4:112">
      <c r="E266" s="3191"/>
      <c r="F266" s="3192"/>
      <c r="G266" s="3192"/>
      <c r="H266" s="3192"/>
      <c r="I266" s="3192"/>
      <c r="J266" s="3192"/>
      <c r="K266" s="3192"/>
      <c r="L266" s="3192"/>
      <c r="M266" s="3192"/>
      <c r="N266" s="3192"/>
      <c r="O266" s="3192"/>
      <c r="P266" s="3192"/>
      <c r="Q266" s="3192"/>
      <c r="R266" s="3192"/>
      <c r="S266" s="3192"/>
      <c r="T266" s="3192"/>
      <c r="U266" s="3192"/>
      <c r="V266" s="3192"/>
      <c r="X266" s="3192"/>
      <c r="Y266" s="3192"/>
      <c r="Z266" s="3192"/>
      <c r="AA266" s="3192"/>
      <c r="AB266" s="3192"/>
      <c r="AC266" s="3192"/>
      <c r="AD266" s="3192"/>
      <c r="AE266" s="3192"/>
      <c r="AH266" s="3192"/>
      <c r="AI266" s="3192"/>
      <c r="AJ266" s="3192"/>
      <c r="AK266" s="3192"/>
      <c r="AL266" s="3192"/>
      <c r="AM266" s="3192"/>
      <c r="AN266" s="3192"/>
      <c r="AO266" s="3192"/>
      <c r="BB266" s="3192"/>
      <c r="DG266" s="3186"/>
    </row>
    <row r="267" spans="4:112">
      <c r="D267" s="3207"/>
      <c r="E267" s="3204"/>
      <c r="F267" s="3202"/>
      <c r="G267" s="3202"/>
      <c r="H267" s="3202"/>
      <c r="I267" s="3202"/>
      <c r="J267" s="3202"/>
      <c r="K267" s="3202"/>
      <c r="L267" s="3202"/>
      <c r="M267" s="3202"/>
      <c r="N267" s="3202"/>
      <c r="O267" s="3202"/>
      <c r="P267" s="3202"/>
      <c r="Q267" s="3202"/>
      <c r="R267" s="3202"/>
      <c r="S267" s="3202"/>
      <c r="T267" s="3201"/>
      <c r="U267" s="3201"/>
      <c r="V267" s="3201"/>
      <c r="W267" s="3201"/>
      <c r="X267" s="3201"/>
      <c r="Y267" s="3201"/>
      <c r="Z267" s="3201"/>
      <c r="AA267" s="3201"/>
      <c r="AB267" s="3201"/>
      <c r="AC267" s="3201"/>
      <c r="AD267" s="3201"/>
      <c r="AE267" s="3201"/>
      <c r="AF267" s="3201"/>
      <c r="AG267" s="3201"/>
      <c r="AH267" s="3201"/>
      <c r="AI267" s="3201"/>
      <c r="AJ267" s="3201"/>
      <c r="AK267" s="3201"/>
      <c r="AL267" s="3201"/>
      <c r="AM267" s="3201"/>
      <c r="AN267" s="3201"/>
      <c r="AO267" s="3201"/>
      <c r="AP267" s="3201"/>
      <c r="AQ267" s="3201"/>
      <c r="AR267" s="3201"/>
      <c r="AS267" s="3201"/>
      <c r="AT267" s="3201"/>
      <c r="AU267" s="3201"/>
      <c r="AV267" s="3201"/>
      <c r="AW267" s="3201"/>
      <c r="AX267" s="3201"/>
      <c r="AY267" s="3201"/>
      <c r="AZ267" s="3202"/>
      <c r="BA267" s="3202"/>
      <c r="BB267" s="3202"/>
      <c r="DH267" s="3186"/>
    </row>
    <row r="268" spans="4:112">
      <c r="E268" s="3204"/>
      <c r="F268" s="3202"/>
      <c r="AT268" s="3202"/>
      <c r="AU268" s="3202"/>
      <c r="AV268" s="3202"/>
      <c r="AW268" s="3202"/>
      <c r="AX268" s="3202"/>
      <c r="AY268" s="3202"/>
      <c r="AZ268" s="3193"/>
      <c r="BB268" s="3202"/>
      <c r="DG268" s="3186"/>
    </row>
    <row r="269" spans="4:112">
      <c r="E269" s="3204"/>
      <c r="F269" s="3202"/>
      <c r="G269" s="3202"/>
      <c r="H269" s="3202"/>
      <c r="I269" s="3203"/>
      <c r="J269" s="3203"/>
      <c r="K269" s="3202"/>
      <c r="L269" s="3203"/>
      <c r="M269" s="3203"/>
      <c r="N269" s="3202"/>
      <c r="O269" s="3203"/>
      <c r="P269" s="3203"/>
      <c r="Q269" s="3202"/>
      <c r="R269" s="3202"/>
      <c r="S269" s="3202"/>
      <c r="T269" s="3202"/>
      <c r="U269" s="3202"/>
      <c r="V269" s="3202"/>
      <c r="W269" s="3203"/>
      <c r="X269" s="3202"/>
      <c r="Y269" s="3202"/>
      <c r="Z269" s="3202"/>
      <c r="AA269" s="3202"/>
      <c r="AB269" s="3202"/>
      <c r="AC269" s="3202"/>
      <c r="AD269" s="3202"/>
      <c r="AE269" s="3202"/>
      <c r="AF269" s="3202"/>
      <c r="AG269" s="3203"/>
      <c r="AH269" s="3202"/>
      <c r="AI269" s="3202"/>
      <c r="AJ269" s="3202"/>
      <c r="AK269" s="3202"/>
      <c r="AL269" s="3202"/>
      <c r="AM269" s="3202"/>
      <c r="AN269" s="3202"/>
      <c r="AO269" s="3202"/>
      <c r="AP269" s="3202"/>
      <c r="AQ269" s="3202"/>
      <c r="AR269" s="3202"/>
      <c r="AS269" s="3202"/>
      <c r="AT269" s="3202"/>
      <c r="AU269" s="3202"/>
      <c r="AV269" s="3202"/>
      <c r="AW269" s="3202"/>
      <c r="AX269" s="3202"/>
      <c r="AY269" s="3202"/>
      <c r="AZ269" s="3202"/>
      <c r="BA269" s="3202"/>
      <c r="BB269" s="3202"/>
      <c r="DD269" s="3187"/>
      <c r="DG269" s="3186"/>
    </row>
    <row r="270" spans="4:112" ht="12" customHeight="1">
      <c r="E270" s="3204"/>
      <c r="F270" s="3202"/>
      <c r="G270" s="3202"/>
      <c r="H270" s="3202"/>
      <c r="I270" s="3203"/>
      <c r="J270" s="3203"/>
      <c r="K270" s="3202"/>
      <c r="L270" s="3203"/>
      <c r="M270" s="3203"/>
      <c r="N270" s="3202"/>
      <c r="O270" s="3203"/>
      <c r="P270" s="3203"/>
      <c r="Q270" s="3202"/>
      <c r="R270" s="3202"/>
      <c r="S270" s="3202"/>
      <c r="T270" s="3202"/>
      <c r="U270" s="3202"/>
      <c r="V270" s="3202"/>
      <c r="W270" s="3202"/>
      <c r="X270" s="3202"/>
      <c r="Y270" s="3202"/>
      <c r="Z270" s="3202"/>
      <c r="AA270" s="3202"/>
      <c r="AB270" s="3202"/>
      <c r="AC270" s="3202"/>
      <c r="AD270" s="3202"/>
      <c r="AE270" s="3202"/>
      <c r="AF270" s="3202"/>
      <c r="AG270" s="3202"/>
      <c r="AH270" s="3202"/>
      <c r="AI270" s="3202"/>
      <c r="AJ270" s="3202"/>
      <c r="AK270" s="3202"/>
      <c r="AL270" s="3202"/>
      <c r="AM270" s="3202"/>
      <c r="AN270" s="3202"/>
      <c r="AO270" s="3202"/>
      <c r="AP270" s="3202"/>
      <c r="AQ270" s="3202"/>
      <c r="AR270" s="3202"/>
      <c r="AS270" s="3202"/>
      <c r="AT270" s="3202"/>
      <c r="AU270" s="3202"/>
      <c r="AV270" s="3202"/>
      <c r="AW270" s="3202"/>
      <c r="AX270" s="3202"/>
      <c r="AY270" s="3202"/>
      <c r="AZ270" s="3205"/>
      <c r="BA270" s="3205"/>
      <c r="BB270" s="3202"/>
      <c r="DD270" s="3187"/>
      <c r="DG270" s="3186"/>
    </row>
    <row r="271" spans="4:112">
      <c r="E271" s="3204"/>
      <c r="F271" s="3202"/>
      <c r="G271" s="3202"/>
      <c r="H271" s="3202"/>
      <c r="I271" s="3203"/>
      <c r="J271" s="3203"/>
      <c r="K271" s="3202"/>
      <c r="L271" s="3203"/>
      <c r="M271" s="3203"/>
      <c r="N271" s="3202"/>
      <c r="O271" s="3203"/>
      <c r="P271" s="3203"/>
      <c r="Q271" s="3202"/>
      <c r="R271" s="3202"/>
      <c r="S271" s="3202"/>
      <c r="T271" s="3202"/>
      <c r="U271" s="3202"/>
      <c r="V271" s="3202"/>
      <c r="W271" s="3202"/>
      <c r="X271" s="3202"/>
      <c r="Y271" s="3202"/>
      <c r="Z271" s="3202"/>
      <c r="AA271" s="3202"/>
      <c r="AB271" s="3202"/>
      <c r="AC271" s="3202"/>
      <c r="AD271" s="3202"/>
      <c r="AE271" s="3202"/>
      <c r="AF271" s="3202"/>
      <c r="AG271" s="3202"/>
      <c r="AH271" s="3202"/>
      <c r="AI271" s="3202"/>
      <c r="AJ271" s="3202"/>
      <c r="AK271" s="3202"/>
      <c r="AL271" s="3202"/>
      <c r="AM271" s="3202"/>
      <c r="AN271" s="3202"/>
      <c r="AO271" s="3202"/>
      <c r="AP271" s="3202"/>
      <c r="AQ271" s="3202"/>
      <c r="AR271" s="3202"/>
      <c r="AS271" s="3202"/>
      <c r="AT271" s="3202"/>
      <c r="AU271" s="3202"/>
      <c r="AV271" s="3202"/>
      <c r="AW271" s="3202"/>
      <c r="AX271" s="3202"/>
      <c r="AY271" s="3202"/>
      <c r="BB271" s="3202"/>
      <c r="DD271" s="3187"/>
      <c r="DG271" s="3186"/>
    </row>
    <row r="272" spans="4:112">
      <c r="E272" s="3204"/>
      <c r="F272" s="3202"/>
      <c r="G272" s="3202"/>
      <c r="H272" s="3202"/>
      <c r="I272" s="3203"/>
      <c r="J272" s="3203"/>
      <c r="K272" s="3202"/>
      <c r="L272" s="3203"/>
      <c r="M272" s="3203"/>
      <c r="N272" s="3202"/>
      <c r="O272" s="3203"/>
      <c r="P272" s="3203"/>
      <c r="Q272" s="3202"/>
      <c r="R272" s="3202"/>
      <c r="S272" s="3202"/>
      <c r="T272" s="3202"/>
      <c r="U272" s="3202"/>
      <c r="V272" s="3203"/>
      <c r="W272" s="3203"/>
      <c r="X272" s="3203"/>
      <c r="Y272" s="3203"/>
      <c r="Z272" s="3203"/>
      <c r="AA272" s="3203"/>
      <c r="AB272" s="3203"/>
      <c r="AC272" s="3203"/>
      <c r="AD272" s="3203"/>
      <c r="AE272" s="3203"/>
      <c r="AF272" s="3203"/>
      <c r="AG272" s="3203"/>
      <c r="AH272" s="3203"/>
      <c r="AI272" s="3203"/>
      <c r="AJ272" s="3203"/>
      <c r="AK272" s="3203"/>
      <c r="AL272" s="3203"/>
      <c r="AM272" s="3203"/>
      <c r="AN272" s="3203"/>
      <c r="AO272" s="3203"/>
      <c r="AP272" s="3203"/>
      <c r="AQ272" s="3202"/>
      <c r="AR272" s="3202"/>
      <c r="AS272" s="3202"/>
      <c r="AT272" s="3202"/>
      <c r="AU272" s="3202"/>
      <c r="AV272" s="3202"/>
      <c r="AW272" s="3202"/>
      <c r="AX272" s="3202"/>
      <c r="AY272" s="3202"/>
      <c r="AZ272" s="3202"/>
      <c r="BA272" s="3202"/>
      <c r="BB272" s="3202"/>
      <c r="DD272" s="3187"/>
      <c r="DG272" s="3186"/>
    </row>
    <row r="273" spans="5:111">
      <c r="E273" s="3204"/>
      <c r="F273" s="3202"/>
      <c r="G273" s="3202"/>
      <c r="H273" s="3202"/>
      <c r="I273" s="3203"/>
      <c r="J273" s="3203"/>
      <c r="K273" s="3202"/>
      <c r="L273" s="3203"/>
      <c r="M273" s="3203"/>
      <c r="N273" s="3202"/>
      <c r="O273" s="3203"/>
      <c r="P273" s="3203"/>
      <c r="Q273" s="3202"/>
      <c r="R273" s="3202"/>
      <c r="S273" s="3202"/>
      <c r="T273" s="3202"/>
      <c r="U273" s="3202"/>
      <c r="V273" s="3203"/>
      <c r="W273" s="3203"/>
      <c r="X273" s="3203"/>
      <c r="Y273" s="3203"/>
      <c r="Z273" s="3203"/>
      <c r="AA273" s="3203"/>
      <c r="AB273" s="3203"/>
      <c r="AC273" s="3203"/>
      <c r="AD273" s="3203"/>
      <c r="AE273" s="3203"/>
      <c r="AF273" s="3203"/>
      <c r="AG273" s="3203"/>
      <c r="AH273" s="3203"/>
      <c r="AI273" s="3203"/>
      <c r="AJ273" s="3203"/>
      <c r="AK273" s="3203"/>
      <c r="AL273" s="3203"/>
      <c r="AM273" s="3203"/>
      <c r="AN273" s="3203"/>
      <c r="AO273" s="3203"/>
      <c r="AP273" s="3203"/>
      <c r="AQ273" s="3202"/>
      <c r="AR273" s="3202"/>
      <c r="AS273" s="3202"/>
      <c r="AT273" s="3202"/>
      <c r="AU273" s="3202"/>
      <c r="AV273" s="3202"/>
      <c r="AW273" s="3202"/>
      <c r="AX273" s="3202"/>
      <c r="AY273" s="3202"/>
      <c r="AZ273" s="3203"/>
      <c r="BA273" s="3203"/>
      <c r="BB273" s="3202"/>
      <c r="DD273" s="3187"/>
      <c r="DG273" s="3186"/>
    </row>
    <row r="274" spans="5:111">
      <c r="E274" s="3204"/>
      <c r="I274" s="3190"/>
      <c r="J274" s="3190"/>
      <c r="L274" s="3190"/>
      <c r="M274" s="3190"/>
      <c r="O274" s="3190"/>
      <c r="P274" s="3190"/>
      <c r="AT274" s="3202"/>
      <c r="AU274" s="3202"/>
      <c r="AV274" s="3202"/>
      <c r="AW274" s="3202"/>
      <c r="AX274" s="3202"/>
      <c r="AY274" s="3202"/>
      <c r="AZ274" s="3202"/>
      <c r="BA274" s="3202"/>
      <c r="BB274" s="3202"/>
      <c r="DG274" s="3186"/>
    </row>
    <row r="275" spans="5:111">
      <c r="E275" s="3204"/>
      <c r="F275" s="3202"/>
      <c r="G275" s="3202"/>
      <c r="H275" s="3202"/>
      <c r="I275" s="3203"/>
      <c r="J275" s="3203"/>
      <c r="K275" s="3202"/>
      <c r="L275" s="3203"/>
      <c r="M275" s="3203"/>
      <c r="N275" s="3202"/>
      <c r="O275" s="3203"/>
      <c r="P275" s="3203"/>
      <c r="Q275" s="3202"/>
      <c r="R275" s="3202"/>
      <c r="S275" s="3202"/>
      <c r="T275" s="3202"/>
      <c r="U275" s="3202"/>
      <c r="V275" s="3202"/>
      <c r="W275" s="3203"/>
      <c r="X275" s="3202"/>
      <c r="Y275" s="3202"/>
      <c r="Z275" s="3202"/>
      <c r="AA275" s="3202"/>
      <c r="AB275" s="3202"/>
      <c r="AC275" s="3202"/>
      <c r="AD275" s="3202"/>
      <c r="AE275" s="3202"/>
      <c r="AF275" s="3202"/>
      <c r="AG275" s="3203"/>
      <c r="AH275" s="3202"/>
      <c r="AI275" s="3202"/>
      <c r="AJ275" s="3202"/>
      <c r="AK275" s="3202"/>
      <c r="AL275" s="3202"/>
      <c r="AM275" s="3202"/>
      <c r="AN275" s="3202"/>
      <c r="AO275" s="3202"/>
      <c r="AP275" s="3202"/>
      <c r="AQ275" s="3202"/>
      <c r="AR275" s="3202"/>
      <c r="AS275" s="3202"/>
      <c r="AT275" s="3202"/>
      <c r="AU275" s="3202"/>
      <c r="AV275" s="3202"/>
      <c r="AW275" s="3202"/>
      <c r="AX275" s="3202"/>
      <c r="AY275" s="3202"/>
      <c r="AZ275" s="3203"/>
      <c r="BA275" s="3203"/>
      <c r="BB275" s="3202"/>
      <c r="DG275" s="3186"/>
    </row>
    <row r="276" spans="5:111">
      <c r="E276" s="3204"/>
      <c r="F276" s="3202"/>
      <c r="G276" s="3202"/>
      <c r="H276" s="3202"/>
      <c r="I276" s="3203"/>
      <c r="J276" s="3203"/>
      <c r="K276" s="3202"/>
      <c r="L276" s="3203"/>
      <c r="M276" s="3203"/>
      <c r="N276" s="3202"/>
      <c r="O276" s="3203"/>
      <c r="P276" s="3203"/>
      <c r="Q276" s="3202"/>
      <c r="R276" s="3202"/>
      <c r="S276" s="3202"/>
      <c r="T276" s="3202"/>
      <c r="U276" s="3202"/>
      <c r="V276" s="3202"/>
      <c r="W276" s="3202"/>
      <c r="X276" s="3202"/>
      <c r="Y276" s="3202"/>
      <c r="Z276" s="3202"/>
      <c r="AA276" s="3202"/>
      <c r="AB276" s="3202"/>
      <c r="AC276" s="3202"/>
      <c r="AD276" s="3202"/>
      <c r="AE276" s="3202"/>
      <c r="AF276" s="3202"/>
      <c r="AG276" s="3202"/>
      <c r="AH276" s="3202"/>
      <c r="AI276" s="3202"/>
      <c r="AJ276" s="3202"/>
      <c r="AK276" s="3202"/>
      <c r="AL276" s="3202"/>
      <c r="AM276" s="3202"/>
      <c r="AN276" s="3202"/>
      <c r="AO276" s="3202"/>
      <c r="AP276" s="3202"/>
      <c r="AQ276" s="3202"/>
      <c r="AR276" s="3202"/>
      <c r="AS276" s="3202"/>
      <c r="AT276" s="3202"/>
      <c r="AU276" s="3202"/>
      <c r="AV276" s="3202"/>
      <c r="AW276" s="3202"/>
      <c r="AX276" s="3202"/>
      <c r="AY276" s="3202"/>
      <c r="AZ276" s="3202"/>
      <c r="BA276" s="3202"/>
      <c r="BB276" s="3202"/>
      <c r="DG276" s="3186"/>
    </row>
    <row r="277" spans="5:111">
      <c r="E277" s="3204"/>
      <c r="F277" s="3202"/>
      <c r="G277" s="3202"/>
      <c r="H277" s="3202"/>
      <c r="I277" s="3203"/>
      <c r="J277" s="3203"/>
      <c r="K277" s="3202"/>
      <c r="L277" s="3203"/>
      <c r="M277" s="3203"/>
      <c r="N277" s="3202"/>
      <c r="O277" s="3203"/>
      <c r="P277" s="3203"/>
      <c r="Q277" s="3202"/>
      <c r="R277" s="3202"/>
      <c r="S277" s="3202"/>
      <c r="T277" s="3202"/>
      <c r="U277" s="3202"/>
      <c r="V277" s="3202"/>
      <c r="W277" s="3202"/>
      <c r="X277" s="3202"/>
      <c r="Y277" s="3202"/>
      <c r="Z277" s="3202"/>
      <c r="AA277" s="3202"/>
      <c r="AB277" s="3202"/>
      <c r="AC277" s="3202"/>
      <c r="AD277" s="3202"/>
      <c r="AE277" s="3202"/>
      <c r="AF277" s="3202"/>
      <c r="AG277" s="3202"/>
      <c r="AH277" s="3202"/>
      <c r="AI277" s="3202"/>
      <c r="AJ277" s="3202"/>
      <c r="AK277" s="3202"/>
      <c r="AL277" s="3202"/>
      <c r="AM277" s="3202"/>
      <c r="AN277" s="3202"/>
      <c r="AO277" s="3202"/>
      <c r="AP277" s="3202"/>
      <c r="AQ277" s="3202"/>
      <c r="AR277" s="3202"/>
      <c r="AS277" s="3202"/>
      <c r="AT277" s="3202"/>
      <c r="AU277" s="3202"/>
      <c r="AV277" s="3202"/>
      <c r="AW277" s="3202"/>
      <c r="AX277" s="3202"/>
      <c r="AY277" s="3202"/>
      <c r="AZ277" s="3203"/>
      <c r="BA277" s="3203"/>
      <c r="BB277" s="3202"/>
      <c r="DG277" s="3186"/>
    </row>
    <row r="278" spans="5:111">
      <c r="E278" s="3204"/>
      <c r="F278" s="3202"/>
      <c r="G278" s="3202"/>
      <c r="H278" s="3202"/>
      <c r="I278" s="3203"/>
      <c r="J278" s="3203"/>
      <c r="K278" s="3202"/>
      <c r="L278" s="3203"/>
      <c r="M278" s="3203"/>
      <c r="N278" s="3202"/>
      <c r="O278" s="3203"/>
      <c r="P278" s="3203"/>
      <c r="Q278" s="3202"/>
      <c r="R278" s="3202"/>
      <c r="S278" s="3202"/>
      <c r="T278" s="3202"/>
      <c r="U278" s="3202"/>
      <c r="V278" s="3203"/>
      <c r="W278" s="3203"/>
      <c r="X278" s="3203"/>
      <c r="Y278" s="3203"/>
      <c r="Z278" s="3203"/>
      <c r="AA278" s="3203"/>
      <c r="AB278" s="3203"/>
      <c r="AC278" s="3203"/>
      <c r="AD278" s="3203"/>
      <c r="AE278" s="3203"/>
      <c r="AF278" s="3203"/>
      <c r="AG278" s="3203"/>
      <c r="AH278" s="3203"/>
      <c r="AI278" s="3203"/>
      <c r="AJ278" s="3203"/>
      <c r="AK278" s="3203"/>
      <c r="AL278" s="3203"/>
      <c r="AM278" s="3203"/>
      <c r="AN278" s="3203"/>
      <c r="AO278" s="3203"/>
      <c r="AP278" s="3203"/>
      <c r="AQ278" s="3202"/>
      <c r="AR278" s="3202"/>
      <c r="AS278" s="3202"/>
      <c r="AT278" s="3202"/>
      <c r="AU278" s="3202"/>
      <c r="AV278" s="3202"/>
      <c r="AW278" s="3202"/>
      <c r="AX278" s="3202"/>
      <c r="AY278" s="3202"/>
      <c r="AZ278" s="3201"/>
      <c r="BA278" s="3201"/>
      <c r="BB278" s="3202"/>
      <c r="DG278" s="3186"/>
    </row>
    <row r="279" spans="5:111">
      <c r="E279" s="3204"/>
      <c r="F279" s="3202"/>
      <c r="G279" s="3202"/>
      <c r="H279" s="3202"/>
      <c r="I279" s="3203"/>
      <c r="J279" s="3203"/>
      <c r="K279" s="3202"/>
      <c r="L279" s="3203"/>
      <c r="M279" s="3203"/>
      <c r="N279" s="3202"/>
      <c r="O279" s="3203"/>
      <c r="P279" s="3203"/>
      <c r="Q279" s="3202"/>
      <c r="R279" s="3202"/>
      <c r="S279" s="3202"/>
      <c r="T279" s="3202"/>
      <c r="U279" s="3202"/>
      <c r="V279" s="3203"/>
      <c r="W279" s="3203"/>
      <c r="X279" s="3203"/>
      <c r="Y279" s="3203"/>
      <c r="Z279" s="3203"/>
      <c r="AA279" s="3203"/>
      <c r="AB279" s="3203"/>
      <c r="AC279" s="3203"/>
      <c r="AD279" s="3203"/>
      <c r="AE279" s="3203"/>
      <c r="AF279" s="3203"/>
      <c r="AG279" s="3203"/>
      <c r="AH279" s="3203"/>
      <c r="AI279" s="3203"/>
      <c r="AJ279" s="3203"/>
      <c r="AK279" s="3203"/>
      <c r="AL279" s="3203"/>
      <c r="AM279" s="3203"/>
      <c r="AN279" s="3203"/>
      <c r="AO279" s="3203"/>
      <c r="AP279" s="3203"/>
      <c r="AQ279" s="3202"/>
      <c r="AR279" s="3202"/>
      <c r="AS279" s="3202"/>
      <c r="AT279" s="3202"/>
      <c r="AU279" s="3202"/>
      <c r="AV279" s="3202"/>
      <c r="AW279" s="3202"/>
      <c r="AX279" s="3202"/>
      <c r="AY279" s="3202"/>
      <c r="AZ279" s="3205"/>
      <c r="BA279" s="3205"/>
      <c r="BB279" s="3202"/>
      <c r="DG279" s="3186"/>
    </row>
    <row r="280" spans="5:111">
      <c r="E280" s="3204"/>
      <c r="I280" s="3190"/>
      <c r="J280" s="3190"/>
      <c r="L280" s="3190"/>
      <c r="M280" s="3190"/>
      <c r="O280" s="3190"/>
      <c r="P280" s="3190"/>
      <c r="AT280" s="3202"/>
      <c r="AU280" s="3202"/>
      <c r="AV280" s="3202"/>
      <c r="AW280" s="3202"/>
      <c r="AX280" s="3202"/>
      <c r="AY280" s="3202"/>
      <c r="BB280" s="3202"/>
      <c r="DG280" s="3186"/>
    </row>
    <row r="281" spans="5:111">
      <c r="E281" s="3204"/>
      <c r="F281" s="3202"/>
      <c r="G281" s="3202"/>
      <c r="H281" s="3202"/>
      <c r="I281" s="3203"/>
      <c r="J281" s="3203"/>
      <c r="K281" s="3202"/>
      <c r="L281" s="3203"/>
      <c r="M281" s="3203"/>
      <c r="N281" s="3202"/>
      <c r="O281" s="3203"/>
      <c r="P281" s="3203"/>
      <c r="Q281" s="3202"/>
      <c r="R281" s="3202"/>
      <c r="S281" s="3202"/>
      <c r="T281" s="3202"/>
      <c r="U281" s="3202"/>
      <c r="V281" s="3202"/>
      <c r="W281" s="3203"/>
      <c r="X281" s="3202"/>
      <c r="Y281" s="3202"/>
      <c r="Z281" s="3202"/>
      <c r="AA281" s="3202"/>
      <c r="AB281" s="3202"/>
      <c r="AC281" s="3202"/>
      <c r="AD281" s="3202"/>
      <c r="AE281" s="3202"/>
      <c r="AF281" s="3202"/>
      <c r="AG281" s="3203"/>
      <c r="AH281" s="3202"/>
      <c r="AI281" s="3202"/>
      <c r="AJ281" s="3202"/>
      <c r="AK281" s="3202"/>
      <c r="AL281" s="3202"/>
      <c r="AM281" s="3202"/>
      <c r="AN281" s="3202"/>
      <c r="AO281" s="3202"/>
      <c r="AP281" s="3202"/>
      <c r="AQ281" s="3202"/>
      <c r="AR281" s="3202"/>
      <c r="AS281" s="3202"/>
      <c r="AT281" s="3202"/>
      <c r="AU281" s="3202"/>
      <c r="AV281" s="3202"/>
      <c r="AW281" s="3202"/>
      <c r="AX281" s="3202"/>
      <c r="AY281" s="3202"/>
      <c r="AZ281" s="3201"/>
      <c r="BA281" s="3201"/>
      <c r="BB281" s="3202"/>
      <c r="BC281" s="3201"/>
      <c r="BD281" s="3201"/>
      <c r="BE281" s="3201"/>
      <c r="DG281" s="3186"/>
    </row>
    <row r="282" spans="5:111">
      <c r="E282" s="3204"/>
      <c r="F282" s="3202"/>
      <c r="G282" s="3202"/>
      <c r="H282" s="3202"/>
      <c r="I282" s="3203"/>
      <c r="J282" s="3203"/>
      <c r="K282" s="3202"/>
      <c r="L282" s="3203"/>
      <c r="M282" s="3203"/>
      <c r="N282" s="3202"/>
      <c r="O282" s="3203"/>
      <c r="P282" s="3203"/>
      <c r="Q282" s="3202"/>
      <c r="R282" s="3202"/>
      <c r="S282" s="3202"/>
      <c r="T282" s="3202"/>
      <c r="U282" s="3202"/>
      <c r="V282" s="3202"/>
      <c r="W282" s="3202"/>
      <c r="X282" s="3202"/>
      <c r="Y282" s="3202"/>
      <c r="Z282" s="3202"/>
      <c r="AA282" s="3202"/>
      <c r="AB282" s="3202"/>
      <c r="AC282" s="3202"/>
      <c r="AD282" s="3202"/>
      <c r="AE282" s="3202"/>
      <c r="AF282" s="3202"/>
      <c r="AG282" s="3202"/>
      <c r="AH282" s="3202"/>
      <c r="AI282" s="3202"/>
      <c r="AJ282" s="3202"/>
      <c r="AK282" s="3202"/>
      <c r="AL282" s="3202"/>
      <c r="AM282" s="3202"/>
      <c r="AN282" s="3202"/>
      <c r="AO282" s="3202"/>
      <c r="AP282" s="3202"/>
      <c r="AQ282" s="3202"/>
      <c r="AR282" s="3202"/>
      <c r="AS282" s="3202"/>
      <c r="AT282" s="3202"/>
      <c r="AU282" s="3202"/>
      <c r="AV282" s="3202"/>
      <c r="AW282" s="3202"/>
      <c r="AX282" s="3202"/>
      <c r="AY282" s="3202"/>
      <c r="AZ282" s="3205"/>
      <c r="BA282" s="3206"/>
      <c r="BB282" s="3202"/>
      <c r="BC282" s="3205"/>
      <c r="BD282" s="3205"/>
      <c r="BE282" s="3205"/>
      <c r="DG282" s="3186"/>
    </row>
    <row r="283" spans="5:111">
      <c r="E283" s="3204"/>
      <c r="F283" s="3202"/>
      <c r="G283" s="3202"/>
      <c r="H283" s="3202"/>
      <c r="I283" s="3203"/>
      <c r="J283" s="3203"/>
      <c r="K283" s="3202"/>
      <c r="L283" s="3203"/>
      <c r="M283" s="3203"/>
      <c r="N283" s="3202"/>
      <c r="O283" s="3203"/>
      <c r="P283" s="3203"/>
      <c r="Q283" s="3202"/>
      <c r="R283" s="3202"/>
      <c r="S283" s="3202"/>
      <c r="T283" s="3202"/>
      <c r="U283" s="3202"/>
      <c r="V283" s="3202"/>
      <c r="W283" s="3202"/>
      <c r="X283" s="3202"/>
      <c r="Y283" s="3202"/>
      <c r="Z283" s="3202"/>
      <c r="AA283" s="3202"/>
      <c r="AB283" s="3202"/>
      <c r="AC283" s="3202"/>
      <c r="AD283" s="3202"/>
      <c r="AE283" s="3202"/>
      <c r="AF283" s="3202"/>
      <c r="AG283" s="3202"/>
      <c r="AH283" s="3202"/>
      <c r="AI283" s="3202"/>
      <c r="AJ283" s="3202"/>
      <c r="AK283" s="3202"/>
      <c r="AL283" s="3202"/>
      <c r="AM283" s="3202"/>
      <c r="AN283" s="3202"/>
      <c r="AO283" s="3202"/>
      <c r="AP283" s="3202"/>
      <c r="AQ283" s="3202"/>
      <c r="AR283" s="3202"/>
      <c r="AS283" s="3202"/>
      <c r="AT283" s="3202"/>
      <c r="AU283" s="3202"/>
      <c r="AV283" s="3202"/>
      <c r="AW283" s="3202"/>
      <c r="AX283" s="3202"/>
      <c r="AY283" s="3202"/>
      <c r="AZ283" s="3201"/>
      <c r="BA283" s="3201"/>
      <c r="BB283" s="3202"/>
      <c r="BC283" s="3201"/>
      <c r="BD283" s="3201"/>
      <c r="BE283" s="3201"/>
      <c r="DG283" s="3186"/>
    </row>
    <row r="284" spans="5:111">
      <c r="E284" s="3204"/>
      <c r="F284" s="3202"/>
      <c r="G284" s="3202"/>
      <c r="H284" s="3202"/>
      <c r="I284" s="3203"/>
      <c r="J284" s="3203"/>
      <c r="K284" s="3202"/>
      <c r="L284" s="3203"/>
      <c r="M284" s="3203"/>
      <c r="N284" s="3202"/>
      <c r="O284" s="3203"/>
      <c r="P284" s="3203"/>
      <c r="Q284" s="3202"/>
      <c r="R284" s="3202"/>
      <c r="S284" s="3202"/>
      <c r="T284" s="3202"/>
      <c r="U284" s="3202"/>
      <c r="V284" s="3203"/>
      <c r="W284" s="3203"/>
      <c r="X284" s="3203"/>
      <c r="Y284" s="3203"/>
      <c r="Z284" s="3203"/>
      <c r="AA284" s="3203"/>
      <c r="AB284" s="3203"/>
      <c r="AC284" s="3203"/>
      <c r="AD284" s="3203"/>
      <c r="AE284" s="3203"/>
      <c r="AF284" s="3203"/>
      <c r="AG284" s="3203"/>
      <c r="AH284" s="3203"/>
      <c r="AI284" s="3203"/>
      <c r="AJ284" s="3203"/>
      <c r="AK284" s="3203"/>
      <c r="AL284" s="3203"/>
      <c r="AM284" s="3203"/>
      <c r="AN284" s="3203"/>
      <c r="AO284" s="3203"/>
      <c r="AP284" s="3203"/>
      <c r="AQ284" s="3202"/>
      <c r="AR284" s="3202"/>
      <c r="AS284" s="3202"/>
      <c r="AT284" s="3202"/>
      <c r="AU284" s="3202"/>
      <c r="AV284" s="3202"/>
      <c r="AW284" s="3202"/>
      <c r="AX284" s="3202"/>
      <c r="AY284" s="3202"/>
      <c r="AZ284" s="3205"/>
      <c r="BA284" s="3206"/>
      <c r="BB284" s="3202"/>
      <c r="BC284" s="3205"/>
      <c r="BD284" s="3205"/>
      <c r="BE284" s="3205"/>
      <c r="DG284" s="3186"/>
    </row>
    <row r="285" spans="5:111">
      <c r="E285" s="3204"/>
      <c r="F285" s="3202"/>
      <c r="G285" s="3202"/>
      <c r="H285" s="3202"/>
      <c r="I285" s="3203"/>
      <c r="J285" s="3203"/>
      <c r="K285" s="3202"/>
      <c r="L285" s="3203"/>
      <c r="M285" s="3203"/>
      <c r="N285" s="3202"/>
      <c r="O285" s="3203"/>
      <c r="P285" s="3203"/>
      <c r="Q285" s="3202"/>
      <c r="R285" s="3202"/>
      <c r="S285" s="3202"/>
      <c r="T285" s="3202"/>
      <c r="U285" s="3202"/>
      <c r="V285" s="3203"/>
      <c r="W285" s="3203"/>
      <c r="X285" s="3203"/>
      <c r="Y285" s="3203"/>
      <c r="Z285" s="3203"/>
      <c r="AA285" s="3203"/>
      <c r="AB285" s="3203"/>
      <c r="AC285" s="3203"/>
      <c r="AD285" s="3203"/>
      <c r="AE285" s="3203"/>
      <c r="AF285" s="3203"/>
      <c r="AG285" s="3203"/>
      <c r="AH285" s="3203"/>
      <c r="AI285" s="3203"/>
      <c r="AJ285" s="3203"/>
      <c r="AK285" s="3203"/>
      <c r="AL285" s="3203"/>
      <c r="AM285" s="3203"/>
      <c r="AN285" s="3203"/>
      <c r="AO285" s="3203"/>
      <c r="AP285" s="3203"/>
      <c r="AQ285" s="3202"/>
      <c r="AR285" s="3202"/>
      <c r="AS285" s="3202"/>
      <c r="AT285" s="3202"/>
      <c r="AU285" s="3202"/>
      <c r="AV285" s="3202"/>
      <c r="AW285" s="3202"/>
      <c r="AX285" s="3202"/>
      <c r="AY285" s="3202"/>
      <c r="AZ285" s="3201"/>
      <c r="BA285" s="3201"/>
      <c r="BB285" s="3202"/>
      <c r="BC285" s="3201"/>
      <c r="BD285" s="3201"/>
      <c r="BE285" s="3201"/>
      <c r="DG285" s="3186"/>
    </row>
    <row r="286" spans="5:111">
      <c r="E286" s="3204"/>
      <c r="I286" s="3190"/>
      <c r="J286" s="3190"/>
      <c r="L286" s="3190"/>
      <c r="M286" s="3190"/>
      <c r="O286" s="3190"/>
      <c r="P286" s="3190"/>
      <c r="AT286" s="3202"/>
      <c r="AU286" s="3202"/>
      <c r="AV286" s="3202"/>
      <c r="AW286" s="3202"/>
      <c r="AX286" s="3202"/>
      <c r="AY286" s="3202"/>
      <c r="AZ286" s="3205"/>
      <c r="BA286" s="3206"/>
      <c r="BB286" s="3202"/>
      <c r="BC286" s="3205"/>
      <c r="BD286" s="3205"/>
      <c r="BE286" s="3205"/>
      <c r="DG286" s="3186"/>
    </row>
    <row r="287" spans="5:111">
      <c r="E287" s="3204"/>
      <c r="F287" s="3202"/>
      <c r="G287" s="3202"/>
      <c r="H287" s="3202"/>
      <c r="I287" s="3203"/>
      <c r="J287" s="3203"/>
      <c r="K287" s="3202"/>
      <c r="L287" s="3203"/>
      <c r="M287" s="3203"/>
      <c r="N287" s="3202"/>
      <c r="O287" s="3203"/>
      <c r="P287" s="3203"/>
      <c r="Q287" s="3202"/>
      <c r="R287" s="3202"/>
      <c r="S287" s="3202"/>
      <c r="T287" s="3202"/>
      <c r="U287" s="3202"/>
      <c r="V287" s="3202"/>
      <c r="W287" s="3203"/>
      <c r="X287" s="3202"/>
      <c r="Y287" s="3202"/>
      <c r="Z287" s="3202"/>
      <c r="AA287" s="3202"/>
      <c r="AB287" s="3202"/>
      <c r="AC287" s="3202"/>
      <c r="AD287" s="3202"/>
      <c r="AE287" s="3202"/>
      <c r="AF287" s="3202"/>
      <c r="AG287" s="3203"/>
      <c r="AH287" s="3202"/>
      <c r="AI287" s="3202"/>
      <c r="AJ287" s="3202"/>
      <c r="AK287" s="3202"/>
      <c r="AL287" s="3202"/>
      <c r="AM287" s="3202"/>
      <c r="AN287" s="3202"/>
      <c r="AO287" s="3202"/>
      <c r="AP287" s="3202"/>
      <c r="AQ287" s="3202"/>
      <c r="AR287" s="3202"/>
      <c r="AS287" s="3202"/>
      <c r="AT287" s="3202"/>
      <c r="AU287" s="3202"/>
      <c r="AV287" s="3202"/>
      <c r="AW287" s="3202"/>
      <c r="AX287" s="3202"/>
      <c r="AY287" s="3202"/>
      <c r="AZ287" s="3201"/>
      <c r="BA287" s="3201"/>
      <c r="BB287" s="3202"/>
      <c r="BC287" s="3201"/>
      <c r="BD287" s="3201"/>
      <c r="BE287" s="3201"/>
      <c r="DG287" s="3186"/>
    </row>
    <row r="288" spans="5:111">
      <c r="E288" s="3204"/>
      <c r="F288" s="3202"/>
      <c r="G288" s="3202"/>
      <c r="H288" s="3202"/>
      <c r="I288" s="3203"/>
      <c r="J288" s="3203"/>
      <c r="K288" s="3202"/>
      <c r="L288" s="3203"/>
      <c r="M288" s="3203"/>
      <c r="N288" s="3202"/>
      <c r="O288" s="3203"/>
      <c r="P288" s="3203"/>
      <c r="Q288" s="3202"/>
      <c r="R288" s="3202"/>
      <c r="S288" s="3202"/>
      <c r="T288" s="3202"/>
      <c r="U288" s="3202"/>
      <c r="V288" s="3202"/>
      <c r="W288" s="3202"/>
      <c r="X288" s="3202"/>
      <c r="Y288" s="3202"/>
      <c r="Z288" s="3202"/>
      <c r="AA288" s="3202"/>
      <c r="AB288" s="3202"/>
      <c r="AC288" s="3202"/>
      <c r="AD288" s="3202"/>
      <c r="AE288" s="3202"/>
      <c r="AF288" s="3202"/>
      <c r="AG288" s="3202"/>
      <c r="AH288" s="3202"/>
      <c r="AI288" s="3202"/>
      <c r="AJ288" s="3202"/>
      <c r="AK288" s="3202"/>
      <c r="AL288" s="3202"/>
      <c r="AM288" s="3202"/>
      <c r="AN288" s="3202"/>
      <c r="AO288" s="3202"/>
      <c r="AP288" s="3202"/>
      <c r="AQ288" s="3202"/>
      <c r="AR288" s="3202"/>
      <c r="AS288" s="3202"/>
      <c r="AT288" s="3202"/>
      <c r="AU288" s="3202"/>
      <c r="AV288" s="3202"/>
      <c r="AW288" s="3202"/>
      <c r="AX288" s="3202"/>
      <c r="AY288" s="3202"/>
      <c r="AZ288" s="3205"/>
      <c r="BA288" s="3206"/>
      <c r="BB288" s="3202"/>
      <c r="BC288" s="3205"/>
      <c r="BD288" s="3205"/>
      <c r="BE288" s="3205"/>
      <c r="DG288" s="3186"/>
    </row>
    <row r="289" spans="4:112">
      <c r="E289" s="3204"/>
      <c r="F289" s="3202"/>
      <c r="G289" s="3202"/>
      <c r="H289" s="3202"/>
      <c r="I289" s="3203"/>
      <c r="J289" s="3203"/>
      <c r="K289" s="3202"/>
      <c r="L289" s="3203"/>
      <c r="M289" s="3203"/>
      <c r="N289" s="3202"/>
      <c r="O289" s="3203"/>
      <c r="P289" s="3203"/>
      <c r="Q289" s="3202"/>
      <c r="R289" s="3202"/>
      <c r="S289" s="3202"/>
      <c r="T289" s="3202"/>
      <c r="U289" s="3202"/>
      <c r="V289" s="3202"/>
      <c r="W289" s="3202"/>
      <c r="X289" s="3202"/>
      <c r="Y289" s="3202"/>
      <c r="Z289" s="3202"/>
      <c r="AA289" s="3202"/>
      <c r="AB289" s="3202"/>
      <c r="AC289" s="3202"/>
      <c r="AD289" s="3202"/>
      <c r="AE289" s="3202"/>
      <c r="AF289" s="3202"/>
      <c r="AG289" s="3202"/>
      <c r="AH289" s="3202"/>
      <c r="AI289" s="3202"/>
      <c r="AJ289" s="3202"/>
      <c r="AK289" s="3202"/>
      <c r="AL289" s="3202"/>
      <c r="AM289" s="3202"/>
      <c r="AN289" s="3202"/>
      <c r="AO289" s="3202"/>
      <c r="AP289" s="3202"/>
      <c r="AQ289" s="3202"/>
      <c r="AR289" s="3202"/>
      <c r="AS289" s="3202"/>
      <c r="AT289" s="3202"/>
      <c r="AU289" s="3202"/>
      <c r="AV289" s="3202"/>
      <c r="AW289" s="3202"/>
      <c r="AX289" s="3202"/>
      <c r="AY289" s="3202"/>
      <c r="AZ289" s="3201"/>
      <c r="BA289" s="3201"/>
      <c r="BB289" s="3202"/>
      <c r="BC289" s="3201"/>
      <c r="BD289" s="3201"/>
      <c r="BE289" s="3201"/>
      <c r="DG289" s="3186"/>
    </row>
    <row r="290" spans="4:112">
      <c r="E290" s="3204"/>
      <c r="F290" s="3202"/>
      <c r="G290" s="3202"/>
      <c r="H290" s="3202"/>
      <c r="I290" s="3203"/>
      <c r="J290" s="3203"/>
      <c r="K290" s="3202"/>
      <c r="L290" s="3203"/>
      <c r="M290" s="3203"/>
      <c r="N290" s="3202"/>
      <c r="O290" s="3203"/>
      <c r="P290" s="3203"/>
      <c r="Q290" s="3202"/>
      <c r="R290" s="3202"/>
      <c r="S290" s="3202"/>
      <c r="T290" s="3202"/>
      <c r="U290" s="3202"/>
      <c r="V290" s="3203"/>
      <c r="W290" s="3203"/>
      <c r="X290" s="3203"/>
      <c r="Y290" s="3203"/>
      <c r="Z290" s="3203"/>
      <c r="AA290" s="3203"/>
      <c r="AB290" s="3203"/>
      <c r="AC290" s="3203"/>
      <c r="AD290" s="3203"/>
      <c r="AE290" s="3203"/>
      <c r="AF290" s="3203"/>
      <c r="AG290" s="3203"/>
      <c r="AH290" s="3203"/>
      <c r="AI290" s="3203"/>
      <c r="AJ290" s="3203"/>
      <c r="AK290" s="3203"/>
      <c r="AL290" s="3203"/>
      <c r="AM290" s="3203"/>
      <c r="AN290" s="3203"/>
      <c r="AO290" s="3203"/>
      <c r="AP290" s="3203"/>
      <c r="AQ290" s="3202"/>
      <c r="AR290" s="3202"/>
      <c r="AS290" s="3202"/>
      <c r="AT290" s="3202"/>
      <c r="AU290" s="3202"/>
      <c r="AV290" s="3202"/>
      <c r="AW290" s="3202"/>
      <c r="AX290" s="3202"/>
      <c r="AY290" s="3202"/>
      <c r="AZ290" s="3205"/>
      <c r="BA290" s="3206"/>
      <c r="BB290" s="3202"/>
      <c r="BC290" s="3205"/>
      <c r="BD290" s="3205"/>
      <c r="BE290" s="3205"/>
      <c r="DG290" s="3186"/>
    </row>
    <row r="291" spans="4:112">
      <c r="E291" s="3204"/>
      <c r="F291" s="3202"/>
      <c r="G291" s="3202"/>
      <c r="H291" s="3202"/>
      <c r="I291" s="3203"/>
      <c r="J291" s="3203"/>
      <c r="K291" s="3202"/>
      <c r="L291" s="3203"/>
      <c r="M291" s="3203"/>
      <c r="N291" s="3202"/>
      <c r="O291" s="3203"/>
      <c r="P291" s="3203"/>
      <c r="Q291" s="3202"/>
      <c r="R291" s="3202"/>
      <c r="S291" s="3202"/>
      <c r="T291" s="3202"/>
      <c r="U291" s="3202"/>
      <c r="V291" s="3203"/>
      <c r="W291" s="3203"/>
      <c r="X291" s="3203"/>
      <c r="Y291" s="3203"/>
      <c r="Z291" s="3203"/>
      <c r="AA291" s="3203"/>
      <c r="AB291" s="3203"/>
      <c r="AC291" s="3203"/>
      <c r="AD291" s="3203"/>
      <c r="AE291" s="3203"/>
      <c r="AF291" s="3203"/>
      <c r="AG291" s="3203"/>
      <c r="AH291" s="3203"/>
      <c r="AI291" s="3203"/>
      <c r="AJ291" s="3203"/>
      <c r="AK291" s="3203"/>
      <c r="AL291" s="3203"/>
      <c r="AM291" s="3203"/>
      <c r="AN291" s="3203"/>
      <c r="AO291" s="3203"/>
      <c r="AP291" s="3203"/>
      <c r="AQ291" s="3202"/>
      <c r="AR291" s="3202"/>
      <c r="AS291" s="3202"/>
      <c r="AT291" s="3202"/>
      <c r="AU291" s="3202"/>
      <c r="AV291" s="3202"/>
      <c r="AW291" s="3202"/>
      <c r="AX291" s="3202"/>
      <c r="AY291" s="3202"/>
      <c r="AZ291" s="3201"/>
      <c r="BA291" s="3201"/>
      <c r="BB291" s="3202"/>
      <c r="BC291" s="3201"/>
      <c r="BD291" s="3201"/>
      <c r="BE291" s="3201"/>
      <c r="DG291" s="3186"/>
    </row>
    <row r="292" spans="4:112">
      <c r="E292" s="3204"/>
      <c r="I292" s="3190"/>
      <c r="J292" s="3190"/>
      <c r="L292" s="3190"/>
      <c r="M292" s="3190"/>
      <c r="O292" s="3190"/>
      <c r="P292" s="3190"/>
      <c r="AT292" s="3202"/>
      <c r="AU292" s="3202"/>
      <c r="AV292" s="3202"/>
      <c r="AW292" s="3202"/>
      <c r="AX292" s="3202"/>
      <c r="AY292" s="3202"/>
      <c r="AZ292" s="3205"/>
      <c r="BA292" s="3206"/>
      <c r="BB292" s="3202"/>
      <c r="BC292" s="3205"/>
      <c r="BD292" s="3205"/>
      <c r="BE292" s="3205"/>
      <c r="DG292" s="3186"/>
    </row>
    <row r="293" spans="4:112">
      <c r="E293" s="3204"/>
      <c r="F293" s="3202"/>
      <c r="G293" s="3202"/>
      <c r="H293" s="3202"/>
      <c r="I293" s="3203"/>
      <c r="J293" s="3203"/>
      <c r="K293" s="3202"/>
      <c r="L293" s="3203"/>
      <c r="M293" s="3203"/>
      <c r="N293" s="3202"/>
      <c r="O293" s="3203"/>
      <c r="P293" s="3203"/>
      <c r="Q293" s="3202"/>
      <c r="R293" s="3202"/>
      <c r="S293" s="3202"/>
      <c r="T293" s="3202"/>
      <c r="U293" s="3202"/>
      <c r="V293" s="3202"/>
      <c r="W293" s="3203"/>
      <c r="X293" s="3202"/>
      <c r="Y293" s="3202"/>
      <c r="Z293" s="3202"/>
      <c r="AA293" s="3202"/>
      <c r="AB293" s="3202"/>
      <c r="AC293" s="3202"/>
      <c r="AD293" s="3202"/>
      <c r="AE293" s="3202"/>
      <c r="AF293" s="3202"/>
      <c r="AG293" s="3203"/>
      <c r="AH293" s="3202"/>
      <c r="AI293" s="3202"/>
      <c r="AJ293" s="3202"/>
      <c r="AK293" s="3202"/>
      <c r="AL293" s="3202"/>
      <c r="AM293" s="3202"/>
      <c r="AN293" s="3202"/>
      <c r="AO293" s="3202"/>
      <c r="AP293" s="3202"/>
      <c r="AQ293" s="3202"/>
      <c r="AR293" s="3202"/>
      <c r="AS293" s="3202"/>
      <c r="AT293" s="3202"/>
      <c r="AU293" s="3202"/>
      <c r="AV293" s="3202"/>
      <c r="AW293" s="3202"/>
      <c r="AX293" s="3202"/>
      <c r="AY293" s="3202"/>
      <c r="DG293" s="3186"/>
    </row>
    <row r="294" spans="4:112">
      <c r="E294" s="3204"/>
      <c r="F294" s="3202"/>
      <c r="G294" s="3202"/>
      <c r="H294" s="3202"/>
      <c r="I294" s="3203"/>
      <c r="J294" s="3203"/>
      <c r="K294" s="3202"/>
      <c r="L294" s="3203"/>
      <c r="M294" s="3203"/>
      <c r="N294" s="3202"/>
      <c r="O294" s="3203"/>
      <c r="P294" s="3203"/>
      <c r="Q294" s="3202"/>
      <c r="R294" s="3202"/>
      <c r="S294" s="3202"/>
      <c r="T294" s="3202"/>
      <c r="U294" s="3202"/>
      <c r="V294" s="3202"/>
      <c r="W294" s="3202"/>
      <c r="X294" s="3202"/>
      <c r="Y294" s="3202"/>
      <c r="Z294" s="3202"/>
      <c r="AA294" s="3202"/>
      <c r="AB294" s="3202"/>
      <c r="AC294" s="3202"/>
      <c r="AD294" s="3202"/>
      <c r="AE294" s="3202"/>
      <c r="AF294" s="3202"/>
      <c r="AG294" s="3202"/>
      <c r="AH294" s="3202"/>
      <c r="AI294" s="3202"/>
      <c r="AJ294" s="3202"/>
      <c r="AK294" s="3202"/>
      <c r="AL294" s="3202"/>
      <c r="AM294" s="3202"/>
      <c r="AN294" s="3202"/>
      <c r="AO294" s="3202"/>
      <c r="AP294" s="3202"/>
      <c r="AQ294" s="3202"/>
      <c r="AR294" s="3202"/>
      <c r="AS294" s="3202"/>
      <c r="AT294" s="3202"/>
      <c r="AU294" s="3202"/>
      <c r="AV294" s="3202"/>
      <c r="AW294" s="3202"/>
      <c r="AX294" s="3202"/>
      <c r="AY294" s="3202"/>
      <c r="DG294" s="3186"/>
    </row>
    <row r="295" spans="4:112">
      <c r="E295" s="3204"/>
      <c r="F295" s="3202"/>
      <c r="G295" s="3202"/>
      <c r="H295" s="3202"/>
      <c r="I295" s="3203"/>
      <c r="J295" s="3203"/>
      <c r="K295" s="3202"/>
      <c r="L295" s="3203"/>
      <c r="M295" s="3203"/>
      <c r="N295" s="3202"/>
      <c r="O295" s="3203"/>
      <c r="P295" s="3203"/>
      <c r="Q295" s="3202"/>
      <c r="R295" s="3202"/>
      <c r="S295" s="3202"/>
      <c r="T295" s="3202"/>
      <c r="U295" s="3202"/>
      <c r="V295" s="3202"/>
      <c r="W295" s="3202"/>
      <c r="X295" s="3202"/>
      <c r="Y295" s="3202"/>
      <c r="Z295" s="3202"/>
      <c r="AA295" s="3202"/>
      <c r="AB295" s="3202"/>
      <c r="AC295" s="3202"/>
      <c r="AD295" s="3202"/>
      <c r="AE295" s="3202"/>
      <c r="AF295" s="3202"/>
      <c r="AG295" s="3202"/>
      <c r="AH295" s="3202"/>
      <c r="AI295" s="3202"/>
      <c r="AJ295" s="3202"/>
      <c r="AK295" s="3202"/>
      <c r="AL295" s="3202"/>
      <c r="AM295" s="3202"/>
      <c r="AN295" s="3202"/>
      <c r="AO295" s="3202"/>
      <c r="AP295" s="3202"/>
      <c r="AQ295" s="3202"/>
      <c r="AR295" s="3202"/>
      <c r="AS295" s="3202"/>
      <c r="AT295" s="3202"/>
      <c r="AU295" s="3202"/>
      <c r="AV295" s="3202"/>
      <c r="AW295" s="3202"/>
      <c r="AX295" s="3202"/>
      <c r="AY295" s="3202"/>
      <c r="DG295" s="3186"/>
    </row>
    <row r="296" spans="4:112">
      <c r="E296" s="3204"/>
      <c r="F296" s="3202"/>
      <c r="G296" s="3202"/>
      <c r="H296" s="3202"/>
      <c r="I296" s="3203"/>
      <c r="J296" s="3203"/>
      <c r="K296" s="3202"/>
      <c r="L296" s="3203"/>
      <c r="M296" s="3203"/>
      <c r="N296" s="3202"/>
      <c r="O296" s="3203"/>
      <c r="P296" s="3203"/>
      <c r="Q296" s="3202"/>
      <c r="R296" s="3202"/>
      <c r="S296" s="3202"/>
      <c r="T296" s="3202"/>
      <c r="U296" s="3202"/>
      <c r="V296" s="3203"/>
      <c r="W296" s="3203"/>
      <c r="X296" s="3203"/>
      <c r="Y296" s="3203"/>
      <c r="Z296" s="3203"/>
      <c r="AA296" s="3203"/>
      <c r="AB296" s="3203"/>
      <c r="AC296" s="3203"/>
      <c r="AD296" s="3203"/>
      <c r="AE296" s="3203"/>
      <c r="AF296" s="3203"/>
      <c r="AG296" s="3203"/>
      <c r="AH296" s="3203"/>
      <c r="AI296" s="3203"/>
      <c r="AJ296" s="3203"/>
      <c r="AK296" s="3203"/>
      <c r="AL296" s="3203"/>
      <c r="AM296" s="3203"/>
      <c r="AN296" s="3203"/>
      <c r="AO296" s="3203"/>
      <c r="AP296" s="3203"/>
      <c r="AQ296" s="3202"/>
      <c r="AR296" s="3202"/>
      <c r="AS296" s="3202"/>
      <c r="AT296" s="3202"/>
      <c r="AU296" s="3202"/>
      <c r="AV296" s="3202"/>
      <c r="AW296" s="3202"/>
      <c r="AX296" s="3202"/>
      <c r="AY296" s="3202"/>
      <c r="DG296" s="3186"/>
    </row>
    <row r="297" spans="4:112">
      <c r="E297" s="3204"/>
      <c r="F297" s="3202"/>
      <c r="G297" s="3202"/>
      <c r="H297" s="3202"/>
      <c r="I297" s="3203"/>
      <c r="J297" s="3203"/>
      <c r="K297" s="3202"/>
      <c r="L297" s="3203"/>
      <c r="M297" s="3203"/>
      <c r="N297" s="3202"/>
      <c r="O297" s="3203"/>
      <c r="P297" s="3203"/>
      <c r="Q297" s="3202"/>
      <c r="R297" s="3202"/>
      <c r="S297" s="3202"/>
      <c r="T297" s="3202"/>
      <c r="U297" s="3202"/>
      <c r="V297" s="3203"/>
      <c r="W297" s="3203"/>
      <c r="X297" s="3203"/>
      <c r="Y297" s="3203"/>
      <c r="Z297" s="3203"/>
      <c r="AA297" s="3203"/>
      <c r="AB297" s="3203"/>
      <c r="AC297" s="3203"/>
      <c r="AD297" s="3203"/>
      <c r="AE297" s="3203"/>
      <c r="AF297" s="3203"/>
      <c r="AG297" s="3203"/>
      <c r="AH297" s="3203"/>
      <c r="AI297" s="3203"/>
      <c r="AJ297" s="3203"/>
      <c r="AK297" s="3203"/>
      <c r="AL297" s="3203"/>
      <c r="AM297" s="3203"/>
      <c r="AN297" s="3203"/>
      <c r="AO297" s="3203"/>
      <c r="AP297" s="3203"/>
      <c r="AQ297" s="3202"/>
      <c r="AR297" s="3202"/>
      <c r="AS297" s="3202"/>
      <c r="AT297" s="3202"/>
      <c r="AU297" s="3202"/>
      <c r="AV297" s="3202"/>
      <c r="AW297" s="3202"/>
      <c r="AX297" s="3202"/>
      <c r="AY297" s="3202"/>
      <c r="DG297" s="3186"/>
    </row>
    <row r="298" spans="4:112">
      <c r="AQ298" s="3201"/>
      <c r="AR298" s="3201"/>
      <c r="AS298" s="3201"/>
      <c r="AT298" s="3202"/>
      <c r="AU298" s="3202"/>
      <c r="AV298" s="3202"/>
      <c r="AW298" s="3202"/>
      <c r="AX298" s="3202"/>
      <c r="AY298" s="3202"/>
      <c r="AZ298" s="3201"/>
      <c r="BA298" s="3201"/>
      <c r="BB298" s="3202"/>
      <c r="DG298" s="3186"/>
    </row>
    <row r="299" spans="4:112">
      <c r="E299" s="3204"/>
      <c r="F299" s="3202"/>
      <c r="G299" s="3202"/>
      <c r="H299" s="3202"/>
      <c r="I299" s="3202"/>
      <c r="J299" s="3202"/>
      <c r="K299" s="3202"/>
      <c r="L299" s="3202"/>
      <c r="M299" s="3202"/>
      <c r="N299" s="3202"/>
      <c r="O299" s="3202"/>
      <c r="P299" s="3202"/>
      <c r="Q299" s="3202"/>
      <c r="R299" s="3202"/>
      <c r="S299" s="3202"/>
      <c r="T299" s="3202"/>
      <c r="U299" s="3202"/>
      <c r="V299" s="3202"/>
      <c r="W299" s="3202"/>
      <c r="X299" s="3202"/>
      <c r="Y299" s="3202"/>
      <c r="Z299" s="3202"/>
      <c r="AA299" s="3202"/>
      <c r="AB299" s="3202"/>
      <c r="AC299" s="3202"/>
      <c r="AD299" s="3202"/>
      <c r="AE299" s="3202"/>
      <c r="AF299" s="3202"/>
      <c r="AG299" s="3202"/>
      <c r="AH299" s="3202"/>
      <c r="AI299" s="3202"/>
      <c r="AJ299" s="3202"/>
      <c r="AK299" s="3202"/>
      <c r="AL299" s="3202"/>
      <c r="AM299" s="3202"/>
      <c r="AN299" s="3202"/>
      <c r="AO299" s="3202"/>
      <c r="AP299" s="3202"/>
      <c r="AQ299" s="3202"/>
      <c r="AR299" s="3203"/>
      <c r="AS299" s="3203"/>
      <c r="AT299" s="3202"/>
      <c r="AU299" s="3202"/>
      <c r="AV299" s="3202"/>
      <c r="AW299" s="3202"/>
      <c r="AX299" s="3202"/>
      <c r="AY299" s="3202"/>
      <c r="AZ299" s="3205"/>
      <c r="BA299" s="3205"/>
      <c r="BB299" s="3202"/>
      <c r="DG299" s="3186"/>
    </row>
    <row r="300" spans="4:112">
      <c r="E300" s="3204"/>
      <c r="F300" s="3202"/>
      <c r="G300" s="3202"/>
      <c r="H300" s="3202"/>
      <c r="I300" s="3202"/>
      <c r="J300" s="3202"/>
      <c r="K300" s="3202"/>
      <c r="L300" s="3202"/>
      <c r="M300" s="3202"/>
      <c r="N300" s="3202"/>
      <c r="O300" s="3202"/>
      <c r="P300" s="3202"/>
      <c r="Q300" s="3202"/>
      <c r="R300" s="3202"/>
      <c r="S300" s="3202"/>
      <c r="T300" s="3202"/>
      <c r="U300" s="3202"/>
      <c r="V300" s="3202"/>
      <c r="W300" s="3202"/>
      <c r="X300" s="3202"/>
      <c r="Y300" s="3202"/>
      <c r="Z300" s="3202"/>
      <c r="AA300" s="3202"/>
      <c r="AB300" s="3202"/>
      <c r="AC300" s="3202"/>
      <c r="AD300" s="3202"/>
      <c r="AE300" s="3202"/>
      <c r="AF300" s="3202"/>
      <c r="AG300" s="3202"/>
      <c r="AH300" s="3202"/>
      <c r="AI300" s="3202"/>
      <c r="AJ300" s="3202"/>
      <c r="AK300" s="3202"/>
      <c r="AL300" s="3202"/>
      <c r="AM300" s="3202"/>
      <c r="AN300" s="3202"/>
      <c r="AO300" s="3202"/>
      <c r="AP300" s="3202"/>
      <c r="AQ300" s="3202"/>
      <c r="AR300" s="3202"/>
      <c r="AS300" s="3202"/>
      <c r="AT300" s="3202"/>
      <c r="AU300" s="3202"/>
      <c r="AV300" s="3202"/>
      <c r="AW300" s="3202"/>
      <c r="AX300" s="3202"/>
      <c r="AY300" s="3202"/>
      <c r="BB300" s="3202"/>
      <c r="DG300" s="3186"/>
    </row>
    <row r="301" spans="4:112">
      <c r="E301" s="3204"/>
      <c r="F301" s="3202"/>
      <c r="G301" s="3202"/>
      <c r="H301" s="3202"/>
      <c r="I301" s="3202"/>
      <c r="J301" s="3202"/>
      <c r="K301" s="3202"/>
      <c r="L301" s="3202"/>
      <c r="M301" s="3202"/>
      <c r="N301" s="3202"/>
      <c r="O301" s="3202"/>
      <c r="P301" s="3202"/>
      <c r="Q301" s="3202"/>
      <c r="R301" s="3202"/>
      <c r="S301" s="3202"/>
      <c r="T301" s="3202"/>
      <c r="U301" s="3202"/>
      <c r="V301" s="3202"/>
      <c r="W301" s="3202"/>
      <c r="X301" s="3202"/>
      <c r="Y301" s="3202"/>
      <c r="Z301" s="3202"/>
      <c r="AA301" s="3202"/>
      <c r="AB301" s="3202"/>
      <c r="AC301" s="3202"/>
      <c r="AD301" s="3202"/>
      <c r="AE301" s="3202"/>
      <c r="AF301" s="3202"/>
      <c r="AG301" s="3202"/>
      <c r="AH301" s="3202"/>
      <c r="AI301" s="3202"/>
      <c r="AJ301" s="3202"/>
      <c r="AK301" s="3202"/>
      <c r="AL301" s="3202"/>
      <c r="AM301" s="3202"/>
      <c r="AN301" s="3202"/>
      <c r="AO301" s="3202"/>
      <c r="AP301" s="3202"/>
      <c r="AQ301" s="3202"/>
      <c r="AR301" s="3202"/>
      <c r="AS301" s="3202"/>
      <c r="AT301" s="3202"/>
      <c r="AU301" s="3202"/>
      <c r="AV301" s="3202"/>
      <c r="AW301" s="3202"/>
      <c r="AX301" s="3202"/>
      <c r="AY301" s="3202"/>
      <c r="BB301" s="3202"/>
      <c r="DG301" s="3186"/>
    </row>
    <row r="302" spans="4:112">
      <c r="DG302" s="3186"/>
    </row>
    <row r="303" spans="4:112">
      <c r="E303" s="3191"/>
      <c r="F303" s="3192"/>
      <c r="G303" s="3192"/>
      <c r="H303" s="3192"/>
      <c r="I303" s="3192"/>
      <c r="J303" s="3192"/>
      <c r="K303" s="3192"/>
      <c r="L303" s="3192"/>
      <c r="M303" s="3192"/>
      <c r="N303" s="3192"/>
      <c r="O303" s="3192"/>
      <c r="P303" s="3192"/>
      <c r="Q303" s="3192"/>
      <c r="R303" s="3192"/>
      <c r="S303" s="3192"/>
      <c r="T303" s="3192"/>
      <c r="U303" s="3192"/>
      <c r="V303" s="3192"/>
      <c r="X303" s="3192"/>
      <c r="Y303" s="3192"/>
      <c r="Z303" s="3192"/>
      <c r="AA303" s="3192"/>
      <c r="AB303" s="3192"/>
      <c r="AC303" s="3192"/>
      <c r="AD303" s="3192"/>
      <c r="AE303" s="3192"/>
      <c r="AH303" s="3192"/>
      <c r="AI303" s="3192"/>
      <c r="AJ303" s="3192"/>
      <c r="AK303" s="3192"/>
      <c r="AL303" s="3192"/>
      <c r="AM303" s="3192"/>
      <c r="AN303" s="3192"/>
      <c r="AO303" s="3192"/>
      <c r="BB303" s="3192"/>
      <c r="DG303" s="3186"/>
    </row>
    <row r="304" spans="4:112">
      <c r="D304" s="3207"/>
      <c r="E304" s="3204"/>
      <c r="F304" s="3202"/>
      <c r="G304" s="3202"/>
      <c r="H304" s="3202"/>
      <c r="I304" s="3202"/>
      <c r="J304" s="3202"/>
      <c r="K304" s="3202"/>
      <c r="L304" s="3202"/>
      <c r="M304" s="3202"/>
      <c r="N304" s="3202"/>
      <c r="O304" s="3202"/>
      <c r="P304" s="3202"/>
      <c r="Q304" s="3202"/>
      <c r="R304" s="3202"/>
      <c r="S304" s="3202"/>
      <c r="T304" s="3201"/>
      <c r="U304" s="3201"/>
      <c r="V304" s="3201"/>
      <c r="W304" s="3201"/>
      <c r="X304" s="3201"/>
      <c r="Y304" s="3201"/>
      <c r="Z304" s="3201"/>
      <c r="AA304" s="3201"/>
      <c r="AB304" s="3201"/>
      <c r="AC304" s="3201"/>
      <c r="AD304" s="3201"/>
      <c r="AE304" s="3201"/>
      <c r="AF304" s="3201"/>
      <c r="AG304" s="3201"/>
      <c r="AH304" s="3201"/>
      <c r="AI304" s="3201"/>
      <c r="AJ304" s="3201"/>
      <c r="AK304" s="3201"/>
      <c r="AL304" s="3201"/>
      <c r="AM304" s="3201"/>
      <c r="AN304" s="3201"/>
      <c r="AO304" s="3201"/>
      <c r="AP304" s="3201"/>
      <c r="AQ304" s="3201"/>
      <c r="AR304" s="3201"/>
      <c r="AS304" s="3201"/>
      <c r="AT304" s="3201"/>
      <c r="AU304" s="3201"/>
      <c r="AV304" s="3201"/>
      <c r="AW304" s="3201"/>
      <c r="AX304" s="3201"/>
      <c r="AY304" s="3201"/>
      <c r="AZ304" s="3202"/>
      <c r="BA304" s="3202"/>
      <c r="BB304" s="3202"/>
      <c r="DH304" s="3186"/>
    </row>
    <row r="305" spans="5:111">
      <c r="E305" s="3204"/>
      <c r="F305" s="3202"/>
      <c r="AT305" s="3202"/>
      <c r="AU305" s="3202"/>
      <c r="AV305" s="3202"/>
      <c r="AW305" s="3202"/>
      <c r="AX305" s="3202"/>
      <c r="AY305" s="3202"/>
      <c r="AZ305" s="3193"/>
      <c r="BB305" s="3202"/>
      <c r="DG305" s="3186"/>
    </row>
    <row r="306" spans="5:111">
      <c r="E306" s="3204"/>
      <c r="F306" s="3202"/>
      <c r="G306" s="3202"/>
      <c r="H306" s="3202"/>
      <c r="I306" s="3203"/>
      <c r="J306" s="3203"/>
      <c r="K306" s="3202"/>
      <c r="L306" s="3203"/>
      <c r="M306" s="3203"/>
      <c r="N306" s="3202"/>
      <c r="O306" s="3203"/>
      <c r="P306" s="3203"/>
      <c r="Q306" s="3202"/>
      <c r="R306" s="3202"/>
      <c r="S306" s="3202"/>
      <c r="T306" s="3202"/>
      <c r="U306" s="3202"/>
      <c r="V306" s="3202"/>
      <c r="W306" s="3203"/>
      <c r="X306" s="3202"/>
      <c r="Y306" s="3202"/>
      <c r="Z306" s="3202"/>
      <c r="AA306" s="3202"/>
      <c r="AB306" s="3202"/>
      <c r="AC306" s="3202"/>
      <c r="AD306" s="3202"/>
      <c r="AE306" s="3202"/>
      <c r="AF306" s="3202"/>
      <c r="AG306" s="3203"/>
      <c r="AH306" s="3202"/>
      <c r="AI306" s="3202"/>
      <c r="AJ306" s="3202"/>
      <c r="AK306" s="3202"/>
      <c r="AL306" s="3202"/>
      <c r="AM306" s="3202"/>
      <c r="AN306" s="3202"/>
      <c r="AO306" s="3202"/>
      <c r="AP306" s="3202"/>
      <c r="AQ306" s="3202"/>
      <c r="AR306" s="3202"/>
      <c r="AS306" s="3202"/>
      <c r="AT306" s="3202"/>
      <c r="AU306" s="3202"/>
      <c r="AV306" s="3202"/>
      <c r="AW306" s="3202"/>
      <c r="AX306" s="3202"/>
      <c r="AY306" s="3202"/>
      <c r="AZ306" s="3202"/>
      <c r="BA306" s="3202"/>
      <c r="BB306" s="3202"/>
      <c r="DD306" s="3187"/>
      <c r="DG306" s="3186"/>
    </row>
    <row r="307" spans="5:111" ht="12.75" customHeight="1">
      <c r="E307" s="3204"/>
      <c r="F307" s="3202"/>
      <c r="G307" s="3202"/>
      <c r="H307" s="3202"/>
      <c r="I307" s="3203"/>
      <c r="J307" s="3203"/>
      <c r="K307" s="3202"/>
      <c r="L307" s="3203"/>
      <c r="M307" s="3203"/>
      <c r="N307" s="3202"/>
      <c r="O307" s="3203"/>
      <c r="P307" s="3203"/>
      <c r="Q307" s="3202"/>
      <c r="R307" s="3202"/>
      <c r="S307" s="3202"/>
      <c r="T307" s="3202"/>
      <c r="U307" s="3202"/>
      <c r="V307" s="3202"/>
      <c r="W307" s="3202"/>
      <c r="X307" s="3202"/>
      <c r="Y307" s="3202"/>
      <c r="Z307" s="3202"/>
      <c r="AA307" s="3202"/>
      <c r="AB307" s="3202"/>
      <c r="AC307" s="3202"/>
      <c r="AD307" s="3202"/>
      <c r="AE307" s="3202"/>
      <c r="AF307" s="3202"/>
      <c r="AG307" s="3202"/>
      <c r="AH307" s="3202"/>
      <c r="AI307" s="3202"/>
      <c r="AJ307" s="3202"/>
      <c r="AK307" s="3202"/>
      <c r="AL307" s="3202"/>
      <c r="AM307" s="3202"/>
      <c r="AN307" s="3202"/>
      <c r="AO307" s="3202"/>
      <c r="AP307" s="3202"/>
      <c r="AQ307" s="3202"/>
      <c r="AR307" s="3202"/>
      <c r="AS307" s="3202"/>
      <c r="AT307" s="3202"/>
      <c r="AU307" s="3202"/>
      <c r="AV307" s="3202"/>
      <c r="AW307" s="3202"/>
      <c r="AX307" s="3202"/>
      <c r="AY307" s="3202"/>
      <c r="AZ307" s="3205"/>
      <c r="BA307" s="3205"/>
      <c r="BB307" s="3202"/>
      <c r="DD307" s="3187"/>
      <c r="DG307" s="3186"/>
    </row>
    <row r="308" spans="5:111">
      <c r="E308" s="3204"/>
      <c r="F308" s="3202"/>
      <c r="G308" s="3202"/>
      <c r="H308" s="3202"/>
      <c r="I308" s="3203"/>
      <c r="J308" s="3203"/>
      <c r="K308" s="3202"/>
      <c r="L308" s="3203"/>
      <c r="M308" s="3203"/>
      <c r="N308" s="3202"/>
      <c r="O308" s="3203"/>
      <c r="P308" s="3203"/>
      <c r="Q308" s="3202"/>
      <c r="R308" s="3202"/>
      <c r="S308" s="3202"/>
      <c r="T308" s="3202"/>
      <c r="U308" s="3202"/>
      <c r="V308" s="3202"/>
      <c r="W308" s="3202"/>
      <c r="X308" s="3202"/>
      <c r="Y308" s="3202"/>
      <c r="Z308" s="3202"/>
      <c r="AA308" s="3202"/>
      <c r="AB308" s="3202"/>
      <c r="AC308" s="3202"/>
      <c r="AD308" s="3202"/>
      <c r="AE308" s="3202"/>
      <c r="AF308" s="3202"/>
      <c r="AG308" s="3202"/>
      <c r="AH308" s="3202"/>
      <c r="AI308" s="3202"/>
      <c r="AJ308" s="3202"/>
      <c r="AK308" s="3202"/>
      <c r="AL308" s="3202"/>
      <c r="AM308" s="3202"/>
      <c r="AN308" s="3202"/>
      <c r="AO308" s="3202"/>
      <c r="AP308" s="3202"/>
      <c r="AQ308" s="3202"/>
      <c r="AR308" s="3202"/>
      <c r="AS308" s="3202"/>
      <c r="AT308" s="3202"/>
      <c r="AU308" s="3202"/>
      <c r="AV308" s="3202"/>
      <c r="AW308" s="3202"/>
      <c r="AX308" s="3202"/>
      <c r="AY308" s="3202"/>
      <c r="BB308" s="3202"/>
      <c r="DD308" s="3187"/>
      <c r="DG308" s="3186"/>
    </row>
    <row r="309" spans="5:111">
      <c r="E309" s="3204"/>
      <c r="F309" s="3202"/>
      <c r="G309" s="3202"/>
      <c r="H309" s="3202"/>
      <c r="I309" s="3203"/>
      <c r="J309" s="3203"/>
      <c r="K309" s="3202"/>
      <c r="L309" s="3203"/>
      <c r="M309" s="3203"/>
      <c r="N309" s="3202"/>
      <c r="O309" s="3203"/>
      <c r="P309" s="3203"/>
      <c r="Q309" s="3202"/>
      <c r="R309" s="3202"/>
      <c r="S309" s="3202"/>
      <c r="T309" s="3202"/>
      <c r="U309" s="3202"/>
      <c r="V309" s="3203"/>
      <c r="W309" s="3203"/>
      <c r="X309" s="3203"/>
      <c r="Y309" s="3203"/>
      <c r="Z309" s="3203"/>
      <c r="AA309" s="3203"/>
      <c r="AB309" s="3203"/>
      <c r="AC309" s="3203"/>
      <c r="AD309" s="3203"/>
      <c r="AE309" s="3203"/>
      <c r="AF309" s="3203"/>
      <c r="AG309" s="3203"/>
      <c r="AH309" s="3203"/>
      <c r="AI309" s="3203"/>
      <c r="AJ309" s="3203"/>
      <c r="AK309" s="3203"/>
      <c r="AL309" s="3203"/>
      <c r="AM309" s="3203"/>
      <c r="AN309" s="3203"/>
      <c r="AO309" s="3203"/>
      <c r="AP309" s="3203"/>
      <c r="AQ309" s="3202"/>
      <c r="AR309" s="3202"/>
      <c r="AS309" s="3202"/>
      <c r="AT309" s="3202"/>
      <c r="AU309" s="3202"/>
      <c r="AV309" s="3202"/>
      <c r="AW309" s="3202"/>
      <c r="AX309" s="3202"/>
      <c r="AY309" s="3202"/>
      <c r="AZ309" s="3202"/>
      <c r="BA309" s="3202"/>
      <c r="BB309" s="3202"/>
      <c r="DD309" s="3187"/>
      <c r="DG309" s="3186"/>
    </row>
    <row r="310" spans="5:111">
      <c r="E310" s="3204"/>
      <c r="F310" s="3202"/>
      <c r="G310" s="3202"/>
      <c r="H310" s="3202"/>
      <c r="I310" s="3203"/>
      <c r="J310" s="3203"/>
      <c r="K310" s="3202"/>
      <c r="L310" s="3203"/>
      <c r="M310" s="3203"/>
      <c r="N310" s="3202"/>
      <c r="O310" s="3203"/>
      <c r="P310" s="3203"/>
      <c r="Q310" s="3202"/>
      <c r="R310" s="3202"/>
      <c r="S310" s="3202"/>
      <c r="T310" s="3202"/>
      <c r="U310" s="3202"/>
      <c r="V310" s="3203"/>
      <c r="W310" s="3203"/>
      <c r="X310" s="3203"/>
      <c r="Y310" s="3203"/>
      <c r="Z310" s="3203"/>
      <c r="AA310" s="3203"/>
      <c r="AB310" s="3203"/>
      <c r="AC310" s="3203"/>
      <c r="AD310" s="3203"/>
      <c r="AE310" s="3203"/>
      <c r="AF310" s="3203"/>
      <c r="AG310" s="3203"/>
      <c r="AH310" s="3203"/>
      <c r="AI310" s="3203"/>
      <c r="AJ310" s="3203"/>
      <c r="AK310" s="3203"/>
      <c r="AL310" s="3203"/>
      <c r="AM310" s="3203"/>
      <c r="AN310" s="3203"/>
      <c r="AO310" s="3203"/>
      <c r="AP310" s="3203"/>
      <c r="AQ310" s="3202"/>
      <c r="AR310" s="3202"/>
      <c r="AS310" s="3202"/>
      <c r="AT310" s="3202"/>
      <c r="AU310" s="3202"/>
      <c r="AV310" s="3202"/>
      <c r="AW310" s="3202"/>
      <c r="AX310" s="3202"/>
      <c r="AY310" s="3202"/>
      <c r="AZ310" s="3203"/>
      <c r="BA310" s="3203"/>
      <c r="BB310" s="3202"/>
      <c r="DD310" s="3187"/>
      <c r="DG310" s="3186"/>
    </row>
    <row r="311" spans="5:111">
      <c r="E311" s="3204"/>
      <c r="I311" s="3190"/>
      <c r="J311" s="3190"/>
      <c r="L311" s="3190"/>
      <c r="M311" s="3190"/>
      <c r="O311" s="3190"/>
      <c r="P311" s="3190"/>
      <c r="AT311" s="3202"/>
      <c r="AU311" s="3202"/>
      <c r="AV311" s="3202"/>
      <c r="AW311" s="3202"/>
      <c r="AX311" s="3202"/>
      <c r="AY311" s="3202"/>
      <c r="AZ311" s="3202"/>
      <c r="BA311" s="3202"/>
      <c r="BB311" s="3202"/>
      <c r="DG311" s="3186"/>
    </row>
    <row r="312" spans="5:111">
      <c r="E312" s="3204"/>
      <c r="F312" s="3202"/>
      <c r="G312" s="3202"/>
      <c r="H312" s="3202"/>
      <c r="I312" s="3203"/>
      <c r="J312" s="3203"/>
      <c r="K312" s="3202"/>
      <c r="L312" s="3203"/>
      <c r="M312" s="3203"/>
      <c r="N312" s="3202"/>
      <c r="O312" s="3203"/>
      <c r="P312" s="3203"/>
      <c r="Q312" s="3202"/>
      <c r="R312" s="3202"/>
      <c r="S312" s="3202"/>
      <c r="T312" s="3202"/>
      <c r="U312" s="3202"/>
      <c r="V312" s="3202"/>
      <c r="W312" s="3203"/>
      <c r="X312" s="3202"/>
      <c r="Y312" s="3202"/>
      <c r="Z312" s="3202"/>
      <c r="AA312" s="3202"/>
      <c r="AB312" s="3202"/>
      <c r="AC312" s="3202"/>
      <c r="AD312" s="3202"/>
      <c r="AE312" s="3202"/>
      <c r="AF312" s="3202"/>
      <c r="AG312" s="3203"/>
      <c r="AH312" s="3202"/>
      <c r="AI312" s="3202"/>
      <c r="AJ312" s="3202"/>
      <c r="AK312" s="3202"/>
      <c r="AL312" s="3202"/>
      <c r="AM312" s="3202"/>
      <c r="AN312" s="3202"/>
      <c r="AO312" s="3202"/>
      <c r="AP312" s="3202"/>
      <c r="AQ312" s="3202"/>
      <c r="AR312" s="3202"/>
      <c r="AS312" s="3202"/>
      <c r="AT312" s="3202"/>
      <c r="AU312" s="3202"/>
      <c r="AV312" s="3202"/>
      <c r="AW312" s="3202"/>
      <c r="AX312" s="3202"/>
      <c r="AY312" s="3202"/>
      <c r="AZ312" s="3203"/>
      <c r="BA312" s="3203"/>
      <c r="BB312" s="3202"/>
      <c r="DG312" s="3186"/>
    </row>
    <row r="313" spans="5:111">
      <c r="E313" s="3204"/>
      <c r="F313" s="3202"/>
      <c r="G313" s="3202"/>
      <c r="H313" s="3202"/>
      <c r="I313" s="3203"/>
      <c r="J313" s="3203"/>
      <c r="K313" s="3202"/>
      <c r="L313" s="3203"/>
      <c r="M313" s="3203"/>
      <c r="N313" s="3202"/>
      <c r="O313" s="3203"/>
      <c r="P313" s="3203"/>
      <c r="Q313" s="3202"/>
      <c r="R313" s="3202"/>
      <c r="S313" s="3202"/>
      <c r="T313" s="3202"/>
      <c r="U313" s="3202"/>
      <c r="V313" s="3202"/>
      <c r="W313" s="3202"/>
      <c r="X313" s="3202"/>
      <c r="Y313" s="3202"/>
      <c r="Z313" s="3202"/>
      <c r="AA313" s="3202"/>
      <c r="AB313" s="3202"/>
      <c r="AC313" s="3202"/>
      <c r="AD313" s="3202"/>
      <c r="AE313" s="3202"/>
      <c r="AF313" s="3202"/>
      <c r="AG313" s="3202"/>
      <c r="AH313" s="3202"/>
      <c r="AI313" s="3202"/>
      <c r="AJ313" s="3202"/>
      <c r="AK313" s="3202"/>
      <c r="AL313" s="3202"/>
      <c r="AM313" s="3202"/>
      <c r="AN313" s="3202"/>
      <c r="AO313" s="3202"/>
      <c r="AP313" s="3202"/>
      <c r="AQ313" s="3202"/>
      <c r="AR313" s="3202"/>
      <c r="AS313" s="3202"/>
      <c r="AT313" s="3202"/>
      <c r="AU313" s="3202"/>
      <c r="AV313" s="3202"/>
      <c r="AW313" s="3202"/>
      <c r="AX313" s="3202"/>
      <c r="AY313" s="3202"/>
      <c r="AZ313" s="3202"/>
      <c r="BA313" s="3202"/>
      <c r="BB313" s="3202"/>
      <c r="DG313" s="3186"/>
    </row>
    <row r="314" spans="5:111">
      <c r="E314" s="3204"/>
      <c r="F314" s="3202"/>
      <c r="G314" s="3202"/>
      <c r="H314" s="3202"/>
      <c r="I314" s="3203"/>
      <c r="J314" s="3203"/>
      <c r="K314" s="3202"/>
      <c r="L314" s="3203"/>
      <c r="M314" s="3203"/>
      <c r="N314" s="3202"/>
      <c r="O314" s="3203"/>
      <c r="P314" s="3203"/>
      <c r="Q314" s="3202"/>
      <c r="R314" s="3202"/>
      <c r="S314" s="3202"/>
      <c r="T314" s="3202"/>
      <c r="U314" s="3202"/>
      <c r="V314" s="3202"/>
      <c r="W314" s="3202"/>
      <c r="X314" s="3202"/>
      <c r="Y314" s="3202"/>
      <c r="Z314" s="3202"/>
      <c r="AA314" s="3202"/>
      <c r="AB314" s="3202"/>
      <c r="AC314" s="3202"/>
      <c r="AD314" s="3202"/>
      <c r="AE314" s="3202"/>
      <c r="AF314" s="3202"/>
      <c r="AG314" s="3202"/>
      <c r="AH314" s="3202"/>
      <c r="AI314" s="3202"/>
      <c r="AJ314" s="3202"/>
      <c r="AK314" s="3202"/>
      <c r="AL314" s="3202"/>
      <c r="AM314" s="3202"/>
      <c r="AN314" s="3202"/>
      <c r="AO314" s="3202"/>
      <c r="AP314" s="3202"/>
      <c r="AQ314" s="3202"/>
      <c r="AR314" s="3202"/>
      <c r="AS314" s="3202"/>
      <c r="AT314" s="3202"/>
      <c r="AU314" s="3202"/>
      <c r="AV314" s="3202"/>
      <c r="AW314" s="3202"/>
      <c r="AX314" s="3202"/>
      <c r="AY314" s="3202"/>
      <c r="AZ314" s="3203"/>
      <c r="BA314" s="3203"/>
      <c r="BB314" s="3202"/>
      <c r="DG314" s="3186"/>
    </row>
    <row r="315" spans="5:111">
      <c r="E315" s="3204"/>
      <c r="F315" s="3202"/>
      <c r="G315" s="3202"/>
      <c r="H315" s="3202"/>
      <c r="I315" s="3203"/>
      <c r="J315" s="3203"/>
      <c r="K315" s="3202"/>
      <c r="L315" s="3203"/>
      <c r="M315" s="3203"/>
      <c r="N315" s="3202"/>
      <c r="O315" s="3203"/>
      <c r="P315" s="3203"/>
      <c r="Q315" s="3202"/>
      <c r="R315" s="3202"/>
      <c r="S315" s="3202"/>
      <c r="T315" s="3202"/>
      <c r="U315" s="3202"/>
      <c r="V315" s="3203"/>
      <c r="W315" s="3203"/>
      <c r="X315" s="3203"/>
      <c r="Y315" s="3203"/>
      <c r="Z315" s="3203"/>
      <c r="AA315" s="3203"/>
      <c r="AB315" s="3203"/>
      <c r="AC315" s="3203"/>
      <c r="AD315" s="3203"/>
      <c r="AE315" s="3203"/>
      <c r="AF315" s="3203"/>
      <c r="AG315" s="3203"/>
      <c r="AH315" s="3203"/>
      <c r="AI315" s="3203"/>
      <c r="AJ315" s="3203"/>
      <c r="AK315" s="3203"/>
      <c r="AL315" s="3203"/>
      <c r="AM315" s="3203"/>
      <c r="AN315" s="3203"/>
      <c r="AO315" s="3203"/>
      <c r="AP315" s="3203"/>
      <c r="AQ315" s="3202"/>
      <c r="AR315" s="3202"/>
      <c r="AS315" s="3202"/>
      <c r="AT315" s="3202"/>
      <c r="AU315" s="3202"/>
      <c r="AV315" s="3202"/>
      <c r="AW315" s="3202"/>
      <c r="AX315" s="3202"/>
      <c r="AY315" s="3202"/>
      <c r="AZ315" s="3201"/>
      <c r="BA315" s="3201"/>
      <c r="BB315" s="3202"/>
      <c r="DG315" s="3186"/>
    </row>
    <row r="316" spans="5:111">
      <c r="E316" s="3204"/>
      <c r="F316" s="3202"/>
      <c r="G316" s="3202"/>
      <c r="H316" s="3202"/>
      <c r="I316" s="3203"/>
      <c r="J316" s="3203"/>
      <c r="K316" s="3202"/>
      <c r="L316" s="3203"/>
      <c r="M316" s="3203"/>
      <c r="N316" s="3202"/>
      <c r="O316" s="3203"/>
      <c r="P316" s="3203"/>
      <c r="Q316" s="3202"/>
      <c r="R316" s="3202"/>
      <c r="S316" s="3202"/>
      <c r="T316" s="3202"/>
      <c r="U316" s="3202"/>
      <c r="V316" s="3203"/>
      <c r="W316" s="3203"/>
      <c r="X316" s="3203"/>
      <c r="Y316" s="3203"/>
      <c r="Z316" s="3203"/>
      <c r="AA316" s="3203"/>
      <c r="AB316" s="3203"/>
      <c r="AC316" s="3203"/>
      <c r="AD316" s="3203"/>
      <c r="AE316" s="3203"/>
      <c r="AF316" s="3203"/>
      <c r="AG316" s="3203"/>
      <c r="AH316" s="3203"/>
      <c r="AI316" s="3203"/>
      <c r="AJ316" s="3203"/>
      <c r="AK316" s="3203"/>
      <c r="AL316" s="3203"/>
      <c r="AM316" s="3203"/>
      <c r="AN316" s="3203"/>
      <c r="AO316" s="3203"/>
      <c r="AP316" s="3203"/>
      <c r="AQ316" s="3202"/>
      <c r="AR316" s="3202"/>
      <c r="AS316" s="3202"/>
      <c r="AT316" s="3202"/>
      <c r="AU316" s="3202"/>
      <c r="AV316" s="3202"/>
      <c r="AW316" s="3202"/>
      <c r="AX316" s="3202"/>
      <c r="AY316" s="3202"/>
      <c r="AZ316" s="3205"/>
      <c r="BA316" s="3205"/>
      <c r="BB316" s="3202"/>
      <c r="DG316" s="3186"/>
    </row>
    <row r="317" spans="5:111">
      <c r="E317" s="3204"/>
      <c r="I317" s="3190"/>
      <c r="J317" s="3190"/>
      <c r="L317" s="3190"/>
      <c r="M317" s="3190"/>
      <c r="O317" s="3190"/>
      <c r="P317" s="3190"/>
      <c r="AT317" s="3202"/>
      <c r="AU317" s="3202"/>
      <c r="AV317" s="3202"/>
      <c r="AW317" s="3202"/>
      <c r="AX317" s="3202"/>
      <c r="AY317" s="3202"/>
      <c r="BB317" s="3202"/>
      <c r="DG317" s="3186"/>
    </row>
    <row r="318" spans="5:111">
      <c r="E318" s="3204"/>
      <c r="F318" s="3202"/>
      <c r="G318" s="3202"/>
      <c r="H318" s="3202"/>
      <c r="I318" s="3203"/>
      <c r="J318" s="3203"/>
      <c r="K318" s="3202"/>
      <c r="L318" s="3203"/>
      <c r="M318" s="3203"/>
      <c r="N318" s="3202"/>
      <c r="O318" s="3203"/>
      <c r="P318" s="3203"/>
      <c r="Q318" s="3202"/>
      <c r="R318" s="3202"/>
      <c r="S318" s="3202"/>
      <c r="T318" s="3202"/>
      <c r="U318" s="3202"/>
      <c r="V318" s="3202"/>
      <c r="W318" s="3203"/>
      <c r="X318" s="3202"/>
      <c r="Y318" s="3202"/>
      <c r="Z318" s="3202"/>
      <c r="AA318" s="3202"/>
      <c r="AB318" s="3202"/>
      <c r="AC318" s="3202"/>
      <c r="AD318" s="3202"/>
      <c r="AE318" s="3202"/>
      <c r="AF318" s="3202"/>
      <c r="AG318" s="3203"/>
      <c r="AH318" s="3202"/>
      <c r="AI318" s="3202"/>
      <c r="AJ318" s="3202"/>
      <c r="AK318" s="3202"/>
      <c r="AL318" s="3202"/>
      <c r="AM318" s="3202"/>
      <c r="AN318" s="3202"/>
      <c r="AO318" s="3202"/>
      <c r="AP318" s="3202"/>
      <c r="AQ318" s="3202"/>
      <c r="AR318" s="3202"/>
      <c r="AS318" s="3202"/>
      <c r="AT318" s="3202"/>
      <c r="AU318" s="3202"/>
      <c r="AV318" s="3202"/>
      <c r="AW318" s="3202"/>
      <c r="AX318" s="3202"/>
      <c r="AY318" s="3202"/>
      <c r="AZ318" s="3201"/>
      <c r="BA318" s="3201"/>
      <c r="BB318" s="3202"/>
      <c r="BC318" s="3201"/>
      <c r="BD318" s="3201"/>
      <c r="BE318" s="3201"/>
      <c r="DG318" s="3186"/>
    </row>
    <row r="319" spans="5:111">
      <c r="E319" s="3204"/>
      <c r="F319" s="3202"/>
      <c r="G319" s="3202"/>
      <c r="H319" s="3202"/>
      <c r="I319" s="3203"/>
      <c r="J319" s="3203"/>
      <c r="K319" s="3202"/>
      <c r="L319" s="3203"/>
      <c r="M319" s="3203"/>
      <c r="N319" s="3202"/>
      <c r="O319" s="3203"/>
      <c r="P319" s="3203"/>
      <c r="Q319" s="3202"/>
      <c r="R319" s="3202"/>
      <c r="S319" s="3202"/>
      <c r="T319" s="3202"/>
      <c r="U319" s="3202"/>
      <c r="V319" s="3202"/>
      <c r="W319" s="3202"/>
      <c r="X319" s="3202"/>
      <c r="Y319" s="3202"/>
      <c r="Z319" s="3202"/>
      <c r="AA319" s="3202"/>
      <c r="AB319" s="3202"/>
      <c r="AC319" s="3202"/>
      <c r="AD319" s="3202"/>
      <c r="AE319" s="3202"/>
      <c r="AF319" s="3202"/>
      <c r="AG319" s="3202"/>
      <c r="AH319" s="3202"/>
      <c r="AI319" s="3202"/>
      <c r="AJ319" s="3202"/>
      <c r="AK319" s="3202"/>
      <c r="AL319" s="3202"/>
      <c r="AM319" s="3202"/>
      <c r="AN319" s="3202"/>
      <c r="AO319" s="3202"/>
      <c r="AP319" s="3202"/>
      <c r="AQ319" s="3202"/>
      <c r="AR319" s="3202"/>
      <c r="AS319" s="3202"/>
      <c r="AT319" s="3202"/>
      <c r="AU319" s="3202"/>
      <c r="AV319" s="3202"/>
      <c r="AW319" s="3202"/>
      <c r="AX319" s="3202"/>
      <c r="AY319" s="3202"/>
      <c r="AZ319" s="3205"/>
      <c r="BA319" s="3206"/>
      <c r="BB319" s="3202"/>
      <c r="BC319" s="3205"/>
      <c r="BD319" s="3205"/>
      <c r="BE319" s="3205"/>
      <c r="DG319" s="3186"/>
    </row>
    <row r="320" spans="5:111">
      <c r="E320" s="3204"/>
      <c r="F320" s="3202"/>
      <c r="G320" s="3202"/>
      <c r="H320" s="3202"/>
      <c r="I320" s="3203"/>
      <c r="J320" s="3203"/>
      <c r="K320" s="3202"/>
      <c r="L320" s="3203"/>
      <c r="M320" s="3203"/>
      <c r="N320" s="3202"/>
      <c r="O320" s="3203"/>
      <c r="P320" s="3203"/>
      <c r="Q320" s="3202"/>
      <c r="R320" s="3202"/>
      <c r="S320" s="3202"/>
      <c r="T320" s="3202"/>
      <c r="U320" s="3202"/>
      <c r="V320" s="3202"/>
      <c r="W320" s="3202"/>
      <c r="X320" s="3202"/>
      <c r="Y320" s="3202"/>
      <c r="Z320" s="3202"/>
      <c r="AA320" s="3202"/>
      <c r="AB320" s="3202"/>
      <c r="AC320" s="3202"/>
      <c r="AD320" s="3202"/>
      <c r="AE320" s="3202"/>
      <c r="AF320" s="3202"/>
      <c r="AG320" s="3202"/>
      <c r="AH320" s="3202"/>
      <c r="AI320" s="3202"/>
      <c r="AJ320" s="3202"/>
      <c r="AK320" s="3202"/>
      <c r="AL320" s="3202"/>
      <c r="AM320" s="3202"/>
      <c r="AN320" s="3202"/>
      <c r="AO320" s="3202"/>
      <c r="AP320" s="3202"/>
      <c r="AQ320" s="3202"/>
      <c r="AR320" s="3202"/>
      <c r="AS320" s="3202"/>
      <c r="AT320" s="3202"/>
      <c r="AU320" s="3202"/>
      <c r="AV320" s="3202"/>
      <c r="AW320" s="3202"/>
      <c r="AX320" s="3202"/>
      <c r="AY320" s="3202"/>
      <c r="AZ320" s="3201"/>
      <c r="BA320" s="3201"/>
      <c r="BB320" s="3202"/>
      <c r="BC320" s="3201"/>
      <c r="BD320" s="3201"/>
      <c r="BE320" s="3201"/>
      <c r="DG320" s="3186"/>
    </row>
    <row r="321" spans="5:111">
      <c r="E321" s="3204"/>
      <c r="F321" s="3202"/>
      <c r="G321" s="3202"/>
      <c r="H321" s="3202"/>
      <c r="I321" s="3203"/>
      <c r="J321" s="3203"/>
      <c r="K321" s="3202"/>
      <c r="L321" s="3203"/>
      <c r="M321" s="3203"/>
      <c r="N321" s="3202"/>
      <c r="O321" s="3203"/>
      <c r="P321" s="3203"/>
      <c r="Q321" s="3202"/>
      <c r="R321" s="3202"/>
      <c r="S321" s="3202"/>
      <c r="T321" s="3202"/>
      <c r="U321" s="3202"/>
      <c r="V321" s="3203"/>
      <c r="W321" s="3203"/>
      <c r="X321" s="3203"/>
      <c r="Y321" s="3203"/>
      <c r="Z321" s="3203"/>
      <c r="AA321" s="3203"/>
      <c r="AB321" s="3203"/>
      <c r="AC321" s="3203"/>
      <c r="AD321" s="3203"/>
      <c r="AE321" s="3203"/>
      <c r="AF321" s="3203"/>
      <c r="AG321" s="3203"/>
      <c r="AH321" s="3203"/>
      <c r="AI321" s="3203"/>
      <c r="AJ321" s="3203"/>
      <c r="AK321" s="3203"/>
      <c r="AL321" s="3203"/>
      <c r="AM321" s="3203"/>
      <c r="AN321" s="3203"/>
      <c r="AO321" s="3203"/>
      <c r="AP321" s="3203"/>
      <c r="AQ321" s="3202"/>
      <c r="AR321" s="3202"/>
      <c r="AS321" s="3202"/>
      <c r="AT321" s="3202"/>
      <c r="AU321" s="3202"/>
      <c r="AV321" s="3202"/>
      <c r="AW321" s="3202"/>
      <c r="AX321" s="3202"/>
      <c r="AY321" s="3202"/>
      <c r="AZ321" s="3205"/>
      <c r="BA321" s="3206"/>
      <c r="BB321" s="3202"/>
      <c r="BC321" s="3205"/>
      <c r="BD321" s="3205"/>
      <c r="BE321" s="3205"/>
      <c r="DG321" s="3186"/>
    </row>
    <row r="322" spans="5:111">
      <c r="E322" s="3204"/>
      <c r="F322" s="3202"/>
      <c r="G322" s="3202"/>
      <c r="H322" s="3202"/>
      <c r="I322" s="3203"/>
      <c r="J322" s="3203"/>
      <c r="K322" s="3202"/>
      <c r="L322" s="3203"/>
      <c r="M322" s="3203"/>
      <c r="N322" s="3202"/>
      <c r="O322" s="3203"/>
      <c r="P322" s="3203"/>
      <c r="Q322" s="3202"/>
      <c r="R322" s="3202"/>
      <c r="S322" s="3202"/>
      <c r="T322" s="3202"/>
      <c r="U322" s="3202"/>
      <c r="V322" s="3203"/>
      <c r="W322" s="3203"/>
      <c r="X322" s="3203"/>
      <c r="Y322" s="3203"/>
      <c r="Z322" s="3203"/>
      <c r="AA322" s="3203"/>
      <c r="AB322" s="3203"/>
      <c r="AC322" s="3203"/>
      <c r="AD322" s="3203"/>
      <c r="AE322" s="3203"/>
      <c r="AF322" s="3203"/>
      <c r="AG322" s="3203"/>
      <c r="AH322" s="3203"/>
      <c r="AI322" s="3203"/>
      <c r="AJ322" s="3203"/>
      <c r="AK322" s="3203"/>
      <c r="AL322" s="3203"/>
      <c r="AM322" s="3203"/>
      <c r="AN322" s="3203"/>
      <c r="AO322" s="3203"/>
      <c r="AP322" s="3203"/>
      <c r="AQ322" s="3202"/>
      <c r="AR322" s="3202"/>
      <c r="AS322" s="3202"/>
      <c r="AT322" s="3202"/>
      <c r="AU322" s="3202"/>
      <c r="AV322" s="3202"/>
      <c r="AW322" s="3202"/>
      <c r="AX322" s="3202"/>
      <c r="AY322" s="3202"/>
      <c r="AZ322" s="3201"/>
      <c r="BA322" s="3201"/>
      <c r="BB322" s="3202"/>
      <c r="BC322" s="3201"/>
      <c r="BD322" s="3201"/>
      <c r="BE322" s="3201"/>
      <c r="DG322" s="3186"/>
    </row>
    <row r="323" spans="5:111">
      <c r="E323" s="3204"/>
      <c r="I323" s="3190"/>
      <c r="J323" s="3190"/>
      <c r="L323" s="3190"/>
      <c r="M323" s="3190"/>
      <c r="O323" s="3190"/>
      <c r="P323" s="3190"/>
      <c r="AT323" s="3202"/>
      <c r="AU323" s="3202"/>
      <c r="AV323" s="3202"/>
      <c r="AW323" s="3202"/>
      <c r="AX323" s="3202"/>
      <c r="AY323" s="3202"/>
      <c r="AZ323" s="3205"/>
      <c r="BA323" s="3206"/>
      <c r="BB323" s="3202"/>
      <c r="BC323" s="3205"/>
      <c r="BD323" s="3205"/>
      <c r="BE323" s="3205"/>
      <c r="DG323" s="3186"/>
    </row>
    <row r="324" spans="5:111">
      <c r="E324" s="3204"/>
      <c r="F324" s="3202"/>
      <c r="G324" s="3202"/>
      <c r="H324" s="3202"/>
      <c r="I324" s="3203"/>
      <c r="J324" s="3203"/>
      <c r="K324" s="3202"/>
      <c r="L324" s="3203"/>
      <c r="M324" s="3203"/>
      <c r="N324" s="3202"/>
      <c r="O324" s="3203"/>
      <c r="P324" s="3203"/>
      <c r="Q324" s="3202"/>
      <c r="R324" s="3202"/>
      <c r="S324" s="3202"/>
      <c r="T324" s="3202"/>
      <c r="U324" s="3202"/>
      <c r="V324" s="3202"/>
      <c r="W324" s="3203"/>
      <c r="X324" s="3202"/>
      <c r="Y324" s="3202"/>
      <c r="Z324" s="3202"/>
      <c r="AA324" s="3202"/>
      <c r="AB324" s="3202"/>
      <c r="AC324" s="3202"/>
      <c r="AD324" s="3202"/>
      <c r="AE324" s="3202"/>
      <c r="AF324" s="3202"/>
      <c r="AG324" s="3203"/>
      <c r="AH324" s="3202"/>
      <c r="AI324" s="3202"/>
      <c r="AJ324" s="3202"/>
      <c r="AK324" s="3202"/>
      <c r="AL324" s="3202"/>
      <c r="AM324" s="3202"/>
      <c r="AN324" s="3202"/>
      <c r="AO324" s="3202"/>
      <c r="AP324" s="3202"/>
      <c r="AQ324" s="3202"/>
      <c r="AR324" s="3202"/>
      <c r="AS324" s="3202"/>
      <c r="AT324" s="3202"/>
      <c r="AU324" s="3202"/>
      <c r="AV324" s="3202"/>
      <c r="AW324" s="3202"/>
      <c r="AX324" s="3202"/>
      <c r="AY324" s="3202"/>
      <c r="AZ324" s="3201"/>
      <c r="BA324" s="3201"/>
      <c r="BB324" s="3202"/>
      <c r="BC324" s="3201"/>
      <c r="BD324" s="3201"/>
      <c r="BE324" s="3201"/>
      <c r="DG324" s="3186"/>
    </row>
    <row r="325" spans="5:111">
      <c r="E325" s="3204"/>
      <c r="F325" s="3202"/>
      <c r="G325" s="3202"/>
      <c r="H325" s="3202"/>
      <c r="I325" s="3203"/>
      <c r="J325" s="3203"/>
      <c r="K325" s="3202"/>
      <c r="L325" s="3203"/>
      <c r="M325" s="3203"/>
      <c r="N325" s="3202"/>
      <c r="O325" s="3203"/>
      <c r="P325" s="3203"/>
      <c r="Q325" s="3202"/>
      <c r="R325" s="3202"/>
      <c r="S325" s="3202"/>
      <c r="T325" s="3202"/>
      <c r="U325" s="3202"/>
      <c r="V325" s="3202"/>
      <c r="W325" s="3202"/>
      <c r="X325" s="3202"/>
      <c r="Y325" s="3202"/>
      <c r="Z325" s="3202"/>
      <c r="AA325" s="3202"/>
      <c r="AB325" s="3202"/>
      <c r="AC325" s="3202"/>
      <c r="AD325" s="3202"/>
      <c r="AE325" s="3202"/>
      <c r="AF325" s="3202"/>
      <c r="AG325" s="3202"/>
      <c r="AH325" s="3202"/>
      <c r="AI325" s="3202"/>
      <c r="AJ325" s="3202"/>
      <c r="AK325" s="3202"/>
      <c r="AL325" s="3202"/>
      <c r="AM325" s="3202"/>
      <c r="AN325" s="3202"/>
      <c r="AO325" s="3202"/>
      <c r="AP325" s="3202"/>
      <c r="AQ325" s="3202"/>
      <c r="AR325" s="3202"/>
      <c r="AS325" s="3202"/>
      <c r="AT325" s="3202"/>
      <c r="AU325" s="3202"/>
      <c r="AV325" s="3202"/>
      <c r="AW325" s="3202"/>
      <c r="AX325" s="3202"/>
      <c r="AY325" s="3202"/>
      <c r="AZ325" s="3205"/>
      <c r="BA325" s="3206"/>
      <c r="BB325" s="3202"/>
      <c r="BC325" s="3205"/>
      <c r="BD325" s="3205"/>
      <c r="BE325" s="3205"/>
      <c r="DG325" s="3186"/>
    </row>
    <row r="326" spans="5:111">
      <c r="E326" s="3204"/>
      <c r="F326" s="3202"/>
      <c r="G326" s="3202"/>
      <c r="H326" s="3202"/>
      <c r="I326" s="3203"/>
      <c r="J326" s="3203"/>
      <c r="K326" s="3202"/>
      <c r="L326" s="3203"/>
      <c r="M326" s="3203"/>
      <c r="N326" s="3202"/>
      <c r="O326" s="3203"/>
      <c r="P326" s="3203"/>
      <c r="Q326" s="3202"/>
      <c r="R326" s="3202"/>
      <c r="S326" s="3202"/>
      <c r="T326" s="3202"/>
      <c r="U326" s="3202"/>
      <c r="V326" s="3202"/>
      <c r="W326" s="3202"/>
      <c r="X326" s="3202"/>
      <c r="Y326" s="3202"/>
      <c r="Z326" s="3202"/>
      <c r="AA326" s="3202"/>
      <c r="AB326" s="3202"/>
      <c r="AC326" s="3202"/>
      <c r="AD326" s="3202"/>
      <c r="AE326" s="3202"/>
      <c r="AF326" s="3202"/>
      <c r="AG326" s="3202"/>
      <c r="AH326" s="3202"/>
      <c r="AI326" s="3202"/>
      <c r="AJ326" s="3202"/>
      <c r="AK326" s="3202"/>
      <c r="AL326" s="3202"/>
      <c r="AM326" s="3202"/>
      <c r="AN326" s="3202"/>
      <c r="AO326" s="3202"/>
      <c r="AP326" s="3202"/>
      <c r="AQ326" s="3202"/>
      <c r="AR326" s="3202"/>
      <c r="AS326" s="3202"/>
      <c r="AT326" s="3202"/>
      <c r="AU326" s="3202"/>
      <c r="AV326" s="3202"/>
      <c r="AW326" s="3202"/>
      <c r="AX326" s="3202"/>
      <c r="AY326" s="3202"/>
      <c r="AZ326" s="3201"/>
      <c r="BA326" s="3201"/>
      <c r="BB326" s="3202"/>
      <c r="BC326" s="3201"/>
      <c r="BD326" s="3201"/>
      <c r="BE326" s="3201"/>
      <c r="DG326" s="3186"/>
    </row>
    <row r="327" spans="5:111">
      <c r="E327" s="3204"/>
      <c r="F327" s="3202"/>
      <c r="G327" s="3202"/>
      <c r="H327" s="3202"/>
      <c r="I327" s="3203"/>
      <c r="J327" s="3203"/>
      <c r="K327" s="3202"/>
      <c r="L327" s="3203"/>
      <c r="M327" s="3203"/>
      <c r="N327" s="3202"/>
      <c r="O327" s="3203"/>
      <c r="P327" s="3203"/>
      <c r="Q327" s="3202"/>
      <c r="R327" s="3202"/>
      <c r="S327" s="3202"/>
      <c r="T327" s="3202"/>
      <c r="U327" s="3202"/>
      <c r="V327" s="3203"/>
      <c r="W327" s="3203"/>
      <c r="X327" s="3203"/>
      <c r="Y327" s="3203"/>
      <c r="Z327" s="3203"/>
      <c r="AA327" s="3203"/>
      <c r="AB327" s="3203"/>
      <c r="AC327" s="3203"/>
      <c r="AD327" s="3203"/>
      <c r="AE327" s="3203"/>
      <c r="AF327" s="3203"/>
      <c r="AG327" s="3203"/>
      <c r="AH327" s="3203"/>
      <c r="AI327" s="3203"/>
      <c r="AJ327" s="3203"/>
      <c r="AK327" s="3203"/>
      <c r="AL327" s="3203"/>
      <c r="AM327" s="3203"/>
      <c r="AN327" s="3203"/>
      <c r="AO327" s="3203"/>
      <c r="AP327" s="3203"/>
      <c r="AQ327" s="3202"/>
      <c r="AR327" s="3202"/>
      <c r="AS327" s="3202"/>
      <c r="AT327" s="3202"/>
      <c r="AU327" s="3202"/>
      <c r="AV327" s="3202"/>
      <c r="AW327" s="3202"/>
      <c r="AX327" s="3202"/>
      <c r="AY327" s="3202"/>
      <c r="AZ327" s="3205"/>
      <c r="BA327" s="3206"/>
      <c r="BB327" s="3202"/>
      <c r="BC327" s="3205"/>
      <c r="BD327" s="3205"/>
      <c r="BE327" s="3205"/>
      <c r="DG327" s="3186"/>
    </row>
    <row r="328" spans="5:111">
      <c r="E328" s="3204"/>
      <c r="F328" s="3202"/>
      <c r="G328" s="3202"/>
      <c r="H328" s="3202"/>
      <c r="I328" s="3203"/>
      <c r="J328" s="3203"/>
      <c r="K328" s="3202"/>
      <c r="L328" s="3203"/>
      <c r="M328" s="3203"/>
      <c r="N328" s="3202"/>
      <c r="O328" s="3203"/>
      <c r="P328" s="3203"/>
      <c r="Q328" s="3202"/>
      <c r="R328" s="3202"/>
      <c r="S328" s="3202"/>
      <c r="T328" s="3202"/>
      <c r="U328" s="3202"/>
      <c r="V328" s="3203"/>
      <c r="W328" s="3203"/>
      <c r="X328" s="3203"/>
      <c r="Y328" s="3203"/>
      <c r="Z328" s="3203"/>
      <c r="AA328" s="3203"/>
      <c r="AB328" s="3203"/>
      <c r="AC328" s="3203"/>
      <c r="AD328" s="3203"/>
      <c r="AE328" s="3203"/>
      <c r="AF328" s="3203"/>
      <c r="AG328" s="3203"/>
      <c r="AH328" s="3203"/>
      <c r="AI328" s="3203"/>
      <c r="AJ328" s="3203"/>
      <c r="AK328" s="3203"/>
      <c r="AL328" s="3203"/>
      <c r="AM328" s="3203"/>
      <c r="AN328" s="3203"/>
      <c r="AO328" s="3203"/>
      <c r="AP328" s="3203"/>
      <c r="AQ328" s="3202"/>
      <c r="AR328" s="3202"/>
      <c r="AS328" s="3202"/>
      <c r="AT328" s="3202"/>
      <c r="AU328" s="3202"/>
      <c r="AV328" s="3202"/>
      <c r="AW328" s="3202"/>
      <c r="AX328" s="3202"/>
      <c r="AY328" s="3202"/>
      <c r="AZ328" s="3201"/>
      <c r="BA328" s="3201"/>
      <c r="BB328" s="3202"/>
      <c r="BC328" s="3201"/>
      <c r="BD328" s="3201"/>
      <c r="BE328" s="3201"/>
      <c r="DG328" s="3186"/>
    </row>
    <row r="329" spans="5:111">
      <c r="E329" s="3204"/>
      <c r="I329" s="3190"/>
      <c r="J329" s="3190"/>
      <c r="L329" s="3190"/>
      <c r="M329" s="3190"/>
      <c r="O329" s="3190"/>
      <c r="P329" s="3190"/>
      <c r="AT329" s="3202"/>
      <c r="AU329" s="3202"/>
      <c r="AV329" s="3202"/>
      <c r="AW329" s="3202"/>
      <c r="AX329" s="3202"/>
      <c r="AY329" s="3202"/>
      <c r="AZ329" s="3205"/>
      <c r="BA329" s="3206"/>
      <c r="BB329" s="3202"/>
      <c r="BC329" s="3205"/>
      <c r="BD329" s="3205"/>
      <c r="BE329" s="3205"/>
      <c r="DG329" s="3186"/>
    </row>
    <row r="330" spans="5:111">
      <c r="E330" s="3204"/>
      <c r="F330" s="3202"/>
      <c r="G330" s="3202"/>
      <c r="H330" s="3202"/>
      <c r="I330" s="3203"/>
      <c r="J330" s="3203"/>
      <c r="K330" s="3202"/>
      <c r="L330" s="3203"/>
      <c r="M330" s="3203"/>
      <c r="N330" s="3202"/>
      <c r="O330" s="3203"/>
      <c r="P330" s="3203"/>
      <c r="Q330" s="3202"/>
      <c r="R330" s="3202"/>
      <c r="S330" s="3202"/>
      <c r="T330" s="3202"/>
      <c r="U330" s="3202"/>
      <c r="V330" s="3202"/>
      <c r="W330" s="3203"/>
      <c r="X330" s="3202"/>
      <c r="Y330" s="3202"/>
      <c r="Z330" s="3202"/>
      <c r="AA330" s="3202"/>
      <c r="AB330" s="3202"/>
      <c r="AC330" s="3202"/>
      <c r="AD330" s="3202"/>
      <c r="AE330" s="3202"/>
      <c r="AF330" s="3202"/>
      <c r="AG330" s="3203"/>
      <c r="AH330" s="3202"/>
      <c r="AI330" s="3202"/>
      <c r="AJ330" s="3202"/>
      <c r="AK330" s="3202"/>
      <c r="AL330" s="3202"/>
      <c r="AM330" s="3202"/>
      <c r="AN330" s="3202"/>
      <c r="AO330" s="3202"/>
      <c r="AP330" s="3202"/>
      <c r="AQ330" s="3202"/>
      <c r="AR330" s="3202"/>
      <c r="AS330" s="3202"/>
      <c r="AT330" s="3202"/>
      <c r="AU330" s="3202"/>
      <c r="AV330" s="3202"/>
      <c r="AW330" s="3202"/>
      <c r="AX330" s="3202"/>
      <c r="AY330" s="3202"/>
      <c r="DG330" s="3186"/>
    </row>
    <row r="331" spans="5:111">
      <c r="E331" s="3204"/>
      <c r="F331" s="3202"/>
      <c r="G331" s="3202"/>
      <c r="H331" s="3202"/>
      <c r="I331" s="3203"/>
      <c r="J331" s="3203"/>
      <c r="K331" s="3202"/>
      <c r="L331" s="3203"/>
      <c r="M331" s="3203"/>
      <c r="N331" s="3202"/>
      <c r="O331" s="3203"/>
      <c r="P331" s="3203"/>
      <c r="Q331" s="3202"/>
      <c r="R331" s="3202"/>
      <c r="S331" s="3202"/>
      <c r="T331" s="3202"/>
      <c r="U331" s="3202"/>
      <c r="V331" s="3202"/>
      <c r="W331" s="3202"/>
      <c r="X331" s="3202"/>
      <c r="Y331" s="3202"/>
      <c r="Z331" s="3202"/>
      <c r="AA331" s="3202"/>
      <c r="AB331" s="3202"/>
      <c r="AC331" s="3202"/>
      <c r="AD331" s="3202"/>
      <c r="AE331" s="3202"/>
      <c r="AF331" s="3202"/>
      <c r="AG331" s="3202"/>
      <c r="AH331" s="3202"/>
      <c r="AI331" s="3202"/>
      <c r="AJ331" s="3202"/>
      <c r="AK331" s="3202"/>
      <c r="AL331" s="3202"/>
      <c r="AM331" s="3202"/>
      <c r="AN331" s="3202"/>
      <c r="AO331" s="3202"/>
      <c r="AP331" s="3202"/>
      <c r="AQ331" s="3202"/>
      <c r="AR331" s="3202"/>
      <c r="AS331" s="3202"/>
      <c r="AT331" s="3202"/>
      <c r="AU331" s="3202"/>
      <c r="AV331" s="3202"/>
      <c r="AW331" s="3202"/>
      <c r="AX331" s="3202"/>
      <c r="AY331" s="3202"/>
      <c r="DG331" s="3186"/>
    </row>
    <row r="332" spans="5:111">
      <c r="E332" s="3204"/>
      <c r="F332" s="3202"/>
      <c r="G332" s="3202"/>
      <c r="H332" s="3202"/>
      <c r="I332" s="3203"/>
      <c r="J332" s="3203"/>
      <c r="K332" s="3202"/>
      <c r="L332" s="3203"/>
      <c r="M332" s="3203"/>
      <c r="N332" s="3202"/>
      <c r="O332" s="3203"/>
      <c r="P332" s="3203"/>
      <c r="Q332" s="3202"/>
      <c r="R332" s="3202"/>
      <c r="S332" s="3202"/>
      <c r="T332" s="3202"/>
      <c r="U332" s="3202"/>
      <c r="V332" s="3202"/>
      <c r="W332" s="3202"/>
      <c r="X332" s="3202"/>
      <c r="Y332" s="3202"/>
      <c r="Z332" s="3202"/>
      <c r="AA332" s="3202"/>
      <c r="AB332" s="3202"/>
      <c r="AC332" s="3202"/>
      <c r="AD332" s="3202"/>
      <c r="AE332" s="3202"/>
      <c r="AF332" s="3202"/>
      <c r="AG332" s="3202"/>
      <c r="AH332" s="3202"/>
      <c r="AI332" s="3202"/>
      <c r="AJ332" s="3202"/>
      <c r="AK332" s="3202"/>
      <c r="AL332" s="3202"/>
      <c r="AM332" s="3202"/>
      <c r="AN332" s="3202"/>
      <c r="AO332" s="3202"/>
      <c r="AP332" s="3202"/>
      <c r="AQ332" s="3202"/>
      <c r="AR332" s="3202"/>
      <c r="AS332" s="3202"/>
      <c r="AT332" s="3202"/>
      <c r="AU332" s="3202"/>
      <c r="AV332" s="3202"/>
      <c r="AW332" s="3202"/>
      <c r="AX332" s="3202"/>
      <c r="AY332" s="3202"/>
      <c r="DG332" s="3186"/>
    </row>
    <row r="333" spans="5:111">
      <c r="E333" s="3204"/>
      <c r="F333" s="3202"/>
      <c r="G333" s="3202"/>
      <c r="H333" s="3202"/>
      <c r="I333" s="3203"/>
      <c r="J333" s="3203"/>
      <c r="K333" s="3202"/>
      <c r="L333" s="3203"/>
      <c r="M333" s="3203"/>
      <c r="N333" s="3202"/>
      <c r="O333" s="3203"/>
      <c r="P333" s="3203"/>
      <c r="Q333" s="3202"/>
      <c r="R333" s="3202"/>
      <c r="S333" s="3202"/>
      <c r="T333" s="3202"/>
      <c r="U333" s="3202"/>
      <c r="V333" s="3203"/>
      <c r="W333" s="3203"/>
      <c r="X333" s="3203"/>
      <c r="Y333" s="3203"/>
      <c r="Z333" s="3203"/>
      <c r="AA333" s="3203"/>
      <c r="AB333" s="3203"/>
      <c r="AC333" s="3203"/>
      <c r="AD333" s="3203"/>
      <c r="AE333" s="3203"/>
      <c r="AF333" s="3203"/>
      <c r="AG333" s="3203"/>
      <c r="AH333" s="3203"/>
      <c r="AI333" s="3203"/>
      <c r="AJ333" s="3203"/>
      <c r="AK333" s="3203"/>
      <c r="AL333" s="3203"/>
      <c r="AM333" s="3203"/>
      <c r="AN333" s="3203"/>
      <c r="AO333" s="3203"/>
      <c r="AP333" s="3203"/>
      <c r="AQ333" s="3202"/>
      <c r="AR333" s="3202"/>
      <c r="AS333" s="3202"/>
      <c r="AT333" s="3202"/>
      <c r="AU333" s="3202"/>
      <c r="AV333" s="3202"/>
      <c r="AW333" s="3202"/>
      <c r="AX333" s="3202"/>
      <c r="AY333" s="3202"/>
      <c r="DG333" s="3186"/>
    </row>
    <row r="334" spans="5:111">
      <c r="E334" s="3204"/>
      <c r="F334" s="3202"/>
      <c r="G334" s="3202"/>
      <c r="H334" s="3202"/>
      <c r="I334" s="3203"/>
      <c r="J334" s="3203"/>
      <c r="K334" s="3202"/>
      <c r="L334" s="3203"/>
      <c r="M334" s="3203"/>
      <c r="N334" s="3202"/>
      <c r="O334" s="3203"/>
      <c r="P334" s="3203"/>
      <c r="Q334" s="3202"/>
      <c r="R334" s="3202"/>
      <c r="S334" s="3202"/>
      <c r="T334" s="3202"/>
      <c r="U334" s="3202"/>
      <c r="V334" s="3203"/>
      <c r="W334" s="3203"/>
      <c r="X334" s="3203"/>
      <c r="Y334" s="3203"/>
      <c r="Z334" s="3203"/>
      <c r="AA334" s="3203"/>
      <c r="AB334" s="3203"/>
      <c r="AC334" s="3203"/>
      <c r="AD334" s="3203"/>
      <c r="AE334" s="3203"/>
      <c r="AF334" s="3203"/>
      <c r="AG334" s="3203"/>
      <c r="AH334" s="3203"/>
      <c r="AI334" s="3203"/>
      <c r="AJ334" s="3203"/>
      <c r="AK334" s="3203"/>
      <c r="AL334" s="3203"/>
      <c r="AM334" s="3203"/>
      <c r="AN334" s="3203"/>
      <c r="AO334" s="3203"/>
      <c r="AP334" s="3203"/>
      <c r="AQ334" s="3202"/>
      <c r="AR334" s="3202"/>
      <c r="AS334" s="3202"/>
      <c r="AT334" s="3202"/>
      <c r="AU334" s="3202"/>
      <c r="AV334" s="3202"/>
      <c r="AW334" s="3202"/>
      <c r="AX334" s="3202"/>
      <c r="AY334" s="3202"/>
      <c r="DG334" s="3186"/>
    </row>
    <row r="335" spans="5:111">
      <c r="AQ335" s="3201"/>
      <c r="AR335" s="3201"/>
      <c r="AS335" s="3201"/>
      <c r="AT335" s="3202"/>
      <c r="AU335" s="3202"/>
      <c r="AV335" s="3202"/>
      <c r="AW335" s="3202"/>
      <c r="AX335" s="3202"/>
      <c r="AY335" s="3202"/>
      <c r="AZ335" s="3201"/>
      <c r="BA335" s="3201"/>
      <c r="BB335" s="3202"/>
      <c r="DG335" s="3186"/>
    </row>
    <row r="336" spans="5:111">
      <c r="E336" s="3204"/>
      <c r="F336" s="3202"/>
      <c r="G336" s="3202"/>
      <c r="H336" s="3202"/>
      <c r="I336" s="3202"/>
      <c r="J336" s="3202"/>
      <c r="K336" s="3202"/>
      <c r="L336" s="3202"/>
      <c r="M336" s="3202"/>
      <c r="N336" s="3202"/>
      <c r="O336" s="3202"/>
      <c r="P336" s="3202"/>
      <c r="Q336" s="3202"/>
      <c r="R336" s="3202"/>
      <c r="S336" s="3202"/>
      <c r="T336" s="3202"/>
      <c r="U336" s="3202"/>
      <c r="V336" s="3202"/>
      <c r="W336" s="3202"/>
      <c r="X336" s="3202"/>
      <c r="Y336" s="3202"/>
      <c r="Z336" s="3202"/>
      <c r="AA336" s="3202"/>
      <c r="AB336" s="3202"/>
      <c r="AC336" s="3202"/>
      <c r="AD336" s="3202"/>
      <c r="AE336" s="3202"/>
      <c r="AF336" s="3202"/>
      <c r="AG336" s="3202"/>
      <c r="AH336" s="3202"/>
      <c r="AI336" s="3202"/>
      <c r="AJ336" s="3202"/>
      <c r="AK336" s="3202"/>
      <c r="AL336" s="3202"/>
      <c r="AM336" s="3202"/>
      <c r="AN336" s="3202"/>
      <c r="AO336" s="3202"/>
      <c r="AP336" s="3202"/>
      <c r="AQ336" s="3202"/>
      <c r="AR336" s="3203"/>
      <c r="AS336" s="3203"/>
      <c r="AT336" s="3202"/>
      <c r="AU336" s="3202"/>
      <c r="AV336" s="3202"/>
      <c r="AW336" s="3202"/>
      <c r="AX336" s="3202"/>
      <c r="AY336" s="3202"/>
      <c r="AZ336" s="3205"/>
      <c r="BA336" s="3205"/>
      <c r="BB336" s="3202"/>
      <c r="DG336" s="3186"/>
    </row>
    <row r="337" spans="4:112">
      <c r="E337" s="3204"/>
      <c r="F337" s="3202"/>
      <c r="G337" s="3202"/>
      <c r="H337" s="3202"/>
      <c r="I337" s="3202"/>
      <c r="J337" s="3202"/>
      <c r="K337" s="3202"/>
      <c r="L337" s="3202"/>
      <c r="M337" s="3202"/>
      <c r="N337" s="3202"/>
      <c r="O337" s="3202"/>
      <c r="P337" s="3202"/>
      <c r="Q337" s="3202"/>
      <c r="R337" s="3202"/>
      <c r="S337" s="3202"/>
      <c r="T337" s="3202"/>
      <c r="U337" s="3202"/>
      <c r="V337" s="3202"/>
      <c r="W337" s="3202"/>
      <c r="X337" s="3202"/>
      <c r="Y337" s="3202"/>
      <c r="Z337" s="3202"/>
      <c r="AA337" s="3202"/>
      <c r="AB337" s="3202"/>
      <c r="AC337" s="3202"/>
      <c r="AD337" s="3202"/>
      <c r="AE337" s="3202"/>
      <c r="AF337" s="3202"/>
      <c r="AG337" s="3202"/>
      <c r="AH337" s="3202"/>
      <c r="AI337" s="3202"/>
      <c r="AJ337" s="3202"/>
      <c r="AK337" s="3202"/>
      <c r="AL337" s="3202"/>
      <c r="AM337" s="3202"/>
      <c r="AN337" s="3202"/>
      <c r="AO337" s="3202"/>
      <c r="AP337" s="3202"/>
      <c r="AQ337" s="3202"/>
      <c r="AR337" s="3202"/>
      <c r="AS337" s="3202"/>
      <c r="AT337" s="3202"/>
      <c r="AU337" s="3202"/>
      <c r="AV337" s="3202"/>
      <c r="AW337" s="3202"/>
      <c r="AX337" s="3202"/>
      <c r="AY337" s="3202"/>
      <c r="BB337" s="3202"/>
      <c r="DG337" s="3186"/>
    </row>
    <row r="338" spans="4:112">
      <c r="E338" s="3204"/>
      <c r="F338" s="3202"/>
      <c r="G338" s="3202"/>
      <c r="H338" s="3202"/>
      <c r="I338" s="3202"/>
      <c r="J338" s="3202"/>
      <c r="K338" s="3202"/>
      <c r="L338" s="3202"/>
      <c r="M338" s="3202"/>
      <c r="N338" s="3202"/>
      <c r="O338" s="3202"/>
      <c r="P338" s="3202"/>
      <c r="Q338" s="3202"/>
      <c r="R338" s="3202"/>
      <c r="S338" s="3202"/>
      <c r="T338" s="3202"/>
      <c r="U338" s="3202"/>
      <c r="V338" s="3202"/>
      <c r="W338" s="3202"/>
      <c r="X338" s="3202"/>
      <c r="Y338" s="3202"/>
      <c r="Z338" s="3202"/>
      <c r="AA338" s="3202"/>
      <c r="AB338" s="3202"/>
      <c r="AC338" s="3202"/>
      <c r="AD338" s="3202"/>
      <c r="AE338" s="3202"/>
      <c r="AF338" s="3202"/>
      <c r="AG338" s="3202"/>
      <c r="AH338" s="3202"/>
      <c r="AI338" s="3202"/>
      <c r="AJ338" s="3202"/>
      <c r="AK338" s="3202"/>
      <c r="AL338" s="3202"/>
      <c r="AM338" s="3202"/>
      <c r="AN338" s="3202"/>
      <c r="AO338" s="3202"/>
      <c r="AP338" s="3202"/>
      <c r="AQ338" s="3202"/>
      <c r="AR338" s="3202"/>
      <c r="AS338" s="3202"/>
      <c r="AT338" s="3202"/>
      <c r="AU338" s="3202"/>
      <c r="AV338" s="3202"/>
      <c r="AW338" s="3202"/>
      <c r="AX338" s="3202"/>
      <c r="AY338" s="3202"/>
      <c r="BB338" s="3202"/>
      <c r="DG338" s="3186"/>
    </row>
    <row r="339" spans="4:112">
      <c r="DG339" s="3186"/>
    </row>
    <row r="340" spans="4:112">
      <c r="E340" s="3191"/>
      <c r="F340" s="3192"/>
      <c r="G340" s="3192"/>
      <c r="H340" s="3192"/>
      <c r="I340" s="3192"/>
      <c r="J340" s="3192"/>
      <c r="K340" s="3192"/>
      <c r="L340" s="3192"/>
      <c r="M340" s="3192"/>
      <c r="N340" s="3192"/>
      <c r="O340" s="3192"/>
      <c r="P340" s="3192"/>
      <c r="Q340" s="3192"/>
      <c r="R340" s="3192"/>
      <c r="S340" s="3192"/>
      <c r="T340" s="3192"/>
      <c r="U340" s="3192"/>
      <c r="V340" s="3192"/>
      <c r="X340" s="3192"/>
      <c r="Y340" s="3192"/>
      <c r="Z340" s="3192"/>
      <c r="AA340" s="3192"/>
      <c r="AB340" s="3192"/>
      <c r="AC340" s="3192"/>
      <c r="AD340" s="3192"/>
      <c r="AE340" s="3192"/>
      <c r="AH340" s="3192"/>
      <c r="AI340" s="3192"/>
      <c r="AJ340" s="3192"/>
      <c r="AK340" s="3192"/>
      <c r="AL340" s="3192"/>
      <c r="AM340" s="3192"/>
      <c r="AN340" s="3192"/>
      <c r="AO340" s="3192"/>
      <c r="BB340" s="3192"/>
      <c r="DG340" s="3186"/>
    </row>
    <row r="341" spans="4:112">
      <c r="D341" s="3207"/>
      <c r="E341" s="3204"/>
      <c r="F341" s="3202"/>
      <c r="G341" s="3202"/>
      <c r="H341" s="3202"/>
      <c r="I341" s="3202"/>
      <c r="J341" s="3202"/>
      <c r="K341" s="3202"/>
      <c r="L341" s="3202"/>
      <c r="M341" s="3202"/>
      <c r="N341" s="3202"/>
      <c r="O341" s="3202"/>
      <c r="P341" s="3202"/>
      <c r="Q341" s="3202"/>
      <c r="R341" s="3202"/>
      <c r="S341" s="3202"/>
      <c r="T341" s="3201"/>
      <c r="U341" s="3201"/>
      <c r="V341" s="3201"/>
      <c r="W341" s="3201"/>
      <c r="X341" s="3201"/>
      <c r="Y341" s="3201"/>
      <c r="Z341" s="3201"/>
      <c r="AA341" s="3201"/>
      <c r="AB341" s="3201"/>
      <c r="AC341" s="3201"/>
      <c r="AD341" s="3201"/>
      <c r="AE341" s="3201"/>
      <c r="AF341" s="3201"/>
      <c r="AG341" s="3201"/>
      <c r="AH341" s="3201"/>
      <c r="AI341" s="3201"/>
      <c r="AJ341" s="3201"/>
      <c r="AK341" s="3201"/>
      <c r="AL341" s="3201"/>
      <c r="AM341" s="3201"/>
      <c r="AN341" s="3201"/>
      <c r="AO341" s="3201"/>
      <c r="AP341" s="3201"/>
      <c r="AQ341" s="3201"/>
      <c r="AR341" s="3201"/>
      <c r="AS341" s="3201"/>
      <c r="AT341" s="3201"/>
      <c r="AU341" s="3201"/>
      <c r="AV341" s="3201"/>
      <c r="AW341" s="3201"/>
      <c r="AX341" s="3201"/>
      <c r="AY341" s="3201"/>
      <c r="AZ341" s="3202"/>
      <c r="BA341" s="3202"/>
      <c r="BB341" s="3202"/>
      <c r="DH341" s="3186"/>
    </row>
    <row r="342" spans="4:112">
      <c r="E342" s="3204"/>
      <c r="F342" s="3202"/>
      <c r="AT342" s="3202"/>
      <c r="AU342" s="3202"/>
      <c r="AV342" s="3202"/>
      <c r="AW342" s="3202"/>
      <c r="AX342" s="3202"/>
      <c r="AY342" s="3202"/>
      <c r="AZ342" s="3193"/>
      <c r="BB342" s="3202"/>
      <c r="DG342" s="3186"/>
    </row>
    <row r="343" spans="4:112">
      <c r="E343" s="3204"/>
      <c r="F343" s="3202"/>
      <c r="G343" s="3202"/>
      <c r="H343" s="3202"/>
      <c r="I343" s="3203"/>
      <c r="J343" s="3203"/>
      <c r="K343" s="3202"/>
      <c r="L343" s="3203"/>
      <c r="M343" s="3203"/>
      <c r="N343" s="3202"/>
      <c r="O343" s="3203"/>
      <c r="P343" s="3203"/>
      <c r="Q343" s="3202"/>
      <c r="R343" s="3202"/>
      <c r="S343" s="3202"/>
      <c r="T343" s="3202"/>
      <c r="U343" s="3202"/>
      <c r="V343" s="3202"/>
      <c r="W343" s="3203"/>
      <c r="X343" s="3202"/>
      <c r="Y343" s="3202"/>
      <c r="Z343" s="3202"/>
      <c r="AA343" s="3202"/>
      <c r="AB343" s="3202"/>
      <c r="AC343" s="3202"/>
      <c r="AD343" s="3202"/>
      <c r="AE343" s="3202"/>
      <c r="AF343" s="3202"/>
      <c r="AG343" s="3203"/>
      <c r="AH343" s="3202"/>
      <c r="AI343" s="3202"/>
      <c r="AJ343" s="3202"/>
      <c r="AK343" s="3202"/>
      <c r="AL343" s="3202"/>
      <c r="AM343" s="3202"/>
      <c r="AN343" s="3202"/>
      <c r="AO343" s="3202"/>
      <c r="AP343" s="3202"/>
      <c r="AQ343" s="3202"/>
      <c r="AR343" s="3202"/>
      <c r="AS343" s="3202"/>
      <c r="AT343" s="3202"/>
      <c r="AU343" s="3202"/>
      <c r="AV343" s="3202"/>
      <c r="AW343" s="3202"/>
      <c r="AX343" s="3202"/>
      <c r="AY343" s="3202"/>
      <c r="AZ343" s="3202"/>
      <c r="BA343" s="3202"/>
      <c r="BB343" s="3202"/>
      <c r="DD343" s="3187"/>
      <c r="DG343" s="3186"/>
    </row>
    <row r="344" spans="4:112" ht="12.75" customHeight="1">
      <c r="E344" s="3204"/>
      <c r="F344" s="3202"/>
      <c r="G344" s="3202"/>
      <c r="H344" s="3202"/>
      <c r="I344" s="3203"/>
      <c r="J344" s="3203"/>
      <c r="K344" s="3202"/>
      <c r="L344" s="3203"/>
      <c r="M344" s="3203"/>
      <c r="N344" s="3202"/>
      <c r="O344" s="3203"/>
      <c r="P344" s="3203"/>
      <c r="Q344" s="3202"/>
      <c r="R344" s="3202"/>
      <c r="S344" s="3202"/>
      <c r="T344" s="3202"/>
      <c r="U344" s="3202"/>
      <c r="V344" s="3202"/>
      <c r="W344" s="3202"/>
      <c r="X344" s="3202"/>
      <c r="Y344" s="3202"/>
      <c r="Z344" s="3202"/>
      <c r="AA344" s="3202"/>
      <c r="AB344" s="3202"/>
      <c r="AC344" s="3202"/>
      <c r="AD344" s="3202"/>
      <c r="AE344" s="3202"/>
      <c r="AF344" s="3202"/>
      <c r="AG344" s="3202"/>
      <c r="AH344" s="3202"/>
      <c r="AI344" s="3202"/>
      <c r="AJ344" s="3202"/>
      <c r="AK344" s="3202"/>
      <c r="AL344" s="3202"/>
      <c r="AM344" s="3202"/>
      <c r="AN344" s="3202"/>
      <c r="AO344" s="3202"/>
      <c r="AP344" s="3202"/>
      <c r="AQ344" s="3202"/>
      <c r="AR344" s="3202"/>
      <c r="AS344" s="3202"/>
      <c r="AT344" s="3202"/>
      <c r="AU344" s="3202"/>
      <c r="AV344" s="3202"/>
      <c r="AW344" s="3202"/>
      <c r="AX344" s="3202"/>
      <c r="AY344" s="3202"/>
      <c r="AZ344" s="3205"/>
      <c r="BA344" s="3205"/>
      <c r="BB344" s="3202"/>
      <c r="DD344" s="3187"/>
      <c r="DG344" s="3186"/>
    </row>
    <row r="345" spans="4:112">
      <c r="E345" s="3204"/>
      <c r="F345" s="3202"/>
      <c r="G345" s="3202"/>
      <c r="H345" s="3202"/>
      <c r="I345" s="3203"/>
      <c r="J345" s="3203"/>
      <c r="K345" s="3202"/>
      <c r="L345" s="3203"/>
      <c r="M345" s="3203"/>
      <c r="N345" s="3202"/>
      <c r="O345" s="3203"/>
      <c r="P345" s="3203"/>
      <c r="Q345" s="3202"/>
      <c r="R345" s="3202"/>
      <c r="S345" s="3202"/>
      <c r="T345" s="3202"/>
      <c r="U345" s="3202"/>
      <c r="V345" s="3202"/>
      <c r="W345" s="3202"/>
      <c r="X345" s="3202"/>
      <c r="Y345" s="3202"/>
      <c r="Z345" s="3202"/>
      <c r="AA345" s="3202"/>
      <c r="AB345" s="3202"/>
      <c r="AC345" s="3202"/>
      <c r="AD345" s="3202"/>
      <c r="AE345" s="3202"/>
      <c r="AF345" s="3202"/>
      <c r="AG345" s="3202"/>
      <c r="AH345" s="3202"/>
      <c r="AI345" s="3202"/>
      <c r="AJ345" s="3202"/>
      <c r="AK345" s="3202"/>
      <c r="AL345" s="3202"/>
      <c r="AM345" s="3202"/>
      <c r="AN345" s="3202"/>
      <c r="AO345" s="3202"/>
      <c r="AP345" s="3202"/>
      <c r="AQ345" s="3202"/>
      <c r="AR345" s="3202"/>
      <c r="AS345" s="3202"/>
      <c r="AT345" s="3202"/>
      <c r="AU345" s="3202"/>
      <c r="AV345" s="3202"/>
      <c r="AW345" s="3202"/>
      <c r="AX345" s="3202"/>
      <c r="AY345" s="3202"/>
      <c r="BB345" s="3202"/>
      <c r="DD345" s="3187"/>
      <c r="DG345" s="3186"/>
    </row>
    <row r="346" spans="4:112">
      <c r="E346" s="3204"/>
      <c r="F346" s="3202"/>
      <c r="G346" s="3202"/>
      <c r="H346" s="3202"/>
      <c r="I346" s="3203"/>
      <c r="J346" s="3203"/>
      <c r="K346" s="3202"/>
      <c r="L346" s="3203"/>
      <c r="M346" s="3203"/>
      <c r="N346" s="3202"/>
      <c r="O346" s="3203"/>
      <c r="P346" s="3203"/>
      <c r="Q346" s="3202"/>
      <c r="R346" s="3202"/>
      <c r="S346" s="3202"/>
      <c r="T346" s="3202"/>
      <c r="U346" s="3202"/>
      <c r="V346" s="3203"/>
      <c r="W346" s="3203"/>
      <c r="X346" s="3203"/>
      <c r="Y346" s="3203"/>
      <c r="Z346" s="3203"/>
      <c r="AA346" s="3203"/>
      <c r="AB346" s="3203"/>
      <c r="AC346" s="3203"/>
      <c r="AD346" s="3203"/>
      <c r="AE346" s="3203"/>
      <c r="AF346" s="3203"/>
      <c r="AG346" s="3203"/>
      <c r="AH346" s="3203"/>
      <c r="AI346" s="3203"/>
      <c r="AJ346" s="3203"/>
      <c r="AK346" s="3203"/>
      <c r="AL346" s="3203"/>
      <c r="AM346" s="3203"/>
      <c r="AN346" s="3203"/>
      <c r="AO346" s="3203"/>
      <c r="AP346" s="3203"/>
      <c r="AQ346" s="3202"/>
      <c r="AR346" s="3202"/>
      <c r="AS346" s="3202"/>
      <c r="AT346" s="3202"/>
      <c r="AU346" s="3202"/>
      <c r="AV346" s="3202"/>
      <c r="AW346" s="3202"/>
      <c r="AX346" s="3202"/>
      <c r="AY346" s="3202"/>
      <c r="AZ346" s="3202"/>
      <c r="BA346" s="3202"/>
      <c r="BB346" s="3202"/>
      <c r="DD346" s="3187"/>
      <c r="DG346" s="3186"/>
    </row>
    <row r="347" spans="4:112">
      <c r="E347" s="3204"/>
      <c r="F347" s="3202"/>
      <c r="G347" s="3202"/>
      <c r="H347" s="3202"/>
      <c r="I347" s="3203"/>
      <c r="J347" s="3203"/>
      <c r="K347" s="3202"/>
      <c r="L347" s="3203"/>
      <c r="M347" s="3203"/>
      <c r="N347" s="3202"/>
      <c r="O347" s="3203"/>
      <c r="P347" s="3203"/>
      <c r="Q347" s="3202"/>
      <c r="R347" s="3202"/>
      <c r="S347" s="3202"/>
      <c r="T347" s="3202"/>
      <c r="U347" s="3202"/>
      <c r="V347" s="3203"/>
      <c r="W347" s="3203"/>
      <c r="X347" s="3203"/>
      <c r="Y347" s="3203"/>
      <c r="Z347" s="3203"/>
      <c r="AA347" s="3203"/>
      <c r="AB347" s="3203"/>
      <c r="AC347" s="3203"/>
      <c r="AD347" s="3203"/>
      <c r="AE347" s="3203"/>
      <c r="AF347" s="3203"/>
      <c r="AG347" s="3203"/>
      <c r="AH347" s="3203"/>
      <c r="AI347" s="3203"/>
      <c r="AJ347" s="3203"/>
      <c r="AK347" s="3203"/>
      <c r="AL347" s="3203"/>
      <c r="AM347" s="3203"/>
      <c r="AN347" s="3203"/>
      <c r="AO347" s="3203"/>
      <c r="AP347" s="3203"/>
      <c r="AQ347" s="3202"/>
      <c r="AR347" s="3202"/>
      <c r="AS347" s="3202"/>
      <c r="AT347" s="3202"/>
      <c r="AU347" s="3202"/>
      <c r="AV347" s="3202"/>
      <c r="AW347" s="3202"/>
      <c r="AX347" s="3202"/>
      <c r="AY347" s="3202"/>
      <c r="AZ347" s="3203"/>
      <c r="BA347" s="3203"/>
      <c r="BB347" s="3202"/>
      <c r="DD347" s="3187"/>
      <c r="DG347" s="3186"/>
    </row>
    <row r="348" spans="4:112">
      <c r="E348" s="3204"/>
      <c r="I348" s="3190"/>
      <c r="J348" s="3190"/>
      <c r="L348" s="3190"/>
      <c r="M348" s="3190"/>
      <c r="O348" s="3190"/>
      <c r="P348" s="3190"/>
      <c r="AT348" s="3202"/>
      <c r="AU348" s="3202"/>
      <c r="AV348" s="3202"/>
      <c r="AW348" s="3202"/>
      <c r="AX348" s="3202"/>
      <c r="AY348" s="3202"/>
      <c r="AZ348" s="3202"/>
      <c r="BA348" s="3202"/>
      <c r="BB348" s="3202"/>
      <c r="DG348" s="3186"/>
    </row>
    <row r="349" spans="4:112">
      <c r="E349" s="3204"/>
      <c r="F349" s="3202"/>
      <c r="G349" s="3202"/>
      <c r="H349" s="3202"/>
      <c r="I349" s="3203"/>
      <c r="J349" s="3203"/>
      <c r="K349" s="3202"/>
      <c r="L349" s="3203"/>
      <c r="M349" s="3203"/>
      <c r="N349" s="3202"/>
      <c r="O349" s="3203"/>
      <c r="P349" s="3203"/>
      <c r="Q349" s="3202"/>
      <c r="R349" s="3202"/>
      <c r="S349" s="3202"/>
      <c r="T349" s="3202"/>
      <c r="U349" s="3202"/>
      <c r="V349" s="3202"/>
      <c r="W349" s="3203"/>
      <c r="X349" s="3202"/>
      <c r="Y349" s="3202"/>
      <c r="Z349" s="3202"/>
      <c r="AA349" s="3202"/>
      <c r="AB349" s="3202"/>
      <c r="AC349" s="3202"/>
      <c r="AD349" s="3202"/>
      <c r="AE349" s="3202"/>
      <c r="AF349" s="3202"/>
      <c r="AG349" s="3203"/>
      <c r="AH349" s="3202"/>
      <c r="AI349" s="3202"/>
      <c r="AJ349" s="3202"/>
      <c r="AK349" s="3202"/>
      <c r="AL349" s="3202"/>
      <c r="AM349" s="3202"/>
      <c r="AN349" s="3202"/>
      <c r="AO349" s="3202"/>
      <c r="AP349" s="3202"/>
      <c r="AQ349" s="3202"/>
      <c r="AR349" s="3202"/>
      <c r="AS349" s="3202"/>
      <c r="AT349" s="3202"/>
      <c r="AU349" s="3202"/>
      <c r="AV349" s="3202"/>
      <c r="AW349" s="3202"/>
      <c r="AX349" s="3202"/>
      <c r="AY349" s="3202"/>
      <c r="AZ349" s="3203"/>
      <c r="BA349" s="3203"/>
      <c r="BB349" s="3202"/>
      <c r="DG349" s="3186"/>
    </row>
    <row r="350" spans="4:112">
      <c r="E350" s="3204"/>
      <c r="F350" s="3202"/>
      <c r="G350" s="3202"/>
      <c r="H350" s="3202"/>
      <c r="I350" s="3203"/>
      <c r="J350" s="3203"/>
      <c r="K350" s="3202"/>
      <c r="L350" s="3203"/>
      <c r="M350" s="3203"/>
      <c r="N350" s="3202"/>
      <c r="O350" s="3203"/>
      <c r="P350" s="3203"/>
      <c r="Q350" s="3202"/>
      <c r="R350" s="3202"/>
      <c r="S350" s="3202"/>
      <c r="T350" s="3202"/>
      <c r="U350" s="3202"/>
      <c r="V350" s="3202"/>
      <c r="W350" s="3202"/>
      <c r="X350" s="3202"/>
      <c r="Y350" s="3202"/>
      <c r="Z350" s="3202"/>
      <c r="AA350" s="3202"/>
      <c r="AB350" s="3202"/>
      <c r="AC350" s="3202"/>
      <c r="AD350" s="3202"/>
      <c r="AE350" s="3202"/>
      <c r="AF350" s="3202"/>
      <c r="AG350" s="3202"/>
      <c r="AH350" s="3202"/>
      <c r="AI350" s="3202"/>
      <c r="AJ350" s="3202"/>
      <c r="AK350" s="3202"/>
      <c r="AL350" s="3202"/>
      <c r="AM350" s="3202"/>
      <c r="AN350" s="3202"/>
      <c r="AO350" s="3202"/>
      <c r="AP350" s="3202"/>
      <c r="AQ350" s="3202"/>
      <c r="AR350" s="3202"/>
      <c r="AS350" s="3202"/>
      <c r="AT350" s="3202"/>
      <c r="AU350" s="3202"/>
      <c r="AV350" s="3202"/>
      <c r="AW350" s="3202"/>
      <c r="AX350" s="3202"/>
      <c r="AY350" s="3202"/>
      <c r="AZ350" s="3202"/>
      <c r="BA350" s="3202"/>
      <c r="BB350" s="3202"/>
      <c r="DG350" s="3186"/>
    </row>
    <row r="351" spans="4:112">
      <c r="E351" s="3204"/>
      <c r="F351" s="3202"/>
      <c r="G351" s="3202"/>
      <c r="H351" s="3202"/>
      <c r="I351" s="3203"/>
      <c r="J351" s="3203"/>
      <c r="K351" s="3202"/>
      <c r="L351" s="3203"/>
      <c r="M351" s="3203"/>
      <c r="N351" s="3202"/>
      <c r="O351" s="3203"/>
      <c r="P351" s="3203"/>
      <c r="Q351" s="3202"/>
      <c r="R351" s="3202"/>
      <c r="S351" s="3202"/>
      <c r="T351" s="3202"/>
      <c r="U351" s="3202"/>
      <c r="V351" s="3202"/>
      <c r="W351" s="3202"/>
      <c r="X351" s="3202"/>
      <c r="Y351" s="3202"/>
      <c r="Z351" s="3202"/>
      <c r="AA351" s="3202"/>
      <c r="AB351" s="3202"/>
      <c r="AC351" s="3202"/>
      <c r="AD351" s="3202"/>
      <c r="AE351" s="3202"/>
      <c r="AF351" s="3202"/>
      <c r="AG351" s="3202"/>
      <c r="AH351" s="3202"/>
      <c r="AI351" s="3202"/>
      <c r="AJ351" s="3202"/>
      <c r="AK351" s="3202"/>
      <c r="AL351" s="3202"/>
      <c r="AM351" s="3202"/>
      <c r="AN351" s="3202"/>
      <c r="AO351" s="3202"/>
      <c r="AP351" s="3202"/>
      <c r="AQ351" s="3202"/>
      <c r="AR351" s="3202"/>
      <c r="AS351" s="3202"/>
      <c r="AT351" s="3202"/>
      <c r="AU351" s="3202"/>
      <c r="AV351" s="3202"/>
      <c r="AW351" s="3202"/>
      <c r="AX351" s="3202"/>
      <c r="AY351" s="3202"/>
      <c r="AZ351" s="3203"/>
      <c r="BA351" s="3203"/>
      <c r="BB351" s="3202"/>
      <c r="DG351" s="3186"/>
    </row>
    <row r="352" spans="4:112">
      <c r="E352" s="3204"/>
      <c r="F352" s="3202"/>
      <c r="G352" s="3202"/>
      <c r="H352" s="3202"/>
      <c r="I352" s="3203"/>
      <c r="J352" s="3203"/>
      <c r="K352" s="3202"/>
      <c r="L352" s="3203"/>
      <c r="M352" s="3203"/>
      <c r="N352" s="3202"/>
      <c r="O352" s="3203"/>
      <c r="P352" s="3203"/>
      <c r="Q352" s="3202"/>
      <c r="R352" s="3202"/>
      <c r="S352" s="3202"/>
      <c r="T352" s="3202"/>
      <c r="U352" s="3202"/>
      <c r="V352" s="3203"/>
      <c r="W352" s="3203"/>
      <c r="X352" s="3203"/>
      <c r="Y352" s="3203"/>
      <c r="Z352" s="3203"/>
      <c r="AA352" s="3203"/>
      <c r="AB352" s="3203"/>
      <c r="AC352" s="3203"/>
      <c r="AD352" s="3203"/>
      <c r="AE352" s="3203"/>
      <c r="AF352" s="3203"/>
      <c r="AG352" s="3203"/>
      <c r="AH352" s="3203"/>
      <c r="AI352" s="3203"/>
      <c r="AJ352" s="3203"/>
      <c r="AK352" s="3203"/>
      <c r="AL352" s="3203"/>
      <c r="AM352" s="3203"/>
      <c r="AN352" s="3203"/>
      <c r="AO352" s="3203"/>
      <c r="AP352" s="3203"/>
      <c r="AQ352" s="3202"/>
      <c r="AR352" s="3202"/>
      <c r="AS352" s="3202"/>
      <c r="AT352" s="3202"/>
      <c r="AU352" s="3202"/>
      <c r="AV352" s="3202"/>
      <c r="AW352" s="3202"/>
      <c r="AX352" s="3202"/>
      <c r="AY352" s="3202"/>
      <c r="AZ352" s="3201"/>
      <c r="BA352" s="3201"/>
      <c r="BB352" s="3202"/>
      <c r="DG352" s="3186"/>
    </row>
    <row r="353" spans="5:111">
      <c r="E353" s="3204"/>
      <c r="F353" s="3202"/>
      <c r="G353" s="3202"/>
      <c r="H353" s="3202"/>
      <c r="I353" s="3203"/>
      <c r="J353" s="3203"/>
      <c r="K353" s="3202"/>
      <c r="L353" s="3203"/>
      <c r="M353" s="3203"/>
      <c r="N353" s="3202"/>
      <c r="O353" s="3203"/>
      <c r="P353" s="3203"/>
      <c r="Q353" s="3202"/>
      <c r="R353" s="3202"/>
      <c r="S353" s="3202"/>
      <c r="T353" s="3202"/>
      <c r="U353" s="3202"/>
      <c r="V353" s="3203"/>
      <c r="W353" s="3203"/>
      <c r="X353" s="3203"/>
      <c r="Y353" s="3203"/>
      <c r="Z353" s="3203"/>
      <c r="AA353" s="3203"/>
      <c r="AB353" s="3203"/>
      <c r="AC353" s="3203"/>
      <c r="AD353" s="3203"/>
      <c r="AE353" s="3203"/>
      <c r="AF353" s="3203"/>
      <c r="AG353" s="3203"/>
      <c r="AH353" s="3203"/>
      <c r="AI353" s="3203"/>
      <c r="AJ353" s="3203"/>
      <c r="AK353" s="3203"/>
      <c r="AL353" s="3203"/>
      <c r="AM353" s="3203"/>
      <c r="AN353" s="3203"/>
      <c r="AO353" s="3203"/>
      <c r="AP353" s="3203"/>
      <c r="AQ353" s="3202"/>
      <c r="AR353" s="3202"/>
      <c r="AS353" s="3202"/>
      <c r="AT353" s="3202"/>
      <c r="AU353" s="3202"/>
      <c r="AV353" s="3202"/>
      <c r="AW353" s="3202"/>
      <c r="AX353" s="3202"/>
      <c r="AY353" s="3202"/>
      <c r="AZ353" s="3205"/>
      <c r="BA353" s="3205"/>
      <c r="BB353" s="3202"/>
      <c r="DG353" s="3186"/>
    </row>
    <row r="354" spans="5:111">
      <c r="E354" s="3204"/>
      <c r="I354" s="3190"/>
      <c r="J354" s="3190"/>
      <c r="L354" s="3190"/>
      <c r="M354" s="3190"/>
      <c r="O354" s="3190"/>
      <c r="P354" s="3190"/>
      <c r="AT354" s="3202"/>
      <c r="AU354" s="3202"/>
      <c r="AV354" s="3202"/>
      <c r="AW354" s="3202"/>
      <c r="AX354" s="3202"/>
      <c r="AY354" s="3202"/>
      <c r="BB354" s="3202"/>
      <c r="DG354" s="3186"/>
    </row>
    <row r="355" spans="5:111">
      <c r="E355" s="3204"/>
      <c r="F355" s="3202"/>
      <c r="G355" s="3202"/>
      <c r="H355" s="3202"/>
      <c r="I355" s="3203"/>
      <c r="J355" s="3203"/>
      <c r="K355" s="3202"/>
      <c r="L355" s="3203"/>
      <c r="M355" s="3203"/>
      <c r="N355" s="3202"/>
      <c r="O355" s="3203"/>
      <c r="P355" s="3203"/>
      <c r="Q355" s="3202"/>
      <c r="R355" s="3202"/>
      <c r="S355" s="3202"/>
      <c r="T355" s="3202"/>
      <c r="U355" s="3202"/>
      <c r="V355" s="3202"/>
      <c r="W355" s="3203"/>
      <c r="X355" s="3202"/>
      <c r="Y355" s="3202"/>
      <c r="Z355" s="3202"/>
      <c r="AA355" s="3202"/>
      <c r="AB355" s="3202"/>
      <c r="AC355" s="3202"/>
      <c r="AD355" s="3202"/>
      <c r="AE355" s="3202"/>
      <c r="AF355" s="3202"/>
      <c r="AG355" s="3203"/>
      <c r="AH355" s="3202"/>
      <c r="AI355" s="3202"/>
      <c r="AJ355" s="3202"/>
      <c r="AK355" s="3202"/>
      <c r="AL355" s="3202"/>
      <c r="AM355" s="3202"/>
      <c r="AN355" s="3202"/>
      <c r="AO355" s="3202"/>
      <c r="AP355" s="3202"/>
      <c r="AQ355" s="3202"/>
      <c r="AR355" s="3202"/>
      <c r="AS355" s="3202"/>
      <c r="AT355" s="3202"/>
      <c r="AU355" s="3202"/>
      <c r="AV355" s="3202"/>
      <c r="AW355" s="3202"/>
      <c r="AX355" s="3202"/>
      <c r="AY355" s="3202"/>
      <c r="AZ355" s="3201"/>
      <c r="BA355" s="3201"/>
      <c r="BB355" s="3202"/>
      <c r="BC355" s="3201"/>
      <c r="BD355" s="3201"/>
      <c r="BE355" s="3201"/>
      <c r="DG355" s="3186"/>
    </row>
    <row r="356" spans="5:111">
      <c r="E356" s="3204"/>
      <c r="F356" s="3202"/>
      <c r="G356" s="3202"/>
      <c r="H356" s="3202"/>
      <c r="I356" s="3203"/>
      <c r="J356" s="3203"/>
      <c r="K356" s="3202"/>
      <c r="L356" s="3203"/>
      <c r="M356" s="3203"/>
      <c r="N356" s="3202"/>
      <c r="O356" s="3203"/>
      <c r="P356" s="3203"/>
      <c r="Q356" s="3202"/>
      <c r="R356" s="3202"/>
      <c r="S356" s="3202"/>
      <c r="T356" s="3202"/>
      <c r="U356" s="3202"/>
      <c r="V356" s="3202"/>
      <c r="W356" s="3202"/>
      <c r="X356" s="3202"/>
      <c r="Y356" s="3202"/>
      <c r="Z356" s="3202"/>
      <c r="AA356" s="3202"/>
      <c r="AB356" s="3202"/>
      <c r="AC356" s="3202"/>
      <c r="AD356" s="3202"/>
      <c r="AE356" s="3202"/>
      <c r="AF356" s="3202"/>
      <c r="AG356" s="3202"/>
      <c r="AH356" s="3202"/>
      <c r="AI356" s="3202"/>
      <c r="AJ356" s="3202"/>
      <c r="AK356" s="3202"/>
      <c r="AL356" s="3202"/>
      <c r="AM356" s="3202"/>
      <c r="AN356" s="3202"/>
      <c r="AO356" s="3202"/>
      <c r="AP356" s="3202"/>
      <c r="AQ356" s="3202"/>
      <c r="AR356" s="3202"/>
      <c r="AS356" s="3202"/>
      <c r="AT356" s="3202"/>
      <c r="AU356" s="3202"/>
      <c r="AV356" s="3202"/>
      <c r="AW356" s="3202"/>
      <c r="AX356" s="3202"/>
      <c r="AY356" s="3202"/>
      <c r="AZ356" s="3205"/>
      <c r="BA356" s="3206"/>
      <c r="BB356" s="3202"/>
      <c r="BC356" s="3205"/>
      <c r="BD356" s="3205"/>
      <c r="BE356" s="3205"/>
      <c r="DG356" s="3186"/>
    </row>
    <row r="357" spans="5:111">
      <c r="E357" s="3204"/>
      <c r="F357" s="3202"/>
      <c r="G357" s="3202"/>
      <c r="H357" s="3202"/>
      <c r="I357" s="3203"/>
      <c r="J357" s="3203"/>
      <c r="K357" s="3202"/>
      <c r="L357" s="3203"/>
      <c r="M357" s="3203"/>
      <c r="N357" s="3202"/>
      <c r="O357" s="3203"/>
      <c r="P357" s="3203"/>
      <c r="Q357" s="3202"/>
      <c r="R357" s="3202"/>
      <c r="S357" s="3202"/>
      <c r="T357" s="3202"/>
      <c r="U357" s="3202"/>
      <c r="V357" s="3202"/>
      <c r="W357" s="3202"/>
      <c r="X357" s="3202"/>
      <c r="Y357" s="3202"/>
      <c r="Z357" s="3202"/>
      <c r="AA357" s="3202"/>
      <c r="AB357" s="3202"/>
      <c r="AC357" s="3202"/>
      <c r="AD357" s="3202"/>
      <c r="AE357" s="3202"/>
      <c r="AF357" s="3202"/>
      <c r="AG357" s="3202"/>
      <c r="AH357" s="3202"/>
      <c r="AI357" s="3202"/>
      <c r="AJ357" s="3202"/>
      <c r="AK357" s="3202"/>
      <c r="AL357" s="3202"/>
      <c r="AM357" s="3202"/>
      <c r="AN357" s="3202"/>
      <c r="AO357" s="3202"/>
      <c r="AP357" s="3202"/>
      <c r="AQ357" s="3202"/>
      <c r="AR357" s="3202"/>
      <c r="AS357" s="3202"/>
      <c r="AT357" s="3202"/>
      <c r="AU357" s="3202"/>
      <c r="AV357" s="3202"/>
      <c r="AW357" s="3202"/>
      <c r="AX357" s="3202"/>
      <c r="AY357" s="3202"/>
      <c r="AZ357" s="3201"/>
      <c r="BA357" s="3201"/>
      <c r="BB357" s="3202"/>
      <c r="BC357" s="3201"/>
      <c r="BD357" s="3201"/>
      <c r="BE357" s="3201"/>
      <c r="DG357" s="3186"/>
    </row>
    <row r="358" spans="5:111">
      <c r="E358" s="3204"/>
      <c r="F358" s="3202"/>
      <c r="G358" s="3202"/>
      <c r="H358" s="3202"/>
      <c r="I358" s="3203"/>
      <c r="J358" s="3203"/>
      <c r="K358" s="3202"/>
      <c r="L358" s="3203"/>
      <c r="M358" s="3203"/>
      <c r="N358" s="3202"/>
      <c r="O358" s="3203"/>
      <c r="P358" s="3203"/>
      <c r="Q358" s="3202"/>
      <c r="R358" s="3202"/>
      <c r="S358" s="3202"/>
      <c r="T358" s="3202"/>
      <c r="U358" s="3202"/>
      <c r="V358" s="3203"/>
      <c r="W358" s="3203"/>
      <c r="X358" s="3203"/>
      <c r="Y358" s="3203"/>
      <c r="Z358" s="3203"/>
      <c r="AA358" s="3203"/>
      <c r="AB358" s="3203"/>
      <c r="AC358" s="3203"/>
      <c r="AD358" s="3203"/>
      <c r="AE358" s="3203"/>
      <c r="AF358" s="3203"/>
      <c r="AG358" s="3203"/>
      <c r="AH358" s="3203"/>
      <c r="AI358" s="3203"/>
      <c r="AJ358" s="3203"/>
      <c r="AK358" s="3203"/>
      <c r="AL358" s="3203"/>
      <c r="AM358" s="3203"/>
      <c r="AN358" s="3203"/>
      <c r="AO358" s="3203"/>
      <c r="AP358" s="3203"/>
      <c r="AQ358" s="3202"/>
      <c r="AR358" s="3202"/>
      <c r="AS358" s="3202"/>
      <c r="AT358" s="3202"/>
      <c r="AU358" s="3202"/>
      <c r="AV358" s="3202"/>
      <c r="AW358" s="3202"/>
      <c r="AX358" s="3202"/>
      <c r="AY358" s="3202"/>
      <c r="AZ358" s="3205"/>
      <c r="BA358" s="3206"/>
      <c r="BB358" s="3202"/>
      <c r="BC358" s="3205"/>
      <c r="BD358" s="3205"/>
      <c r="BE358" s="3205"/>
      <c r="DG358" s="3186"/>
    </row>
    <row r="359" spans="5:111">
      <c r="E359" s="3204"/>
      <c r="F359" s="3202"/>
      <c r="G359" s="3202"/>
      <c r="H359" s="3202"/>
      <c r="I359" s="3203"/>
      <c r="J359" s="3203"/>
      <c r="K359" s="3202"/>
      <c r="L359" s="3203"/>
      <c r="M359" s="3203"/>
      <c r="N359" s="3202"/>
      <c r="O359" s="3203"/>
      <c r="P359" s="3203"/>
      <c r="Q359" s="3202"/>
      <c r="R359" s="3202"/>
      <c r="S359" s="3202"/>
      <c r="T359" s="3202"/>
      <c r="U359" s="3202"/>
      <c r="V359" s="3203"/>
      <c r="W359" s="3203"/>
      <c r="X359" s="3203"/>
      <c r="Y359" s="3203"/>
      <c r="Z359" s="3203"/>
      <c r="AA359" s="3203"/>
      <c r="AB359" s="3203"/>
      <c r="AC359" s="3203"/>
      <c r="AD359" s="3203"/>
      <c r="AE359" s="3203"/>
      <c r="AF359" s="3203"/>
      <c r="AG359" s="3203"/>
      <c r="AH359" s="3203"/>
      <c r="AI359" s="3203"/>
      <c r="AJ359" s="3203"/>
      <c r="AK359" s="3203"/>
      <c r="AL359" s="3203"/>
      <c r="AM359" s="3203"/>
      <c r="AN359" s="3203"/>
      <c r="AO359" s="3203"/>
      <c r="AP359" s="3203"/>
      <c r="AQ359" s="3202"/>
      <c r="AR359" s="3202"/>
      <c r="AS359" s="3202"/>
      <c r="AT359" s="3202"/>
      <c r="AU359" s="3202"/>
      <c r="AV359" s="3202"/>
      <c r="AW359" s="3202"/>
      <c r="AX359" s="3202"/>
      <c r="AY359" s="3202"/>
      <c r="AZ359" s="3201"/>
      <c r="BA359" s="3201"/>
      <c r="BB359" s="3202"/>
      <c r="BC359" s="3201"/>
      <c r="BD359" s="3201"/>
      <c r="BE359" s="3201"/>
      <c r="DG359" s="3186"/>
    </row>
    <row r="360" spans="5:111">
      <c r="E360" s="3204"/>
      <c r="I360" s="3190"/>
      <c r="J360" s="3190"/>
      <c r="L360" s="3190"/>
      <c r="M360" s="3190"/>
      <c r="O360" s="3190"/>
      <c r="P360" s="3190"/>
      <c r="AT360" s="3202"/>
      <c r="AU360" s="3202"/>
      <c r="AV360" s="3202"/>
      <c r="AW360" s="3202"/>
      <c r="AX360" s="3202"/>
      <c r="AY360" s="3202"/>
      <c r="AZ360" s="3205"/>
      <c r="BA360" s="3206"/>
      <c r="BB360" s="3202"/>
      <c r="BC360" s="3205"/>
      <c r="BD360" s="3205"/>
      <c r="BE360" s="3205"/>
      <c r="DG360" s="3186"/>
    </row>
    <row r="361" spans="5:111">
      <c r="E361" s="3204"/>
      <c r="F361" s="3202"/>
      <c r="G361" s="3202"/>
      <c r="H361" s="3202"/>
      <c r="I361" s="3203"/>
      <c r="J361" s="3203"/>
      <c r="K361" s="3202"/>
      <c r="L361" s="3203"/>
      <c r="M361" s="3203"/>
      <c r="N361" s="3202"/>
      <c r="O361" s="3203"/>
      <c r="P361" s="3203"/>
      <c r="Q361" s="3202"/>
      <c r="R361" s="3202"/>
      <c r="S361" s="3202"/>
      <c r="T361" s="3202"/>
      <c r="U361" s="3202"/>
      <c r="V361" s="3202"/>
      <c r="W361" s="3203"/>
      <c r="X361" s="3202"/>
      <c r="Y361" s="3202"/>
      <c r="Z361" s="3202"/>
      <c r="AA361" s="3202"/>
      <c r="AB361" s="3202"/>
      <c r="AC361" s="3202"/>
      <c r="AD361" s="3202"/>
      <c r="AE361" s="3202"/>
      <c r="AF361" s="3202"/>
      <c r="AG361" s="3203"/>
      <c r="AH361" s="3202"/>
      <c r="AI361" s="3202"/>
      <c r="AJ361" s="3202"/>
      <c r="AK361" s="3202"/>
      <c r="AL361" s="3202"/>
      <c r="AM361" s="3202"/>
      <c r="AN361" s="3202"/>
      <c r="AO361" s="3202"/>
      <c r="AP361" s="3202"/>
      <c r="AQ361" s="3202"/>
      <c r="AR361" s="3202"/>
      <c r="AS361" s="3202"/>
      <c r="AT361" s="3202"/>
      <c r="AU361" s="3202"/>
      <c r="AV361" s="3202"/>
      <c r="AW361" s="3202"/>
      <c r="AX361" s="3202"/>
      <c r="AY361" s="3202"/>
      <c r="AZ361" s="3201"/>
      <c r="BA361" s="3201"/>
      <c r="BB361" s="3202"/>
      <c r="BC361" s="3201"/>
      <c r="BD361" s="3201"/>
      <c r="BE361" s="3201"/>
      <c r="DG361" s="3186"/>
    </row>
    <row r="362" spans="5:111">
      <c r="E362" s="3204"/>
      <c r="F362" s="3202"/>
      <c r="G362" s="3202"/>
      <c r="H362" s="3202"/>
      <c r="I362" s="3203"/>
      <c r="J362" s="3203"/>
      <c r="K362" s="3202"/>
      <c r="L362" s="3203"/>
      <c r="M362" s="3203"/>
      <c r="N362" s="3202"/>
      <c r="O362" s="3203"/>
      <c r="P362" s="3203"/>
      <c r="Q362" s="3202"/>
      <c r="R362" s="3202"/>
      <c r="S362" s="3202"/>
      <c r="T362" s="3202"/>
      <c r="U362" s="3202"/>
      <c r="V362" s="3202"/>
      <c r="W362" s="3202"/>
      <c r="X362" s="3202"/>
      <c r="Y362" s="3202"/>
      <c r="Z362" s="3202"/>
      <c r="AA362" s="3202"/>
      <c r="AB362" s="3202"/>
      <c r="AC362" s="3202"/>
      <c r="AD362" s="3202"/>
      <c r="AE362" s="3202"/>
      <c r="AF362" s="3202"/>
      <c r="AG362" s="3202"/>
      <c r="AH362" s="3202"/>
      <c r="AI362" s="3202"/>
      <c r="AJ362" s="3202"/>
      <c r="AK362" s="3202"/>
      <c r="AL362" s="3202"/>
      <c r="AM362" s="3202"/>
      <c r="AN362" s="3202"/>
      <c r="AO362" s="3202"/>
      <c r="AP362" s="3202"/>
      <c r="AQ362" s="3202"/>
      <c r="AR362" s="3202"/>
      <c r="AS362" s="3202"/>
      <c r="AT362" s="3202"/>
      <c r="AU362" s="3202"/>
      <c r="AV362" s="3202"/>
      <c r="AW362" s="3202"/>
      <c r="AX362" s="3202"/>
      <c r="AY362" s="3202"/>
      <c r="AZ362" s="3205"/>
      <c r="BA362" s="3206"/>
      <c r="BB362" s="3202"/>
      <c r="BC362" s="3205"/>
      <c r="BD362" s="3205"/>
      <c r="BE362" s="3205"/>
      <c r="DG362" s="3186"/>
    </row>
    <row r="363" spans="5:111">
      <c r="E363" s="3204"/>
      <c r="F363" s="3202"/>
      <c r="G363" s="3202"/>
      <c r="H363" s="3202"/>
      <c r="I363" s="3203"/>
      <c r="J363" s="3203"/>
      <c r="K363" s="3202"/>
      <c r="L363" s="3203"/>
      <c r="M363" s="3203"/>
      <c r="N363" s="3202"/>
      <c r="O363" s="3203"/>
      <c r="P363" s="3203"/>
      <c r="Q363" s="3202"/>
      <c r="R363" s="3202"/>
      <c r="S363" s="3202"/>
      <c r="T363" s="3202"/>
      <c r="U363" s="3202"/>
      <c r="V363" s="3202"/>
      <c r="W363" s="3202"/>
      <c r="X363" s="3202"/>
      <c r="Y363" s="3202"/>
      <c r="Z363" s="3202"/>
      <c r="AA363" s="3202"/>
      <c r="AB363" s="3202"/>
      <c r="AC363" s="3202"/>
      <c r="AD363" s="3202"/>
      <c r="AE363" s="3202"/>
      <c r="AF363" s="3202"/>
      <c r="AG363" s="3202"/>
      <c r="AH363" s="3202"/>
      <c r="AI363" s="3202"/>
      <c r="AJ363" s="3202"/>
      <c r="AK363" s="3202"/>
      <c r="AL363" s="3202"/>
      <c r="AM363" s="3202"/>
      <c r="AN363" s="3202"/>
      <c r="AO363" s="3202"/>
      <c r="AP363" s="3202"/>
      <c r="AQ363" s="3202"/>
      <c r="AR363" s="3202"/>
      <c r="AS363" s="3202"/>
      <c r="AT363" s="3202"/>
      <c r="AU363" s="3202"/>
      <c r="AV363" s="3202"/>
      <c r="AW363" s="3202"/>
      <c r="AX363" s="3202"/>
      <c r="AY363" s="3202"/>
      <c r="AZ363" s="3201"/>
      <c r="BA363" s="3201"/>
      <c r="BB363" s="3202"/>
      <c r="BC363" s="3201"/>
      <c r="BD363" s="3201"/>
      <c r="BE363" s="3201"/>
      <c r="DG363" s="3186"/>
    </row>
    <row r="364" spans="5:111">
      <c r="E364" s="3204"/>
      <c r="F364" s="3202"/>
      <c r="G364" s="3202"/>
      <c r="H364" s="3202"/>
      <c r="I364" s="3203"/>
      <c r="J364" s="3203"/>
      <c r="K364" s="3202"/>
      <c r="L364" s="3203"/>
      <c r="M364" s="3203"/>
      <c r="N364" s="3202"/>
      <c r="O364" s="3203"/>
      <c r="P364" s="3203"/>
      <c r="Q364" s="3202"/>
      <c r="R364" s="3202"/>
      <c r="S364" s="3202"/>
      <c r="T364" s="3202"/>
      <c r="U364" s="3202"/>
      <c r="V364" s="3203"/>
      <c r="W364" s="3203"/>
      <c r="X364" s="3203"/>
      <c r="Y364" s="3203"/>
      <c r="Z364" s="3203"/>
      <c r="AA364" s="3203"/>
      <c r="AB364" s="3203"/>
      <c r="AC364" s="3203"/>
      <c r="AD364" s="3203"/>
      <c r="AE364" s="3203"/>
      <c r="AF364" s="3203"/>
      <c r="AG364" s="3203"/>
      <c r="AH364" s="3203"/>
      <c r="AI364" s="3203"/>
      <c r="AJ364" s="3203"/>
      <c r="AK364" s="3203"/>
      <c r="AL364" s="3203"/>
      <c r="AM364" s="3203"/>
      <c r="AN364" s="3203"/>
      <c r="AO364" s="3203"/>
      <c r="AP364" s="3203"/>
      <c r="AQ364" s="3202"/>
      <c r="AR364" s="3202"/>
      <c r="AS364" s="3202"/>
      <c r="AT364" s="3202"/>
      <c r="AU364" s="3202"/>
      <c r="AV364" s="3202"/>
      <c r="AW364" s="3202"/>
      <c r="AX364" s="3202"/>
      <c r="AY364" s="3202"/>
      <c r="AZ364" s="3205"/>
      <c r="BA364" s="3206"/>
      <c r="BB364" s="3202"/>
      <c r="BC364" s="3205"/>
      <c r="BD364" s="3205"/>
      <c r="BE364" s="3205"/>
      <c r="DG364" s="3186"/>
    </row>
    <row r="365" spans="5:111">
      <c r="E365" s="3204"/>
      <c r="F365" s="3202"/>
      <c r="G365" s="3202"/>
      <c r="H365" s="3202"/>
      <c r="I365" s="3203"/>
      <c r="J365" s="3203"/>
      <c r="K365" s="3202"/>
      <c r="L365" s="3203"/>
      <c r="M365" s="3203"/>
      <c r="N365" s="3202"/>
      <c r="O365" s="3203"/>
      <c r="P365" s="3203"/>
      <c r="Q365" s="3202"/>
      <c r="R365" s="3202"/>
      <c r="S365" s="3202"/>
      <c r="T365" s="3202"/>
      <c r="U365" s="3202"/>
      <c r="V365" s="3203"/>
      <c r="W365" s="3203"/>
      <c r="X365" s="3203"/>
      <c r="Y365" s="3203"/>
      <c r="Z365" s="3203"/>
      <c r="AA365" s="3203"/>
      <c r="AB365" s="3203"/>
      <c r="AC365" s="3203"/>
      <c r="AD365" s="3203"/>
      <c r="AE365" s="3203"/>
      <c r="AF365" s="3203"/>
      <c r="AG365" s="3203"/>
      <c r="AH365" s="3203"/>
      <c r="AI365" s="3203"/>
      <c r="AJ365" s="3203"/>
      <c r="AK365" s="3203"/>
      <c r="AL365" s="3203"/>
      <c r="AM365" s="3203"/>
      <c r="AN365" s="3203"/>
      <c r="AO365" s="3203"/>
      <c r="AP365" s="3203"/>
      <c r="AQ365" s="3202"/>
      <c r="AR365" s="3202"/>
      <c r="AS365" s="3202"/>
      <c r="AT365" s="3202"/>
      <c r="AU365" s="3202"/>
      <c r="AV365" s="3202"/>
      <c r="AW365" s="3202"/>
      <c r="AX365" s="3202"/>
      <c r="AY365" s="3202"/>
      <c r="AZ365" s="3201"/>
      <c r="BA365" s="3201"/>
      <c r="BB365" s="3202"/>
      <c r="BC365" s="3201"/>
      <c r="BD365" s="3201"/>
      <c r="BE365" s="3201"/>
      <c r="DG365" s="3186"/>
    </row>
    <row r="366" spans="5:111">
      <c r="E366" s="3204"/>
      <c r="I366" s="3190"/>
      <c r="J366" s="3190"/>
      <c r="L366" s="3190"/>
      <c r="M366" s="3190"/>
      <c r="O366" s="3190"/>
      <c r="P366" s="3190"/>
      <c r="AT366" s="3202"/>
      <c r="AU366" s="3202"/>
      <c r="AV366" s="3202"/>
      <c r="AW366" s="3202"/>
      <c r="AX366" s="3202"/>
      <c r="AY366" s="3202"/>
      <c r="AZ366" s="3205"/>
      <c r="BA366" s="3206"/>
      <c r="BB366" s="3202"/>
      <c r="BC366" s="3205"/>
      <c r="BD366" s="3205"/>
      <c r="BE366" s="3205"/>
      <c r="DG366" s="3186"/>
    </row>
    <row r="367" spans="5:111">
      <c r="E367" s="3204"/>
      <c r="F367" s="3202"/>
      <c r="G367" s="3202"/>
      <c r="H367" s="3202"/>
      <c r="I367" s="3203"/>
      <c r="J367" s="3203"/>
      <c r="K367" s="3202"/>
      <c r="L367" s="3203"/>
      <c r="M367" s="3203"/>
      <c r="N367" s="3202"/>
      <c r="O367" s="3203"/>
      <c r="P367" s="3203"/>
      <c r="Q367" s="3202"/>
      <c r="R367" s="3202"/>
      <c r="S367" s="3202"/>
      <c r="T367" s="3202"/>
      <c r="U367" s="3202"/>
      <c r="V367" s="3202"/>
      <c r="W367" s="3203"/>
      <c r="X367" s="3202"/>
      <c r="Y367" s="3202"/>
      <c r="Z367" s="3202"/>
      <c r="AA367" s="3202"/>
      <c r="AB367" s="3202"/>
      <c r="AC367" s="3202"/>
      <c r="AD367" s="3202"/>
      <c r="AE367" s="3202"/>
      <c r="AF367" s="3202"/>
      <c r="AG367" s="3203"/>
      <c r="AH367" s="3202"/>
      <c r="AI367" s="3202"/>
      <c r="AJ367" s="3202"/>
      <c r="AK367" s="3202"/>
      <c r="AL367" s="3202"/>
      <c r="AM367" s="3202"/>
      <c r="AN367" s="3202"/>
      <c r="AO367" s="3202"/>
      <c r="AP367" s="3202"/>
      <c r="AQ367" s="3202"/>
      <c r="AR367" s="3202"/>
      <c r="AS367" s="3202"/>
      <c r="AT367" s="3202"/>
      <c r="AU367" s="3202"/>
      <c r="AV367" s="3202"/>
      <c r="AW367" s="3202"/>
      <c r="AX367" s="3202"/>
      <c r="AY367" s="3202"/>
      <c r="DG367" s="3186"/>
    </row>
    <row r="368" spans="5:111">
      <c r="E368" s="3204"/>
      <c r="F368" s="3202"/>
      <c r="G368" s="3202"/>
      <c r="H368" s="3202"/>
      <c r="I368" s="3203"/>
      <c r="J368" s="3203"/>
      <c r="K368" s="3202"/>
      <c r="L368" s="3203"/>
      <c r="M368" s="3203"/>
      <c r="N368" s="3202"/>
      <c r="O368" s="3203"/>
      <c r="P368" s="3203"/>
      <c r="Q368" s="3202"/>
      <c r="R368" s="3202"/>
      <c r="S368" s="3202"/>
      <c r="T368" s="3202"/>
      <c r="U368" s="3202"/>
      <c r="V368" s="3202"/>
      <c r="W368" s="3202"/>
      <c r="X368" s="3202"/>
      <c r="Y368" s="3202"/>
      <c r="Z368" s="3202"/>
      <c r="AA368" s="3202"/>
      <c r="AB368" s="3202"/>
      <c r="AC368" s="3202"/>
      <c r="AD368" s="3202"/>
      <c r="AE368" s="3202"/>
      <c r="AF368" s="3202"/>
      <c r="AG368" s="3202"/>
      <c r="AH368" s="3202"/>
      <c r="AI368" s="3202"/>
      <c r="AJ368" s="3202"/>
      <c r="AK368" s="3202"/>
      <c r="AL368" s="3202"/>
      <c r="AM368" s="3202"/>
      <c r="AN368" s="3202"/>
      <c r="AO368" s="3202"/>
      <c r="AP368" s="3202"/>
      <c r="AQ368" s="3202"/>
      <c r="AR368" s="3202"/>
      <c r="AS368" s="3202"/>
      <c r="AT368" s="3202"/>
      <c r="AU368" s="3202"/>
      <c r="AV368" s="3202"/>
      <c r="AW368" s="3202"/>
      <c r="AX368" s="3202"/>
      <c r="AY368" s="3202"/>
      <c r="DG368" s="3186"/>
    </row>
    <row r="369" spans="4:111">
      <c r="E369" s="3204"/>
      <c r="F369" s="3202"/>
      <c r="G369" s="3202"/>
      <c r="H369" s="3202"/>
      <c r="I369" s="3203"/>
      <c r="J369" s="3203"/>
      <c r="K369" s="3202"/>
      <c r="L369" s="3203"/>
      <c r="M369" s="3203"/>
      <c r="N369" s="3202"/>
      <c r="O369" s="3203"/>
      <c r="P369" s="3203"/>
      <c r="Q369" s="3202"/>
      <c r="R369" s="3202"/>
      <c r="S369" s="3202"/>
      <c r="T369" s="3202"/>
      <c r="U369" s="3202"/>
      <c r="V369" s="3202"/>
      <c r="W369" s="3202"/>
      <c r="X369" s="3202"/>
      <c r="Y369" s="3202"/>
      <c r="Z369" s="3202"/>
      <c r="AA369" s="3202"/>
      <c r="AB369" s="3202"/>
      <c r="AC369" s="3202"/>
      <c r="AD369" s="3202"/>
      <c r="AE369" s="3202"/>
      <c r="AF369" s="3202"/>
      <c r="AG369" s="3202"/>
      <c r="AH369" s="3202"/>
      <c r="AI369" s="3202"/>
      <c r="AJ369" s="3202"/>
      <c r="AK369" s="3202"/>
      <c r="AL369" s="3202"/>
      <c r="AM369" s="3202"/>
      <c r="AN369" s="3202"/>
      <c r="AO369" s="3202"/>
      <c r="AP369" s="3202"/>
      <c r="AQ369" s="3202"/>
      <c r="AR369" s="3202"/>
      <c r="AS369" s="3202"/>
      <c r="AT369" s="3202"/>
      <c r="AU369" s="3202"/>
      <c r="AV369" s="3202"/>
      <c r="AW369" s="3202"/>
      <c r="AX369" s="3202"/>
      <c r="AY369" s="3202"/>
      <c r="DG369" s="3186"/>
    </row>
    <row r="370" spans="4:111">
      <c r="E370" s="3204"/>
      <c r="F370" s="3202"/>
      <c r="G370" s="3202"/>
      <c r="H370" s="3202"/>
      <c r="I370" s="3203"/>
      <c r="J370" s="3203"/>
      <c r="K370" s="3202"/>
      <c r="L370" s="3203"/>
      <c r="M370" s="3203"/>
      <c r="N370" s="3202"/>
      <c r="O370" s="3203"/>
      <c r="P370" s="3203"/>
      <c r="Q370" s="3202"/>
      <c r="R370" s="3202"/>
      <c r="S370" s="3202"/>
      <c r="T370" s="3202"/>
      <c r="U370" s="3202"/>
      <c r="V370" s="3203"/>
      <c r="W370" s="3203"/>
      <c r="X370" s="3203"/>
      <c r="Y370" s="3203"/>
      <c r="Z370" s="3203"/>
      <c r="AA370" s="3203"/>
      <c r="AB370" s="3203"/>
      <c r="AC370" s="3203"/>
      <c r="AD370" s="3203"/>
      <c r="AE370" s="3203"/>
      <c r="AF370" s="3203"/>
      <c r="AG370" s="3203"/>
      <c r="AH370" s="3203"/>
      <c r="AI370" s="3203"/>
      <c r="AJ370" s="3203"/>
      <c r="AK370" s="3203"/>
      <c r="AL370" s="3203"/>
      <c r="AM370" s="3203"/>
      <c r="AN370" s="3203"/>
      <c r="AO370" s="3203"/>
      <c r="AP370" s="3203"/>
      <c r="AQ370" s="3202"/>
      <c r="AR370" s="3202"/>
      <c r="AS370" s="3202"/>
      <c r="AT370" s="3202"/>
      <c r="AU370" s="3202"/>
      <c r="AV370" s="3202"/>
      <c r="AW370" s="3202"/>
      <c r="AX370" s="3202"/>
      <c r="AY370" s="3202"/>
      <c r="DG370" s="3186"/>
    </row>
    <row r="371" spans="4:111">
      <c r="E371" s="3204"/>
      <c r="F371" s="3202"/>
      <c r="G371" s="3202"/>
      <c r="H371" s="3202"/>
      <c r="I371" s="3203"/>
      <c r="J371" s="3203"/>
      <c r="K371" s="3202"/>
      <c r="L371" s="3203"/>
      <c r="M371" s="3203"/>
      <c r="N371" s="3202"/>
      <c r="O371" s="3203"/>
      <c r="P371" s="3203"/>
      <c r="Q371" s="3202"/>
      <c r="R371" s="3202"/>
      <c r="S371" s="3202"/>
      <c r="T371" s="3202"/>
      <c r="U371" s="3202"/>
      <c r="V371" s="3203"/>
      <c r="W371" s="3203"/>
      <c r="X371" s="3203"/>
      <c r="Y371" s="3203"/>
      <c r="Z371" s="3203"/>
      <c r="AA371" s="3203"/>
      <c r="AB371" s="3203"/>
      <c r="AC371" s="3203"/>
      <c r="AD371" s="3203"/>
      <c r="AE371" s="3203"/>
      <c r="AF371" s="3203"/>
      <c r="AG371" s="3203"/>
      <c r="AH371" s="3203"/>
      <c r="AI371" s="3203"/>
      <c r="AJ371" s="3203"/>
      <c r="AK371" s="3203"/>
      <c r="AL371" s="3203"/>
      <c r="AM371" s="3203"/>
      <c r="AN371" s="3203"/>
      <c r="AO371" s="3203"/>
      <c r="AP371" s="3203"/>
      <c r="AQ371" s="3202"/>
      <c r="AR371" s="3202"/>
      <c r="AS371" s="3202"/>
      <c r="AT371" s="3202"/>
      <c r="AU371" s="3202"/>
      <c r="AV371" s="3202"/>
      <c r="AW371" s="3202"/>
      <c r="AX371" s="3202"/>
      <c r="AY371" s="3202"/>
      <c r="DG371" s="3186"/>
    </row>
    <row r="372" spans="4:111">
      <c r="AQ372" s="3201"/>
      <c r="AR372" s="3201"/>
      <c r="AS372" s="3201"/>
      <c r="AT372" s="3202"/>
      <c r="AU372" s="3202"/>
      <c r="AV372" s="3202"/>
      <c r="AW372" s="3202"/>
      <c r="AX372" s="3202"/>
      <c r="AY372" s="3202"/>
      <c r="AZ372" s="3201"/>
      <c r="BA372" s="3201"/>
      <c r="BB372" s="3202"/>
      <c r="DG372" s="3186"/>
    </row>
    <row r="373" spans="4:111">
      <c r="E373" s="3204"/>
      <c r="F373" s="3202"/>
      <c r="G373" s="3202"/>
      <c r="H373" s="3202"/>
      <c r="I373" s="3202"/>
      <c r="J373" s="3202"/>
      <c r="K373" s="3202"/>
      <c r="L373" s="3202"/>
      <c r="M373" s="3202"/>
      <c r="N373" s="3202"/>
      <c r="O373" s="3202"/>
      <c r="P373" s="3202"/>
      <c r="Q373" s="3202"/>
      <c r="R373" s="3202"/>
      <c r="S373" s="3202"/>
      <c r="T373" s="3202"/>
      <c r="U373" s="3202"/>
      <c r="V373" s="3202"/>
      <c r="W373" s="3202"/>
      <c r="X373" s="3202"/>
      <c r="Y373" s="3202"/>
      <c r="Z373" s="3202"/>
      <c r="AA373" s="3202"/>
      <c r="AB373" s="3202"/>
      <c r="AC373" s="3202"/>
      <c r="AD373" s="3202"/>
      <c r="AE373" s="3202"/>
      <c r="AF373" s="3202"/>
      <c r="AG373" s="3202"/>
      <c r="AH373" s="3202"/>
      <c r="AI373" s="3202"/>
      <c r="AJ373" s="3202"/>
      <c r="AK373" s="3202"/>
      <c r="AL373" s="3202"/>
      <c r="AM373" s="3202"/>
      <c r="AN373" s="3202"/>
      <c r="AO373" s="3202"/>
      <c r="AP373" s="3202"/>
      <c r="AQ373" s="3202"/>
      <c r="AR373" s="3203"/>
      <c r="AS373" s="3203"/>
      <c r="AT373" s="3202"/>
      <c r="AU373" s="3202"/>
      <c r="AV373" s="3202"/>
      <c r="AW373" s="3202"/>
      <c r="AX373" s="3202"/>
      <c r="AY373" s="3202"/>
      <c r="AZ373" s="3205"/>
      <c r="BA373" s="3205"/>
      <c r="BB373" s="3202"/>
      <c r="DG373" s="3186"/>
    </row>
    <row r="374" spans="4:111">
      <c r="E374" s="3204"/>
      <c r="F374" s="3202"/>
      <c r="G374" s="3202"/>
      <c r="H374" s="3202"/>
      <c r="I374" s="3202"/>
      <c r="J374" s="3202"/>
      <c r="K374" s="3202"/>
      <c r="L374" s="3202"/>
      <c r="M374" s="3202"/>
      <c r="N374" s="3202"/>
      <c r="O374" s="3202"/>
      <c r="P374" s="3202"/>
      <c r="Q374" s="3202"/>
      <c r="R374" s="3202"/>
      <c r="S374" s="3202"/>
      <c r="T374" s="3202"/>
      <c r="U374" s="3202"/>
      <c r="V374" s="3202"/>
      <c r="W374" s="3202"/>
      <c r="X374" s="3202"/>
      <c r="Y374" s="3202"/>
      <c r="Z374" s="3202"/>
      <c r="AA374" s="3202"/>
      <c r="AB374" s="3202"/>
      <c r="AC374" s="3202"/>
      <c r="AD374" s="3202"/>
      <c r="AE374" s="3202"/>
      <c r="AF374" s="3202"/>
      <c r="AG374" s="3202"/>
      <c r="AH374" s="3202"/>
      <c r="AI374" s="3202"/>
      <c r="AJ374" s="3202"/>
      <c r="AK374" s="3202"/>
      <c r="AL374" s="3202"/>
      <c r="AM374" s="3202"/>
      <c r="AN374" s="3202"/>
      <c r="AO374" s="3202"/>
      <c r="AP374" s="3202"/>
      <c r="AQ374" s="3202"/>
      <c r="AR374" s="3202"/>
      <c r="AS374" s="3202"/>
      <c r="AT374" s="3202"/>
      <c r="AU374" s="3202"/>
      <c r="AV374" s="3202"/>
      <c r="AW374" s="3202"/>
      <c r="AX374" s="3202"/>
      <c r="AY374" s="3202"/>
      <c r="BB374" s="3202"/>
      <c r="DG374" s="3186"/>
    </row>
    <row r="375" spans="4:111">
      <c r="E375" s="3204"/>
      <c r="F375" s="3202"/>
      <c r="G375" s="3202"/>
      <c r="H375" s="3202"/>
      <c r="I375" s="3202"/>
      <c r="J375" s="3202"/>
      <c r="K375" s="3202"/>
      <c r="L375" s="3202"/>
      <c r="M375" s="3202"/>
      <c r="N375" s="3202"/>
      <c r="O375" s="3202"/>
      <c r="P375" s="3202"/>
      <c r="Q375" s="3202"/>
      <c r="R375" s="3202"/>
      <c r="S375" s="3202"/>
      <c r="T375" s="3202"/>
      <c r="U375" s="3202"/>
      <c r="V375" s="3202"/>
      <c r="W375" s="3202"/>
      <c r="X375" s="3202"/>
      <c r="Y375" s="3202"/>
      <c r="Z375" s="3202"/>
      <c r="AA375" s="3202"/>
      <c r="AB375" s="3202"/>
      <c r="AC375" s="3202"/>
      <c r="AD375" s="3202"/>
      <c r="AE375" s="3202"/>
      <c r="AF375" s="3202"/>
      <c r="AG375" s="3202"/>
      <c r="AH375" s="3202"/>
      <c r="AI375" s="3202"/>
      <c r="AJ375" s="3202"/>
      <c r="AK375" s="3202"/>
      <c r="AL375" s="3202"/>
      <c r="AM375" s="3202"/>
      <c r="AN375" s="3202"/>
      <c r="AO375" s="3202"/>
      <c r="AP375" s="3202"/>
      <c r="AQ375" s="3202"/>
      <c r="AR375" s="3202"/>
      <c r="AS375" s="3202"/>
      <c r="AT375" s="3202"/>
      <c r="AU375" s="3202"/>
      <c r="AV375" s="3202"/>
      <c r="AW375" s="3202"/>
      <c r="AX375" s="3202"/>
      <c r="AY375" s="3202"/>
      <c r="BB375" s="3202"/>
      <c r="DG375" s="3186"/>
    </row>
    <row r="376" spans="4:111">
      <c r="DG376" s="3186"/>
    </row>
    <row r="379" spans="4:111">
      <c r="D379" s="3189"/>
      <c r="E379" s="3187"/>
      <c r="F379" s="3187"/>
      <c r="G379" s="3187"/>
      <c r="H379" s="3187"/>
      <c r="I379" s="3187"/>
      <c r="J379" s="3187"/>
      <c r="K379" s="3187"/>
      <c r="L379" s="3187"/>
      <c r="M379" s="3187"/>
      <c r="N379" s="3187"/>
      <c r="O379" s="3187"/>
      <c r="P379" s="3187"/>
      <c r="Q379" s="3187"/>
      <c r="R379" s="3187"/>
      <c r="S379" s="3187"/>
      <c r="T379" s="3187"/>
      <c r="U379" s="3187"/>
      <c r="V379" s="3187"/>
      <c r="W379" s="3187"/>
      <c r="X379" s="3187"/>
      <c r="Y379" s="3187"/>
      <c r="Z379" s="3187"/>
      <c r="AA379" s="3187"/>
      <c r="AB379" s="3187"/>
      <c r="AC379" s="3187"/>
      <c r="AD379" s="3187"/>
      <c r="AE379" s="3187"/>
      <c r="AH379" s="3187"/>
      <c r="AI379" s="3187"/>
      <c r="AJ379" s="3187"/>
      <c r="AK379" s="3187"/>
      <c r="AL379" s="3187"/>
      <c r="AM379" s="3187"/>
      <c r="AN379" s="3187"/>
      <c r="AO379" s="3187"/>
      <c r="BB379" s="3187"/>
    </row>
    <row r="380" spans="4:111">
      <c r="D380" s="3189"/>
      <c r="E380" s="3187"/>
      <c r="F380" s="3187"/>
      <c r="G380" s="3187"/>
      <c r="H380" s="3187"/>
      <c r="I380" s="3187"/>
      <c r="J380" s="3187"/>
      <c r="K380" s="3187"/>
      <c r="L380" s="3187"/>
      <c r="M380" s="3187"/>
      <c r="N380" s="3187"/>
      <c r="O380" s="3187"/>
      <c r="P380" s="3187"/>
      <c r="Q380" s="3187"/>
      <c r="R380" s="3187"/>
      <c r="S380" s="3187"/>
      <c r="T380" s="3187"/>
      <c r="U380" s="3187"/>
      <c r="V380" s="3187"/>
      <c r="W380" s="3187"/>
      <c r="X380" s="3187"/>
      <c r="Y380" s="3187"/>
      <c r="Z380" s="3187"/>
      <c r="AA380" s="3187"/>
      <c r="AB380" s="3187"/>
      <c r="AC380" s="3187"/>
      <c r="AD380" s="3187"/>
      <c r="AE380" s="3187"/>
      <c r="AH380" s="3187"/>
      <c r="AI380" s="3187"/>
      <c r="AJ380" s="3187"/>
      <c r="AK380" s="3187"/>
      <c r="AL380" s="3187"/>
      <c r="AM380" s="3187"/>
      <c r="AN380" s="3187"/>
      <c r="AO380" s="3187"/>
      <c r="BB380" s="3187"/>
    </row>
    <row r="381" spans="4:111">
      <c r="D381" s="3189"/>
      <c r="E381" s="3187"/>
      <c r="F381" s="3187"/>
      <c r="G381" s="3187"/>
      <c r="H381" s="3187"/>
      <c r="I381" s="3187"/>
      <c r="J381" s="3187"/>
      <c r="K381" s="3187"/>
      <c r="L381" s="3187"/>
      <c r="M381" s="3187"/>
      <c r="N381" s="3187"/>
      <c r="O381" s="3187"/>
      <c r="P381" s="3187"/>
      <c r="Q381" s="3187"/>
      <c r="R381" s="3187"/>
      <c r="S381" s="3187"/>
      <c r="T381" s="3187"/>
      <c r="U381" s="3187"/>
      <c r="V381" s="3187"/>
      <c r="W381" s="3187"/>
      <c r="X381" s="3187"/>
      <c r="Y381" s="3187"/>
      <c r="Z381" s="3187"/>
      <c r="AA381" s="3187"/>
      <c r="AB381" s="3187"/>
      <c r="AC381" s="3187"/>
      <c r="AD381" s="3187"/>
      <c r="AE381" s="3187"/>
      <c r="AH381" s="3187"/>
      <c r="AI381" s="3187"/>
      <c r="AJ381" s="3187"/>
      <c r="AK381" s="3187"/>
      <c r="AL381" s="3187"/>
      <c r="AM381" s="3187"/>
      <c r="AN381" s="3187"/>
      <c r="AO381" s="3187"/>
      <c r="BB381" s="3187"/>
    </row>
    <row r="382" spans="4:111">
      <c r="D382" s="3189"/>
      <c r="E382" s="3187"/>
      <c r="F382" s="3187"/>
      <c r="G382" s="3187"/>
      <c r="H382" s="3187"/>
      <c r="I382" s="3187"/>
      <c r="J382" s="3187"/>
      <c r="K382" s="3187"/>
      <c r="L382" s="3187"/>
      <c r="M382" s="3187"/>
      <c r="N382" s="3187"/>
      <c r="O382" s="3187"/>
      <c r="P382" s="3187"/>
      <c r="Q382" s="3187"/>
      <c r="R382" s="3187"/>
      <c r="S382" s="3187"/>
      <c r="T382" s="3187"/>
      <c r="U382" s="3187"/>
      <c r="V382" s="3187"/>
      <c r="W382" s="3187"/>
      <c r="X382" s="3187"/>
      <c r="Y382" s="3187"/>
      <c r="Z382" s="3187"/>
      <c r="AA382" s="3187"/>
      <c r="AB382" s="3187"/>
      <c r="AC382" s="3187"/>
      <c r="AD382" s="3187"/>
      <c r="AE382" s="3187"/>
      <c r="AH382" s="3187"/>
      <c r="AI382" s="3187"/>
      <c r="AJ382" s="3187"/>
      <c r="AK382" s="3187"/>
      <c r="AL382" s="3187"/>
      <c r="AM382" s="3187"/>
      <c r="AN382" s="3187"/>
      <c r="AO382" s="3187"/>
      <c r="BB382" s="3187"/>
    </row>
    <row r="383" spans="4:111">
      <c r="D383" s="3189"/>
      <c r="E383" s="3187"/>
      <c r="F383" s="3187"/>
      <c r="G383" s="3187"/>
      <c r="H383" s="3187"/>
      <c r="I383" s="3187"/>
      <c r="J383" s="3187"/>
      <c r="K383" s="3187"/>
      <c r="L383" s="3187"/>
      <c r="M383" s="3187"/>
      <c r="N383" s="3187"/>
      <c r="O383" s="3187"/>
      <c r="P383" s="3187"/>
      <c r="Q383" s="3187"/>
      <c r="R383" s="3187"/>
      <c r="S383" s="3187"/>
      <c r="T383" s="3187"/>
      <c r="U383" s="3187"/>
      <c r="V383" s="3187"/>
      <c r="W383" s="3187"/>
      <c r="X383" s="3187"/>
      <c r="Y383" s="3187"/>
      <c r="Z383" s="3187"/>
      <c r="AA383" s="3187"/>
      <c r="AB383" s="3187"/>
      <c r="AC383" s="3187"/>
      <c r="AD383" s="3187"/>
      <c r="AE383" s="3187"/>
      <c r="AH383" s="3187"/>
      <c r="AI383" s="3187"/>
      <c r="AJ383" s="3187"/>
      <c r="AK383" s="3187"/>
      <c r="AL383" s="3187"/>
      <c r="AM383" s="3187"/>
      <c r="AN383" s="3187"/>
      <c r="AO383" s="3187"/>
      <c r="BB383" s="3187"/>
    </row>
    <row r="384" spans="4:111">
      <c r="D384" s="3189"/>
      <c r="E384" s="3187"/>
      <c r="F384" s="3187"/>
      <c r="G384" s="3187"/>
      <c r="H384" s="3187"/>
      <c r="I384" s="3187"/>
      <c r="J384" s="3187"/>
      <c r="K384" s="3187"/>
      <c r="L384" s="3187"/>
      <c r="M384" s="3187"/>
      <c r="N384" s="3187"/>
      <c r="O384" s="3187"/>
      <c r="P384" s="3187"/>
      <c r="Q384" s="3187"/>
      <c r="R384" s="3187"/>
      <c r="S384" s="3187"/>
      <c r="T384" s="3187"/>
      <c r="U384" s="3187"/>
      <c r="V384" s="3187"/>
      <c r="W384" s="3187"/>
      <c r="X384" s="3187"/>
      <c r="Y384" s="3187"/>
      <c r="Z384" s="3187"/>
      <c r="AA384" s="3187"/>
      <c r="AB384" s="3187"/>
      <c r="AC384" s="3187"/>
      <c r="AD384" s="3187"/>
      <c r="AE384" s="3187"/>
      <c r="AH384" s="3187"/>
      <c r="AI384" s="3187"/>
      <c r="AJ384" s="3187"/>
      <c r="AK384" s="3187"/>
      <c r="AL384" s="3187"/>
      <c r="AM384" s="3187"/>
      <c r="AN384" s="3187"/>
      <c r="AO384" s="3187"/>
      <c r="BB384" s="3187"/>
    </row>
    <row r="385" spans="4:54">
      <c r="D385" s="3189"/>
      <c r="E385" s="3187"/>
      <c r="F385" s="3187"/>
      <c r="G385" s="3187"/>
      <c r="H385" s="3187"/>
      <c r="I385" s="3187"/>
      <c r="J385" s="3187"/>
      <c r="K385" s="3187"/>
      <c r="L385" s="3187"/>
      <c r="M385" s="3187"/>
      <c r="N385" s="3187"/>
      <c r="O385" s="3187"/>
      <c r="P385" s="3187"/>
      <c r="Q385" s="3187"/>
      <c r="R385" s="3187"/>
      <c r="S385" s="3187"/>
      <c r="T385" s="3187"/>
      <c r="U385" s="3187"/>
      <c r="V385" s="3187"/>
      <c r="W385" s="3187"/>
      <c r="X385" s="3187"/>
      <c r="Y385" s="3187"/>
      <c r="Z385" s="3187"/>
      <c r="AA385" s="3187"/>
      <c r="AB385" s="3187"/>
      <c r="AC385" s="3187"/>
      <c r="AD385" s="3187"/>
      <c r="AE385" s="3187"/>
      <c r="AH385" s="3187"/>
      <c r="AI385" s="3187"/>
      <c r="AJ385" s="3187"/>
      <c r="AK385" s="3187"/>
      <c r="AL385" s="3187"/>
      <c r="AM385" s="3187"/>
      <c r="AN385" s="3187"/>
      <c r="AO385" s="3187"/>
      <c r="BB385" s="3187"/>
    </row>
    <row r="386" spans="4:54">
      <c r="D386" s="3189"/>
      <c r="E386" s="3187"/>
      <c r="F386" s="3187"/>
      <c r="G386" s="3187"/>
      <c r="H386" s="3187"/>
      <c r="I386" s="3187"/>
      <c r="J386" s="3187"/>
      <c r="K386" s="3187"/>
      <c r="L386" s="3187"/>
      <c r="M386" s="3187"/>
      <c r="N386" s="3187"/>
      <c r="O386" s="3187"/>
      <c r="P386" s="3187"/>
      <c r="Q386" s="3187"/>
      <c r="R386" s="3187"/>
      <c r="S386" s="3187"/>
      <c r="T386" s="3187"/>
      <c r="U386" s="3187"/>
      <c r="V386" s="3187"/>
      <c r="W386" s="3187"/>
      <c r="X386" s="3187"/>
      <c r="Y386" s="3187"/>
      <c r="Z386" s="3187"/>
      <c r="AA386" s="3187"/>
      <c r="AB386" s="3187"/>
      <c r="AC386" s="3187"/>
      <c r="AD386" s="3187"/>
      <c r="AE386" s="3187"/>
      <c r="AH386" s="3187"/>
      <c r="AI386" s="3187"/>
      <c r="AJ386" s="3187"/>
      <c r="AK386" s="3187"/>
      <c r="AL386" s="3187"/>
      <c r="AM386" s="3187"/>
      <c r="AN386" s="3187"/>
      <c r="AO386" s="3187"/>
      <c r="BB386" s="3187"/>
    </row>
    <row r="387" spans="4:54">
      <c r="D387" s="3189"/>
      <c r="E387" s="3187"/>
      <c r="F387" s="3187"/>
      <c r="G387" s="3187"/>
      <c r="H387" s="3187"/>
      <c r="I387" s="3187"/>
      <c r="J387" s="3187"/>
      <c r="K387" s="3187"/>
      <c r="L387" s="3187"/>
      <c r="M387" s="3187"/>
      <c r="N387" s="3187"/>
      <c r="O387" s="3187"/>
      <c r="P387" s="3187"/>
      <c r="Q387" s="3187"/>
      <c r="R387" s="3187"/>
      <c r="S387" s="3187"/>
      <c r="T387" s="3187"/>
      <c r="U387" s="3187"/>
      <c r="V387" s="3187"/>
      <c r="W387" s="3187"/>
      <c r="X387" s="3187"/>
      <c r="Y387" s="3187"/>
      <c r="Z387" s="3187"/>
      <c r="AA387" s="3187"/>
      <c r="AB387" s="3187"/>
      <c r="AC387" s="3187"/>
      <c r="AD387" s="3187"/>
      <c r="AE387" s="3187"/>
      <c r="AH387" s="3187"/>
      <c r="AI387" s="3187"/>
      <c r="AJ387" s="3187"/>
      <c r="AK387" s="3187"/>
      <c r="AL387" s="3187"/>
      <c r="AM387" s="3187"/>
      <c r="AN387" s="3187"/>
      <c r="AO387" s="3187"/>
      <c r="BB387" s="3187"/>
    </row>
    <row r="388" spans="4:54">
      <c r="D388" s="3189"/>
      <c r="E388" s="3187"/>
      <c r="F388" s="3187"/>
      <c r="G388" s="3187"/>
      <c r="H388" s="3187"/>
      <c r="I388" s="3187"/>
      <c r="J388" s="3187"/>
      <c r="K388" s="3187"/>
      <c r="L388" s="3187"/>
      <c r="M388" s="3187"/>
      <c r="N388" s="3187"/>
      <c r="O388" s="3187"/>
      <c r="P388" s="3187"/>
      <c r="Q388" s="3187"/>
      <c r="R388" s="3187"/>
      <c r="S388" s="3187"/>
      <c r="T388" s="3187"/>
      <c r="U388" s="3187"/>
      <c r="V388" s="3187"/>
      <c r="W388" s="3187"/>
      <c r="X388" s="3187"/>
      <c r="Y388" s="3187"/>
      <c r="Z388" s="3187"/>
      <c r="AA388" s="3187"/>
      <c r="AB388" s="3187"/>
      <c r="AC388" s="3187"/>
      <c r="AD388" s="3187"/>
      <c r="AE388" s="3187"/>
      <c r="AH388" s="3187"/>
      <c r="AI388" s="3187"/>
      <c r="AJ388" s="3187"/>
      <c r="AK388" s="3187"/>
      <c r="AL388" s="3187"/>
      <c r="AM388" s="3187"/>
      <c r="AN388" s="3187"/>
      <c r="AO388" s="3187"/>
      <c r="BB388" s="3187"/>
    </row>
    <row r="389" spans="4:54">
      <c r="D389" s="3189"/>
      <c r="E389" s="3187"/>
      <c r="F389" s="3187"/>
      <c r="G389" s="3187"/>
      <c r="H389" s="3187"/>
      <c r="I389" s="3187"/>
      <c r="J389" s="3187"/>
      <c r="K389" s="3187"/>
      <c r="L389" s="3187"/>
      <c r="M389" s="3187"/>
      <c r="N389" s="3187"/>
      <c r="O389" s="3187"/>
      <c r="P389" s="3187"/>
      <c r="Q389" s="3187"/>
      <c r="R389" s="3187"/>
      <c r="S389" s="3187"/>
      <c r="T389" s="3187"/>
      <c r="U389" s="3187"/>
      <c r="V389" s="3187"/>
      <c r="W389" s="3187"/>
      <c r="X389" s="3187"/>
      <c r="Y389" s="3187"/>
      <c r="Z389" s="3187"/>
      <c r="AA389" s="3187"/>
      <c r="AB389" s="3187"/>
      <c r="AC389" s="3187"/>
      <c r="AD389" s="3187"/>
      <c r="AE389" s="3187"/>
      <c r="AH389" s="3187"/>
      <c r="AI389" s="3187"/>
      <c r="AJ389" s="3187"/>
      <c r="AK389" s="3187"/>
      <c r="AL389" s="3187"/>
      <c r="AM389" s="3187"/>
      <c r="AN389" s="3187"/>
      <c r="AO389" s="3187"/>
      <c r="BB389" s="3187"/>
    </row>
    <row r="390" spans="4:54">
      <c r="D390" s="3189"/>
      <c r="E390" s="3187"/>
      <c r="F390" s="3187"/>
      <c r="G390" s="3187"/>
      <c r="H390" s="3187"/>
      <c r="I390" s="3187"/>
      <c r="J390" s="3187"/>
      <c r="K390" s="3187"/>
      <c r="L390" s="3187"/>
      <c r="M390" s="3187"/>
      <c r="N390" s="3187"/>
      <c r="O390" s="3187"/>
      <c r="P390" s="3187"/>
      <c r="Q390" s="3187"/>
      <c r="R390" s="3187"/>
      <c r="S390" s="3187"/>
      <c r="T390" s="3187"/>
      <c r="U390" s="3187"/>
      <c r="V390" s="3187"/>
      <c r="W390" s="3187"/>
      <c r="X390" s="3187"/>
      <c r="Y390" s="3187"/>
      <c r="Z390" s="3187"/>
      <c r="AA390" s="3187"/>
      <c r="AB390" s="3187"/>
      <c r="AC390" s="3187"/>
      <c r="AD390" s="3187"/>
      <c r="AE390" s="3187"/>
      <c r="AH390" s="3187"/>
      <c r="AI390" s="3187"/>
      <c r="AJ390" s="3187"/>
      <c r="AK390" s="3187"/>
      <c r="AL390" s="3187"/>
      <c r="AM390" s="3187"/>
      <c r="AN390" s="3187"/>
      <c r="AO390" s="3187"/>
      <c r="BB390" s="3187"/>
    </row>
    <row r="391" spans="4:54">
      <c r="D391" s="3189"/>
      <c r="E391" s="3187"/>
      <c r="F391" s="3187"/>
      <c r="G391" s="3187"/>
      <c r="H391" s="3187"/>
      <c r="I391" s="3187"/>
      <c r="J391" s="3187"/>
      <c r="K391" s="3187"/>
      <c r="L391" s="3187"/>
      <c r="M391" s="3187"/>
      <c r="N391" s="3187"/>
      <c r="O391" s="3187"/>
      <c r="P391" s="3187"/>
      <c r="Q391" s="3187"/>
      <c r="R391" s="3187"/>
      <c r="S391" s="3187"/>
      <c r="T391" s="3187"/>
      <c r="U391" s="3187"/>
      <c r="V391" s="3187"/>
      <c r="W391" s="3187"/>
      <c r="X391" s="3187"/>
      <c r="Y391" s="3187"/>
      <c r="Z391" s="3187"/>
      <c r="AA391" s="3187"/>
      <c r="AB391" s="3187"/>
      <c r="AC391" s="3187"/>
      <c r="AD391" s="3187"/>
      <c r="AE391" s="3187"/>
      <c r="AH391" s="3187"/>
      <c r="AI391" s="3187"/>
      <c r="AJ391" s="3187"/>
      <c r="AK391" s="3187"/>
      <c r="AL391" s="3187"/>
      <c r="AM391" s="3187"/>
      <c r="AN391" s="3187"/>
      <c r="AO391" s="3187"/>
      <c r="BB391" s="3187"/>
    </row>
    <row r="392" spans="4:54">
      <c r="D392" s="3189"/>
      <c r="E392" s="3187"/>
      <c r="F392" s="3187"/>
      <c r="G392" s="3187"/>
      <c r="H392" s="3187"/>
      <c r="I392" s="3187"/>
      <c r="J392" s="3187"/>
      <c r="K392" s="3187"/>
      <c r="L392" s="3187"/>
      <c r="M392" s="3187"/>
      <c r="N392" s="3187"/>
      <c r="O392" s="3187"/>
      <c r="P392" s="3187"/>
      <c r="Q392" s="3187"/>
      <c r="R392" s="3187"/>
      <c r="S392" s="3187"/>
      <c r="T392" s="3187"/>
      <c r="U392" s="3187"/>
      <c r="V392" s="3187"/>
      <c r="W392" s="3187"/>
      <c r="X392" s="3187"/>
      <c r="Y392" s="3187"/>
      <c r="Z392" s="3187"/>
      <c r="AA392" s="3187"/>
      <c r="AB392" s="3187"/>
      <c r="AC392" s="3187"/>
      <c r="AD392" s="3187"/>
      <c r="AE392" s="3187"/>
      <c r="AH392" s="3187"/>
      <c r="AI392" s="3187"/>
      <c r="AJ392" s="3187"/>
      <c r="AK392" s="3187"/>
      <c r="AL392" s="3187"/>
      <c r="AM392" s="3187"/>
      <c r="AN392" s="3187"/>
      <c r="AO392" s="3187"/>
      <c r="BB392" s="3187"/>
    </row>
    <row r="393" spans="4:54">
      <c r="D393" s="3189"/>
      <c r="E393" s="3187"/>
      <c r="F393" s="3187"/>
      <c r="G393" s="3187"/>
      <c r="H393" s="3187"/>
      <c r="I393" s="3187"/>
      <c r="J393" s="3187"/>
      <c r="K393" s="3187"/>
      <c r="L393" s="3187"/>
      <c r="M393" s="3187"/>
      <c r="N393" s="3187"/>
      <c r="O393" s="3187"/>
      <c r="P393" s="3187"/>
      <c r="Q393" s="3187"/>
      <c r="R393" s="3187"/>
      <c r="S393" s="3187"/>
      <c r="T393" s="3187"/>
      <c r="U393" s="3187"/>
      <c r="V393" s="3187"/>
      <c r="W393" s="3187"/>
      <c r="X393" s="3187"/>
      <c r="Y393" s="3187"/>
      <c r="Z393" s="3187"/>
      <c r="AA393" s="3187"/>
      <c r="AB393" s="3187"/>
      <c r="AC393" s="3187"/>
      <c r="AD393" s="3187"/>
      <c r="AE393" s="3187"/>
      <c r="AH393" s="3187"/>
      <c r="AI393" s="3187"/>
      <c r="AJ393" s="3187"/>
      <c r="AK393" s="3187"/>
      <c r="AL393" s="3187"/>
      <c r="AM393" s="3187"/>
      <c r="AN393" s="3187"/>
      <c r="AO393" s="3187"/>
      <c r="BB393" s="3187"/>
    </row>
    <row r="394" spans="4:54">
      <c r="D394" s="3189"/>
      <c r="E394" s="3187"/>
      <c r="F394" s="3187"/>
      <c r="G394" s="3187"/>
      <c r="H394" s="3187"/>
      <c r="I394" s="3187"/>
      <c r="J394" s="3187"/>
      <c r="K394" s="3187"/>
      <c r="L394" s="3187"/>
      <c r="M394" s="3187"/>
      <c r="N394" s="3187"/>
      <c r="O394" s="3187"/>
      <c r="P394" s="3187"/>
      <c r="Q394" s="3187"/>
      <c r="R394" s="3187"/>
      <c r="S394" s="3187"/>
      <c r="T394" s="3187"/>
      <c r="U394" s="3187"/>
      <c r="V394" s="3187"/>
      <c r="W394" s="3187"/>
      <c r="X394" s="3187"/>
      <c r="Y394" s="3187"/>
      <c r="Z394" s="3187"/>
      <c r="AA394" s="3187"/>
      <c r="AB394" s="3187"/>
      <c r="AC394" s="3187"/>
      <c r="AD394" s="3187"/>
      <c r="AE394" s="3187"/>
      <c r="AH394" s="3187"/>
      <c r="AI394" s="3187"/>
      <c r="AJ394" s="3187"/>
      <c r="AK394" s="3187"/>
      <c r="AL394" s="3187"/>
      <c r="AM394" s="3187"/>
      <c r="AN394" s="3187"/>
      <c r="AO394" s="3187"/>
      <c r="BB394" s="3187"/>
    </row>
    <row r="395" spans="4:54">
      <c r="D395" s="3189"/>
      <c r="E395" s="3187"/>
      <c r="F395" s="3187"/>
      <c r="G395" s="3187"/>
      <c r="H395" s="3187"/>
      <c r="I395" s="3187"/>
      <c r="J395" s="3187"/>
      <c r="K395" s="3187"/>
      <c r="L395" s="3187"/>
      <c r="M395" s="3187"/>
      <c r="N395" s="3187"/>
      <c r="O395" s="3187"/>
      <c r="P395" s="3187"/>
      <c r="Q395" s="3187"/>
      <c r="R395" s="3187"/>
      <c r="S395" s="3187"/>
      <c r="T395" s="3187"/>
      <c r="U395" s="3187"/>
      <c r="V395" s="3187"/>
      <c r="W395" s="3187"/>
      <c r="X395" s="3187"/>
      <c r="Y395" s="3187"/>
      <c r="Z395" s="3187"/>
      <c r="AA395" s="3187"/>
      <c r="AB395" s="3187"/>
      <c r="AC395" s="3187"/>
      <c r="AD395" s="3187"/>
      <c r="AE395" s="3187"/>
      <c r="AH395" s="3187"/>
      <c r="AI395" s="3187"/>
      <c r="AJ395" s="3187"/>
      <c r="AK395" s="3187"/>
      <c r="AL395" s="3187"/>
      <c r="AM395" s="3187"/>
      <c r="AN395" s="3187"/>
      <c r="AO395" s="3187"/>
      <c r="BB395" s="3187"/>
    </row>
    <row r="396" spans="4:54">
      <c r="D396" s="3189"/>
      <c r="E396" s="3187"/>
      <c r="F396" s="3187"/>
      <c r="G396" s="3187"/>
      <c r="H396" s="3187"/>
      <c r="I396" s="3187"/>
      <c r="J396" s="3187"/>
      <c r="K396" s="3187"/>
      <c r="L396" s="3187"/>
      <c r="M396" s="3187"/>
      <c r="N396" s="3187"/>
      <c r="O396" s="3187"/>
      <c r="P396" s="3187"/>
      <c r="Q396" s="3187"/>
      <c r="R396" s="3187"/>
      <c r="S396" s="3187"/>
      <c r="T396" s="3187"/>
      <c r="U396" s="3187"/>
      <c r="V396" s="3187"/>
      <c r="W396" s="3187"/>
      <c r="X396" s="3187"/>
      <c r="Y396" s="3187"/>
      <c r="Z396" s="3187"/>
      <c r="AA396" s="3187"/>
      <c r="AB396" s="3187"/>
      <c r="AC396" s="3187"/>
      <c r="AD396" s="3187"/>
      <c r="AE396" s="3187"/>
      <c r="AH396" s="3187"/>
      <c r="AI396" s="3187"/>
      <c r="AJ396" s="3187"/>
      <c r="AK396" s="3187"/>
      <c r="AL396" s="3187"/>
      <c r="AM396" s="3187"/>
      <c r="AN396" s="3187"/>
      <c r="AO396" s="3187"/>
      <c r="BB396" s="3187"/>
    </row>
    <row r="397" spans="4:54">
      <c r="D397" s="3189"/>
      <c r="E397" s="3187"/>
      <c r="F397" s="3187"/>
      <c r="G397" s="3187"/>
      <c r="H397" s="3187"/>
      <c r="I397" s="3187"/>
      <c r="J397" s="3187"/>
      <c r="K397" s="3187"/>
      <c r="L397" s="3187"/>
      <c r="M397" s="3187"/>
      <c r="N397" s="3187"/>
      <c r="O397" s="3187"/>
      <c r="P397" s="3187"/>
      <c r="Q397" s="3187"/>
      <c r="R397" s="3187"/>
      <c r="S397" s="3187"/>
      <c r="T397" s="3187"/>
      <c r="U397" s="3187"/>
      <c r="V397" s="3187"/>
      <c r="W397" s="3187"/>
      <c r="X397" s="3187"/>
      <c r="Y397" s="3187"/>
      <c r="Z397" s="3187"/>
      <c r="AA397" s="3187"/>
      <c r="AB397" s="3187"/>
      <c r="AC397" s="3187"/>
      <c r="AD397" s="3187"/>
      <c r="AE397" s="3187"/>
      <c r="AH397" s="3187"/>
      <c r="AI397" s="3187"/>
      <c r="AJ397" s="3187"/>
      <c r="AK397" s="3187"/>
      <c r="AL397" s="3187"/>
      <c r="AM397" s="3187"/>
      <c r="AN397" s="3187"/>
      <c r="AO397" s="3187"/>
      <c r="BB397" s="3187"/>
    </row>
    <row r="398" spans="4:54">
      <c r="D398" s="3189"/>
      <c r="E398" s="3187"/>
      <c r="F398" s="3187"/>
      <c r="G398" s="3187"/>
      <c r="H398" s="3187"/>
      <c r="I398" s="3187"/>
      <c r="J398" s="3187"/>
      <c r="K398" s="3187"/>
      <c r="L398" s="3187"/>
      <c r="M398" s="3187"/>
      <c r="N398" s="3187"/>
      <c r="O398" s="3187"/>
      <c r="P398" s="3187"/>
      <c r="Q398" s="3187"/>
      <c r="R398" s="3187"/>
      <c r="S398" s="3187"/>
      <c r="T398" s="3187"/>
      <c r="U398" s="3187"/>
      <c r="V398" s="3187"/>
      <c r="W398" s="3187"/>
      <c r="X398" s="3187"/>
      <c r="Y398" s="3187"/>
      <c r="Z398" s="3187"/>
      <c r="AA398" s="3187"/>
      <c r="AB398" s="3187"/>
      <c r="AC398" s="3187"/>
      <c r="AD398" s="3187"/>
      <c r="AE398" s="3187"/>
      <c r="AH398" s="3187"/>
      <c r="AI398" s="3187"/>
      <c r="AJ398" s="3187"/>
      <c r="AK398" s="3187"/>
      <c r="AL398" s="3187"/>
      <c r="AM398" s="3187"/>
      <c r="AN398" s="3187"/>
      <c r="AO398" s="3187"/>
      <c r="BB398" s="3187"/>
    </row>
    <row r="401" spans="4:54">
      <c r="D401" s="3189"/>
      <c r="E401" s="3187"/>
      <c r="F401" s="3187"/>
      <c r="G401" s="3187"/>
      <c r="H401" s="3187"/>
      <c r="I401" s="3187"/>
      <c r="J401" s="3187"/>
      <c r="K401" s="3187"/>
      <c r="L401" s="3187"/>
      <c r="M401" s="3187"/>
      <c r="N401" s="3187"/>
      <c r="O401" s="3187"/>
      <c r="P401" s="3187"/>
      <c r="Q401" s="3187"/>
      <c r="T401" s="3187"/>
      <c r="U401" s="3187"/>
      <c r="V401" s="3187"/>
      <c r="W401" s="3187"/>
      <c r="X401" s="3187"/>
      <c r="Y401" s="3187"/>
      <c r="Z401" s="3187"/>
      <c r="AA401" s="3187"/>
      <c r="AB401" s="3187"/>
      <c r="AC401" s="3187"/>
      <c r="AD401" s="3187"/>
      <c r="AE401" s="3187"/>
      <c r="AH401" s="3187"/>
      <c r="AI401" s="3187"/>
      <c r="AJ401" s="3187"/>
      <c r="AK401" s="3187"/>
      <c r="AL401" s="3187"/>
      <c r="AM401" s="3187"/>
      <c r="AN401" s="3187"/>
      <c r="AO401" s="3187"/>
      <c r="BB401" s="3187"/>
    </row>
    <row r="402" spans="4:54">
      <c r="D402" s="3189"/>
      <c r="E402" s="3187"/>
      <c r="F402" s="3187"/>
      <c r="G402" s="3187"/>
      <c r="H402" s="3187"/>
      <c r="I402" s="3187"/>
      <c r="J402" s="3187"/>
      <c r="K402" s="3187"/>
      <c r="L402" s="3187"/>
      <c r="M402" s="3187"/>
      <c r="N402" s="3187"/>
      <c r="O402" s="3187"/>
      <c r="P402" s="3187"/>
      <c r="Q402" s="3187"/>
      <c r="T402" s="3187"/>
      <c r="U402" s="3187"/>
      <c r="V402" s="3187"/>
      <c r="W402" s="3187"/>
      <c r="X402" s="3187"/>
      <c r="Y402" s="3187"/>
      <c r="Z402" s="3187"/>
      <c r="AA402" s="3187"/>
      <c r="AB402" s="3187"/>
      <c r="AC402" s="3187"/>
      <c r="AD402" s="3187"/>
      <c r="AE402" s="3187"/>
      <c r="AH402" s="3187"/>
      <c r="AI402" s="3187"/>
      <c r="AJ402" s="3187"/>
      <c r="AK402" s="3187"/>
      <c r="AL402" s="3187"/>
      <c r="AM402" s="3187"/>
      <c r="AN402" s="3187"/>
      <c r="AO402" s="3187"/>
      <c r="BB402" s="3187"/>
    </row>
    <row r="404" spans="4:54">
      <c r="F404" s="3187"/>
      <c r="G404" s="3187"/>
      <c r="H404" s="3187"/>
      <c r="I404" s="3187"/>
      <c r="J404" s="3187"/>
      <c r="K404" s="3187"/>
      <c r="L404" s="3187"/>
      <c r="M404" s="3187"/>
      <c r="N404" s="3187"/>
      <c r="O404" s="3187"/>
      <c r="P404" s="3187"/>
      <c r="Q404" s="3187"/>
      <c r="U404" s="3187"/>
      <c r="V404" s="3187"/>
      <c r="W404" s="3187"/>
      <c r="X404" s="3187"/>
      <c r="Y404" s="3187"/>
      <c r="Z404" s="3187"/>
      <c r="AA404" s="3187"/>
      <c r="AB404" s="3187"/>
      <c r="AC404" s="3187"/>
      <c r="AD404" s="3187"/>
      <c r="AE404" s="3187"/>
      <c r="AH404" s="3187"/>
      <c r="AI404" s="3187"/>
      <c r="AJ404" s="3187"/>
      <c r="AK404" s="3187"/>
      <c r="AL404" s="3187"/>
      <c r="AM404" s="3187"/>
      <c r="AN404" s="3187"/>
      <c r="AO404" s="3187"/>
      <c r="BB404" s="3187"/>
    </row>
    <row r="405" spans="4:54">
      <c r="D405" s="3189"/>
      <c r="E405" s="3187"/>
      <c r="F405" s="3187"/>
      <c r="G405" s="3187"/>
      <c r="H405" s="3187"/>
      <c r="I405" s="3187"/>
      <c r="J405" s="3187"/>
      <c r="K405" s="3187"/>
      <c r="L405" s="3187"/>
      <c r="M405" s="3187"/>
      <c r="N405" s="3187"/>
      <c r="O405" s="3187"/>
      <c r="P405" s="3187"/>
      <c r="Q405" s="3187"/>
      <c r="T405" s="3187"/>
      <c r="U405" s="3187"/>
      <c r="V405" s="3187"/>
      <c r="W405" s="3187"/>
      <c r="X405" s="3187"/>
      <c r="Y405" s="3187"/>
      <c r="Z405" s="3187"/>
      <c r="AA405" s="3187"/>
      <c r="AB405" s="3187"/>
      <c r="AC405" s="3187"/>
      <c r="AD405" s="3187"/>
      <c r="AE405" s="3187"/>
      <c r="AH405" s="3187"/>
      <c r="AI405" s="3187"/>
      <c r="AJ405" s="3187"/>
      <c r="AK405" s="3187"/>
      <c r="AL405" s="3187"/>
      <c r="AM405" s="3187"/>
      <c r="AN405" s="3187"/>
      <c r="AO405" s="3187"/>
      <c r="BB405" s="3187"/>
    </row>
    <row r="406" spans="4:54">
      <c r="D406" s="3189"/>
      <c r="E406" s="3187"/>
      <c r="F406" s="3187"/>
      <c r="G406" s="3187"/>
      <c r="H406" s="3187"/>
      <c r="I406" s="3187"/>
      <c r="J406" s="3187"/>
      <c r="K406" s="3187"/>
      <c r="L406" s="3187"/>
      <c r="M406" s="3187"/>
      <c r="N406" s="3187"/>
      <c r="O406" s="3187"/>
      <c r="P406" s="3187"/>
      <c r="Q406" s="3187"/>
      <c r="T406" s="3187"/>
      <c r="U406" s="3187"/>
      <c r="V406" s="3187"/>
      <c r="W406" s="3187"/>
      <c r="X406" s="3187"/>
      <c r="Y406" s="3187"/>
      <c r="Z406" s="3187"/>
      <c r="AA406" s="3187"/>
      <c r="AB406" s="3187"/>
      <c r="AC406" s="3187"/>
      <c r="AD406" s="3187"/>
      <c r="AE406" s="3187"/>
      <c r="AH406" s="3187"/>
      <c r="AI406" s="3187"/>
      <c r="AJ406" s="3187"/>
      <c r="AK406" s="3187"/>
      <c r="AL406" s="3187"/>
      <c r="AM406" s="3187"/>
      <c r="AN406" s="3187"/>
      <c r="AO406" s="3187"/>
      <c r="BB406" s="3187"/>
    </row>
    <row r="407" spans="4:54">
      <c r="D407" s="3189"/>
      <c r="E407" s="3187"/>
      <c r="F407" s="3187"/>
      <c r="G407" s="3187"/>
      <c r="H407" s="3187"/>
      <c r="I407" s="3187"/>
      <c r="J407" s="3187"/>
      <c r="K407" s="3187"/>
      <c r="L407" s="3187"/>
      <c r="M407" s="3187"/>
      <c r="N407" s="3187"/>
      <c r="O407" s="3187"/>
      <c r="P407" s="3187"/>
      <c r="Q407" s="3187"/>
      <c r="V407" s="3200"/>
      <c r="BB407" s="3187"/>
    </row>
    <row r="408" spans="4:54">
      <c r="D408" s="3189"/>
      <c r="E408" s="3187"/>
      <c r="F408" s="3187"/>
      <c r="G408" s="3187"/>
      <c r="H408" s="3187"/>
      <c r="I408" s="3187"/>
      <c r="J408" s="3187"/>
      <c r="K408" s="3187"/>
      <c r="L408" s="3187"/>
      <c r="M408" s="3187"/>
      <c r="N408" s="3187"/>
      <c r="O408" s="3187"/>
      <c r="P408" s="3187"/>
      <c r="Q408" s="3187"/>
      <c r="T408" s="3187"/>
      <c r="U408" s="3187"/>
      <c r="V408" s="3187"/>
      <c r="W408" s="3187"/>
      <c r="X408" s="3187"/>
      <c r="Y408" s="3187"/>
      <c r="Z408" s="3187"/>
      <c r="AA408" s="3187"/>
      <c r="AB408" s="3187"/>
      <c r="AC408" s="3187"/>
      <c r="AD408" s="3187"/>
      <c r="AE408" s="3187"/>
      <c r="AH408" s="3187"/>
      <c r="AI408" s="3187"/>
      <c r="AJ408" s="3187"/>
      <c r="AK408" s="3187"/>
      <c r="AL408" s="3187"/>
      <c r="AM408" s="3187"/>
      <c r="AN408" s="3187"/>
      <c r="AO408" s="3187"/>
      <c r="BB408" s="3187"/>
    </row>
    <row r="409" spans="4:54">
      <c r="D409" s="3189"/>
      <c r="E409" s="3187"/>
      <c r="F409" s="3187"/>
      <c r="G409" s="3187"/>
      <c r="H409" s="3187"/>
      <c r="I409" s="3187"/>
      <c r="J409" s="3187"/>
      <c r="K409" s="3187"/>
      <c r="L409" s="3187"/>
      <c r="M409" s="3187"/>
      <c r="N409" s="3187"/>
      <c r="O409" s="3187"/>
      <c r="P409" s="3187"/>
      <c r="Q409" s="3187"/>
      <c r="T409" s="3187"/>
      <c r="U409" s="3187"/>
      <c r="V409" s="3187"/>
      <c r="W409" s="3187"/>
      <c r="X409" s="3187"/>
      <c r="Y409" s="3187"/>
      <c r="Z409" s="3187"/>
      <c r="AA409" s="3187"/>
      <c r="AB409" s="3187"/>
      <c r="AC409" s="3187"/>
      <c r="AD409" s="3187"/>
      <c r="AE409" s="3187"/>
      <c r="AH409" s="3187"/>
      <c r="AI409" s="3187"/>
      <c r="AJ409" s="3187"/>
      <c r="AK409" s="3187"/>
      <c r="AL409" s="3187"/>
      <c r="AM409" s="3187"/>
      <c r="AN409" s="3187"/>
      <c r="AO409" s="3187"/>
      <c r="BB409" s="3187"/>
    </row>
    <row r="410" spans="4:54">
      <c r="D410" s="3189"/>
      <c r="E410" s="3187"/>
      <c r="F410" s="3187"/>
      <c r="G410" s="3187"/>
      <c r="H410" s="3187"/>
      <c r="I410" s="3187"/>
      <c r="J410" s="3187"/>
      <c r="K410" s="3187"/>
      <c r="L410" s="3187"/>
      <c r="M410" s="3187"/>
      <c r="N410" s="3187"/>
      <c r="O410" s="3187"/>
      <c r="P410" s="3187"/>
      <c r="Q410" s="3187"/>
      <c r="T410" s="3187"/>
      <c r="U410" s="3187"/>
      <c r="V410" s="3187"/>
      <c r="W410" s="3187"/>
      <c r="X410" s="3187"/>
      <c r="Y410" s="3187"/>
      <c r="Z410" s="3187"/>
      <c r="AA410" s="3187"/>
      <c r="AB410" s="3187"/>
      <c r="AC410" s="3187"/>
      <c r="AD410" s="3187"/>
      <c r="AE410" s="3187"/>
      <c r="AH410" s="3187"/>
      <c r="AI410" s="3187"/>
      <c r="AJ410" s="3187"/>
      <c r="AK410" s="3187"/>
      <c r="AL410" s="3187"/>
      <c r="AM410" s="3187"/>
      <c r="AN410" s="3187"/>
      <c r="AO410" s="3187"/>
      <c r="BB410" s="3187"/>
    </row>
    <row r="411" spans="4:54">
      <c r="F411" s="3187"/>
      <c r="G411" s="3187"/>
      <c r="H411" s="3187"/>
      <c r="I411" s="3187"/>
      <c r="J411" s="3187"/>
      <c r="K411" s="3187"/>
      <c r="L411" s="3187"/>
      <c r="M411" s="3187"/>
      <c r="N411" s="3187"/>
      <c r="O411" s="3187"/>
      <c r="P411" s="3187"/>
      <c r="Q411" s="3187"/>
      <c r="U411" s="3187"/>
      <c r="V411" s="3187"/>
      <c r="W411" s="3187"/>
      <c r="X411" s="3187"/>
      <c r="Y411" s="3187"/>
      <c r="Z411" s="3187"/>
      <c r="AA411" s="3187"/>
      <c r="AB411" s="3187"/>
      <c r="AC411" s="3187"/>
      <c r="AD411" s="3187"/>
      <c r="AE411" s="3187"/>
      <c r="AH411" s="3187"/>
      <c r="AI411" s="3187"/>
      <c r="AJ411" s="3187"/>
      <c r="AK411" s="3187"/>
      <c r="AL411" s="3187"/>
      <c r="AM411" s="3187"/>
      <c r="AN411" s="3187"/>
      <c r="AO411" s="3187"/>
      <c r="BB411" s="3187"/>
    </row>
    <row r="412" spans="4:54">
      <c r="D412" s="3189"/>
      <c r="E412" s="3187"/>
      <c r="F412" s="3187"/>
      <c r="G412" s="3187"/>
      <c r="H412" s="3187"/>
      <c r="I412" s="3187"/>
      <c r="J412" s="3187"/>
      <c r="K412" s="3187"/>
      <c r="L412" s="3187"/>
      <c r="M412" s="3187"/>
      <c r="N412" s="3187"/>
      <c r="O412" s="3187"/>
      <c r="P412" s="3187"/>
      <c r="Q412" s="3187"/>
      <c r="T412" s="3187"/>
      <c r="U412" s="3187"/>
      <c r="V412" s="3187"/>
      <c r="W412" s="3187"/>
      <c r="X412" s="3187"/>
      <c r="Y412" s="3187"/>
      <c r="Z412" s="3187"/>
      <c r="AA412" s="3187"/>
      <c r="AB412" s="3187"/>
      <c r="AC412" s="3187"/>
      <c r="AD412" s="3187"/>
      <c r="AE412" s="3187"/>
      <c r="AH412" s="3187"/>
      <c r="AI412" s="3187"/>
      <c r="AJ412" s="3187"/>
      <c r="AK412" s="3187"/>
      <c r="AL412" s="3187"/>
      <c r="AM412" s="3187"/>
      <c r="AN412" s="3187"/>
      <c r="AO412" s="3187"/>
      <c r="BB412" s="3187"/>
    </row>
    <row r="413" spans="4:54">
      <c r="D413" s="3189"/>
      <c r="E413" s="3187"/>
      <c r="F413" s="3187"/>
      <c r="G413" s="3187"/>
      <c r="H413" s="3187"/>
      <c r="I413" s="3187"/>
      <c r="J413" s="3187"/>
      <c r="K413" s="3187"/>
      <c r="L413" s="3187"/>
      <c r="M413" s="3187"/>
      <c r="N413" s="3187"/>
      <c r="O413" s="3187"/>
      <c r="P413" s="3187"/>
      <c r="Q413" s="3187"/>
      <c r="T413" s="3187"/>
      <c r="U413" s="3187"/>
      <c r="V413" s="3187"/>
      <c r="W413" s="3187"/>
      <c r="X413" s="3187"/>
      <c r="Y413" s="3187"/>
      <c r="Z413" s="3187"/>
      <c r="AA413" s="3187"/>
      <c r="AB413" s="3187"/>
      <c r="AC413" s="3187"/>
      <c r="AD413" s="3187"/>
      <c r="AE413" s="3187"/>
      <c r="AH413" s="3187"/>
      <c r="AI413" s="3187"/>
      <c r="AJ413" s="3187"/>
      <c r="AK413" s="3187"/>
      <c r="AL413" s="3187"/>
      <c r="AM413" s="3187"/>
      <c r="AN413" s="3187"/>
      <c r="AO413" s="3187"/>
      <c r="BB413" s="3187"/>
    </row>
    <row r="415" spans="4:54">
      <c r="F415" s="3187"/>
      <c r="G415" s="3187"/>
      <c r="H415" s="3187"/>
      <c r="I415" s="3187"/>
      <c r="J415" s="3187"/>
      <c r="K415" s="3187"/>
      <c r="L415" s="3187"/>
      <c r="M415" s="3187"/>
      <c r="N415" s="3187"/>
      <c r="O415" s="3187"/>
      <c r="P415" s="3187"/>
      <c r="Q415" s="3187"/>
      <c r="U415" s="3187"/>
      <c r="V415" s="3187"/>
      <c r="W415" s="3187"/>
      <c r="X415" s="3187"/>
      <c r="Y415" s="3187"/>
      <c r="Z415" s="3187"/>
      <c r="AA415" s="3187"/>
      <c r="AB415" s="3187"/>
      <c r="AC415" s="3187"/>
      <c r="AD415" s="3187"/>
      <c r="AE415" s="3187"/>
      <c r="AH415" s="3187"/>
      <c r="AI415" s="3187"/>
      <c r="AJ415" s="3187"/>
      <c r="AK415" s="3187"/>
      <c r="AL415" s="3187"/>
      <c r="AM415" s="3187"/>
      <c r="AN415" s="3187"/>
      <c r="AO415" s="3187"/>
      <c r="BB415" s="3187"/>
    </row>
    <row r="416" spans="4:54">
      <c r="D416" s="3189"/>
      <c r="E416" s="3187"/>
      <c r="F416" s="3187"/>
      <c r="G416" s="3187"/>
      <c r="H416" s="3187"/>
      <c r="I416" s="3187"/>
      <c r="J416" s="3187"/>
      <c r="K416" s="3187"/>
      <c r="L416" s="3187"/>
      <c r="M416" s="3187"/>
      <c r="N416" s="3187"/>
      <c r="O416" s="3187"/>
      <c r="P416" s="3187"/>
      <c r="Q416" s="3187"/>
      <c r="T416" s="3187"/>
      <c r="U416" s="3187"/>
      <c r="V416" s="3187"/>
      <c r="W416" s="3187"/>
      <c r="X416" s="3187"/>
      <c r="Y416" s="3187"/>
      <c r="Z416" s="3187"/>
      <c r="AA416" s="3187"/>
      <c r="AB416" s="3187"/>
      <c r="AC416" s="3187"/>
      <c r="AD416" s="3187"/>
      <c r="AE416" s="3187"/>
      <c r="AH416" s="3187"/>
      <c r="AI416" s="3187"/>
      <c r="AJ416" s="3187"/>
      <c r="AK416" s="3187"/>
      <c r="AL416" s="3187"/>
      <c r="AM416" s="3187"/>
      <c r="AN416" s="3187"/>
      <c r="AO416" s="3187"/>
      <c r="BB416" s="3187"/>
    </row>
    <row r="417" spans="4:54">
      <c r="D417" s="3189"/>
      <c r="E417" s="3187"/>
      <c r="F417" s="3187"/>
      <c r="G417" s="3187"/>
      <c r="H417" s="3187"/>
      <c r="I417" s="3187"/>
      <c r="J417" s="3187"/>
      <c r="K417" s="3187"/>
      <c r="L417" s="3187"/>
      <c r="M417" s="3187"/>
      <c r="N417" s="3187"/>
      <c r="O417" s="3187"/>
      <c r="P417" s="3187"/>
      <c r="Q417" s="3187"/>
      <c r="T417" s="3187"/>
      <c r="U417" s="3187"/>
      <c r="V417" s="3187"/>
      <c r="W417" s="3187"/>
      <c r="X417" s="3187"/>
      <c r="Y417" s="3187"/>
      <c r="Z417" s="3187"/>
      <c r="AA417" s="3187"/>
      <c r="AB417" s="3187"/>
      <c r="AC417" s="3187"/>
      <c r="AD417" s="3187"/>
      <c r="AE417" s="3187"/>
      <c r="AH417" s="3187"/>
      <c r="AI417" s="3187"/>
      <c r="AJ417" s="3187"/>
      <c r="AK417" s="3187"/>
      <c r="AL417" s="3187"/>
      <c r="AM417" s="3187"/>
      <c r="AN417" s="3187"/>
      <c r="AO417" s="3187"/>
      <c r="BB417" s="3187"/>
    </row>
    <row r="419" spans="4:54">
      <c r="D419" s="3189"/>
      <c r="E419" s="3187"/>
      <c r="F419" s="3187"/>
      <c r="G419" s="3187"/>
      <c r="H419" s="3187"/>
      <c r="I419" s="3187"/>
      <c r="J419" s="3187"/>
      <c r="K419" s="3187"/>
      <c r="L419" s="3187"/>
      <c r="M419" s="3187"/>
      <c r="N419" s="3187"/>
      <c r="O419" s="3187"/>
      <c r="P419" s="3187"/>
      <c r="Q419" s="3187"/>
      <c r="T419" s="3187"/>
      <c r="U419" s="3187"/>
      <c r="V419" s="3187"/>
      <c r="W419" s="3187"/>
      <c r="X419" s="3187"/>
      <c r="Y419" s="3187"/>
      <c r="Z419" s="3187"/>
      <c r="AA419" s="3187"/>
      <c r="AB419" s="3187"/>
      <c r="AC419" s="3187"/>
      <c r="AD419" s="3187"/>
      <c r="AE419" s="3187"/>
      <c r="AH419" s="3187"/>
      <c r="AI419" s="3187"/>
      <c r="AJ419" s="3187"/>
      <c r="AK419" s="3187"/>
      <c r="AL419" s="3187"/>
      <c r="AM419" s="3187"/>
      <c r="AN419" s="3187"/>
      <c r="AO419" s="3187"/>
      <c r="BB419" s="3187"/>
    </row>
    <row r="420" spans="4:54">
      <c r="D420" s="3189"/>
      <c r="E420" s="3187"/>
      <c r="F420" s="3187"/>
      <c r="G420" s="3187"/>
      <c r="H420" s="3187"/>
      <c r="I420" s="3187"/>
      <c r="J420" s="3187"/>
      <c r="K420" s="3187"/>
      <c r="L420" s="3187"/>
      <c r="M420" s="3187"/>
      <c r="N420" s="3187"/>
      <c r="O420" s="3187"/>
      <c r="P420" s="3187"/>
      <c r="Q420" s="3187"/>
      <c r="T420" s="3187"/>
      <c r="U420" s="3187"/>
      <c r="V420" s="3187"/>
      <c r="W420" s="3187"/>
      <c r="X420" s="3187"/>
      <c r="Y420" s="3187"/>
      <c r="Z420" s="3187"/>
      <c r="AA420" s="3187"/>
      <c r="AB420" s="3187"/>
      <c r="AC420" s="3187"/>
      <c r="AD420" s="3187"/>
      <c r="AE420" s="3187"/>
      <c r="AH420" s="3187"/>
      <c r="AI420" s="3187"/>
      <c r="AJ420" s="3187"/>
      <c r="AK420" s="3187"/>
      <c r="AL420" s="3187"/>
      <c r="AM420" s="3187"/>
      <c r="AN420" s="3187"/>
      <c r="AO420" s="3187"/>
      <c r="BB420" s="3187"/>
    </row>
    <row r="421" spans="4:54">
      <c r="D421" s="3189"/>
      <c r="E421" s="3187"/>
      <c r="F421" s="3187"/>
      <c r="G421" s="3187"/>
      <c r="H421" s="3187"/>
      <c r="I421" s="3187"/>
      <c r="J421" s="3187"/>
      <c r="K421" s="3187"/>
      <c r="L421" s="3187"/>
      <c r="M421" s="3187"/>
      <c r="N421" s="3187"/>
      <c r="O421" s="3187"/>
      <c r="P421" s="3187"/>
      <c r="Q421" s="3187"/>
      <c r="T421" s="3187"/>
      <c r="U421" s="3187"/>
      <c r="V421" s="3187"/>
      <c r="W421" s="3187"/>
      <c r="X421" s="3187"/>
      <c r="Y421" s="3187"/>
      <c r="Z421" s="3187"/>
      <c r="AA421" s="3187"/>
      <c r="AB421" s="3187"/>
      <c r="AC421" s="3187"/>
      <c r="AD421" s="3187"/>
      <c r="AE421" s="3187"/>
      <c r="AH421" s="3187"/>
      <c r="AI421" s="3187"/>
      <c r="AJ421" s="3187"/>
      <c r="AK421" s="3187"/>
      <c r="AL421" s="3187"/>
      <c r="AM421" s="3187"/>
      <c r="AN421" s="3187"/>
      <c r="AO421" s="3187"/>
      <c r="BB421" s="3187"/>
    </row>
    <row r="422" spans="4:54">
      <c r="F422" s="3187"/>
      <c r="G422" s="3187"/>
      <c r="H422" s="3187"/>
      <c r="I422" s="3187"/>
      <c r="J422" s="3187"/>
      <c r="K422" s="3187"/>
      <c r="L422" s="3187"/>
      <c r="M422" s="3187"/>
      <c r="N422" s="3187"/>
      <c r="O422" s="3187"/>
      <c r="P422" s="3187"/>
      <c r="Q422" s="3187"/>
      <c r="U422" s="3187"/>
      <c r="V422" s="3187"/>
      <c r="W422" s="3187"/>
      <c r="X422" s="3187"/>
      <c r="Y422" s="3187"/>
      <c r="Z422" s="3187"/>
      <c r="AA422" s="3187"/>
      <c r="AB422" s="3187"/>
      <c r="AC422" s="3187"/>
      <c r="AD422" s="3187"/>
      <c r="AE422" s="3187"/>
      <c r="AH422" s="3187"/>
      <c r="AI422" s="3187"/>
      <c r="AJ422" s="3187"/>
      <c r="AK422" s="3187"/>
      <c r="AL422" s="3187"/>
      <c r="AM422" s="3187"/>
      <c r="AN422" s="3187"/>
      <c r="AO422" s="3187"/>
      <c r="BB422" s="3187"/>
    </row>
    <row r="423" spans="4:54">
      <c r="D423" s="3189"/>
      <c r="E423" s="3187"/>
      <c r="F423" s="3187"/>
      <c r="G423" s="3187"/>
      <c r="H423" s="3187"/>
      <c r="I423" s="3187"/>
      <c r="J423" s="3187"/>
      <c r="K423" s="3187"/>
      <c r="L423" s="3187"/>
      <c r="M423" s="3187"/>
      <c r="N423" s="3187"/>
      <c r="O423" s="3187"/>
      <c r="P423" s="3187"/>
      <c r="Q423" s="3187"/>
      <c r="T423" s="3187"/>
      <c r="U423" s="3187"/>
      <c r="V423" s="3187"/>
      <c r="W423" s="3187"/>
      <c r="X423" s="3187"/>
      <c r="Y423" s="3187"/>
      <c r="Z423" s="3187"/>
      <c r="AA423" s="3187"/>
      <c r="AB423" s="3187"/>
      <c r="AC423" s="3187"/>
      <c r="AD423" s="3187"/>
      <c r="AE423" s="3187"/>
      <c r="AH423" s="3187"/>
      <c r="AI423" s="3187"/>
      <c r="AJ423" s="3187"/>
      <c r="AK423" s="3187"/>
      <c r="AL423" s="3187"/>
      <c r="AM423" s="3187"/>
      <c r="AN423" s="3187"/>
      <c r="AO423" s="3187"/>
      <c r="BB423" s="3187"/>
    </row>
    <row r="424" spans="4:54">
      <c r="D424" s="3189"/>
      <c r="E424" s="3187"/>
      <c r="F424" s="3187"/>
      <c r="G424" s="3187"/>
      <c r="H424" s="3187"/>
      <c r="I424" s="3187"/>
      <c r="J424" s="3187"/>
      <c r="K424" s="3187"/>
      <c r="L424" s="3187"/>
      <c r="M424" s="3187"/>
      <c r="N424" s="3187"/>
      <c r="O424" s="3187"/>
      <c r="P424" s="3187"/>
      <c r="Q424" s="3187"/>
      <c r="T424" s="3187"/>
      <c r="U424" s="3187"/>
      <c r="V424" s="3187"/>
      <c r="W424" s="3187"/>
      <c r="X424" s="3187"/>
      <c r="Y424" s="3187"/>
      <c r="Z424" s="3187"/>
      <c r="AA424" s="3187"/>
      <c r="AB424" s="3187"/>
      <c r="AC424" s="3187"/>
      <c r="AD424" s="3187"/>
      <c r="AE424" s="3187"/>
      <c r="AH424" s="3187"/>
      <c r="AI424" s="3187"/>
      <c r="AJ424" s="3187"/>
      <c r="AK424" s="3187"/>
      <c r="AL424" s="3187"/>
      <c r="AM424" s="3187"/>
      <c r="AN424" s="3187"/>
      <c r="AO424" s="3187"/>
      <c r="BB424" s="3187"/>
    </row>
    <row r="426" spans="4:54">
      <c r="F426" s="3187"/>
      <c r="G426" s="3187"/>
      <c r="H426" s="3187"/>
      <c r="I426" s="3187"/>
      <c r="J426" s="3187"/>
      <c r="K426" s="3187"/>
      <c r="L426" s="3187"/>
      <c r="M426" s="3187"/>
      <c r="N426" s="3187"/>
      <c r="O426" s="3187"/>
      <c r="P426" s="3187"/>
      <c r="Q426" s="3187"/>
      <c r="U426" s="3187"/>
      <c r="V426" s="3187"/>
      <c r="W426" s="3187"/>
      <c r="X426" s="3187"/>
      <c r="Y426" s="3187"/>
      <c r="Z426" s="3187"/>
      <c r="AA426" s="3187"/>
      <c r="AB426" s="3187"/>
      <c r="AC426" s="3187"/>
      <c r="AD426" s="3187"/>
      <c r="AE426" s="3187"/>
      <c r="AH426" s="3187"/>
      <c r="AI426" s="3187"/>
      <c r="AJ426" s="3187"/>
      <c r="AK426" s="3187"/>
      <c r="AL426" s="3187"/>
      <c r="AM426" s="3187"/>
      <c r="AN426" s="3187"/>
      <c r="AO426" s="3187"/>
      <c r="BB426" s="3187"/>
    </row>
    <row r="427" spans="4:54">
      <c r="D427" s="3189"/>
      <c r="E427" s="3187"/>
      <c r="F427" s="3187"/>
      <c r="G427" s="3187"/>
      <c r="H427" s="3187"/>
      <c r="I427" s="3187"/>
      <c r="J427" s="3187"/>
      <c r="K427" s="3187"/>
      <c r="L427" s="3187"/>
      <c r="M427" s="3187"/>
      <c r="N427" s="3187"/>
      <c r="O427" s="3187"/>
      <c r="P427" s="3187"/>
      <c r="Q427" s="3187"/>
      <c r="T427" s="3187"/>
      <c r="U427" s="3187"/>
      <c r="V427" s="3187"/>
      <c r="W427" s="3187"/>
      <c r="X427" s="3187"/>
      <c r="Y427" s="3187"/>
      <c r="Z427" s="3187"/>
      <c r="AA427" s="3187"/>
      <c r="AB427" s="3187"/>
      <c r="AC427" s="3187"/>
      <c r="AD427" s="3187"/>
      <c r="AE427" s="3187"/>
      <c r="AH427" s="3187"/>
      <c r="AI427" s="3187"/>
      <c r="AJ427" s="3187"/>
      <c r="AK427" s="3187"/>
      <c r="AL427" s="3187"/>
      <c r="AM427" s="3187"/>
      <c r="AN427" s="3187"/>
      <c r="AO427" s="3187"/>
      <c r="BB427" s="3187"/>
    </row>
    <row r="428" spans="4:54">
      <c r="D428" s="3189"/>
      <c r="E428" s="3187"/>
      <c r="F428" s="3187"/>
      <c r="G428" s="3187"/>
      <c r="H428" s="3187"/>
      <c r="I428" s="3187"/>
      <c r="J428" s="3187"/>
      <c r="K428" s="3187"/>
      <c r="L428" s="3187"/>
      <c r="M428" s="3187"/>
      <c r="N428" s="3187"/>
      <c r="O428" s="3187"/>
      <c r="P428" s="3187"/>
      <c r="Q428" s="3187"/>
      <c r="T428" s="3187"/>
      <c r="U428" s="3187"/>
      <c r="V428" s="3187"/>
      <c r="W428" s="3187"/>
      <c r="X428" s="3187"/>
      <c r="Y428" s="3187"/>
      <c r="Z428" s="3187"/>
      <c r="AA428" s="3187"/>
      <c r="AB428" s="3187"/>
      <c r="AC428" s="3187"/>
      <c r="AD428" s="3187"/>
      <c r="AE428" s="3187"/>
      <c r="AH428" s="3187"/>
      <c r="AI428" s="3187"/>
      <c r="AJ428" s="3187"/>
      <c r="AK428" s="3187"/>
      <c r="AL428" s="3187"/>
      <c r="AM428" s="3187"/>
      <c r="AN428" s="3187"/>
      <c r="AO428" s="3187"/>
      <c r="BB428" s="3187"/>
    </row>
    <row r="430" spans="4:54">
      <c r="D430" s="3189"/>
      <c r="E430" s="3187"/>
      <c r="F430" s="3187"/>
      <c r="G430" s="3187"/>
      <c r="H430" s="3187"/>
      <c r="I430" s="3187"/>
      <c r="J430" s="3187"/>
      <c r="K430" s="3187"/>
      <c r="L430" s="3187"/>
      <c r="M430" s="3187"/>
      <c r="N430" s="3187"/>
      <c r="O430" s="3187"/>
      <c r="P430" s="3187"/>
      <c r="Q430" s="3187"/>
      <c r="T430" s="3187"/>
      <c r="U430" s="3187"/>
      <c r="V430" s="3187"/>
      <c r="W430" s="3187"/>
      <c r="X430" s="3187"/>
      <c r="Y430" s="3187"/>
      <c r="Z430" s="3187"/>
      <c r="AA430" s="3187"/>
      <c r="AB430" s="3187"/>
      <c r="AC430" s="3187"/>
      <c r="AD430" s="3187"/>
      <c r="AE430" s="3187"/>
      <c r="AH430" s="3187"/>
      <c r="AI430" s="3187"/>
      <c r="AJ430" s="3187"/>
      <c r="AK430" s="3187"/>
      <c r="AL430" s="3187"/>
      <c r="AM430" s="3187"/>
      <c r="AN430" s="3187"/>
      <c r="AO430" s="3187"/>
      <c r="BB430" s="3187"/>
    </row>
    <row r="431" spans="4:54">
      <c r="D431" s="3189"/>
      <c r="E431" s="3187"/>
      <c r="F431" s="3187"/>
      <c r="G431" s="3187"/>
      <c r="H431" s="3187"/>
      <c r="I431" s="3187"/>
      <c r="J431" s="3187"/>
      <c r="K431" s="3187"/>
      <c r="L431" s="3187"/>
      <c r="M431" s="3187"/>
      <c r="N431" s="3187"/>
      <c r="O431" s="3187"/>
      <c r="P431" s="3187"/>
      <c r="Q431" s="3187"/>
      <c r="T431" s="3187"/>
      <c r="U431" s="3187"/>
      <c r="V431" s="3187"/>
      <c r="W431" s="3187"/>
      <c r="X431" s="3187"/>
      <c r="Y431" s="3187"/>
      <c r="Z431" s="3187"/>
      <c r="AA431" s="3187"/>
      <c r="AB431" s="3187"/>
      <c r="AC431" s="3187"/>
      <c r="AD431" s="3187"/>
      <c r="AE431" s="3187"/>
      <c r="AH431" s="3187"/>
      <c r="AI431" s="3187"/>
      <c r="AJ431" s="3187"/>
      <c r="AK431" s="3187"/>
      <c r="AL431" s="3187"/>
      <c r="AM431" s="3187"/>
      <c r="AN431" s="3187"/>
      <c r="AO431" s="3187"/>
      <c r="BB431" s="3187"/>
    </row>
    <row r="432" spans="4:54">
      <c r="D432" s="3189"/>
      <c r="E432" s="3187"/>
      <c r="F432" s="3187"/>
      <c r="G432" s="3187"/>
      <c r="H432" s="3187"/>
      <c r="I432" s="3187"/>
      <c r="J432" s="3187"/>
      <c r="K432" s="3187"/>
      <c r="L432" s="3187"/>
      <c r="M432" s="3187"/>
      <c r="N432" s="3187"/>
      <c r="O432" s="3187"/>
      <c r="P432" s="3187"/>
      <c r="Q432" s="3187"/>
      <c r="T432" s="3187"/>
      <c r="U432" s="3187"/>
      <c r="V432" s="3187"/>
      <c r="W432" s="3187"/>
      <c r="X432" s="3187"/>
      <c r="Y432" s="3187"/>
      <c r="Z432" s="3187"/>
      <c r="AA432" s="3187"/>
      <c r="AB432" s="3187"/>
      <c r="AC432" s="3187"/>
      <c r="AD432" s="3187"/>
      <c r="AE432" s="3187"/>
      <c r="AH432" s="3187"/>
      <c r="AI432" s="3187"/>
      <c r="AJ432" s="3187"/>
      <c r="AK432" s="3187"/>
      <c r="AL432" s="3187"/>
      <c r="AM432" s="3187"/>
      <c r="AN432" s="3187"/>
      <c r="AO432" s="3187"/>
      <c r="BB432" s="3187"/>
    </row>
    <row r="433" spans="4:54">
      <c r="F433" s="3187"/>
      <c r="G433" s="3187"/>
      <c r="H433" s="3187"/>
      <c r="I433" s="3187"/>
      <c r="J433" s="3187"/>
      <c r="K433" s="3187"/>
      <c r="L433" s="3187"/>
      <c r="M433" s="3187"/>
      <c r="N433" s="3187"/>
      <c r="O433" s="3187"/>
      <c r="P433" s="3187"/>
      <c r="Q433" s="3187"/>
      <c r="U433" s="3187"/>
      <c r="V433" s="3187"/>
      <c r="W433" s="3187"/>
      <c r="X433" s="3187"/>
      <c r="Y433" s="3187"/>
      <c r="Z433" s="3187"/>
      <c r="AA433" s="3187"/>
      <c r="AB433" s="3187"/>
      <c r="AC433" s="3187"/>
      <c r="AD433" s="3187"/>
      <c r="AE433" s="3187"/>
      <c r="AH433" s="3187"/>
      <c r="AI433" s="3187"/>
      <c r="AJ433" s="3187"/>
      <c r="AK433" s="3187"/>
      <c r="AL433" s="3187"/>
      <c r="AM433" s="3187"/>
      <c r="AN433" s="3187"/>
      <c r="AO433" s="3187"/>
      <c r="BB433" s="3187"/>
    </row>
    <row r="434" spans="4:54">
      <c r="D434" s="3189"/>
      <c r="E434" s="3187"/>
      <c r="F434" s="3187"/>
      <c r="G434" s="3187"/>
      <c r="H434" s="3187"/>
      <c r="I434" s="3187"/>
      <c r="J434" s="3187"/>
      <c r="K434" s="3187"/>
      <c r="L434" s="3187"/>
      <c r="M434" s="3187"/>
      <c r="N434" s="3187"/>
      <c r="O434" s="3187"/>
      <c r="P434" s="3187"/>
      <c r="Q434" s="3187"/>
      <c r="T434" s="3187"/>
      <c r="U434" s="3187"/>
      <c r="V434" s="3187"/>
      <c r="W434" s="3187"/>
      <c r="X434" s="3187"/>
      <c r="Y434" s="3187"/>
      <c r="Z434" s="3187"/>
      <c r="AA434" s="3187"/>
      <c r="AB434" s="3187"/>
      <c r="AC434" s="3187"/>
      <c r="AD434" s="3187"/>
      <c r="AE434" s="3187"/>
      <c r="AH434" s="3187"/>
      <c r="AI434" s="3187"/>
      <c r="AJ434" s="3187"/>
      <c r="AK434" s="3187"/>
      <c r="AL434" s="3187"/>
      <c r="AM434" s="3187"/>
      <c r="AN434" s="3187"/>
      <c r="AO434" s="3187"/>
      <c r="BB434" s="3187"/>
    </row>
    <row r="435" spans="4:54">
      <c r="D435" s="3189"/>
      <c r="E435" s="3187"/>
      <c r="F435" s="3187"/>
      <c r="G435" s="3187"/>
      <c r="H435" s="3187"/>
      <c r="I435" s="3187"/>
      <c r="J435" s="3187"/>
      <c r="K435" s="3187"/>
      <c r="L435" s="3187"/>
      <c r="M435" s="3187"/>
      <c r="N435" s="3187"/>
      <c r="O435" s="3187"/>
      <c r="P435" s="3187"/>
      <c r="Q435" s="3187"/>
      <c r="T435" s="3187"/>
      <c r="U435" s="3187"/>
      <c r="V435" s="3187"/>
      <c r="W435" s="3187"/>
      <c r="X435" s="3187"/>
      <c r="Y435" s="3187"/>
      <c r="Z435" s="3187"/>
      <c r="AA435" s="3187"/>
      <c r="AB435" s="3187"/>
      <c r="AC435" s="3187"/>
      <c r="AD435" s="3187"/>
      <c r="AE435" s="3187"/>
      <c r="AH435" s="3187"/>
      <c r="AI435" s="3187"/>
      <c r="AJ435" s="3187"/>
      <c r="AK435" s="3187"/>
      <c r="AL435" s="3187"/>
      <c r="AM435" s="3187"/>
      <c r="AN435" s="3187"/>
      <c r="AO435" s="3187"/>
      <c r="BB435" s="3187"/>
    </row>
    <row r="437" spans="4:54">
      <c r="F437" s="3187"/>
      <c r="G437" s="3187"/>
      <c r="H437" s="3187"/>
      <c r="I437" s="3187"/>
      <c r="J437" s="3187"/>
      <c r="K437" s="3187"/>
      <c r="L437" s="3187"/>
      <c r="M437" s="3187"/>
      <c r="N437" s="3187"/>
      <c r="O437" s="3187"/>
      <c r="P437" s="3187"/>
      <c r="Q437" s="3187"/>
      <c r="U437" s="3187"/>
      <c r="V437" s="3187"/>
      <c r="W437" s="3187"/>
      <c r="X437" s="3187"/>
      <c r="Y437" s="3187"/>
      <c r="Z437" s="3187"/>
      <c r="AA437" s="3187"/>
      <c r="AB437" s="3187"/>
      <c r="AC437" s="3187"/>
      <c r="AD437" s="3187"/>
      <c r="AE437" s="3187"/>
      <c r="AH437" s="3187"/>
      <c r="AI437" s="3187"/>
      <c r="AJ437" s="3187"/>
      <c r="AK437" s="3187"/>
      <c r="AL437" s="3187"/>
      <c r="AM437" s="3187"/>
      <c r="AN437" s="3187"/>
      <c r="AO437" s="3187"/>
      <c r="BB437" s="3187"/>
    </row>
    <row r="438" spans="4:54">
      <c r="D438" s="3189"/>
      <c r="E438" s="3187"/>
      <c r="F438" s="3187"/>
      <c r="G438" s="3187"/>
      <c r="H438" s="3187"/>
      <c r="I438" s="3187"/>
      <c r="J438" s="3187"/>
      <c r="K438" s="3187"/>
      <c r="L438" s="3187"/>
      <c r="M438" s="3187"/>
      <c r="N438" s="3187"/>
      <c r="O438" s="3187"/>
      <c r="P438" s="3187"/>
      <c r="Q438" s="3187"/>
      <c r="T438" s="3187"/>
      <c r="U438" s="3187"/>
      <c r="V438" s="3187"/>
      <c r="W438" s="3187"/>
      <c r="X438" s="3187"/>
      <c r="Y438" s="3187"/>
      <c r="Z438" s="3187"/>
      <c r="AA438" s="3187"/>
      <c r="AB438" s="3187"/>
      <c r="AC438" s="3187"/>
      <c r="AD438" s="3187"/>
      <c r="AE438" s="3187"/>
      <c r="AH438" s="3187"/>
      <c r="AI438" s="3187"/>
      <c r="AJ438" s="3187"/>
      <c r="AK438" s="3187"/>
      <c r="AL438" s="3187"/>
      <c r="AM438" s="3187"/>
      <c r="AN438" s="3187"/>
      <c r="AO438" s="3187"/>
      <c r="BB438" s="3187"/>
    </row>
    <row r="439" spans="4:54">
      <c r="D439" s="3189"/>
      <c r="E439" s="3187"/>
      <c r="F439" s="3187"/>
      <c r="G439" s="3187"/>
      <c r="H439" s="3187"/>
      <c r="I439" s="3187"/>
      <c r="J439" s="3187"/>
      <c r="K439" s="3187"/>
      <c r="L439" s="3187"/>
      <c r="M439" s="3187"/>
      <c r="N439" s="3187"/>
      <c r="O439" s="3187"/>
      <c r="P439" s="3187"/>
      <c r="Q439" s="3187"/>
      <c r="T439" s="3187"/>
      <c r="U439" s="3187"/>
      <c r="V439" s="3187"/>
      <c r="W439" s="3187"/>
      <c r="X439" s="3187"/>
      <c r="Y439" s="3187"/>
      <c r="Z439" s="3187"/>
      <c r="AA439" s="3187"/>
      <c r="AB439" s="3187"/>
      <c r="AC439" s="3187"/>
      <c r="AD439" s="3187"/>
      <c r="AE439" s="3187"/>
      <c r="AH439" s="3187"/>
      <c r="AI439" s="3187"/>
      <c r="AJ439" s="3187"/>
      <c r="AK439" s="3187"/>
      <c r="AL439" s="3187"/>
      <c r="AM439" s="3187"/>
      <c r="AN439" s="3187"/>
      <c r="AO439" s="3187"/>
      <c r="BB439" s="3187"/>
    </row>
    <row r="441" spans="4:54">
      <c r="D441" s="3189"/>
      <c r="E441" s="3187"/>
      <c r="F441" s="3187"/>
      <c r="G441" s="3187"/>
      <c r="H441" s="3187"/>
      <c r="I441" s="3187"/>
      <c r="J441" s="3187"/>
      <c r="K441" s="3187"/>
      <c r="L441" s="3187"/>
      <c r="M441" s="3187"/>
      <c r="N441" s="3187"/>
      <c r="O441" s="3187"/>
      <c r="P441" s="3187"/>
      <c r="Q441" s="3187"/>
      <c r="T441" s="3187"/>
      <c r="U441" s="3187"/>
      <c r="V441" s="3187"/>
      <c r="W441" s="3187"/>
      <c r="X441" s="3187"/>
      <c r="Y441" s="3187"/>
      <c r="Z441" s="3187"/>
      <c r="AA441" s="3187"/>
      <c r="AB441" s="3187"/>
      <c r="AC441" s="3187"/>
      <c r="AD441" s="3187"/>
      <c r="AE441" s="3187"/>
      <c r="AH441" s="3187"/>
      <c r="AI441" s="3187"/>
      <c r="AJ441" s="3187"/>
      <c r="AK441" s="3187"/>
      <c r="AL441" s="3187"/>
      <c r="AM441" s="3187"/>
      <c r="AN441" s="3187"/>
      <c r="AO441" s="3187"/>
      <c r="BB441" s="3187"/>
    </row>
    <row r="442" spans="4:54">
      <c r="D442" s="3189"/>
      <c r="E442" s="3187"/>
      <c r="F442" s="3187"/>
      <c r="G442" s="3187"/>
      <c r="H442" s="3187"/>
      <c r="I442" s="3187"/>
      <c r="J442" s="3187"/>
      <c r="K442" s="3187"/>
      <c r="L442" s="3187"/>
      <c r="M442" s="3187"/>
      <c r="N442" s="3187"/>
      <c r="O442" s="3187"/>
      <c r="P442" s="3187"/>
      <c r="Q442" s="3187"/>
      <c r="T442" s="3187"/>
      <c r="U442" s="3187"/>
      <c r="V442" s="3187"/>
      <c r="W442" s="3187"/>
      <c r="X442" s="3187"/>
      <c r="Y442" s="3187"/>
      <c r="Z442" s="3187"/>
      <c r="AA442" s="3187"/>
      <c r="AB442" s="3187"/>
      <c r="AC442" s="3187"/>
      <c r="AD442" s="3187"/>
      <c r="AE442" s="3187"/>
      <c r="AH442" s="3187"/>
      <c r="AI442" s="3187"/>
      <c r="AJ442" s="3187"/>
      <c r="AK442" s="3187"/>
      <c r="AL442" s="3187"/>
      <c r="AM442" s="3187"/>
      <c r="AN442" s="3187"/>
      <c r="AO442" s="3187"/>
      <c r="BB442" s="3187"/>
    </row>
    <row r="443" spans="4:54">
      <c r="D443" s="3189"/>
      <c r="E443" s="3187"/>
      <c r="F443" s="3187"/>
      <c r="G443" s="3187"/>
      <c r="H443" s="3187"/>
      <c r="I443" s="3187"/>
      <c r="J443" s="3187"/>
      <c r="K443" s="3187"/>
      <c r="L443" s="3187"/>
      <c r="M443" s="3187"/>
      <c r="N443" s="3187"/>
      <c r="O443" s="3187"/>
      <c r="P443" s="3187"/>
      <c r="Q443" s="3187"/>
      <c r="R443" s="3187"/>
      <c r="S443" s="3187"/>
      <c r="T443" s="3187"/>
      <c r="U443" s="3187"/>
      <c r="V443" s="3187"/>
      <c r="W443" s="3187"/>
      <c r="X443" s="3187"/>
      <c r="Y443" s="3187"/>
      <c r="Z443" s="3187"/>
      <c r="AA443" s="3187"/>
      <c r="AB443" s="3187"/>
      <c r="AC443" s="3187"/>
      <c r="AD443" s="3187"/>
      <c r="AE443" s="3187"/>
      <c r="AH443" s="3187"/>
      <c r="AI443" s="3187"/>
      <c r="AJ443" s="3187"/>
      <c r="AK443" s="3187"/>
      <c r="AL443" s="3187"/>
      <c r="AM443" s="3187"/>
      <c r="AN443" s="3187"/>
      <c r="AO443" s="3187"/>
      <c r="BB443" s="3187"/>
    </row>
    <row r="444" spans="4:54">
      <c r="F444" s="3187"/>
      <c r="G444" s="3187"/>
      <c r="H444" s="3187"/>
      <c r="I444" s="3187"/>
      <c r="J444" s="3187"/>
      <c r="K444" s="3187"/>
      <c r="L444" s="3187"/>
      <c r="M444" s="3187"/>
      <c r="N444" s="3187"/>
      <c r="O444" s="3187"/>
      <c r="P444" s="3187"/>
      <c r="Q444" s="3187"/>
      <c r="R444" s="3187"/>
      <c r="S444" s="3187"/>
      <c r="U444" s="3187"/>
      <c r="V444" s="3187"/>
      <c r="W444" s="3187"/>
      <c r="X444" s="3187"/>
      <c r="Y444" s="3187"/>
      <c r="Z444" s="3187"/>
      <c r="AA444" s="3187"/>
      <c r="AB444" s="3187"/>
      <c r="AC444" s="3187"/>
      <c r="AD444" s="3187"/>
      <c r="AE444" s="3187"/>
      <c r="AH444" s="3187"/>
      <c r="AI444" s="3187"/>
      <c r="AJ444" s="3187"/>
      <c r="AK444" s="3187"/>
      <c r="AL444" s="3187"/>
      <c r="AM444" s="3187"/>
      <c r="AN444" s="3187"/>
      <c r="AO444" s="3187"/>
      <c r="BB444" s="3187"/>
    </row>
    <row r="445" spans="4:54">
      <c r="D445" s="3189"/>
      <c r="E445" s="3187"/>
      <c r="F445" s="3187"/>
      <c r="G445" s="3187"/>
      <c r="H445" s="3187"/>
      <c r="I445" s="3187"/>
      <c r="J445" s="3187"/>
      <c r="K445" s="3187"/>
      <c r="L445" s="3187"/>
      <c r="M445" s="3187"/>
      <c r="N445" s="3187"/>
      <c r="O445" s="3187"/>
      <c r="P445" s="3187"/>
      <c r="Q445" s="3187"/>
      <c r="R445" s="3187"/>
      <c r="S445" s="3187"/>
      <c r="T445" s="3187"/>
      <c r="U445" s="3187"/>
      <c r="V445" s="3187"/>
      <c r="W445" s="3187"/>
      <c r="X445" s="3187"/>
      <c r="Y445" s="3187"/>
      <c r="Z445" s="3187"/>
      <c r="AA445" s="3187"/>
      <c r="AB445" s="3187"/>
      <c r="AC445" s="3187"/>
      <c r="AD445" s="3187"/>
      <c r="AE445" s="3187"/>
      <c r="AH445" s="3187"/>
      <c r="AI445" s="3187"/>
      <c r="AJ445" s="3187"/>
      <c r="AK445" s="3187"/>
      <c r="AL445" s="3187"/>
      <c r="AM445" s="3187"/>
      <c r="AN445" s="3187"/>
      <c r="AO445" s="3187"/>
      <c r="BB445" s="3187"/>
    </row>
    <row r="446" spans="4:54">
      <c r="D446" s="3189"/>
      <c r="E446" s="3187"/>
      <c r="F446" s="3187"/>
      <c r="G446" s="3187"/>
      <c r="H446" s="3187"/>
      <c r="I446" s="3187"/>
      <c r="J446" s="3187"/>
      <c r="K446" s="3187"/>
      <c r="L446" s="3187"/>
      <c r="M446" s="3187"/>
      <c r="N446" s="3187"/>
      <c r="O446" s="3187"/>
      <c r="P446" s="3187"/>
      <c r="Q446" s="3187"/>
      <c r="R446" s="3187"/>
      <c r="S446" s="3187"/>
      <c r="T446" s="3187"/>
      <c r="U446" s="3187"/>
      <c r="V446" s="3187"/>
      <c r="W446" s="3187"/>
      <c r="X446" s="3187"/>
      <c r="Y446" s="3187"/>
      <c r="Z446" s="3187"/>
      <c r="AA446" s="3187"/>
      <c r="AB446" s="3187"/>
      <c r="AC446" s="3187"/>
      <c r="AD446" s="3187"/>
      <c r="AE446" s="3187"/>
      <c r="AH446" s="3187"/>
      <c r="AI446" s="3187"/>
      <c r="AJ446" s="3187"/>
      <c r="AK446" s="3187"/>
      <c r="AL446" s="3187"/>
      <c r="AM446" s="3187"/>
      <c r="AN446" s="3187"/>
      <c r="AO446" s="3187"/>
      <c r="BB446" s="3187"/>
    </row>
    <row r="447" spans="4:54">
      <c r="R447" s="3187"/>
      <c r="S447" s="3187"/>
    </row>
    <row r="448" spans="4:54">
      <c r="F448" s="3187"/>
      <c r="G448" s="3187"/>
      <c r="H448" s="3187"/>
      <c r="I448" s="3187"/>
      <c r="J448" s="3187"/>
      <c r="K448" s="3187"/>
      <c r="L448" s="3187"/>
      <c r="M448" s="3187"/>
      <c r="N448" s="3187"/>
      <c r="O448" s="3187"/>
      <c r="P448" s="3187"/>
      <c r="Q448" s="3187"/>
      <c r="R448" s="3187"/>
      <c r="S448" s="3187"/>
      <c r="U448" s="3187"/>
      <c r="V448" s="3187"/>
      <c r="W448" s="3187"/>
      <c r="X448" s="3187"/>
      <c r="Y448" s="3187"/>
      <c r="Z448" s="3187"/>
      <c r="AA448" s="3187"/>
      <c r="AB448" s="3187"/>
      <c r="AC448" s="3187"/>
      <c r="AD448" s="3187"/>
      <c r="AE448" s="3187"/>
      <c r="AH448" s="3187"/>
      <c r="AI448" s="3187"/>
      <c r="AJ448" s="3187"/>
      <c r="AK448" s="3187"/>
      <c r="AL448" s="3187"/>
      <c r="AM448" s="3187"/>
      <c r="AN448" s="3187"/>
      <c r="AO448" s="3187"/>
      <c r="BB448" s="3187"/>
    </row>
    <row r="449" spans="4:54">
      <c r="D449" s="3189"/>
      <c r="E449" s="3187"/>
      <c r="F449" s="3187"/>
      <c r="G449" s="3187"/>
      <c r="H449" s="3187"/>
      <c r="I449" s="3187"/>
      <c r="J449" s="3187"/>
      <c r="K449" s="3187"/>
      <c r="L449" s="3187"/>
      <c r="M449" s="3187"/>
      <c r="N449" s="3187"/>
      <c r="O449" s="3187"/>
      <c r="P449" s="3187"/>
      <c r="Q449" s="3187"/>
      <c r="R449" s="3187"/>
      <c r="S449" s="3187"/>
      <c r="T449" s="3187"/>
      <c r="U449" s="3187"/>
      <c r="V449" s="3187"/>
      <c r="W449" s="3187"/>
      <c r="X449" s="3187"/>
      <c r="Y449" s="3187"/>
      <c r="Z449" s="3187"/>
      <c r="AA449" s="3187"/>
      <c r="AB449" s="3187"/>
      <c r="AC449" s="3187"/>
      <c r="AD449" s="3187"/>
      <c r="AE449" s="3187"/>
      <c r="AH449" s="3187"/>
      <c r="AI449" s="3187"/>
      <c r="AJ449" s="3187"/>
      <c r="AK449" s="3187"/>
      <c r="AL449" s="3187"/>
      <c r="AM449" s="3187"/>
      <c r="AN449" s="3187"/>
      <c r="AO449" s="3187"/>
      <c r="BB449" s="3187"/>
    </row>
    <row r="450" spans="4:54">
      <c r="D450" s="3189"/>
      <c r="E450" s="3187"/>
      <c r="F450" s="3187"/>
      <c r="G450" s="3187"/>
      <c r="H450" s="3187"/>
      <c r="I450" s="3187"/>
      <c r="J450" s="3187"/>
      <c r="K450" s="3187"/>
      <c r="L450" s="3187"/>
      <c r="M450" s="3187"/>
      <c r="N450" s="3187"/>
      <c r="O450" s="3187"/>
      <c r="P450" s="3187"/>
      <c r="Q450" s="3187"/>
      <c r="R450" s="3187"/>
      <c r="S450" s="3187"/>
      <c r="T450" s="3187"/>
      <c r="U450" s="3187"/>
      <c r="V450" s="3187"/>
      <c r="W450" s="3187"/>
      <c r="X450" s="3187"/>
      <c r="Y450" s="3187"/>
      <c r="Z450" s="3187"/>
      <c r="AA450" s="3187"/>
      <c r="AB450" s="3187"/>
      <c r="AC450" s="3187"/>
      <c r="AD450" s="3187"/>
      <c r="AE450" s="3187"/>
      <c r="AH450" s="3187"/>
      <c r="AI450" s="3187"/>
      <c r="AJ450" s="3187"/>
      <c r="AK450" s="3187"/>
      <c r="AL450" s="3187"/>
      <c r="AM450" s="3187"/>
      <c r="AN450" s="3187"/>
      <c r="AO450" s="3187"/>
      <c r="BB450" s="3187"/>
    </row>
    <row r="451" spans="4:54">
      <c r="D451" s="3189"/>
      <c r="E451" s="3187"/>
      <c r="R451" s="3187"/>
      <c r="S451" s="3187"/>
      <c r="T451" s="3187"/>
    </row>
  </sheetData>
  <sheetProtection selectLockedCells="1"/>
  <protectedRanges>
    <protectedRange sqref="BB451 P451:Q451" name="Poderes Ki_1"/>
    <protectedRange sqref="T418 V408 T416 D401:Q401 T405 G408 P409:Q410 G419 P420:Q421 V419 T427 D434:Q434 G430 P431:Q432 V430 T438 D423:Q423 G441 P442:Q443 V441 T449 T445:AE445 D405:E405 D449:E449 D438:E438 D427:E427 D416:E416 T434:AE434 T423:AE423 T401:AE401 T412:AE412 D412:Q412 D445:Q445 BB379:BB398 D379:Q398 AH379:AO398 T379:AE398 AH445:AO445 AH434:AO434 AH423:AO423 AH401:AO401 AH412:AO412 BB409:BB410 BB420:BB421 BB431:BB432 BB442:BB443 BB445 BB412 BB423 BB434 BB401" name="Técnicas_1_1"/>
  </protectedRanges>
  <mergeCells count="84">
    <mergeCell ref="B6:H7"/>
    <mergeCell ref="T13:AE13"/>
    <mergeCell ref="T4:AE5"/>
    <mergeCell ref="B4:M5"/>
    <mergeCell ref="B9:C12"/>
    <mergeCell ref="B8:C8"/>
    <mergeCell ref="B26:AE26"/>
    <mergeCell ref="I8:M8"/>
    <mergeCell ref="I9:M9"/>
    <mergeCell ref="I10:M10"/>
    <mergeCell ref="I11:M11"/>
    <mergeCell ref="I12:M12"/>
    <mergeCell ref="I6:M7"/>
    <mergeCell ref="B2:AE3"/>
    <mergeCell ref="B13:D15"/>
    <mergeCell ref="B16:D16"/>
    <mergeCell ref="B17:D17"/>
    <mergeCell ref="S6:S7"/>
    <mergeCell ref="R6:R7"/>
    <mergeCell ref="N8:P8"/>
    <mergeCell ref="N9:P9"/>
    <mergeCell ref="N10:P10"/>
    <mergeCell ref="N11:P11"/>
    <mergeCell ref="N6:P7"/>
    <mergeCell ref="T14:AE25"/>
    <mergeCell ref="Z32:AE32"/>
    <mergeCell ref="Z33:AE33"/>
    <mergeCell ref="Z34:AE34"/>
    <mergeCell ref="Z35:AE35"/>
    <mergeCell ref="Z27:AE27"/>
    <mergeCell ref="Z28:AE28"/>
    <mergeCell ref="Z29:AE29"/>
    <mergeCell ref="Z30:AE30"/>
    <mergeCell ref="Z31:AE31"/>
    <mergeCell ref="B33:G33"/>
    <mergeCell ref="B34:G34"/>
    <mergeCell ref="B35:G35"/>
    <mergeCell ref="N27:S27"/>
    <mergeCell ref="N28:S28"/>
    <mergeCell ref="N29:S29"/>
    <mergeCell ref="N30:S30"/>
    <mergeCell ref="N31:S31"/>
    <mergeCell ref="N32:S32"/>
    <mergeCell ref="N33:S33"/>
    <mergeCell ref="N34:S34"/>
    <mergeCell ref="N35:S35"/>
    <mergeCell ref="Q36:AE36"/>
    <mergeCell ref="L36:P36"/>
    <mergeCell ref="G36:K36"/>
    <mergeCell ref="H34:M34"/>
    <mergeCell ref="H35:M35"/>
    <mergeCell ref="T34:Y34"/>
    <mergeCell ref="T35:Y35"/>
    <mergeCell ref="H27:M27"/>
    <mergeCell ref="H28:M28"/>
    <mergeCell ref="H29:M29"/>
    <mergeCell ref="H30:M30"/>
    <mergeCell ref="H31:M31"/>
    <mergeCell ref="H32:M32"/>
    <mergeCell ref="B27:G27"/>
    <mergeCell ref="B28:G28"/>
    <mergeCell ref="B29:G29"/>
    <mergeCell ref="B30:G30"/>
    <mergeCell ref="B36:F36"/>
    <mergeCell ref="H33:M33"/>
    <mergeCell ref="B31:G31"/>
    <mergeCell ref="B32:G32"/>
    <mergeCell ref="N12:P12"/>
    <mergeCell ref="N4:N5"/>
    <mergeCell ref="Q6:Q7"/>
    <mergeCell ref="R4:S5"/>
    <mergeCell ref="O4:O5"/>
    <mergeCell ref="P4:P5"/>
    <mergeCell ref="Q4:Q5"/>
    <mergeCell ref="E13:I13"/>
    <mergeCell ref="E14:I14"/>
    <mergeCell ref="E15:I15"/>
    <mergeCell ref="T27:Y27"/>
    <mergeCell ref="T28:Y28"/>
    <mergeCell ref="T29:Y29"/>
    <mergeCell ref="T30:Y30"/>
    <mergeCell ref="T31:Y31"/>
    <mergeCell ref="T32:Y32"/>
    <mergeCell ref="T33:Y33"/>
  </mergeCells>
  <conditionalFormatting sqref="E152">
    <cfRule type="expression" dxfId="311" priority="129" stopIfTrue="1">
      <formula>$AZ151&lt;2</formula>
    </cfRule>
  </conditionalFormatting>
  <conditionalFormatting sqref="E153">
    <cfRule type="expression" dxfId="310" priority="130" stopIfTrue="1">
      <formula>$AZ151&lt;3</formula>
    </cfRule>
  </conditionalFormatting>
  <conditionalFormatting sqref="S126:S154">
    <cfRule type="cellIs" dxfId="309" priority="131" stopIfTrue="1" operator="greaterThan">
      <formula>$DG126</formula>
    </cfRule>
  </conditionalFormatting>
  <conditionalFormatting sqref="AI151:AQ151">
    <cfRule type="expression" dxfId="308" priority="132">
      <formula>NOT(AND(OR(ISNUMBER(FIND(DC151,DB121&amp;DC121&amp;DD121)),ISNUMBER(FIND(DD151,DB121&amp;DC121&amp;DD121)),DB121&amp;DC121&amp;DD121=""),OR(ISNUMBER(FIND(DC151,DB127&amp;DC127&amp;DD127)),ISNUMBER(FIND(DD151,DB127&amp;DC127&amp;DD127)),DB127&amp;DC127&amp;DD127=""),OR(ISNUMBER(FIND(DC151,DB133&amp;DC133&amp;DD133)),ISNUMBER(FIND(DD151,DB133&amp;DC133&amp;DD133)),DB133&amp;DC133&amp;DD133=""),OR(ISNUMBER(FIND(DC151,DB139&amp;DC139&amp;DD139)),ISNUMBER(FIND(DD151,DB139&amp;DC139&amp;DD139)),DB139&amp;DC139&amp;DD139=""),OR(ISNUMBER(FIND(DC151,DB145&amp;DC145&amp;DD145)),ISNUMBER(FIND(DD151,DB145&amp;DC145&amp;DD145)),DB145&amp;DC145&amp;DD145="")))</formula>
    </cfRule>
  </conditionalFormatting>
  <conditionalFormatting sqref="AH151">
    <cfRule type="expression" dxfId="307" priority="133">
      <formula>NOT(AND(OR(ISNUMBER(FIND(DB151,DA121&amp;DB121&amp;DC121)),ISNUMBER(FIND(DC151,DA121&amp;DB121&amp;DC121)),DA121&amp;DB121&amp;DC121=""),OR(ISNUMBER(FIND(DB151,DA124&amp;DB127&amp;DC127)),ISNUMBER(FIND(DC151,DA124&amp;DB127&amp;DC127)),DA124&amp;DB127&amp;DC127=""),OR(ISNUMBER(FIND(DB151,DA133&amp;DB133&amp;DC133)),ISNUMBER(FIND(DC151,DA133&amp;DB133&amp;DC133)),DA133&amp;DB133&amp;DC133=""),OR(ISNUMBER(FIND(DB151,DA139&amp;DB139&amp;DC139)),ISNUMBER(FIND(DC151,DA139&amp;DB139&amp;DC139)),DA139&amp;DB139&amp;DC139=""),OR(ISNUMBER(FIND(DB151,DA145&amp;DB145&amp;DC145)),ISNUMBER(FIND(DC151,DA145&amp;DB145&amp;DC145)),DA145&amp;DB145&amp;DC145="")))</formula>
    </cfRule>
  </conditionalFormatting>
  <conditionalFormatting sqref="AG151">
    <cfRule type="expression" dxfId="306" priority="134">
      <formula>NOT(AND(OR(ISNUMBER(FIND(DA151,CZ121&amp;DA121&amp;DB121)),ISNUMBER(FIND(DB151,CZ121&amp;DA121&amp;DB121)),CZ121&amp;DA121&amp;DB121=""),OR(ISNUMBER(FIND(DA151,CZ127&amp;DA124&amp;DB127)),ISNUMBER(FIND(DB151,CZ127&amp;DA124&amp;DB127)),CZ127&amp;DA124&amp;DB127=""),OR(ISNUMBER(FIND(DA151,CZ133&amp;DA133&amp;DB133)),ISNUMBER(FIND(DB151,CZ133&amp;DA133&amp;DB133)),CZ133&amp;DA133&amp;DB133=""),OR(ISNUMBER(FIND(DA151,CZ139&amp;DA139&amp;DB139)),ISNUMBER(FIND(DB151,CZ139&amp;DA139&amp;DB139)),CZ139&amp;DA139&amp;DB139=""),OR(ISNUMBER(FIND(DA151,CZ145&amp;DA145&amp;DB145)),ISNUMBER(FIND(DB151,CZ145&amp;DA145&amp;DB145)),CZ145&amp;DA145&amp;DB145="")))</formula>
    </cfRule>
  </conditionalFormatting>
  <conditionalFormatting sqref="AF151">
    <cfRule type="expression" dxfId="305" priority="135">
      <formula>NOT(AND(OR(ISNUMBER(FIND(CZ151,CY121&amp;CZ121&amp;DA121)),ISNUMBER(FIND(DA151,CY121&amp;CZ121&amp;DA121)),CY121&amp;CZ121&amp;DA121=""),OR(ISNUMBER(FIND(CZ151,CY127&amp;CZ127&amp;DA124)),ISNUMBER(FIND(DA151,CY127&amp;CZ127&amp;DA124)),CY127&amp;CZ127&amp;DA124=""),OR(ISNUMBER(FIND(CZ151,CY133&amp;CZ133&amp;DA133)),ISNUMBER(FIND(DA151,CY133&amp;CZ133&amp;DA133)),CY133&amp;CZ133&amp;DA133=""),OR(ISNUMBER(FIND(CZ151,CY139&amp;CZ139&amp;DA139)),ISNUMBER(FIND(DA151,CY139&amp;CZ139&amp;DA139)),CY139&amp;CZ139&amp;DA139=""),OR(ISNUMBER(FIND(CZ151,CY145&amp;CZ145&amp;DA145)),ISNUMBER(FIND(DA151,CY145&amp;CZ145&amp;DA145)),CY145&amp;CZ145&amp;DA145="")))</formula>
    </cfRule>
  </conditionalFormatting>
  <conditionalFormatting sqref="AR151">
    <cfRule type="expression" dxfId="304" priority="125">
      <formula>NOT(ISNUMBER(SEARCH(AR151,AQ121&amp;AR121&amp;AS121&amp;AS127&amp;AR127&amp;AQ127&amp;AQ133&amp;AR133&amp;AS133&amp;AQ139&amp;AR139&amp;AS139&amp;AQ145&amp;AR145&amp;AS145)))</formula>
    </cfRule>
  </conditionalFormatting>
  <conditionalFormatting sqref="AS151">
    <cfRule type="expression" dxfId="303" priority="124">
      <formula>NOT(ISNUMBER(SEARCH(AS151,AQ121&amp;AR121&amp;AS121&amp;AS127&amp;AR127&amp;AQ127&amp;AQ133&amp;AR133&amp;AS133&amp;AQ139&amp;AR139&amp;AS139&amp;AQ145&amp;AR145&amp;AS145)))</formula>
    </cfRule>
  </conditionalFormatting>
  <conditionalFormatting sqref="E189">
    <cfRule type="expression" dxfId="302" priority="110" stopIfTrue="1">
      <formula>$AZ188&lt;2</formula>
    </cfRule>
  </conditionalFormatting>
  <conditionalFormatting sqref="E190">
    <cfRule type="expression" dxfId="301" priority="111" stopIfTrue="1">
      <formula>$AZ188&lt;3</formula>
    </cfRule>
  </conditionalFormatting>
  <conditionalFormatting sqref="AZ159:BA159 AZ196:BA196 AZ233:BA233 AZ270:BA270 AZ307:BA307 AZ344:BA344">
    <cfRule type="cellIs" dxfId="300" priority="109" stopIfTrue="1" operator="notBetween">
      <formula>$AZ157</formula>
      <formula>$BA$9</formula>
    </cfRule>
  </conditionalFormatting>
  <conditionalFormatting sqref="S158:S191">
    <cfRule type="cellIs" dxfId="299" priority="112" stopIfTrue="1" operator="greaterThan">
      <formula>$DG158</formula>
    </cfRule>
  </conditionalFormatting>
  <conditionalFormatting sqref="AI188:AQ188">
    <cfRule type="expression" dxfId="298" priority="113">
      <formula>NOT(AND(OR(ISNUMBER(FIND(DC188,DB158&amp;DC158&amp;DD158)),ISNUMBER(FIND(DD188,DB158&amp;DC158&amp;DD158)),DB158&amp;DC158&amp;DD158=""),OR(ISNUMBER(FIND(DC188,DB164&amp;DC164&amp;DD164)),ISNUMBER(FIND(DD188,DB164&amp;DC164&amp;DD164)),DB164&amp;DC164&amp;DD164=""),OR(ISNUMBER(FIND(DC188,DB170&amp;DC170&amp;DD170)),ISNUMBER(FIND(DD188,DB170&amp;DC170&amp;DD170)),DB170&amp;DC170&amp;DD170=""),OR(ISNUMBER(FIND(DC188,DB176&amp;DC176&amp;DD176)),ISNUMBER(FIND(DD188,DB176&amp;DC176&amp;DD176)),DB176&amp;DC176&amp;DD176=""),OR(ISNUMBER(FIND(DC188,DB182&amp;DC182&amp;DD182)),ISNUMBER(FIND(DD188,DB182&amp;DC182&amp;DD182)),DB182&amp;DC182&amp;DD182="")))</formula>
    </cfRule>
  </conditionalFormatting>
  <conditionalFormatting sqref="AH188">
    <cfRule type="expression" dxfId="297" priority="114">
      <formula>NOT(AND(OR(ISNUMBER(FIND(DB188,DA158&amp;DB158&amp;DC158)),ISNUMBER(FIND(DC188,DA158&amp;DB158&amp;DC158)),DA158&amp;DB158&amp;DC158=""),OR(ISNUMBER(FIND(DB188,DA161&amp;DB164&amp;DC164)),ISNUMBER(FIND(DC188,DA161&amp;DB164&amp;DC164)),DA161&amp;DB164&amp;DC164=""),OR(ISNUMBER(FIND(DB188,DA170&amp;DB170&amp;DC170)),ISNUMBER(FIND(DC188,DA170&amp;DB170&amp;DC170)),DA170&amp;DB170&amp;DC170=""),OR(ISNUMBER(FIND(DB188,DA176&amp;DB176&amp;DC176)),ISNUMBER(FIND(DC188,DA176&amp;DB176&amp;DC176)),DA176&amp;DB176&amp;DC176=""),OR(ISNUMBER(FIND(DB188,DA182&amp;DB182&amp;DC182)),ISNUMBER(FIND(DC188,DA182&amp;DB182&amp;DC182)),DA182&amp;DB182&amp;DC182="")))</formula>
    </cfRule>
  </conditionalFormatting>
  <conditionalFormatting sqref="AG188">
    <cfRule type="expression" dxfId="296" priority="115">
      <formula>NOT(AND(OR(ISNUMBER(FIND(DA188,CZ158&amp;DA158&amp;DB158)),ISNUMBER(FIND(DB188,CZ158&amp;DA158&amp;DB158)),CZ158&amp;DA158&amp;DB158=""),OR(ISNUMBER(FIND(DA188,CZ164&amp;DA161&amp;DB164)),ISNUMBER(FIND(DB188,CZ164&amp;DA161&amp;DB164)),CZ164&amp;DA161&amp;DB164=""),OR(ISNUMBER(FIND(DA188,CZ170&amp;DA170&amp;DB170)),ISNUMBER(FIND(DB188,CZ170&amp;DA170&amp;DB170)),CZ170&amp;DA170&amp;DB170=""),OR(ISNUMBER(FIND(DA188,CZ176&amp;DA176&amp;DB176)),ISNUMBER(FIND(DB188,CZ176&amp;DA176&amp;DB176)),CZ176&amp;DA176&amp;DB176=""),OR(ISNUMBER(FIND(DA188,CZ182&amp;DA182&amp;DB182)),ISNUMBER(FIND(DB188,CZ182&amp;DA182&amp;DB182)),CZ182&amp;DA182&amp;DB182="")))</formula>
    </cfRule>
  </conditionalFormatting>
  <conditionalFormatting sqref="AF188">
    <cfRule type="expression" dxfId="295" priority="116">
      <formula>NOT(AND(OR(ISNUMBER(FIND(CZ188,CY158&amp;CZ158&amp;DA158)),ISNUMBER(FIND(DA188,CY158&amp;CZ158&amp;DA158)),CY158&amp;CZ158&amp;DA158=""),OR(ISNUMBER(FIND(CZ188,CY164&amp;CZ164&amp;DA161)),ISNUMBER(FIND(DA188,CY164&amp;CZ164&amp;DA161)),CY164&amp;CZ164&amp;DA161=""),OR(ISNUMBER(FIND(CZ188,CY170&amp;CZ170&amp;DA170)),ISNUMBER(FIND(DA188,CY170&amp;CZ170&amp;DA170)),CY170&amp;CZ170&amp;DA170=""),OR(ISNUMBER(FIND(CZ188,CY176&amp;CZ176&amp;DA176)),ISNUMBER(FIND(DA188,CY176&amp;CZ176&amp;DA176)),CY176&amp;CZ176&amp;DA176=""),OR(ISNUMBER(FIND(CZ188,CY182&amp;CZ182&amp;DA182)),ISNUMBER(FIND(DA188,CY182&amp;CZ182&amp;DA182)),CY182&amp;CZ182&amp;DA182="")))</formula>
    </cfRule>
  </conditionalFormatting>
  <conditionalFormatting sqref="AR188">
    <cfRule type="expression" dxfId="294" priority="106">
      <formula>NOT(ISNUMBER(SEARCH(AR188,AQ158&amp;AR158&amp;AS158&amp;AS164&amp;AR164&amp;AQ164&amp;AQ170&amp;AR170&amp;AS170&amp;AQ176&amp;AR176&amp;AS176&amp;AQ182&amp;AR182&amp;AS182)))</formula>
    </cfRule>
  </conditionalFormatting>
  <conditionalFormatting sqref="AS188">
    <cfRule type="expression" dxfId="293" priority="105">
      <formula>NOT(ISNUMBER(SEARCH(AS188,AQ158&amp;AR158&amp;AS158&amp;AS164&amp;AR164&amp;AQ164&amp;AQ170&amp;AR170&amp;AS170&amp;AQ176&amp;AR176&amp;AS176&amp;AQ182&amp;AR182&amp;AS182)))</formula>
    </cfRule>
  </conditionalFormatting>
  <conditionalFormatting sqref="D156">
    <cfRule type="expression" dxfId="292" priority="104" stopIfTrue="1">
      <formula>AND($D156=1,OR(COUNTIF($L158:$L186,"Si")&gt;0,COUNTIF($O158:$O186,"Si")))</formula>
    </cfRule>
    <cfRule type="expression" dxfId="291" priority="107" stopIfTrue="1">
      <formula>OR($D156&lt;1,$D156&gt;3)</formula>
    </cfRule>
  </conditionalFormatting>
  <conditionalFormatting sqref="E226">
    <cfRule type="expression" dxfId="290" priority="91" stopIfTrue="1">
      <formula>$AZ225&lt;2</formula>
    </cfRule>
  </conditionalFormatting>
  <conditionalFormatting sqref="E227">
    <cfRule type="expression" dxfId="289" priority="92" stopIfTrue="1">
      <formula>$AZ225&lt;3</formula>
    </cfRule>
  </conditionalFormatting>
  <conditionalFormatting sqref="S195:S228">
    <cfRule type="cellIs" dxfId="288" priority="93" stopIfTrue="1" operator="greaterThan">
      <formula>$DG195</formula>
    </cfRule>
  </conditionalFormatting>
  <conditionalFormatting sqref="AI225:AQ225">
    <cfRule type="expression" dxfId="287" priority="94">
      <formula>NOT(AND(OR(ISNUMBER(FIND(DC225,DB195&amp;DC195&amp;DD195)),ISNUMBER(FIND(DD225,DB195&amp;DC195&amp;DD195)),DB195&amp;DC195&amp;DD195=""),OR(ISNUMBER(FIND(DC225,DB201&amp;DC201&amp;DD201)),ISNUMBER(FIND(DD225,DB201&amp;DC201&amp;DD201)),DB201&amp;DC201&amp;DD201=""),OR(ISNUMBER(FIND(DC225,DB207&amp;DC207&amp;DD207)),ISNUMBER(FIND(DD225,DB207&amp;DC207&amp;DD207)),DB207&amp;DC207&amp;DD207=""),OR(ISNUMBER(FIND(DC225,DB213&amp;DC213&amp;DD213)),ISNUMBER(FIND(DD225,DB213&amp;DC213&amp;DD213)),DB213&amp;DC213&amp;DD213=""),OR(ISNUMBER(FIND(DC225,DB219&amp;DC219&amp;DD219)),ISNUMBER(FIND(DD225,DB219&amp;DC219&amp;DD219)),DB219&amp;DC219&amp;DD219="")))</formula>
    </cfRule>
  </conditionalFormatting>
  <conditionalFormatting sqref="AH225">
    <cfRule type="expression" dxfId="286" priority="95">
      <formula>NOT(AND(OR(ISNUMBER(FIND(DB225,DA195&amp;DB195&amp;DC195)),ISNUMBER(FIND(DC225,DA195&amp;DB195&amp;DC195)),DA195&amp;DB195&amp;DC195=""),OR(ISNUMBER(FIND(DB225,DA198&amp;DB201&amp;DC201)),ISNUMBER(FIND(DC225,DA198&amp;DB201&amp;DC201)),DA198&amp;DB201&amp;DC201=""),OR(ISNUMBER(FIND(DB225,DA207&amp;DB207&amp;DC207)),ISNUMBER(FIND(DC225,DA207&amp;DB207&amp;DC207)),DA207&amp;DB207&amp;DC207=""),OR(ISNUMBER(FIND(DB225,DA213&amp;DB213&amp;DC213)),ISNUMBER(FIND(DC225,DA213&amp;DB213&amp;DC213)),DA213&amp;DB213&amp;DC213=""),OR(ISNUMBER(FIND(DB225,DA219&amp;DB219&amp;DC219)),ISNUMBER(FIND(DC225,DA219&amp;DB219&amp;DC219)),DA219&amp;DB219&amp;DC219="")))</formula>
    </cfRule>
  </conditionalFormatting>
  <conditionalFormatting sqref="AG225">
    <cfRule type="expression" dxfId="285" priority="96">
      <formula>NOT(AND(OR(ISNUMBER(FIND(DA225,CZ195&amp;DA195&amp;DB195)),ISNUMBER(FIND(DB225,CZ195&amp;DA195&amp;DB195)),CZ195&amp;DA195&amp;DB195=""),OR(ISNUMBER(FIND(DA225,CZ201&amp;DA198&amp;DB201)),ISNUMBER(FIND(DB225,CZ201&amp;DA198&amp;DB201)),CZ201&amp;DA198&amp;DB201=""),OR(ISNUMBER(FIND(DA225,CZ207&amp;DA207&amp;DB207)),ISNUMBER(FIND(DB225,CZ207&amp;DA207&amp;DB207)),CZ207&amp;DA207&amp;DB207=""),OR(ISNUMBER(FIND(DA225,CZ213&amp;DA213&amp;DB213)),ISNUMBER(FIND(DB225,CZ213&amp;DA213&amp;DB213)),CZ213&amp;DA213&amp;DB213=""),OR(ISNUMBER(FIND(DA225,CZ219&amp;DA219&amp;DB219)),ISNUMBER(FIND(DB225,CZ219&amp;DA219&amp;DB219)),CZ219&amp;DA219&amp;DB219="")))</formula>
    </cfRule>
  </conditionalFormatting>
  <conditionalFormatting sqref="AF225">
    <cfRule type="expression" dxfId="284" priority="97">
      <formula>NOT(AND(OR(ISNUMBER(FIND(CZ225,CY195&amp;CZ195&amp;DA195)),ISNUMBER(FIND(DA225,CY195&amp;CZ195&amp;DA195)),CY195&amp;CZ195&amp;DA195=""),OR(ISNUMBER(FIND(CZ225,CY201&amp;CZ201&amp;DA198)),ISNUMBER(FIND(DA225,CY201&amp;CZ201&amp;DA198)),CY201&amp;CZ201&amp;DA198=""),OR(ISNUMBER(FIND(CZ225,CY207&amp;CZ207&amp;DA207)),ISNUMBER(FIND(DA225,CY207&amp;CZ207&amp;DA207)),CY207&amp;CZ207&amp;DA207=""),OR(ISNUMBER(FIND(CZ225,CY213&amp;CZ213&amp;DA213)),ISNUMBER(FIND(DA225,CY213&amp;CZ213&amp;DA213)),CY213&amp;CZ213&amp;DA213=""),OR(ISNUMBER(FIND(CZ225,CY219&amp;CZ219&amp;DA219)),ISNUMBER(FIND(DA225,CY219&amp;CZ219&amp;DA219)),CY219&amp;CZ219&amp;DA219="")))</formula>
    </cfRule>
  </conditionalFormatting>
  <conditionalFormatting sqref="AR225">
    <cfRule type="expression" dxfId="283" priority="87">
      <formula>NOT(ISNUMBER(SEARCH(AR225,AQ195&amp;AR195&amp;AS195&amp;AS201&amp;AR201&amp;AQ201&amp;AQ207&amp;AR207&amp;AS207&amp;AQ213&amp;AR213&amp;AS213&amp;AQ219&amp;AR219&amp;AS219)))</formula>
    </cfRule>
  </conditionalFormatting>
  <conditionalFormatting sqref="AS225">
    <cfRule type="expression" dxfId="282" priority="86">
      <formula>NOT(ISNUMBER(SEARCH(AS225,AQ195&amp;AR195&amp;AS195&amp;AS201&amp;AR201&amp;AQ201&amp;AQ207&amp;AR207&amp;AS207&amp;AQ213&amp;AR213&amp;AS213&amp;AQ219&amp;AR219&amp;AS219)))</formula>
    </cfRule>
  </conditionalFormatting>
  <conditionalFormatting sqref="D193">
    <cfRule type="expression" dxfId="281" priority="85" stopIfTrue="1">
      <formula>AND($D193=1,OR(COUNTIF($L195:$L223,"Si")&gt;0,COUNTIF($O195:$O223,"Si")))</formula>
    </cfRule>
    <cfRule type="expression" dxfId="280" priority="88" stopIfTrue="1">
      <formula>OR($D193&lt;1,$D193&gt;3)</formula>
    </cfRule>
  </conditionalFormatting>
  <conditionalFormatting sqref="E263">
    <cfRule type="expression" dxfId="279" priority="72" stopIfTrue="1">
      <formula>$AZ262&lt;2</formula>
    </cfRule>
  </conditionalFormatting>
  <conditionalFormatting sqref="E264">
    <cfRule type="expression" dxfId="278" priority="73" stopIfTrue="1">
      <formula>$AZ262&lt;3</formula>
    </cfRule>
  </conditionalFormatting>
  <conditionalFormatting sqref="S232:S265">
    <cfRule type="cellIs" dxfId="277" priority="74" stopIfTrue="1" operator="greaterThan">
      <formula>$DG232</formula>
    </cfRule>
  </conditionalFormatting>
  <conditionalFormatting sqref="AI262:AQ262">
    <cfRule type="expression" dxfId="276" priority="75">
      <formula>NOT(AND(OR(ISNUMBER(FIND(DC262,DB232&amp;DC232&amp;DD232)),ISNUMBER(FIND(DD262,DB232&amp;DC232&amp;DD232)),DB232&amp;DC232&amp;DD232=""),OR(ISNUMBER(FIND(DC262,DB238&amp;DC238&amp;DD238)),ISNUMBER(FIND(DD262,DB238&amp;DC238&amp;DD238)),DB238&amp;DC238&amp;DD238=""),OR(ISNUMBER(FIND(DC262,DB244&amp;DC244&amp;DD244)),ISNUMBER(FIND(DD262,DB244&amp;DC244&amp;DD244)),DB244&amp;DC244&amp;DD244=""),OR(ISNUMBER(FIND(DC262,DB250&amp;DC250&amp;DD250)),ISNUMBER(FIND(DD262,DB250&amp;DC250&amp;DD250)),DB250&amp;DC250&amp;DD250=""),OR(ISNUMBER(FIND(DC262,DB256&amp;DC256&amp;DD256)),ISNUMBER(FIND(DD262,DB256&amp;DC256&amp;DD256)),DB256&amp;DC256&amp;DD256="")))</formula>
    </cfRule>
  </conditionalFormatting>
  <conditionalFormatting sqref="AH262">
    <cfRule type="expression" dxfId="275" priority="76">
      <formula>NOT(AND(OR(ISNUMBER(FIND(DB262,DA232&amp;DB232&amp;DC232)),ISNUMBER(FIND(DC262,DA232&amp;DB232&amp;DC232)),DA232&amp;DB232&amp;DC232=""),OR(ISNUMBER(FIND(DB262,DA235&amp;DB238&amp;DC238)),ISNUMBER(FIND(DC262,DA235&amp;DB238&amp;DC238)),DA235&amp;DB238&amp;DC238=""),OR(ISNUMBER(FIND(DB262,DA244&amp;DB244&amp;DC244)),ISNUMBER(FIND(DC262,DA244&amp;DB244&amp;DC244)),DA244&amp;DB244&amp;DC244=""),OR(ISNUMBER(FIND(DB262,DA250&amp;DB250&amp;DC250)),ISNUMBER(FIND(DC262,DA250&amp;DB250&amp;DC250)),DA250&amp;DB250&amp;DC250=""),OR(ISNUMBER(FIND(DB262,DA256&amp;DB256&amp;DC256)),ISNUMBER(FIND(DC262,DA256&amp;DB256&amp;DC256)),DA256&amp;DB256&amp;DC256="")))</formula>
    </cfRule>
  </conditionalFormatting>
  <conditionalFormatting sqref="AG262">
    <cfRule type="expression" dxfId="274" priority="77">
      <formula>NOT(AND(OR(ISNUMBER(FIND(DA262,CZ232&amp;DA232&amp;DB232)),ISNUMBER(FIND(DB262,CZ232&amp;DA232&amp;DB232)),CZ232&amp;DA232&amp;DB232=""),OR(ISNUMBER(FIND(DA262,CZ238&amp;DA235&amp;DB238)),ISNUMBER(FIND(DB262,CZ238&amp;DA235&amp;DB238)),CZ238&amp;DA235&amp;DB238=""),OR(ISNUMBER(FIND(DA262,CZ244&amp;DA244&amp;DB244)),ISNUMBER(FIND(DB262,CZ244&amp;DA244&amp;DB244)),CZ244&amp;DA244&amp;DB244=""),OR(ISNUMBER(FIND(DA262,CZ250&amp;DA250&amp;DB250)),ISNUMBER(FIND(DB262,CZ250&amp;DA250&amp;DB250)),CZ250&amp;DA250&amp;DB250=""),OR(ISNUMBER(FIND(DA262,CZ256&amp;DA256&amp;DB256)),ISNUMBER(FIND(DB262,CZ256&amp;DA256&amp;DB256)),CZ256&amp;DA256&amp;DB256="")))</formula>
    </cfRule>
  </conditionalFormatting>
  <conditionalFormatting sqref="AF262">
    <cfRule type="expression" dxfId="273" priority="78">
      <formula>NOT(AND(OR(ISNUMBER(FIND(CZ262,CY232&amp;CZ232&amp;DA232)),ISNUMBER(FIND(DA262,CY232&amp;CZ232&amp;DA232)),CY232&amp;CZ232&amp;DA232=""),OR(ISNUMBER(FIND(CZ262,CY238&amp;CZ238&amp;DA235)),ISNUMBER(FIND(DA262,CY238&amp;CZ238&amp;DA235)),CY238&amp;CZ238&amp;DA235=""),OR(ISNUMBER(FIND(CZ262,CY244&amp;CZ244&amp;DA244)),ISNUMBER(FIND(DA262,CY244&amp;CZ244&amp;DA244)),CY244&amp;CZ244&amp;DA244=""),OR(ISNUMBER(FIND(CZ262,CY250&amp;CZ250&amp;DA250)),ISNUMBER(FIND(DA262,CY250&amp;CZ250&amp;DA250)),CY250&amp;CZ250&amp;DA250=""),OR(ISNUMBER(FIND(CZ262,CY256&amp;CZ256&amp;DA256)),ISNUMBER(FIND(DA262,CY256&amp;CZ256&amp;DA256)),CY256&amp;CZ256&amp;DA256="")))</formula>
    </cfRule>
  </conditionalFormatting>
  <conditionalFormatting sqref="AR262">
    <cfRule type="expression" dxfId="272" priority="68">
      <formula>NOT(ISNUMBER(SEARCH(AR262,AQ232&amp;AR232&amp;AS232&amp;AS238&amp;AR238&amp;AQ238&amp;AQ244&amp;AR244&amp;AS244&amp;AQ250&amp;AR250&amp;AS250&amp;AQ256&amp;AR256&amp;AS256)))</formula>
    </cfRule>
  </conditionalFormatting>
  <conditionalFormatting sqref="AS262">
    <cfRule type="expression" dxfId="271" priority="67">
      <formula>NOT(ISNUMBER(SEARCH(AS262,AQ232&amp;AR232&amp;AS232&amp;AS238&amp;AR238&amp;AQ238&amp;AQ244&amp;AR244&amp;AS244&amp;AQ250&amp;AR250&amp;AS250&amp;AQ256&amp;AR256&amp;AS256)))</formula>
    </cfRule>
  </conditionalFormatting>
  <conditionalFormatting sqref="D230">
    <cfRule type="expression" dxfId="270" priority="66" stopIfTrue="1">
      <formula>AND($D230=1,OR(COUNTIF($L232:$L260,"Si")&gt;0,COUNTIF($O232:$O260,"Si")))</formula>
    </cfRule>
    <cfRule type="expression" dxfId="269" priority="69" stopIfTrue="1">
      <formula>OR($D230&lt;1,$D230&gt;3)</formula>
    </cfRule>
  </conditionalFormatting>
  <conditionalFormatting sqref="E300">
    <cfRule type="expression" dxfId="268" priority="53" stopIfTrue="1">
      <formula>$AZ299&lt;2</formula>
    </cfRule>
  </conditionalFormatting>
  <conditionalFormatting sqref="E301">
    <cfRule type="expression" dxfId="267" priority="54" stopIfTrue="1">
      <formula>$AZ299&lt;3</formula>
    </cfRule>
  </conditionalFormatting>
  <conditionalFormatting sqref="S269:S302">
    <cfRule type="cellIs" dxfId="266" priority="55" stopIfTrue="1" operator="greaterThan">
      <formula>$DG269</formula>
    </cfRule>
  </conditionalFormatting>
  <conditionalFormatting sqref="AI299:AQ299">
    <cfRule type="expression" dxfId="265" priority="56">
      <formula>NOT(AND(OR(ISNUMBER(FIND(DC299,DB269&amp;DC269&amp;DD269)),ISNUMBER(FIND(DD299,DB269&amp;DC269&amp;DD269)),DB269&amp;DC269&amp;DD269=""),OR(ISNUMBER(FIND(DC299,DB275&amp;DC275&amp;DD275)),ISNUMBER(FIND(DD299,DB275&amp;DC275&amp;DD275)),DB275&amp;DC275&amp;DD275=""),OR(ISNUMBER(FIND(DC299,DB281&amp;DC281&amp;DD281)),ISNUMBER(FIND(DD299,DB281&amp;DC281&amp;DD281)),DB281&amp;DC281&amp;DD281=""),OR(ISNUMBER(FIND(DC299,DB287&amp;DC287&amp;DD287)),ISNUMBER(FIND(DD299,DB287&amp;DC287&amp;DD287)),DB287&amp;DC287&amp;DD287=""),OR(ISNUMBER(FIND(DC299,DB293&amp;DC293&amp;DD293)),ISNUMBER(FIND(DD299,DB293&amp;DC293&amp;DD293)),DB293&amp;DC293&amp;DD293="")))</formula>
    </cfRule>
  </conditionalFormatting>
  <conditionalFormatting sqref="AH299">
    <cfRule type="expression" dxfId="264" priority="57">
      <formula>NOT(AND(OR(ISNUMBER(FIND(DB299,DA269&amp;DB269&amp;DC269)),ISNUMBER(FIND(DC299,DA269&amp;DB269&amp;DC269)),DA269&amp;DB269&amp;DC269=""),OR(ISNUMBER(FIND(DB299,DA272&amp;DB275&amp;DC275)),ISNUMBER(FIND(DC299,DA272&amp;DB275&amp;DC275)),DA272&amp;DB275&amp;DC275=""),OR(ISNUMBER(FIND(DB299,DA281&amp;DB281&amp;DC281)),ISNUMBER(FIND(DC299,DA281&amp;DB281&amp;DC281)),DA281&amp;DB281&amp;DC281=""),OR(ISNUMBER(FIND(DB299,DA287&amp;DB287&amp;DC287)),ISNUMBER(FIND(DC299,DA287&amp;DB287&amp;DC287)),DA287&amp;DB287&amp;DC287=""),OR(ISNUMBER(FIND(DB299,DA293&amp;DB293&amp;DC293)),ISNUMBER(FIND(DC299,DA293&amp;DB293&amp;DC293)),DA293&amp;DB293&amp;DC293="")))</formula>
    </cfRule>
  </conditionalFormatting>
  <conditionalFormatting sqref="AG299">
    <cfRule type="expression" dxfId="263" priority="58">
      <formula>NOT(AND(OR(ISNUMBER(FIND(DA299,CZ269&amp;DA269&amp;DB269)),ISNUMBER(FIND(DB299,CZ269&amp;DA269&amp;DB269)),CZ269&amp;DA269&amp;DB269=""),OR(ISNUMBER(FIND(DA299,CZ275&amp;DA272&amp;DB275)),ISNUMBER(FIND(DB299,CZ275&amp;DA272&amp;DB275)),CZ275&amp;DA272&amp;DB275=""),OR(ISNUMBER(FIND(DA299,CZ281&amp;DA281&amp;DB281)),ISNUMBER(FIND(DB299,CZ281&amp;DA281&amp;DB281)),CZ281&amp;DA281&amp;DB281=""),OR(ISNUMBER(FIND(DA299,CZ287&amp;DA287&amp;DB287)),ISNUMBER(FIND(DB299,CZ287&amp;DA287&amp;DB287)),CZ287&amp;DA287&amp;DB287=""),OR(ISNUMBER(FIND(DA299,CZ293&amp;DA293&amp;DB293)),ISNUMBER(FIND(DB299,CZ293&amp;DA293&amp;DB293)),CZ293&amp;DA293&amp;DB293="")))</formula>
    </cfRule>
  </conditionalFormatting>
  <conditionalFormatting sqref="AF299">
    <cfRule type="expression" dxfId="262" priority="59">
      <formula>NOT(AND(OR(ISNUMBER(FIND(CZ299,CY269&amp;CZ269&amp;DA269)),ISNUMBER(FIND(DA299,CY269&amp;CZ269&amp;DA269)),CY269&amp;CZ269&amp;DA269=""),OR(ISNUMBER(FIND(CZ299,CY275&amp;CZ275&amp;DA272)),ISNUMBER(FIND(DA299,CY275&amp;CZ275&amp;DA272)),CY275&amp;CZ275&amp;DA272=""),OR(ISNUMBER(FIND(CZ299,CY281&amp;CZ281&amp;DA281)),ISNUMBER(FIND(DA299,CY281&amp;CZ281&amp;DA281)),CY281&amp;CZ281&amp;DA281=""),OR(ISNUMBER(FIND(CZ299,CY287&amp;CZ287&amp;DA287)),ISNUMBER(FIND(DA299,CY287&amp;CZ287&amp;DA287)),CY287&amp;CZ287&amp;DA287=""),OR(ISNUMBER(FIND(CZ299,CY293&amp;CZ293&amp;DA293)),ISNUMBER(FIND(DA299,CY293&amp;CZ293&amp;DA293)),CY293&amp;CZ293&amp;DA293="")))</formula>
    </cfRule>
  </conditionalFormatting>
  <conditionalFormatting sqref="AR299">
    <cfRule type="expression" dxfId="261" priority="49">
      <formula>NOT(ISNUMBER(SEARCH(AR299,AQ269&amp;AR269&amp;AS269&amp;AS275&amp;AR275&amp;AQ275&amp;AQ281&amp;AR281&amp;AS281&amp;AQ287&amp;AR287&amp;AS287&amp;AQ293&amp;AR293&amp;AS293)))</formula>
    </cfRule>
  </conditionalFormatting>
  <conditionalFormatting sqref="AS299">
    <cfRule type="expression" dxfId="260" priority="48">
      <formula>NOT(ISNUMBER(SEARCH(AS299,AQ269&amp;AR269&amp;AS269&amp;AS275&amp;AR275&amp;AQ275&amp;AQ281&amp;AR281&amp;AS281&amp;AQ287&amp;AR287&amp;AS287&amp;AQ293&amp;AR293&amp;AS293)))</formula>
    </cfRule>
  </conditionalFormatting>
  <conditionalFormatting sqref="D267">
    <cfRule type="expression" dxfId="259" priority="47" stopIfTrue="1">
      <formula>AND($D267=1,OR(COUNTIF($L269:$L297,"Si")&gt;0,COUNTIF($O269:$O297,"Si")))</formula>
    </cfRule>
    <cfRule type="expression" dxfId="258" priority="50" stopIfTrue="1">
      <formula>OR($D267&lt;1,$D267&gt;3)</formula>
    </cfRule>
  </conditionalFormatting>
  <conditionalFormatting sqref="E337">
    <cfRule type="expression" dxfId="257" priority="34" stopIfTrue="1">
      <formula>$AZ336&lt;2</formula>
    </cfRule>
  </conditionalFormatting>
  <conditionalFormatting sqref="E338">
    <cfRule type="expression" dxfId="256" priority="35" stopIfTrue="1">
      <formula>$AZ336&lt;3</formula>
    </cfRule>
  </conditionalFormatting>
  <conditionalFormatting sqref="S306:S339">
    <cfRule type="cellIs" dxfId="255" priority="36" stopIfTrue="1" operator="greaterThan">
      <formula>$DG306</formula>
    </cfRule>
  </conditionalFormatting>
  <conditionalFormatting sqref="AI336:AQ336">
    <cfRule type="expression" dxfId="254" priority="37">
      <formula>NOT(AND(OR(ISNUMBER(FIND(DC336,DB306&amp;DC306&amp;DD306)),ISNUMBER(FIND(DD336,DB306&amp;DC306&amp;DD306)),DB306&amp;DC306&amp;DD306=""),OR(ISNUMBER(FIND(DC336,DB312&amp;DC312&amp;DD312)),ISNUMBER(FIND(DD336,DB312&amp;DC312&amp;DD312)),DB312&amp;DC312&amp;DD312=""),OR(ISNUMBER(FIND(DC336,DB318&amp;DC318&amp;DD318)),ISNUMBER(FIND(DD336,DB318&amp;DC318&amp;DD318)),DB318&amp;DC318&amp;DD318=""),OR(ISNUMBER(FIND(DC336,DB324&amp;DC324&amp;DD324)),ISNUMBER(FIND(DD336,DB324&amp;DC324&amp;DD324)),DB324&amp;DC324&amp;DD324=""),OR(ISNUMBER(FIND(DC336,DB330&amp;DC330&amp;DD330)),ISNUMBER(FIND(DD336,DB330&amp;DC330&amp;DD330)),DB330&amp;DC330&amp;DD330="")))</formula>
    </cfRule>
  </conditionalFormatting>
  <conditionalFormatting sqref="AH336">
    <cfRule type="expression" dxfId="253" priority="38">
      <formula>NOT(AND(OR(ISNUMBER(FIND(DB336,DA306&amp;DB306&amp;DC306)),ISNUMBER(FIND(DC336,DA306&amp;DB306&amp;DC306)),DA306&amp;DB306&amp;DC306=""),OR(ISNUMBER(FIND(DB336,DA309&amp;DB312&amp;DC312)),ISNUMBER(FIND(DC336,DA309&amp;DB312&amp;DC312)),DA309&amp;DB312&amp;DC312=""),OR(ISNUMBER(FIND(DB336,DA318&amp;DB318&amp;DC318)),ISNUMBER(FIND(DC336,DA318&amp;DB318&amp;DC318)),DA318&amp;DB318&amp;DC318=""),OR(ISNUMBER(FIND(DB336,DA324&amp;DB324&amp;DC324)),ISNUMBER(FIND(DC336,DA324&amp;DB324&amp;DC324)),DA324&amp;DB324&amp;DC324=""),OR(ISNUMBER(FIND(DB336,DA330&amp;DB330&amp;DC330)),ISNUMBER(FIND(DC336,DA330&amp;DB330&amp;DC330)),DA330&amp;DB330&amp;DC330="")))</formula>
    </cfRule>
  </conditionalFormatting>
  <conditionalFormatting sqref="AG336">
    <cfRule type="expression" dxfId="252" priority="39">
      <formula>NOT(AND(OR(ISNUMBER(FIND(DA336,CZ306&amp;DA306&amp;DB306)),ISNUMBER(FIND(DB336,CZ306&amp;DA306&amp;DB306)),CZ306&amp;DA306&amp;DB306=""),OR(ISNUMBER(FIND(DA336,CZ312&amp;DA309&amp;DB312)),ISNUMBER(FIND(DB336,CZ312&amp;DA309&amp;DB312)),CZ312&amp;DA309&amp;DB312=""),OR(ISNUMBER(FIND(DA336,CZ318&amp;DA318&amp;DB318)),ISNUMBER(FIND(DB336,CZ318&amp;DA318&amp;DB318)),CZ318&amp;DA318&amp;DB318=""),OR(ISNUMBER(FIND(DA336,CZ324&amp;DA324&amp;DB324)),ISNUMBER(FIND(DB336,CZ324&amp;DA324&amp;DB324)),CZ324&amp;DA324&amp;DB324=""),OR(ISNUMBER(FIND(DA336,CZ330&amp;DA330&amp;DB330)),ISNUMBER(FIND(DB336,CZ330&amp;DA330&amp;DB330)),CZ330&amp;DA330&amp;DB330="")))</formula>
    </cfRule>
  </conditionalFormatting>
  <conditionalFormatting sqref="AF336">
    <cfRule type="expression" dxfId="251" priority="40">
      <formula>NOT(AND(OR(ISNUMBER(FIND(CZ336,CY306&amp;CZ306&amp;DA306)),ISNUMBER(FIND(DA336,CY306&amp;CZ306&amp;DA306)),CY306&amp;CZ306&amp;DA306=""),OR(ISNUMBER(FIND(CZ336,CY312&amp;CZ312&amp;DA309)),ISNUMBER(FIND(DA336,CY312&amp;CZ312&amp;DA309)),CY312&amp;CZ312&amp;DA309=""),OR(ISNUMBER(FIND(CZ336,CY318&amp;CZ318&amp;DA318)),ISNUMBER(FIND(DA336,CY318&amp;CZ318&amp;DA318)),CY318&amp;CZ318&amp;DA318=""),OR(ISNUMBER(FIND(CZ336,CY324&amp;CZ324&amp;DA324)),ISNUMBER(FIND(DA336,CY324&amp;CZ324&amp;DA324)),CY324&amp;CZ324&amp;DA324=""),OR(ISNUMBER(FIND(CZ336,CY330&amp;CZ330&amp;DA330)),ISNUMBER(FIND(DA336,CY330&amp;CZ330&amp;DA330)),CY330&amp;CZ330&amp;DA330="")))</formula>
    </cfRule>
  </conditionalFormatting>
  <conditionalFormatting sqref="AR336">
    <cfRule type="expression" dxfId="250" priority="30">
      <formula>NOT(ISNUMBER(SEARCH(AR336,AQ306&amp;AR306&amp;AS306&amp;AS312&amp;AR312&amp;AQ312&amp;AQ318&amp;AR318&amp;AS318&amp;AQ324&amp;AR324&amp;AS324&amp;AQ330&amp;AR330&amp;AS330)))</formula>
    </cfRule>
  </conditionalFormatting>
  <conditionalFormatting sqref="AS336">
    <cfRule type="expression" dxfId="249" priority="29">
      <formula>NOT(ISNUMBER(SEARCH(AS336,AQ306&amp;AR306&amp;AS306&amp;AS312&amp;AR312&amp;AQ312&amp;AQ318&amp;AR318&amp;AS318&amp;AQ324&amp;AR324&amp;AS324&amp;AQ330&amp;AR330&amp;AS330)))</formula>
    </cfRule>
  </conditionalFormatting>
  <conditionalFormatting sqref="D304">
    <cfRule type="expression" dxfId="248" priority="28" stopIfTrue="1">
      <formula>AND($D304=1,OR(COUNTIF($L306:$L334,"Si")&gt;0,COUNTIF($O306:$O334,"Si")))</formula>
    </cfRule>
    <cfRule type="expression" dxfId="247" priority="31" stopIfTrue="1">
      <formula>OR($D304&lt;1,$D304&gt;3)</formula>
    </cfRule>
  </conditionalFormatting>
  <conditionalFormatting sqref="E374">
    <cfRule type="expression" dxfId="246" priority="15" stopIfTrue="1">
      <formula>$AZ373&lt;2</formula>
    </cfRule>
  </conditionalFormatting>
  <conditionalFormatting sqref="E375">
    <cfRule type="expression" dxfId="245" priority="16" stopIfTrue="1">
      <formula>$AZ373&lt;3</formula>
    </cfRule>
  </conditionalFormatting>
  <conditionalFormatting sqref="S343:S376">
    <cfRule type="cellIs" dxfId="244" priority="17" stopIfTrue="1" operator="greaterThan">
      <formula>$DG343</formula>
    </cfRule>
  </conditionalFormatting>
  <conditionalFormatting sqref="AI373:AQ373">
    <cfRule type="expression" dxfId="243" priority="18">
      <formula>NOT(AND(OR(ISNUMBER(FIND(DC373,DB343&amp;DC343&amp;DD343)),ISNUMBER(FIND(DD373,DB343&amp;DC343&amp;DD343)),DB343&amp;DC343&amp;DD343=""),OR(ISNUMBER(FIND(DC373,DB349&amp;DC349&amp;DD349)),ISNUMBER(FIND(DD373,DB349&amp;DC349&amp;DD349)),DB349&amp;DC349&amp;DD349=""),OR(ISNUMBER(FIND(DC373,DB355&amp;DC355&amp;DD355)),ISNUMBER(FIND(DD373,DB355&amp;DC355&amp;DD355)),DB355&amp;DC355&amp;DD355=""),OR(ISNUMBER(FIND(DC373,DB361&amp;DC361&amp;DD361)),ISNUMBER(FIND(DD373,DB361&amp;DC361&amp;DD361)),DB361&amp;DC361&amp;DD361=""),OR(ISNUMBER(FIND(DC373,DB367&amp;DC367&amp;DD367)),ISNUMBER(FIND(DD373,DB367&amp;DC367&amp;DD367)),DB367&amp;DC367&amp;DD367="")))</formula>
    </cfRule>
  </conditionalFormatting>
  <conditionalFormatting sqref="AH373">
    <cfRule type="expression" dxfId="242" priority="19">
      <formula>NOT(AND(OR(ISNUMBER(FIND(DB373,DA343&amp;DB343&amp;DC343)),ISNUMBER(FIND(DC373,DA343&amp;DB343&amp;DC343)),DA343&amp;DB343&amp;DC343=""),OR(ISNUMBER(FIND(DB373,DA346&amp;DB349&amp;DC349)),ISNUMBER(FIND(DC373,DA346&amp;DB349&amp;DC349)),DA346&amp;DB349&amp;DC349=""),OR(ISNUMBER(FIND(DB373,DA355&amp;DB355&amp;DC355)),ISNUMBER(FIND(DC373,DA355&amp;DB355&amp;DC355)),DA355&amp;DB355&amp;DC355=""),OR(ISNUMBER(FIND(DB373,DA361&amp;DB361&amp;DC361)),ISNUMBER(FIND(DC373,DA361&amp;DB361&amp;DC361)),DA361&amp;DB361&amp;DC361=""),OR(ISNUMBER(FIND(DB373,DA367&amp;DB367&amp;DC367)),ISNUMBER(FIND(DC373,DA367&amp;DB367&amp;DC367)),DA367&amp;DB367&amp;DC367="")))</formula>
    </cfRule>
  </conditionalFormatting>
  <conditionalFormatting sqref="AG373">
    <cfRule type="expression" dxfId="241" priority="20">
      <formula>NOT(AND(OR(ISNUMBER(FIND(DA373,CZ343&amp;DA343&amp;DB343)),ISNUMBER(FIND(DB373,CZ343&amp;DA343&amp;DB343)),CZ343&amp;DA343&amp;DB343=""),OR(ISNUMBER(FIND(DA373,CZ349&amp;DA346&amp;DB349)),ISNUMBER(FIND(DB373,CZ349&amp;DA346&amp;DB349)),CZ349&amp;DA346&amp;DB349=""),OR(ISNUMBER(FIND(DA373,CZ355&amp;DA355&amp;DB355)),ISNUMBER(FIND(DB373,CZ355&amp;DA355&amp;DB355)),CZ355&amp;DA355&amp;DB355=""),OR(ISNUMBER(FIND(DA373,CZ361&amp;DA361&amp;DB361)),ISNUMBER(FIND(DB373,CZ361&amp;DA361&amp;DB361)),CZ361&amp;DA361&amp;DB361=""),OR(ISNUMBER(FIND(DA373,CZ367&amp;DA367&amp;DB367)),ISNUMBER(FIND(DB373,CZ367&amp;DA367&amp;DB367)),CZ367&amp;DA367&amp;DB367="")))</formula>
    </cfRule>
  </conditionalFormatting>
  <conditionalFormatting sqref="AF373">
    <cfRule type="expression" dxfId="240" priority="21">
      <formula>NOT(AND(OR(ISNUMBER(FIND(CZ373,CY343&amp;CZ343&amp;DA343)),ISNUMBER(FIND(DA373,CY343&amp;CZ343&amp;DA343)),CY343&amp;CZ343&amp;DA343=""),OR(ISNUMBER(FIND(CZ373,CY349&amp;CZ349&amp;DA346)),ISNUMBER(FIND(DA373,CY349&amp;CZ349&amp;DA346)),CY349&amp;CZ349&amp;DA346=""),OR(ISNUMBER(FIND(CZ373,CY355&amp;CZ355&amp;DA355)),ISNUMBER(FIND(DA373,CY355&amp;CZ355&amp;DA355)),CY355&amp;CZ355&amp;DA355=""),OR(ISNUMBER(FIND(CZ373,CY361&amp;CZ361&amp;DA361)),ISNUMBER(FIND(DA373,CY361&amp;CZ361&amp;DA361)),CY361&amp;CZ361&amp;DA361=""),OR(ISNUMBER(FIND(CZ373,CY367&amp;CZ367&amp;DA367)),ISNUMBER(FIND(DA373,CY367&amp;CZ367&amp;DA367)),CY367&amp;CZ367&amp;DA367="")))</formula>
    </cfRule>
  </conditionalFormatting>
  <conditionalFormatting sqref="AR373">
    <cfRule type="expression" dxfId="239" priority="11">
      <formula>NOT(ISNUMBER(SEARCH(AR373,AQ343&amp;AR343&amp;AS343&amp;AS349&amp;AR349&amp;AQ349&amp;AQ355&amp;AR355&amp;AS355&amp;AQ361&amp;AR361&amp;AS361&amp;AQ367&amp;AR367&amp;AS367)))</formula>
    </cfRule>
  </conditionalFormatting>
  <conditionalFormatting sqref="AS373">
    <cfRule type="expression" dxfId="238" priority="10">
      <formula>NOT(ISNUMBER(SEARCH(AS373,AQ343&amp;AR343&amp;AS343&amp;AS349&amp;AR349&amp;AQ349&amp;AQ355&amp;AR355&amp;AS355&amp;AQ361&amp;AR361&amp;AS361&amp;AQ367&amp;AR367&amp;AS367)))</formula>
    </cfRule>
  </conditionalFormatting>
  <conditionalFormatting sqref="D341">
    <cfRule type="expression" dxfId="237" priority="9" stopIfTrue="1">
      <formula>AND($D341=1,OR(COUNTIF($L343:$L371,"Si")&gt;0,COUNTIF($O343:$O371,"Si")))</formula>
    </cfRule>
    <cfRule type="expression" dxfId="236" priority="12" stopIfTrue="1">
      <formula>OR($D341&lt;1,$D341&gt;3)</formula>
    </cfRule>
  </conditionalFormatting>
  <conditionalFormatting sqref="U8:U12 W8:W12 Y8:Y12 AA8:AA12 AC8:AC12 AE8:AE12">
    <cfRule type="expression" dxfId="235" priority="5706" stopIfTrue="1">
      <formula>$N8&lt;&gt;"Mantenido"</formula>
    </cfRule>
  </conditionalFormatting>
  <dataValidations count="16">
    <dataValidation type="list" allowBlank="1" showInputMessage="1" showErrorMessage="1" sqref="E349 E355 E361 E367 E281 E287 E293 E343 E324 E330 E195 E201 E207 E213 E219 E318 E127 E133 E139 E145 E158 E164 E170 E176 E182 E232 E238 E244 E250 E256 E269 E275 E306 E312" xr:uid="{5CC8EF27-82D3-4636-9F8A-0D8FFFA20EC4}">
      <formula1>INDIRECT($E126)</formula1>
    </dataValidation>
    <dataValidation type="list" allowBlank="1" showInputMessage="1" showErrorMessage="1" sqref="E350 E356 E362 E368 E282 E288 E294 E344 E325 E331 E196 E202 E208 E214 E220 E319 E128 E134 E140 E146 E159 E165 E171 E177 E183 E233 E239 E245 E251 E257 E270 E276 E307 E313" xr:uid="{54B50FB3-2DFE-437E-B416-43DC083B86A7}">
      <formula1>INDIRECT($E126)</formula1>
    </dataValidation>
    <dataValidation type="list" allowBlank="1" showInputMessage="1" showErrorMessage="1" sqref="E351 E357 E363 E369 E283 E289 E295 E345 E326 E332 E197 E203 E209 E215 E221 E320 E129 E135 E141 E147 E160 E166 E172 E178 E184 E234 E240 E246 E252 E258 E271 E277 E308 E314" xr:uid="{38A8F9F8-4F2D-4BA2-9C64-57F7C442B8E4}">
      <formula1>INDIRECT($E126)</formula1>
    </dataValidation>
    <dataValidation type="list" allowBlank="1" showInputMessage="1" showErrorMessage="1" sqref="E352 E358 E364 E370 E284 E290 E296 E346 E327 E333 E198 E204 E210 E216 E222 E321 E130 E136 E142 E148 E161 E167 E173 E179 E185 E235 E241 E247 E253 E259 E272 E278 E309 E315" xr:uid="{495058DD-D59E-4AB0-9240-C365421A057B}">
      <formula1>INDIRECT($E126)</formula1>
    </dataValidation>
    <dataValidation type="list" allowBlank="1" showInputMessage="1" showErrorMessage="1" sqref="E353 E359 E365 E371 E285 E291 E297 E347 E328 E334 E199 E205 E211 E217 E223 E322 E131 E137 E143 E149 E162 E168 E174 E180 E186 E236 E242 E248 E254 E260 E273 E279 E310 E316" xr:uid="{90A64826-1CD9-4CB0-8ABB-4EFE78313089}">
      <formula1>INDIRECT($E126)</formula1>
    </dataValidation>
    <dataValidation type="list" allowBlank="1" showInputMessage="1" showErrorMessage="1" sqref="AZ349:BA349 AZ275:BA275 AZ201:BA201 AZ127:BA127 AZ164:BA164 AZ238:BA238 AZ312:BA312" xr:uid="{2C11BDA9-5DE3-40B5-825A-ADE15F2A9F85}">
      <formula1>Rebajar_coste_de_CM</formula1>
    </dataValidation>
    <dataValidation type="list" allowBlank="1" showInputMessage="1" showErrorMessage="1" sqref="AZ351:BA351 AZ277:BA277 AZ203:BA203 AZ129:BA129 AZ166:BA166 AZ240:BA240 AZ314:BA314" xr:uid="{29D84075-60E4-4A25-8FA3-5C02921A0921}">
      <formula1>Rebajar_coste_de_Ki</formula1>
    </dataValidation>
    <dataValidation type="list" allowBlank="1" showInputMessage="1" showErrorMessage="1" sqref="E373 E336 E299 E225 E151 E188 E262" xr:uid="{1B02838E-732C-4994-81AF-C8A40E17A33A}">
      <formula1 xml:space="preserve"> DESVENTAJAS_KI</formula1>
    </dataValidation>
    <dataValidation type="list" allowBlank="1" showInputMessage="1" showErrorMessage="1" sqref="E374:E375 E263:E264 E337:E338 E300:E301 E226:E227 E152:E153 E189:E190" xr:uid="{2E960132-0181-4B0F-ACDA-7D9BBE9453B5}">
      <formula1 xml:space="preserve">  DESVENTAJAS_KI</formula1>
    </dataValidation>
    <dataValidation type="list" allowBlank="1" showInputMessage="1" showErrorMessage="1" sqref="E255 E354 E360 E366 E286 E157 E237 E243 E231 E311 E317 E323 E329 E305 E342 E292 E268 E274 E280 E348 E200 E206 E212 E218 E194 E126 E132 E138 E144 E249 E163 E169 E175 E181 D8:D12" xr:uid="{A8D03014-D507-4A72-BC10-C4F5024DB949}">
      <formula1>Lista_EfectosTécnicas</formula1>
    </dataValidation>
    <dataValidation type="list" allowBlank="1" showInputMessage="1" showErrorMessage="1" sqref="P451:Q451 BB451" xr:uid="{A7E5D236-DF66-46BC-88A0-ECC750D8314E}">
      <formula1>$G475</formula1>
    </dataValidation>
    <dataValidation type="list" allowBlank="1" showInputMessage="1" showErrorMessage="1" sqref="AG361 W367 AG355 AG349 AG367 W361 W355 AG281 W287 AG324 W330 AG330 AG256 W238 W306 AG306 AG312 W318 W312 W349 AG287 W293 AG293 W275 W343 W269 AG269 AG275 W281 AG343 W195 AG195 AG201 W207 AG207 W213 AG213 W219 AG219 W201 AG318 W324 AG127 W133 AG133 W139 AG139 W145 AG145 W127 W158 AG158 AG164 W170 AG170 W176 AG176 W182 AG182 W164 W232 AG232 AG238 W244 AG244 W250 AG250 W256" xr:uid="{739CC650-54BC-48E0-BC1A-1EBCBE7CCAB4}">
      <formula1>Car_Opcional</formula1>
    </dataValidation>
    <dataValidation type="list" allowBlank="1" showInputMessage="1" showErrorMessage="1" sqref="I355:I359 I361:I365 I367:I371 L349:L353 O349:O353 L355:L359 L275:L279 O355:O359 L361:L365 O361:O365 L367:L371 O367:O371 AZ347:BA347 O275:O279 L281:L285 O281:O285 L287:L291 O287:O291 L293:L297 O293:O297 I269:I273 I349:I353 O343:O347 I195:I199 I324:I328 O269:O273 L195:L199 I343:I347 L343:L347 I275:I279 O195:O199 I201:I205 I207:I211 I213:I217 I219:I223 L201:L205 O201:O205 L207:L211 O207:O211 L213:L217 O213:O217 L219:L223 O219:O223 I232:I236 L232:L236 I330:I334 I127:I131 I133:I137 I139:I143 I145:I149 L127:L131 O127:O131 L133:L137 O133:O137 L139:L143 O139:O143 L145:L149 O145:O149 I158:I162 L158:L162 O158:O162 I164:I168 I170:I174 I176:I180 L312:L316 I182:I186 L164:L168 O164:O168 L170:L174 O170:O174 L176:L180 O176:O180 L182:L186 O182:O186 AZ162:BA162 O232:O236 I238:I242 I244:I248 I250:I254 AZ199:BA199 I256:I260 L238:L242 O238:O242 L244:L248 O244:O248 L250:L254 O250:O254 L256:L260 O256:O260 AZ236:BA236 I281:I285 I287:I291 O312:O316 L318:L322 O318:O322 I293:I297 L269:L273 L324:L328 O324:O328 L330:L334 O330:O334 AZ310:BA310 AZ273:BA273 I306:I310 L306:L310 O306:O310 I312:I316 I318:I322" xr:uid="{939C49CD-AA9C-4D90-B928-7D244CE670EA}">
      <formula1>Si_o_No</formula1>
    </dataValidation>
    <dataValidation type="list" allowBlank="1" showInputMessage="1" showErrorMessage="1" sqref="N8:N12" xr:uid="{D2BC8DE3-1217-47A4-A531-1037BEE168E3}">
      <formula1>Lista_MantenimTécnicas</formula1>
    </dataValidation>
    <dataValidation type="list" allowBlank="1" showInputMessage="1" showErrorMessage="1" sqref="B28:B35" xr:uid="{56960EC1-942D-4168-8805-37B19390F36E}">
      <formula1>INDIRECT(B$36)</formula1>
    </dataValidation>
    <dataValidation type="list" allowBlank="1" showInputMessage="1" showErrorMessage="1" sqref="H28:H35 Z28:Z35 T28:T35 N28:N35" xr:uid="{663E03A8-2555-4A24-A340-58FA75CC4174}">
      <formula1>INDIRECT(G$36)</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51201"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51201"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E003870B-9921-4511-813D-DFA24DB80CF4}">
          <x14:formula1>
            <xm:f>TablasTec!$P$6:$P$8</xm:f>
          </x14:formula1>
          <xm:sqref>D341 D193 D156 D304 D230 D267</xm:sqref>
        </x14:dataValidation>
        <x14:dataValidation type="list" allowBlank="1" showInputMessage="1" showErrorMessage="1" xr:uid="{8A6FDA1D-304E-434B-AEC4-9EBB0BF60F0E}">
          <x14:formula1>
            <xm:f>TablasTec!$Z$16:$Z$22</xm:f>
          </x14:formula1>
          <xm:sqref>AR373:AS373 AR262:AS262 AR151:AS151 AR336:AS336 AR299:AS299 AR188:AS188 AR225:AS225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40" sqref="E40"/>
    </sheetView>
  </sheetViews>
  <sheetFormatPr defaultColWidth="5.7109375" defaultRowHeight="11.25"/>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c r="A3" s="922"/>
      <c r="B3" s="922"/>
      <c r="C3" s="1292"/>
      <c r="D3" s="1430"/>
      <c r="E3" s="935"/>
      <c r="F3" s="4875" t="s">
        <v>4530</v>
      </c>
      <c r="G3" s="4875"/>
      <c r="H3" s="4875"/>
      <c r="I3" s="4875"/>
      <c r="J3" s="4875"/>
      <c r="K3" s="4875"/>
      <c r="L3" s="4875"/>
      <c r="M3" s="4875"/>
      <c r="N3" s="4875"/>
      <c r="O3" s="4875"/>
      <c r="P3" s="4875"/>
      <c r="Q3" s="4875"/>
      <c r="R3" s="4875"/>
      <c r="S3" s="4875"/>
      <c r="T3" s="4875"/>
      <c r="U3" s="4875"/>
      <c r="V3" s="4875"/>
      <c r="W3" s="4875"/>
      <c r="X3" s="4875"/>
      <c r="Y3" s="4875"/>
      <c r="Z3" s="4875"/>
      <c r="AA3" s="4875"/>
      <c r="AB3" s="4875"/>
      <c r="AC3" s="4875"/>
      <c r="AD3" s="4875"/>
      <c r="AE3" s="4875"/>
      <c r="AF3" s="4875"/>
      <c r="AG3" s="4875"/>
      <c r="AH3" s="4875"/>
      <c r="AI3" s="4875"/>
      <c r="AJ3" s="4875"/>
      <c r="AK3" s="4875"/>
      <c r="AL3" s="4875"/>
      <c r="AM3" s="4875"/>
      <c r="AN3" s="4875"/>
      <c r="AO3" s="4875"/>
      <c r="AP3" s="4875"/>
      <c r="AQ3" s="4875"/>
      <c r="AR3" s="4875"/>
      <c r="AS3" s="4875"/>
      <c r="AT3" s="4875"/>
      <c r="AU3" s="4875"/>
      <c r="AV3" s="4875"/>
      <c r="AW3" s="4875"/>
      <c r="AX3" s="4875"/>
      <c r="AY3" s="4875"/>
      <c r="AZ3" s="4875"/>
      <c r="BA3" s="4875"/>
      <c r="BB3" s="4875"/>
      <c r="BC3" s="4875"/>
      <c r="BD3" s="4875"/>
      <c r="BE3" s="4875"/>
      <c r="BF3" s="4875"/>
      <c r="BG3" s="4875"/>
      <c r="BH3" s="4875"/>
      <c r="BI3" s="4875"/>
      <c r="BJ3" s="4875"/>
      <c r="BK3" s="4875"/>
      <c r="BL3" s="4875"/>
      <c r="BM3" s="4875"/>
      <c r="BN3" s="4875"/>
      <c r="BO3" s="4875"/>
      <c r="BP3" s="4875"/>
      <c r="BQ3" s="4875"/>
      <c r="BR3" s="4875"/>
      <c r="BS3" s="4875"/>
      <c r="BT3" s="4875"/>
      <c r="BU3" s="4876"/>
      <c r="BV3" s="936"/>
      <c r="BW3" s="934"/>
      <c r="BX3" s="934"/>
      <c r="BY3" s="1269"/>
      <c r="BZ3" s="1287"/>
      <c r="CA3" s="922"/>
      <c r="DR3" s="922"/>
      <c r="DT3" s="1292"/>
      <c r="DU3" s="4866" t="s">
        <v>8623</v>
      </c>
      <c r="DV3" s="4867"/>
      <c r="DW3" s="4867"/>
      <c r="DX3" s="4868"/>
      <c r="DY3" s="1273"/>
      <c r="DZ3" s="922"/>
    </row>
    <row r="4" spans="1:132" ht="12" customHeight="1">
      <c r="A4" s="922"/>
      <c r="B4" s="922"/>
      <c r="C4" s="1292"/>
      <c r="D4" s="1431"/>
      <c r="E4" s="937"/>
      <c r="F4" s="4877"/>
      <c r="G4" s="4877"/>
      <c r="H4" s="4877"/>
      <c r="I4" s="4877"/>
      <c r="J4" s="4877"/>
      <c r="K4" s="4877"/>
      <c r="L4" s="4877"/>
      <c r="M4" s="4877"/>
      <c r="N4" s="4877"/>
      <c r="O4" s="4877"/>
      <c r="P4" s="4877"/>
      <c r="Q4" s="4877"/>
      <c r="R4" s="4877"/>
      <c r="S4" s="4877"/>
      <c r="T4" s="4877"/>
      <c r="U4" s="4877"/>
      <c r="V4" s="4877"/>
      <c r="W4" s="4877"/>
      <c r="X4" s="4877"/>
      <c r="Y4" s="4877"/>
      <c r="Z4" s="4877"/>
      <c r="AA4" s="4877"/>
      <c r="AB4" s="4877"/>
      <c r="AC4" s="4877"/>
      <c r="AD4" s="4877"/>
      <c r="AE4" s="4877"/>
      <c r="AF4" s="4877"/>
      <c r="AG4" s="4877"/>
      <c r="AH4" s="4877"/>
      <c r="AI4" s="4877"/>
      <c r="AJ4" s="4877"/>
      <c r="AK4" s="4877"/>
      <c r="AL4" s="4877"/>
      <c r="AM4" s="4877"/>
      <c r="AN4" s="4877"/>
      <c r="AO4" s="4877"/>
      <c r="AP4" s="4877"/>
      <c r="AQ4" s="4877"/>
      <c r="AR4" s="4877"/>
      <c r="AS4" s="4877"/>
      <c r="AT4" s="4877"/>
      <c r="AU4" s="4877"/>
      <c r="AV4" s="4877"/>
      <c r="AW4" s="4877"/>
      <c r="AX4" s="4877"/>
      <c r="AY4" s="4877"/>
      <c r="AZ4" s="4877"/>
      <c r="BA4" s="4877"/>
      <c r="BB4" s="4877"/>
      <c r="BC4" s="4877"/>
      <c r="BD4" s="4877"/>
      <c r="BE4" s="4877"/>
      <c r="BF4" s="4877"/>
      <c r="BG4" s="4877"/>
      <c r="BH4" s="4877"/>
      <c r="BI4" s="4877"/>
      <c r="BJ4" s="4877"/>
      <c r="BK4" s="4877"/>
      <c r="BL4" s="4877"/>
      <c r="BM4" s="4877"/>
      <c r="BN4" s="4877"/>
      <c r="BO4" s="4877"/>
      <c r="BP4" s="4877"/>
      <c r="BQ4" s="4877"/>
      <c r="BR4" s="4877"/>
      <c r="BS4" s="4877"/>
      <c r="BT4" s="4877"/>
      <c r="BU4" s="4878"/>
      <c r="BV4" s="936"/>
      <c r="BW4" s="934"/>
      <c r="BX4" s="934"/>
      <c r="BY4" s="1269"/>
      <c r="BZ4" s="1287"/>
      <c r="CA4" s="922"/>
      <c r="DR4" s="922"/>
      <c r="DT4" s="1292"/>
      <c r="DU4" s="4869"/>
      <c r="DV4" s="4870"/>
      <c r="DW4" s="4870"/>
      <c r="DX4" s="4871"/>
      <c r="DY4" s="1273"/>
      <c r="DZ4" s="922"/>
    </row>
    <row r="5" spans="1:132" ht="12" customHeight="1">
      <c r="A5" s="922"/>
      <c r="B5" s="922"/>
      <c r="C5" s="1292"/>
      <c r="D5" s="1431"/>
      <c r="E5" s="937"/>
      <c r="F5" s="4877"/>
      <c r="G5" s="4877"/>
      <c r="H5" s="4877"/>
      <c r="I5" s="4877"/>
      <c r="J5" s="4877"/>
      <c r="K5" s="4877"/>
      <c r="L5" s="4877"/>
      <c r="M5" s="4877"/>
      <c r="N5" s="4877"/>
      <c r="O5" s="4877"/>
      <c r="P5" s="4877"/>
      <c r="Q5" s="4877"/>
      <c r="R5" s="4877"/>
      <c r="S5" s="4877"/>
      <c r="T5" s="4877"/>
      <c r="U5" s="4877"/>
      <c r="V5" s="4877"/>
      <c r="W5" s="4877"/>
      <c r="X5" s="4877"/>
      <c r="Y5" s="4877"/>
      <c r="Z5" s="4877"/>
      <c r="AA5" s="4877"/>
      <c r="AB5" s="4877"/>
      <c r="AC5" s="4877"/>
      <c r="AD5" s="4877"/>
      <c r="AE5" s="4877"/>
      <c r="AF5" s="4877"/>
      <c r="AG5" s="4877"/>
      <c r="AH5" s="4877"/>
      <c r="AI5" s="4877"/>
      <c r="AJ5" s="4877"/>
      <c r="AK5" s="4877"/>
      <c r="AL5" s="4877"/>
      <c r="AM5" s="4877"/>
      <c r="AN5" s="4877"/>
      <c r="AO5" s="4877"/>
      <c r="AP5" s="4877"/>
      <c r="AQ5" s="4877"/>
      <c r="AR5" s="4877"/>
      <c r="AS5" s="4877"/>
      <c r="AT5" s="4877"/>
      <c r="AU5" s="4877"/>
      <c r="AV5" s="4877"/>
      <c r="AW5" s="4877"/>
      <c r="AX5" s="4877"/>
      <c r="AY5" s="4877"/>
      <c r="AZ5" s="4877"/>
      <c r="BA5" s="4877"/>
      <c r="BB5" s="4877"/>
      <c r="BC5" s="4877"/>
      <c r="BD5" s="4877"/>
      <c r="BE5" s="4877"/>
      <c r="BF5" s="4877"/>
      <c r="BG5" s="4877"/>
      <c r="BH5" s="4877"/>
      <c r="BI5" s="4877"/>
      <c r="BJ5" s="4877"/>
      <c r="BK5" s="4877"/>
      <c r="BL5" s="4877"/>
      <c r="BM5" s="4877"/>
      <c r="BN5" s="4877"/>
      <c r="BO5" s="4877"/>
      <c r="BP5" s="4877"/>
      <c r="BQ5" s="4877"/>
      <c r="BR5" s="4877"/>
      <c r="BS5" s="4877"/>
      <c r="BT5" s="4877"/>
      <c r="BU5" s="4878"/>
      <c r="BV5" s="936"/>
      <c r="BW5" s="934"/>
      <c r="BX5" s="934"/>
      <c r="BY5" s="1269"/>
      <c r="BZ5" s="1287"/>
      <c r="CA5" s="922"/>
      <c r="DR5" s="922"/>
      <c r="DT5" s="1306"/>
      <c r="DU5" s="4869"/>
      <c r="DV5" s="4870"/>
      <c r="DW5" s="4870"/>
      <c r="DX5" s="4871"/>
      <c r="DY5" s="1307"/>
      <c r="DZ5" s="922"/>
    </row>
    <row r="6" spans="1:132" ht="12" customHeight="1" thickBot="1">
      <c r="A6" s="922"/>
      <c r="B6" s="922"/>
      <c r="C6" s="1292"/>
      <c r="D6" s="1432"/>
      <c r="E6" s="938"/>
      <c r="F6" s="4879"/>
      <c r="G6" s="4879"/>
      <c r="H6" s="4879"/>
      <c r="I6" s="4879"/>
      <c r="J6" s="4879"/>
      <c r="K6" s="4879"/>
      <c r="L6" s="4879"/>
      <c r="M6" s="4879"/>
      <c r="N6" s="4879"/>
      <c r="O6" s="4879"/>
      <c r="P6" s="4879"/>
      <c r="Q6" s="4879"/>
      <c r="R6" s="4879"/>
      <c r="S6" s="4879"/>
      <c r="T6" s="4879"/>
      <c r="U6" s="4879"/>
      <c r="V6" s="4879"/>
      <c r="W6" s="4879"/>
      <c r="X6" s="4879"/>
      <c r="Y6" s="4879"/>
      <c r="Z6" s="4879"/>
      <c r="AA6" s="4879"/>
      <c r="AB6" s="4879"/>
      <c r="AC6" s="4879"/>
      <c r="AD6" s="4879"/>
      <c r="AE6" s="4879"/>
      <c r="AF6" s="4879"/>
      <c r="AG6" s="4879"/>
      <c r="AH6" s="4879"/>
      <c r="AI6" s="4879"/>
      <c r="AJ6" s="4879"/>
      <c r="AK6" s="4879"/>
      <c r="AL6" s="4879"/>
      <c r="AM6" s="4879"/>
      <c r="AN6" s="4879"/>
      <c r="AO6" s="4879"/>
      <c r="AP6" s="4879"/>
      <c r="AQ6" s="4879"/>
      <c r="AR6" s="4879"/>
      <c r="AS6" s="4879"/>
      <c r="AT6" s="4879"/>
      <c r="AU6" s="4879"/>
      <c r="AV6" s="4879"/>
      <c r="AW6" s="4879"/>
      <c r="AX6" s="4879"/>
      <c r="AY6" s="4879"/>
      <c r="AZ6" s="4879"/>
      <c r="BA6" s="4879"/>
      <c r="BB6" s="4879"/>
      <c r="BC6" s="4879"/>
      <c r="BD6" s="4879"/>
      <c r="BE6" s="4879"/>
      <c r="BF6" s="4879"/>
      <c r="BG6" s="4879"/>
      <c r="BH6" s="4879"/>
      <c r="BI6" s="4879"/>
      <c r="BJ6" s="4879"/>
      <c r="BK6" s="4879"/>
      <c r="BL6" s="4879"/>
      <c r="BM6" s="4879"/>
      <c r="BN6" s="4879"/>
      <c r="BO6" s="4879"/>
      <c r="BP6" s="4879"/>
      <c r="BQ6" s="4879"/>
      <c r="BR6" s="4879"/>
      <c r="BS6" s="4879"/>
      <c r="BT6" s="4879"/>
      <c r="BU6" s="4880"/>
      <c r="BV6" s="936"/>
      <c r="BW6" s="934"/>
      <c r="BX6" s="934"/>
      <c r="BY6" s="1269"/>
      <c r="BZ6" s="1287"/>
      <c r="CA6" s="922"/>
      <c r="DR6" s="922"/>
      <c r="DT6" s="1306"/>
      <c r="DU6" s="4872"/>
      <c r="DV6" s="4873"/>
      <c r="DW6" s="4873"/>
      <c r="DX6" s="4874"/>
      <c r="DY6" s="1307"/>
      <c r="DZ6" s="922"/>
    </row>
    <row r="7" spans="1:132" ht="12" customHeight="1">
      <c r="A7" s="922"/>
      <c r="B7" s="922"/>
      <c r="C7" s="4909"/>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2</v>
      </c>
      <c r="BO7" s="927">
        <f>SUM(BO9:BO42)</f>
        <v>0</v>
      </c>
      <c r="BP7" s="927">
        <f>MAX(BP9:BP42)</f>
        <v>10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c r="A8" s="922"/>
      <c r="B8" s="922"/>
      <c r="C8" s="4909"/>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81" t="s">
        <v>3336</v>
      </c>
      <c r="X8" s="4881"/>
      <c r="Y8" s="4881"/>
      <c r="Z8" s="4881"/>
      <c r="AA8" s="4881"/>
      <c r="AB8" s="4881"/>
      <c r="AC8" s="4881"/>
      <c r="AD8" s="4881"/>
      <c r="AE8" s="4881"/>
      <c r="AF8" s="4881"/>
      <c r="AG8" s="4881"/>
      <c r="AH8" s="4881"/>
      <c r="AI8" s="4881"/>
      <c r="AJ8" s="4881"/>
      <c r="AK8" s="4881"/>
      <c r="AL8" s="4881"/>
      <c r="AM8" s="4881"/>
      <c r="AN8" s="4881"/>
      <c r="AO8" s="4881"/>
      <c r="AP8" s="4881"/>
      <c r="AQ8" s="4881"/>
      <c r="AR8" s="4881"/>
      <c r="AS8" s="4881"/>
      <c r="AT8" s="4881"/>
      <c r="AU8" s="4881"/>
      <c r="AV8" s="4881"/>
      <c r="AW8" s="4881"/>
      <c r="AX8" s="4881"/>
      <c r="AY8" s="4881"/>
      <c r="AZ8" s="4881"/>
      <c r="BA8" s="4881"/>
      <c r="BB8" s="4881"/>
      <c r="BC8" s="4881"/>
      <c r="BD8" s="4881"/>
      <c r="BE8" s="4881"/>
      <c r="BF8" s="4881"/>
      <c r="BG8" s="4881"/>
      <c r="BH8" s="4881"/>
      <c r="BI8" s="4881"/>
      <c r="BJ8" s="4881"/>
      <c r="BK8" s="4881" t="s">
        <v>3337</v>
      </c>
      <c r="BL8" s="4881"/>
      <c r="BM8" s="4882"/>
      <c r="BN8" s="952" t="s">
        <v>4532</v>
      </c>
      <c r="BO8" s="952" t="s">
        <v>4533</v>
      </c>
      <c r="BP8" s="952" t="s">
        <v>4534</v>
      </c>
      <c r="BQ8" s="952" t="s">
        <v>4535</v>
      </c>
      <c r="BR8" s="952" t="s">
        <v>4536</v>
      </c>
      <c r="BS8" s="953" t="s">
        <v>4537</v>
      </c>
      <c r="BT8" s="4857" t="s">
        <v>4538</v>
      </c>
      <c r="BU8" s="4858"/>
      <c r="BV8" s="954"/>
      <c r="BW8" s="934"/>
      <c r="BX8" s="934"/>
      <c r="BY8" s="1269"/>
      <c r="BZ8" s="1287"/>
      <c r="CA8" s="922"/>
      <c r="DR8" s="922"/>
      <c r="DT8" s="1308"/>
      <c r="DU8" s="1360"/>
      <c r="DV8" s="1360"/>
      <c r="DW8" s="1360"/>
      <c r="DX8" s="1360"/>
      <c r="DY8" s="1307"/>
      <c r="DZ8" s="922"/>
      <c r="EB8" s="2127">
        <f>D8</f>
        <v>1</v>
      </c>
    </row>
    <row r="9" spans="1:132" ht="11.25" customHeight="1">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09"/>
      <c r="D9" s="1435">
        <v>1</v>
      </c>
      <c r="E9" s="1229" t="s">
        <v>3322</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2</v>
      </c>
      <c r="BO9" s="954">
        <f>IF(E9=0,"",(AF9+AP9+AZ9+BJ9))</f>
        <v>0</v>
      </c>
      <c r="BP9" s="961" t="str">
        <f>IF(I9="Si",VLOOKUP($D$8,TablasTec!$E$4:$F$6,2,FALSE),"")</f>
        <v/>
      </c>
      <c r="BQ9" s="962" t="str">
        <f>IF(L9="Si",VLOOKUP($D$8,TablasTec!$I$4:$J$6,2,FALSE),"")</f>
        <v/>
      </c>
      <c r="BR9" s="960" t="str">
        <f>IF(O9="Si",VLOOKUP($D$8,TablasTec!$I$7:$J$9,2,FALSE),"")</f>
        <v/>
      </c>
      <c r="BS9" s="963">
        <f>VLOOKUP(D8,TablasTec!$P$6:$R$8,3)</f>
        <v>50</v>
      </c>
      <c r="BT9" s="964">
        <f>VLOOKUP(D8,TablasTec!$P$6:$R$8,3,FALSE)</f>
        <v>50</v>
      </c>
      <c r="BU9" s="965">
        <f>VLOOKUP(D8,TablasTec!$P$6:$R$8,2,FALSE)</f>
        <v>20</v>
      </c>
      <c r="BV9" s="954">
        <f>IF(D8=0,"",VLOOKUP(D8,TablasTec!$L$4:$N$7,2,FALSE))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09"/>
      <c r="D10" s="1436" t="s">
        <v>1766</v>
      </c>
      <c r="E10" s="966" t="s">
        <v>3575</v>
      </c>
      <c r="F10" s="967">
        <f>IF(E10=0,"",VLOOKUP(E10,TablasTec!$A$14:$V$771,2,FALSE))</f>
        <v>2</v>
      </c>
      <c r="G10" s="968"/>
      <c r="H10" s="969">
        <f>IF($E10=0,"",VLOOKUP($E10,TablasTec!$A$14:$V$771,4,FALSE))</f>
        <v>10</v>
      </c>
      <c r="I10" s="970" t="s">
        <v>2446</v>
      </c>
      <c r="J10" s="1395">
        <f>IF(E10=0,"",VLOOKUP(E10,TablasTec!$A$14:$V$771,5,FALSE))</f>
        <v>2</v>
      </c>
      <c r="K10" s="972">
        <f>IF(I10="Si",IF(E10=0,"",VLOOKUP(E10,TablasTec!$A$14:$V$771,5,FALSE)),"")</f>
        <v>2</v>
      </c>
      <c r="L10" s="970" t="s">
        <v>1690</v>
      </c>
      <c r="M10" s="1395">
        <f>IF(E10=0,"",VLOOKUP(E10,TablasTec!$A$14:$V$771,6,FALSE))</f>
        <v>4</v>
      </c>
      <c r="N10" s="973" t="str">
        <f>IF(L10="Si",IF(E10=0,"",VLOOKUP(E10,TablasTec!$A$14:$V$771,6,FALSE)),"")</f>
        <v/>
      </c>
      <c r="O10" s="970" t="s">
        <v>1690</v>
      </c>
      <c r="P10" s="1395">
        <f>IF(E10=0,"",VLOOKUP(E10,TablasTec!$A$14:$V$771,7,FALSE))</f>
        <v>7</v>
      </c>
      <c r="Q10" s="973" t="str">
        <f>IF(O10="Si",IF(E10=0,"",VLOOKUP(E10,TablasTec!$A$14:$V$771,7,FALSE)),"")</f>
        <v/>
      </c>
      <c r="R10" s="971">
        <f>IF(E10=0,"",VLOOKUP(E10,TablasTec!$A$14:$V$771,8,FALSE))</f>
        <v>1</v>
      </c>
      <c r="S10" s="969">
        <f>IF(R10=$D$8,$D$8,IF(R10=2,2,IF(R10=3,3,R10)))</f>
        <v>1</v>
      </c>
      <c r="T10" s="972" t="str">
        <f>IF(E10=0,"",VLOOKUP(E10,TablasTec!$A$14:$V$771,9,FALSE))</f>
        <v>Asalto</v>
      </c>
      <c r="U10" s="972" t="str">
        <f>IF(E10=0,"",VLOOKUP(E10,TablasTec!$A$14:$V$771,10,FALSE))</f>
        <v>Ataque</v>
      </c>
      <c r="V10" s="967" t="str">
        <f>IF(E10=0,"",VLOOKUP(E10,TablasTec!$A$14:$V$771,11,FALSE))</f>
        <v>DES</v>
      </c>
      <c r="W10" s="970"/>
      <c r="X10" s="971" t="str">
        <f>VLOOKUP(E10,TablasTec!$A$14:$V$771,12,FALSE)</f>
        <v>AGI</v>
      </c>
      <c r="Y10" s="971">
        <f>IF(W10=X10,VLOOKUP(E10,TablasTec!$A$14:$V$771,13,FALSE),0)</f>
        <v>0</v>
      </c>
      <c r="Z10" s="971" t="str">
        <f>VLOOKUP(E10,TablasTec!$A$14:$V$771,14,FALSE)</f>
        <v>CON</v>
      </c>
      <c r="AA10" s="971">
        <f>IF(W10=Z10,VLOOKUP(E10,TablasTec!$A$14:$V$616,15,FALSE),0)</f>
        <v>0</v>
      </c>
      <c r="AB10" s="971" t="str">
        <f>VLOOKUP(E10,TablasTec!$A$14:$V$771,16,FALSE)</f>
        <v>POD</v>
      </c>
      <c r="AC10" s="971">
        <f>IF(W10=AB10,VLOOKUP(E10,TablasTec!$A$14:$V$616,17,FALSE),0)</f>
        <v>0</v>
      </c>
      <c r="AD10" s="971" t="str">
        <f>VLOOKUP(E10,TablasTec!$A$14:$V$771,18,FALSE)</f>
        <v>VOL</v>
      </c>
      <c r="AE10" s="971">
        <f>IF(W10=AD10,VLOOKUP(E10,TablasTec!$A$14:$V$771,19,FALSE),0)</f>
        <v>0</v>
      </c>
      <c r="AF10" s="973">
        <f>IF(E10=0,"",(Y10+AA10+AC10+AE10))</f>
        <v>0</v>
      </c>
      <c r="AG10" s="970"/>
      <c r="AH10" s="971" t="str">
        <f>VLOOKUP(E10,TablasTec!$A$14:$V$771,12,FALSE)</f>
        <v>AGI</v>
      </c>
      <c r="AI10" s="971">
        <f>IF(AG10=AH10,VLOOKUP(E10,TablasTec!$A$14:$V$771,13,FALSE),0)</f>
        <v>0</v>
      </c>
      <c r="AJ10" s="971" t="str">
        <f>VLOOKUP(E10,TablasTec!$A$14:$V$771,14,FALSE)</f>
        <v>CON</v>
      </c>
      <c r="AK10" s="971">
        <f>IF(AG10=AJ10,VLOOKUP(E10,TablasTec!$A$14:$V$771,15,FALSE),0)</f>
        <v>0</v>
      </c>
      <c r="AL10" s="971" t="str">
        <f>VLOOKUP(E10,TablasTec!$A$14:$V$771,16,FALSE)</f>
        <v>POD</v>
      </c>
      <c r="AM10" s="971">
        <f>IF(AG10=AL10,VLOOKUP(E10,TablasTec!$A$14:$V$771,17,FALSE),0)</f>
        <v>0</v>
      </c>
      <c r="AN10" s="971" t="str">
        <f>VLOOKUP(E10,TablasTec!$A$14:$V$771,18,FALSE)</f>
        <v>VOL</v>
      </c>
      <c r="AO10" s="971">
        <f>IF(AG10=AN10,VLOOKUP(E10,TablasTec!$A$14:$V$771,19,FALSE),0)</f>
        <v>0</v>
      </c>
      <c r="AP10" s="973">
        <f>IF(E10=0,"",(AI10+AK10+AM10+AO10))</f>
        <v>0</v>
      </c>
      <c r="AQ10" s="970"/>
      <c r="AR10" s="971" t="str">
        <f>VLOOKUP(E10,TablasTec!$A$14:$V$771,12,FALSE)</f>
        <v>AGI</v>
      </c>
      <c r="AS10" s="971">
        <f>IF(AQ10=AR10,VLOOKUP(E10,TablasTec!$A$14:$V$771,13,FALSE),0)</f>
        <v>0</v>
      </c>
      <c r="AT10" s="971" t="str">
        <f>VLOOKUP(E10,TablasTec!$A$14:$V$771,14,FALSE)</f>
        <v>CON</v>
      </c>
      <c r="AU10" s="971">
        <f>IF(AQ10=AT10,VLOOKUP(E10,TablasTec!$A$14:$V$771,15,FALSE),0)</f>
        <v>0</v>
      </c>
      <c r="AV10" s="971" t="str">
        <f>VLOOKUP(E10,TablasTec!$A$14:$V$771,16,FALSE)</f>
        <v>POD</v>
      </c>
      <c r="AW10" s="971">
        <f>IF(AQ10=AV10,VLOOKUP(E10,TablasTec!$A$14:$V$771,17,FALSE),0)</f>
        <v>0</v>
      </c>
      <c r="AX10" s="971" t="str">
        <f>VLOOKUP(E10,TablasTec!$A$14:$V$771,18,FALSE)</f>
        <v>VOL</v>
      </c>
      <c r="AY10" s="971">
        <f>IF(AQ10=AX10,VLOOKUP(E10,TablasTec!$A$14:$V$771,19,FALSE),0)</f>
        <v>0</v>
      </c>
      <c r="AZ10" s="972">
        <f>IF(E10=0,"",(AS10+AU10+AW10+AY10))</f>
        <v>0</v>
      </c>
      <c r="BA10" s="970"/>
      <c r="BB10" s="971" t="str">
        <f>VLOOKUP(E10,TablasTec!$A$14:$V$771,12,FALSE)</f>
        <v>AGI</v>
      </c>
      <c r="BC10" s="971">
        <f>IF(BA10=BB10,VLOOKUP(E10,TablasTec!$A$14:$V$771,13,FALSE),0)</f>
        <v>0</v>
      </c>
      <c r="BD10" s="971" t="str">
        <f>VLOOKUP(E10,TablasTec!$A$14:$V$771,14,FALSE)</f>
        <v>CON</v>
      </c>
      <c r="BE10" s="971">
        <f>IF(BA10=BD10,VLOOKUP(E10,TablasTec!$A$14:$V$771,15,FALSE),0)</f>
        <v>0</v>
      </c>
      <c r="BF10" s="971" t="str">
        <f>VLOOKUP(E10,TablasTec!$A$14:$V$771,16,FALSE)</f>
        <v>POD</v>
      </c>
      <c r="BG10" s="971">
        <f>IF(BA10=BF10,VLOOKUP(E10,TablasTec!$A$14:$V$771,17,FALSE),0)</f>
        <v>0</v>
      </c>
      <c r="BH10" s="971" t="str">
        <f>VLOOKUP(E10,TablasTec!$A$14:$V$771,18,FALSE)</f>
        <v>VOL</v>
      </c>
      <c r="BI10" s="971">
        <f>IF(BA10=BH10,VLOOKUP(E10,TablasTec!$A$14:$V$771,19,FALSE),0)</f>
        <v>0</v>
      </c>
      <c r="BJ10" s="973">
        <f>IF(E10=0,"",(BC10+BE10+BG10+BI10))</f>
        <v>0</v>
      </c>
      <c r="BK10" s="972" t="str">
        <f>IF(E10=0,"",VLOOKUP(E10,TablasTec!$A$14:$V$771,20,FALSE))</f>
        <v>Aire</v>
      </c>
      <c r="BL10" s="972" t="str">
        <f>IF(E10=0,"",VLOOKUP(E10,TablasTec!$A$14:$V$771,21,FALSE))</f>
        <v xml:space="preserve"> </v>
      </c>
      <c r="BM10" s="974" t="str">
        <f>IF(E10=0,"",VLOOKUP(E10,TablasTec!$A$14:$V$771,22,FALSE))</f>
        <v xml:space="preserve"> </v>
      </c>
      <c r="BN10" s="975"/>
      <c r="BO10" s="976"/>
      <c r="BP10" s="961">
        <f>IF(I10="Si",VLOOKUP($D$8,TablasTec!$E$4:$F$6,2,FALSE),"")</f>
        <v>10</v>
      </c>
      <c r="BQ10" s="962" t="str">
        <f>IF(L10="Si",VLOOKUP($D$8,TablasTec!$I$4:$J$6,2,FALSE),"")</f>
        <v/>
      </c>
      <c r="BR10" s="960" t="str">
        <f>IF(O10="Si",VLOOKUP($D$8,TablasTec!$I$7:$J$9,2,FALSE),"")</f>
        <v/>
      </c>
      <c r="BS10" s="977"/>
      <c r="BT10" s="4857" t="s">
        <v>4539</v>
      </c>
      <c r="BU10" s="4858"/>
      <c r="BV10" s="954"/>
      <c r="BX10" s="934"/>
      <c r="BY10" s="1269"/>
      <c r="BZ10" s="1287"/>
      <c r="CA10" s="922"/>
      <c r="CC10" s="1360" t="s">
        <v>10025</v>
      </c>
      <c r="DR10" s="922"/>
      <c r="DS10" s="1301"/>
      <c r="DT10" s="1308"/>
      <c r="DU10" s="1358" t="str">
        <f>IF(BW23="N/A","",BT22&amp;" "&amp;BW23&amp;IF(BY23="N/A"," "," ("&amp;BY23&amp;") "))</f>
        <v/>
      </c>
      <c r="DV10" s="1359" t="str">
        <f>IF(E10="","",E10)&amp;IF(I10="No",""," (Mant.)")&amp;IF(L10="No",""," (Sme)")&amp;IF(O10="No",""," (SMa)")</f>
        <v>Maniobras de Combate y Apuntar Reales -10 (Mant.)</v>
      </c>
      <c r="DW10" s="1360" t="str">
        <f>IF(E40="","",E40)</f>
        <v/>
      </c>
      <c r="DX10" s="486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Aire </v>
      </c>
      <c r="DY10" s="1307"/>
      <c r="DZ10" s="922"/>
      <c r="EA10" s="1453">
        <f t="shared" ref="EA10:EA73" si="0">EA9</f>
        <v>1</v>
      </c>
    </row>
    <row r="11" spans="1:132" ht="12.75" customHeight="1">
      <c r="A11" s="922"/>
      <c r="B11" s="922"/>
      <c r="C11" s="4909"/>
      <c r="D11" s="1435" t="s">
        <v>1766</v>
      </c>
      <c r="E11" s="978"/>
      <c r="F11" s="979" t="str">
        <f>IF(E11=0,"",VLOOKUP(E11,TablasTec!$A$14:$V$771,2,FALSE))</f>
        <v/>
      </c>
      <c r="G11" s="980"/>
      <c r="H11" s="981" t="str">
        <f>IF($E11=0,"",VLOOKUP($E11,TablasTec!$A$14:$V$771,4,FALSE))</f>
        <v/>
      </c>
      <c r="I11" s="982" t="s">
        <v>1690</v>
      </c>
      <c r="J11" s="1398" t="str">
        <f>IF(E11=0,"",VLOOKUP(E11,TablasTec!$A$14:$V$771,5,FALSE))</f>
        <v/>
      </c>
      <c r="K11" s="984" t="str">
        <f>IF(I11="Si",IF(E11=0,"",VLOOKUP(E11,TablasTec!$A$14:$V$771,5,FALSE)),"")</f>
        <v/>
      </c>
      <c r="L11" s="982" t="s">
        <v>1690</v>
      </c>
      <c r="M11" s="1398" t="str">
        <f>IF(E11=0,"",VLOOKUP(E11,TablasTec!$A$14:$V$771,6,FALSE))</f>
        <v/>
      </c>
      <c r="N11" s="985" t="str">
        <f>IF(L11="Si",IF(E11=0,"",VLOOKUP(E11,TablasTec!$A$14:$V$771,6,FALSE)),"")</f>
        <v/>
      </c>
      <c r="O11" s="982" t="s">
        <v>1690</v>
      </c>
      <c r="P11" s="1398" t="str">
        <f>IF(E11=0,"",VLOOKUP(E11,TablasTec!$A$14:$V$771,7,FALSE))</f>
        <v/>
      </c>
      <c r="Q11" s="985" t="str">
        <f>IF(O11="Si",IF(E11=0,"",VLOOKUP(E11,TablasTec!$A$14:$V$771,7,FALSE)),"")</f>
        <v/>
      </c>
      <c r="R11" s="983" t="str">
        <f>IF(E11=0,"",VLOOKUP(E11,TablasTec!$A$14:$V$771,8,FALSE))</f>
        <v/>
      </c>
      <c r="S11" s="981" t="str">
        <f>IF(R11=$D$8,$D$8,IF(R11=2,2,IF(R11=3,3,R11)))</f>
        <v/>
      </c>
      <c r="T11" s="4883" t="s">
        <v>4540</v>
      </c>
      <c r="U11" s="4884"/>
      <c r="V11" s="4884"/>
      <c r="W11" s="4884"/>
      <c r="X11" s="4884"/>
      <c r="Y11" s="4884"/>
      <c r="Z11" s="4884"/>
      <c r="AA11" s="4884"/>
      <c r="AB11" s="4884"/>
      <c r="AC11" s="4884"/>
      <c r="AD11" s="4884"/>
      <c r="AE11" s="4884"/>
      <c r="AF11" s="4884"/>
      <c r="AG11" s="4884"/>
      <c r="AH11" s="4884"/>
      <c r="AI11" s="4884"/>
      <c r="AJ11" s="4884"/>
      <c r="AK11" s="4884"/>
      <c r="AL11" s="4884"/>
      <c r="AM11" s="4884"/>
      <c r="AN11" s="4884"/>
      <c r="AO11" s="4884"/>
      <c r="AP11" s="4884"/>
      <c r="AQ11" s="4884"/>
      <c r="AR11" s="4884"/>
      <c r="AS11" s="4884"/>
      <c r="AT11" s="4884"/>
      <c r="AU11" s="4884"/>
      <c r="AV11" s="4884"/>
      <c r="AW11" s="4884"/>
      <c r="AX11" s="4884"/>
      <c r="AY11" s="4884"/>
      <c r="AZ11" s="4884"/>
      <c r="BA11" s="4884"/>
      <c r="BB11" s="4884"/>
      <c r="BC11" s="4884"/>
      <c r="BD11" s="4884"/>
      <c r="BE11" s="4884"/>
      <c r="BF11" s="4884"/>
      <c r="BG11" s="4884"/>
      <c r="BH11" s="4884"/>
      <c r="BI11" s="4884"/>
      <c r="BJ11" s="4884"/>
      <c r="BK11" s="4885"/>
      <c r="BL11" s="1420"/>
      <c r="BM11" s="1421"/>
      <c r="BN11" s="975"/>
      <c r="BO11" s="976"/>
      <c r="BP11" s="961" t="str">
        <f>IF(I11="Si",VLOOKUP($D$8,TablasTec!$E$4:$F$6,2,FALSE),"")</f>
        <v/>
      </c>
      <c r="BQ11" s="962" t="str">
        <f>IF(L11="Si",VLOOKUP($D$8,TablasTec!$I$4:$J$6,2,FALSE),"")</f>
        <v/>
      </c>
      <c r="BR11" s="960" t="str">
        <f>IF(O11="Si",VLOOKUP($D$8,TablasTec!$I$7:$J$9,2,FALSE),"")</f>
        <v/>
      </c>
      <c r="BS11" s="977"/>
      <c r="BT11" s="4859">
        <f>MAX(BU9,SUM(H10:H42)+IF(OR(I10="Si",I11="Si",I12="Si",I13="Si",I14="Si",I16="Si",I17="Si",I18="Si",I19="Si",I20="Si",I22="Si",I23="Si",I24="Si",I25="Si",I26="Si",I28="Si",I29="Si",I30="Si",I31="Si",I32="Si",I34="Si",I35="Si",I36="Si",I37="Si",I38="Si"),VLOOKUP($D8,TablasTec!$E$4:$F$6,2,FALSE),0)+IF(OR(L10="Si",L11="Si",L12="Si",L13="Si",L14="Si",L16="Si",L17="Si",L18="Si",L19="Si",L20="Si",L22="Si",L23="Si",L24="Si",L25="Si",L26="Si",L28="Si",L29="Si",L30="Si",L31="Si",L32="Si",L34="Si",L35="Si",L36="Si",L37="Si",L38="Si"),VLOOKUP($D8,TablasTec!$I$4:$J$6,2,FALSE),0)+IF(OR(O10="Si",O11="Si",O12="Si",O13="Si",O14="Si",O16="Si",O17="Si",O18="Si",O19="Si",O20="Si",O22="Si",O23="Si",O24="Si",O25="Si",O26="Si",O28="Si",O29="Si",O30="Si",O31="Si",O32="Si",O34="Si",O35="Si",O36="Si",O37="Si",O38="Si"),VLOOKUP($D8,TablasTec!$I$7:$J$9,2,FALSE),0)+IF(BT14="No",0,IF(D8=0,0,VLOOKUP(D8,TablasTec!$L$4:$N$7,3,FALSE)))+IF(BT16="Bajar coste de CM",0,IF(BT16="-5 CM",-5,IF(BT16="-10 CM",-10,IF(BT16="-15 CM",-15,IF(BT16="-20 CM",-20,0)))))+IF(BT18="Bajar coste de Ki",0,IF(BT18="-1 Ki",10,IF(BT18="-2 Ki",20,IF(BT18="-3 Ki",30,IF(BT18="-4 Ki",40,IF(BT18="-5 Ki",50,0)))))))</f>
        <v>20</v>
      </c>
      <c r="BU11" s="4860"/>
      <c r="BV11" s="954"/>
      <c r="BX11" s="934"/>
      <c r="BY11" s="1269"/>
      <c r="BZ11" s="1287"/>
      <c r="CA11" s="922"/>
      <c r="CC11" s="1415">
        <f>SUM($H10:$H42)+IF(COUNTIF(I10:I38,"Si")&gt;0,10*$D8,0)+IF(COUNTIF(L10:L38,"Si")&gt;0,IF($D8=2,40,IF($D8=2,60,0)))+IF(COUNTIF(O10:O38,"Si")&gt;0,IF($D8=2,60,IF($D8=2,90,0)))</f>
        <v>20</v>
      </c>
      <c r="DR11" s="922"/>
      <c r="DS11" s="1301"/>
      <c r="DT11" s="1308"/>
      <c r="DU11" s="1358" t="str">
        <f>IF(BW25="N/A","",BT24&amp;" "&amp;BW25&amp;IF(BY25="N/A"," "," ("&amp;BY25&amp;") "))</f>
        <v/>
      </c>
      <c r="DV11" s="1359" t="str">
        <f>IF(E11="",""," "&amp;E11)&amp;IF(I11="No",""," (Mant.)")&amp;IF(L11="No",""," (Sme)")&amp;IF(O11="No",""," (SMa)")</f>
        <v/>
      </c>
      <c r="DW11" s="1360" t="str">
        <f>IF(E41="","",", "&amp;E41)</f>
        <v/>
      </c>
      <c r="DX11" s="4865"/>
      <c r="DY11" s="1307"/>
      <c r="DZ11" s="922"/>
      <c r="EA11" s="1453">
        <f t="shared" si="0"/>
        <v>1</v>
      </c>
    </row>
    <row r="12" spans="1:132" ht="12.75" customHeight="1">
      <c r="A12" s="922"/>
      <c r="B12" s="922"/>
      <c r="C12" s="4909"/>
      <c r="D12" s="1436" t="s">
        <v>1766</v>
      </c>
      <c r="E12" s="986"/>
      <c r="F12" s="1375" t="str">
        <f>IF(E12=0,"",VLOOKUP(E12,TablasTec!$A$14:$V$771,2,FALSE))</f>
        <v/>
      </c>
      <c r="G12" s="968"/>
      <c r="H12" s="987" t="str">
        <f>IF($E12=0,"",VLOOKUP($E12,TablasTec!$A$14:$V$771,4,FALSE))</f>
        <v/>
      </c>
      <c r="I12" s="970" t="s">
        <v>1690</v>
      </c>
      <c r="J12" s="1394" t="str">
        <f>IF(E12=0,"",VLOOKUP(E12,TablasTec!$A$14:$V$771,5,FALSE))</f>
        <v/>
      </c>
      <c r="K12" s="989" t="str">
        <f>IF(I12="Si",IF(E12=0,"",VLOOKUP(E12,TablasTec!$A$14:$V$771,5,FALSE)),"")</f>
        <v/>
      </c>
      <c r="L12" s="970" t="s">
        <v>1690</v>
      </c>
      <c r="M12" s="1394" t="str">
        <f>IF(E12=0,"",VLOOKUP(E12,TablasTec!$A$14:$V$771,6,FALSE))</f>
        <v/>
      </c>
      <c r="N12" s="973" t="str">
        <f>IF(L12="Si",IF(E12=0,"",VLOOKUP(E12,TablasTec!$A$14:$V$771,6,FALSE)),"")</f>
        <v/>
      </c>
      <c r="O12" s="970" t="s">
        <v>1690</v>
      </c>
      <c r="P12" s="1394" t="str">
        <f>IF(E12=0,"",VLOOKUP(E12,TablasTec!$A$14:$V$771,7,FALSE))</f>
        <v/>
      </c>
      <c r="Q12" s="973" t="str">
        <f>IF(O12="Si",IF(E12=0,"",VLOOKUP(E12,TablasTec!$A$14:$V$771,7,FALSE)),"")</f>
        <v/>
      </c>
      <c r="R12" s="988" t="str">
        <f>IF(E12=0,"",VLOOKUP(E12,TablasTec!$A$14:$V$771,8,FALSE))</f>
        <v/>
      </c>
      <c r="S12" s="1375" t="str">
        <f>IF(R12=$D$8,$D$8,IF(R12=2,2,IF(R12=3,3,R12)))</f>
        <v/>
      </c>
      <c r="T12" s="4896"/>
      <c r="U12" s="4897"/>
      <c r="V12" s="1368" t="str">
        <f>IF(OR(V10=0,V10=""),"N/A",V10)</f>
        <v>DES</v>
      </c>
      <c r="W12" s="4896" t="str">
        <f xml:space="preserve"> IF(OR(AF10=0,AF10=""),"N/A",W10)</f>
        <v>N/A</v>
      </c>
      <c r="X12" s="4898"/>
      <c r="Y12" s="4898"/>
      <c r="Z12" s="4898"/>
      <c r="AA12" s="4898"/>
      <c r="AB12" s="4898"/>
      <c r="AC12" s="4898"/>
      <c r="AD12" s="4898"/>
      <c r="AE12" s="4898"/>
      <c r="AF12" s="4897"/>
      <c r="AG12" s="4896" t="str">
        <f xml:space="preserve"> IF(OR(AP10="",AP10=0),"N/A",AG10)</f>
        <v>N/A</v>
      </c>
      <c r="AH12" s="4898"/>
      <c r="AI12" s="4898"/>
      <c r="AJ12" s="4898"/>
      <c r="AK12" s="4898"/>
      <c r="AL12" s="4898"/>
      <c r="AM12" s="4898"/>
      <c r="AN12" s="4898"/>
      <c r="AO12" s="4898"/>
      <c r="AP12" s="4897"/>
      <c r="AQ12" s="4896" t="str">
        <f xml:space="preserve"> IF(OR(AZ10="",AZ10=0),"N/A",AQ10)</f>
        <v>N/A</v>
      </c>
      <c r="AR12" s="4898"/>
      <c r="AS12" s="4898"/>
      <c r="AT12" s="4898"/>
      <c r="AU12" s="4898"/>
      <c r="AV12" s="4898"/>
      <c r="AW12" s="4898"/>
      <c r="AX12" s="4898"/>
      <c r="AY12" s="4898"/>
      <c r="AZ12" s="4897"/>
      <c r="BA12" s="4896" t="str">
        <f xml:space="preserve"> IF(OR(BJ10="",BJ10=0),"N/A",BA10)</f>
        <v>N/A</v>
      </c>
      <c r="BB12" s="4898"/>
      <c r="BC12" s="4898"/>
      <c r="BD12" s="4898"/>
      <c r="BE12" s="4898"/>
      <c r="BF12" s="4898"/>
      <c r="BG12" s="4898"/>
      <c r="BH12" s="4898"/>
      <c r="BI12" s="4898"/>
      <c r="BJ12" s="4897"/>
      <c r="BK12" s="990" t="s">
        <v>4541</v>
      </c>
      <c r="BL12" s="972"/>
      <c r="BM12" s="1007"/>
      <c r="BN12" s="991"/>
      <c r="BO12" s="992"/>
      <c r="BP12" s="993" t="str">
        <f>IF(I12="Si",VLOOKUP($D$8,TablasTec!$E$4:$F$6,2,FALSE),"")</f>
        <v/>
      </c>
      <c r="BQ12" s="963" t="str">
        <f>IF(L12="Si",VLOOKUP($D$8,TablasTec!$I$4:$J$6,2,FALSE),"")</f>
        <v/>
      </c>
      <c r="BR12" s="994" t="str">
        <f>IF(O12="Si",VLOOKUP($D$8,TablasTec!$I$7:$J$9,2,FALSE),"")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65"/>
      <c r="DY12" s="1307"/>
      <c r="DZ12" s="922"/>
      <c r="EA12" s="1453">
        <f t="shared" si="0"/>
        <v>1</v>
      </c>
    </row>
    <row r="13" spans="1:132">
      <c r="A13" s="922"/>
      <c r="B13" s="922"/>
      <c r="C13" s="4909"/>
      <c r="D13" s="1435" t="s">
        <v>1766</v>
      </c>
      <c r="E13" s="978"/>
      <c r="F13" s="979" t="str">
        <f>IF(E13=0,"",VLOOKUP(E13,TablasTec!$A$14:$V$771,2,FALSE))</f>
        <v/>
      </c>
      <c r="G13" s="980"/>
      <c r="H13" s="981" t="str">
        <f>IF($E13=0,"",VLOOKUP($E13,TablasTec!$A$14:$V$771,4,FALSE))</f>
        <v/>
      </c>
      <c r="I13" s="982" t="s">
        <v>1690</v>
      </c>
      <c r="J13" s="1398" t="str">
        <f>IF(E13=0,"",VLOOKUP(E13,TablasTec!$A$14:$V$771,5,FALSE))</f>
        <v/>
      </c>
      <c r="K13" s="984" t="str">
        <f>IF(I13="Si",IF(E13=0,"",VLOOKUP(E13,TablasTec!$A$14:$V$771,5,FALSE)),"")</f>
        <v/>
      </c>
      <c r="L13" s="982" t="s">
        <v>1690</v>
      </c>
      <c r="M13" s="1398" t="str">
        <f>IF(E13=0,"",VLOOKUP(E13,TablasTec!$A$14:$V$771,6,FALSE))</f>
        <v/>
      </c>
      <c r="N13" s="985" t="str">
        <f>IF(L13="Si",IF(E13=0,"",VLOOKUP(E13,TablasTec!$A$14:$V$771,6,FALSE)),"")</f>
        <v/>
      </c>
      <c r="O13" s="982" t="s">
        <v>1690</v>
      </c>
      <c r="P13" s="1398" t="str">
        <f>IF(E13=0,"",VLOOKUP(E13,TablasTec!$A$14:$V$771,7,FALSE))</f>
        <v/>
      </c>
      <c r="Q13" s="985" t="str">
        <f>IF(O13="Si",IF(E13=0,"",VLOOKUP(E13,TablasTec!$A$14:$V$771,7,FALSE)),"")</f>
        <v/>
      </c>
      <c r="R13" s="983" t="str">
        <f>IF(E13=0,"",VLOOKUP(E13,TablasTec!$A$14:$V$771,8,FALSE))</f>
        <v/>
      </c>
      <c r="S13" s="981" t="str">
        <f>IF(R13=$D$8,$D$8,IF(R13=2,2,IF(R13=3,3,R13)))</f>
        <v/>
      </c>
      <c r="T13" s="4899" t="s">
        <v>4542</v>
      </c>
      <c r="U13" s="4900"/>
      <c r="V13" s="1374"/>
      <c r="W13" s="4901"/>
      <c r="X13" s="4902"/>
      <c r="Y13" s="4902"/>
      <c r="Z13" s="4902"/>
      <c r="AA13" s="4902"/>
      <c r="AB13" s="4902"/>
      <c r="AC13" s="4902"/>
      <c r="AD13" s="4902"/>
      <c r="AE13" s="4902"/>
      <c r="AF13" s="4903"/>
      <c r="AG13" s="4901"/>
      <c r="AH13" s="4902"/>
      <c r="AI13" s="4902"/>
      <c r="AJ13" s="4902"/>
      <c r="AK13" s="4902"/>
      <c r="AL13" s="4902"/>
      <c r="AM13" s="4902"/>
      <c r="AN13" s="4902"/>
      <c r="AO13" s="4902"/>
      <c r="AP13" s="4903"/>
      <c r="AQ13" s="4901"/>
      <c r="AR13" s="4902"/>
      <c r="AS13" s="4902"/>
      <c r="AT13" s="4902"/>
      <c r="AU13" s="4902"/>
      <c r="AV13" s="4902"/>
      <c r="AW13" s="4902"/>
      <c r="AX13" s="4902"/>
      <c r="AY13" s="4902"/>
      <c r="AZ13" s="4903"/>
      <c r="BA13" s="4901"/>
      <c r="BB13" s="4902"/>
      <c r="BC13" s="4902"/>
      <c r="BD13" s="4902"/>
      <c r="BE13" s="4902"/>
      <c r="BF13" s="4902"/>
      <c r="BG13" s="4902"/>
      <c r="BH13" s="4902"/>
      <c r="BI13" s="4902"/>
      <c r="BJ13" s="4903"/>
      <c r="BK13" s="981">
        <f>(SUM(F10:F14)+IF(AF10="",0,AF10)+IF(AP10="",0,AP10)+IF(AZ10="",0,AZ10)+IF(BJ10="",0,BJ10)+SUM(K10:K14)+SUM(N10:N14)+SUM(Q10:Q14))-SUM(V13:BA13)+IF(E9="Estados_Sobrenaturales",SUMPRODUCT(--(ISNUMBER(FIND("Estado añadido",E10:E14))))-1,0)*2</f>
        <v>4</v>
      </c>
      <c r="BL13" s="1420"/>
      <c r="BM13" s="1421"/>
      <c r="BN13" s="975"/>
      <c r="BO13" s="976"/>
      <c r="BP13" s="961" t="str">
        <f>IF(I13="Si",VLOOKUP($D$8,TablasTec!$E$4:$F$6,2,FALSE),"")</f>
        <v/>
      </c>
      <c r="BQ13" s="962" t="str">
        <f>IF(L13="Si",VLOOKUP($D$8,TablasTec!$I$4:$J$6,2,FALSE),"")</f>
        <v/>
      </c>
      <c r="BR13" s="960" t="str">
        <f>IF(O13="Si",VLOOKUP($D$8,TablasTec!$I$7:$J$9,2,FALSE),"")</f>
        <v/>
      </c>
      <c r="BS13" s="977"/>
      <c r="BT13" s="4857" t="s">
        <v>4543</v>
      </c>
      <c r="BU13" s="4858"/>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65"/>
      <c r="DY13" s="1307"/>
      <c r="DZ13" s="922"/>
      <c r="EA13" s="1453">
        <f t="shared" si="0"/>
        <v>1</v>
      </c>
    </row>
    <row r="14" spans="1:132">
      <c r="A14" s="922"/>
      <c r="B14" s="922"/>
      <c r="C14" s="4909"/>
      <c r="D14" s="1436" t="s">
        <v>1766</v>
      </c>
      <c r="E14" s="986"/>
      <c r="F14" s="1375" t="str">
        <f>IF(E14=0,"",VLOOKUP(E14,TablasTec!$A$14:$V$771,2,FALSE))</f>
        <v/>
      </c>
      <c r="G14" s="968"/>
      <c r="H14" s="987" t="str">
        <f>IF($E14=0,"",VLOOKUP($E14,TablasTec!$A$14:$V$771,4,FALSE))</f>
        <v/>
      </c>
      <c r="I14" s="970" t="s">
        <v>1690</v>
      </c>
      <c r="J14" s="1394" t="str">
        <f>IF(E14=0,"",VLOOKUP(E14,TablasTec!$A$14:$V$771,5,FALSE))</f>
        <v/>
      </c>
      <c r="K14" s="989" t="str">
        <f>IF(I14="Si",IF(E14=0,"",VLOOKUP(E14,TablasTec!$A$14:$V$771,5,FALSE)),"")</f>
        <v/>
      </c>
      <c r="L14" s="970" t="s">
        <v>1690</v>
      </c>
      <c r="M14" s="1394" t="str">
        <f>IF(E14=0,"",VLOOKUP(E14,TablasTec!$A$14:$V$771,6,FALSE))</f>
        <v/>
      </c>
      <c r="N14" s="973" t="str">
        <f>IF(L14="Si",IF(E14=0,"",VLOOKUP(E14,TablasTec!$A$14:$V$771,6,FALSE)),"")</f>
        <v/>
      </c>
      <c r="O14" s="970" t="s">
        <v>1690</v>
      </c>
      <c r="P14" s="1394" t="str">
        <f>IF(E14=0,"",VLOOKUP(E14,TablasTec!$A$14:$V$771,7,FALSE))</f>
        <v/>
      </c>
      <c r="Q14" s="973" t="str">
        <f>IF(O14="Si",IF(E14=0,"",VLOOKUP(E14,TablasTec!$A$14:$V$771,7,FALSE)),"")</f>
        <v/>
      </c>
      <c r="R14" s="988" t="str">
        <f>IF(E14=0,"",VLOOKUP(E14,TablasTec!$A$14:$V$771,8,FALSE))</f>
        <v/>
      </c>
      <c r="S14" s="987" t="str">
        <f>IF(R14=$D$8,$D$8,IF(R14=2,2,IF(R14=3,3,R14)))</f>
        <v/>
      </c>
      <c r="T14" s="4890" t="s">
        <v>4544</v>
      </c>
      <c r="U14" s="4891"/>
      <c r="V14" s="1372">
        <v>2</v>
      </c>
      <c r="W14" s="4892"/>
      <c r="X14" s="4893"/>
      <c r="Y14" s="4893"/>
      <c r="Z14" s="4893"/>
      <c r="AA14" s="4893"/>
      <c r="AB14" s="4893"/>
      <c r="AC14" s="4893"/>
      <c r="AD14" s="4893"/>
      <c r="AE14" s="4893"/>
      <c r="AF14" s="4894"/>
      <c r="AG14" s="4892"/>
      <c r="AH14" s="4893"/>
      <c r="AI14" s="4893"/>
      <c r="AJ14" s="4893"/>
      <c r="AK14" s="4893"/>
      <c r="AL14" s="4893"/>
      <c r="AM14" s="4893"/>
      <c r="AN14" s="4893"/>
      <c r="AO14" s="4893"/>
      <c r="AP14" s="4894"/>
      <c r="AQ14" s="4892"/>
      <c r="AR14" s="4893"/>
      <c r="AS14" s="4893"/>
      <c r="AT14" s="4893"/>
      <c r="AU14" s="4893"/>
      <c r="AV14" s="4893"/>
      <c r="AW14" s="4893"/>
      <c r="AX14" s="4893"/>
      <c r="AY14" s="4893"/>
      <c r="AZ14" s="4894"/>
      <c r="BA14" s="4892"/>
      <c r="BB14" s="4893"/>
      <c r="BC14" s="4893"/>
      <c r="BD14" s="4893"/>
      <c r="BE14" s="4893"/>
      <c r="BF14" s="4893"/>
      <c r="BG14" s="4893"/>
      <c r="BH14" s="4893"/>
      <c r="BI14" s="4893"/>
      <c r="BJ14" s="4894"/>
      <c r="BK14" s="997">
        <f>SUM(K10:K14)-SUM(V14:BA14)</f>
        <v>0</v>
      </c>
      <c r="BL14" s="1422"/>
      <c r="BM14" s="1423"/>
      <c r="BN14" s="991"/>
      <c r="BO14" s="992"/>
      <c r="BP14" s="993" t="str">
        <f>IF(I14="Si",VLOOKUP($D$8,TablasTec!$E$4:$F$6,2,FALSE),"")</f>
        <v/>
      </c>
      <c r="BQ14" s="963" t="str">
        <f>IF(L14="Si",VLOOKUP($D$8,TablasTec!$I$4:$J$6,2,FALSE),"")</f>
        <v/>
      </c>
      <c r="BR14" s="994" t="str">
        <f>IF(O14="Si",VLOOKUP($D$8,TablasTec!$I$7:$J$9,2,FALSE),"")</f>
        <v/>
      </c>
      <c r="BS14" s="995"/>
      <c r="BT14" s="4861" t="s">
        <v>1690</v>
      </c>
      <c r="BU14" s="4862"/>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65"/>
      <c r="DY14" s="1307"/>
      <c r="DZ14" s="922"/>
      <c r="EA14" s="1453">
        <f t="shared" si="0"/>
        <v>1</v>
      </c>
    </row>
    <row r="15" spans="1:13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09"/>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IF(I15="Si",VLOOKUP($D$8,TablasTec!$E$4:$F$6,2,FALSE),"")</f>
        <v/>
      </c>
      <c r="BQ15" s="962" t="str">
        <f>IF(L15="Si",VLOOKUP($D$8,TablasTec!$I$4:$J$6,2,FALSE),"")</f>
        <v/>
      </c>
      <c r="BR15" s="960" t="str">
        <f>IF(O15="Si",VLOOKUP($D$8,TablasTec!$I$7:$J$9,2,FALSE),"")</f>
        <v/>
      </c>
      <c r="BS15" s="977"/>
      <c r="BT15" s="4857" t="s">
        <v>4545</v>
      </c>
      <c r="BU15" s="4858"/>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09"/>
      <c r="D16" s="1436" t="s">
        <v>1766</v>
      </c>
      <c r="E16" s="966"/>
      <c r="F16" s="1002"/>
      <c r="G16" s="972" t="str">
        <f>IF(E16=0,"",VLOOKUP(E16,TablasTec!$A$14:$V$771,3,FALSE))</f>
        <v/>
      </c>
      <c r="H16" s="1004" t="str">
        <f>IF($E16=0,"",VLOOKUP($E16,TablasTec!$A$14:$V$771,4,FALSE))</f>
        <v/>
      </c>
      <c r="I16" s="970" t="s">
        <v>1690</v>
      </c>
      <c r="J16" s="1397" t="str">
        <f>IF(E16=0,"",VLOOKUP(E16,TablasTec!$A$14:$V$771,5,FALSE))</f>
        <v/>
      </c>
      <c r="K16" s="1003" t="str">
        <f>IF(I16="Si",IF(E16=0,"",VLOOKUP(E16,TablasTec!$A$14:$V$771,5,FALSE)),"")</f>
        <v/>
      </c>
      <c r="L16" s="970" t="s">
        <v>1690</v>
      </c>
      <c r="M16" s="1397" t="str">
        <f>IF(E16=0,"",VLOOKUP(E16,TablasTec!$A$14:$V$771,6,FALSE))</f>
        <v/>
      </c>
      <c r="N16" s="973" t="str">
        <f>IF(L16="Si",IF(E16=0,"",VLOOKUP(E16,TablasTec!$A$14:$V$771,6,FALSE)),"")</f>
        <v/>
      </c>
      <c r="O16" s="970" t="s">
        <v>1690</v>
      </c>
      <c r="P16" s="1397" t="str">
        <f>IF(E16=0,"",VLOOKUP(E16,TablasTec!$A$14:$V$771,7,FALSE))</f>
        <v/>
      </c>
      <c r="Q16" s="973" t="str">
        <f>IF(O16="Si",IF(E16=0,"",VLOOKUP(E16,TablasTec!$A$14:$V$771,7,FALSE)),"")</f>
        <v/>
      </c>
      <c r="R16" s="1005" t="str">
        <f>IF(E16=0,"",VLOOKUP(E16,TablasTec!$A$14:$V$771,8,FALSE))</f>
        <v/>
      </c>
      <c r="S16" s="1004" t="str">
        <f>IF(R16=$D$8,$D$8,IF(R16=2,2,IF(R16=3,3,R16)))</f>
        <v/>
      </c>
      <c r="T16" s="972" t="str">
        <f>IF(E16=0,"",VLOOKUP(E16,TablasTec!$A$14:$V$771,9,FALSE))</f>
        <v/>
      </c>
      <c r="U16" s="972" t="str">
        <f>IF(E16=0,"",VLOOKUP(E16,TablasTec!$A$14:$V$771,10,FALSE))</f>
        <v/>
      </c>
      <c r="V16" s="967" t="str">
        <f>IF(E16=0,"",VLOOKUP(E16,TablasTec!$A$14:$V$771,11,FALSE))</f>
        <v/>
      </c>
      <c r="W16" s="970"/>
      <c r="X16" s="971" t="e">
        <f>VLOOKUP(E16,TablasTec!$A$14:$V$771,12,FALSE)</f>
        <v>#N/A</v>
      </c>
      <c r="Y16" s="971" t="e">
        <f>IF(W16=X16,VLOOKUP(E16,TablasTec!$A$14:$V$771,13,FALSE),0)</f>
        <v>#N/A</v>
      </c>
      <c r="Z16" s="971" t="e">
        <f>VLOOKUP(E16,TablasTec!$A$14:$V$771,14,FALSE)</f>
        <v>#N/A</v>
      </c>
      <c r="AA16" s="971" t="e">
        <f>IF(W16=Z16,VLOOKUP(E16,TablasTec!$A$14:$V$616,15,FALSE),0)</f>
        <v>#N/A</v>
      </c>
      <c r="AB16" s="971" t="e">
        <f>VLOOKUP(E16,TablasTec!$A$14:$V$771,16,FALSE)</f>
        <v>#N/A</v>
      </c>
      <c r="AC16" s="971" t="e">
        <f>IF(W16=AB16,VLOOKUP(E16,TablasTec!$A$14:$V$616,17,FALSE),0)</f>
        <v>#N/A</v>
      </c>
      <c r="AD16" s="971" t="e">
        <f>VLOOKUP(E16,TablasTec!$A$14:$V$771,18,FALSE)</f>
        <v>#N/A</v>
      </c>
      <c r="AE16" s="971" t="e">
        <f>IF(W16=AD16,VLOOKUP(E16,TablasTec!$A$14:$V$771,19,FALSE),0)</f>
        <v>#N/A</v>
      </c>
      <c r="AF16" s="972" t="str">
        <f>IF(E16=0,"",(Y16+AA16+AC16+AE16))</f>
        <v/>
      </c>
      <c r="AG16" s="970"/>
      <c r="AH16" s="1005" t="e">
        <f>VLOOKUP(E16,TablasTec!$A$14:$V$771,12,FALSE)</f>
        <v>#N/A</v>
      </c>
      <c r="AI16" s="1005" t="e">
        <f>IF(AG16=AH16,VLOOKUP(E16,TablasTec!$A$14:$V$771,13,FALSE),0)</f>
        <v>#N/A</v>
      </c>
      <c r="AJ16" s="1005" t="e">
        <f>VLOOKUP(E16,TablasTec!$A$14:$V$771,14,FALSE)</f>
        <v>#N/A</v>
      </c>
      <c r="AK16" s="1005" t="e">
        <f>IF(AG16=AJ16,VLOOKUP(E16,TablasTec!$A$14:$V$771,15,FALSE),0)</f>
        <v>#N/A</v>
      </c>
      <c r="AL16" s="1005" t="e">
        <f>VLOOKUP(E16,TablasTec!$A$14:$V$771,16,FALSE)</f>
        <v>#N/A</v>
      </c>
      <c r="AM16" s="1005" t="e">
        <f>IF(AG16=AL16,VLOOKUP(E16,TablasTec!$A$14:$V$771,17,FALSE),0)</f>
        <v>#N/A</v>
      </c>
      <c r="AN16" s="1005" t="e">
        <f>VLOOKUP(E16,TablasTec!$A$14:$V$771,18,FALSE)</f>
        <v>#N/A</v>
      </c>
      <c r="AO16" s="1005" t="e">
        <f>IF(AG16=AN16,VLOOKUP(E16,TablasTec!$A$14:$V$771,19,FALSE),0)</f>
        <v>#N/A</v>
      </c>
      <c r="AP16" s="1006" t="str">
        <f>IF(E16=0,"",(AI16+AK16+AM16+AO16))</f>
        <v/>
      </c>
      <c r="AQ16" s="970"/>
      <c r="AR16" s="971" t="e">
        <f>VLOOKUP(E16,TablasTec!$A$14:$V$771,12,FALSE)</f>
        <v>#N/A</v>
      </c>
      <c r="AS16" s="971" t="e">
        <f>IF(AQ16=AR16,VLOOKUP(E16,TablasTec!$A$14:$V$771,13,FALSE),0)</f>
        <v>#N/A</v>
      </c>
      <c r="AT16" s="971" t="e">
        <f>VLOOKUP(E16,TablasTec!$A$14:$V$771,14,FALSE)</f>
        <v>#N/A</v>
      </c>
      <c r="AU16" s="971" t="e">
        <f>IF(AQ16=AT16,VLOOKUP(E16,TablasTec!$A$14:$V$771,15,FALSE),0)</f>
        <v>#N/A</v>
      </c>
      <c r="AV16" s="971" t="e">
        <f>VLOOKUP(E16,TablasTec!$A$14:$V$771,16,FALSE)</f>
        <v>#N/A</v>
      </c>
      <c r="AW16" s="971" t="e">
        <f>IF(AQ16=AV16,VLOOKUP(E16,TablasTec!$A$14:$V$771,17,FALSE),0)</f>
        <v>#N/A</v>
      </c>
      <c r="AX16" s="971" t="e">
        <f>VLOOKUP(E16,TablasTec!$A$14:$V$771,18,FALSE)</f>
        <v>#N/A</v>
      </c>
      <c r="AY16" s="971" t="e">
        <f>IF(AQ16=AX16,VLOOKUP(E16,TablasTec!$A$14:$V$771,19,FALSE),0)</f>
        <v>#N/A</v>
      </c>
      <c r="AZ16" s="972" t="str">
        <f>IF(E16=0,"",(AS16+AU16+AW16+AY16))</f>
        <v/>
      </c>
      <c r="BA16" s="970"/>
      <c r="BB16" s="971" t="e">
        <f>VLOOKUP(E16,TablasTec!$A$14:$V$771,12,FALSE)</f>
        <v>#N/A</v>
      </c>
      <c r="BC16" s="971" t="e">
        <f>IF(BA16=BB16,VLOOKUP(E16,TablasTec!$A$14:$V$771,13,FALSE),0)</f>
        <v>#N/A</v>
      </c>
      <c r="BD16" s="971" t="e">
        <f>VLOOKUP(E16,TablasTec!$A$14:$V$771,14,FALSE)</f>
        <v>#N/A</v>
      </c>
      <c r="BE16" s="971" t="e">
        <f>IF(BA16=BD16,VLOOKUP(E16,TablasTec!$A$14:$V$771,15,FALSE),0)</f>
        <v>#N/A</v>
      </c>
      <c r="BF16" s="971" t="e">
        <f>VLOOKUP(E16,TablasTec!$A$14:$V$771,16,FALSE)</f>
        <v>#N/A</v>
      </c>
      <c r="BG16" s="971" t="e">
        <f>IF(BA16=BF16,VLOOKUP(E16,TablasTec!$A$14:$V$771,17,FALSE),0)</f>
        <v>#N/A</v>
      </c>
      <c r="BH16" s="971" t="e">
        <f>VLOOKUP(E16,TablasTec!$A$14:$V$771,18,FALSE)</f>
        <v>#N/A</v>
      </c>
      <c r="BI16" s="971" t="e">
        <f>IF(BA16=BH16,VLOOKUP(E16,TablasTec!$A$14:$V$771,19,FALSE),0)</f>
        <v>#N/A</v>
      </c>
      <c r="BJ16" s="973" t="str">
        <f>IF(E16=0,"",(BC16+BE16+BG16+BI16))</f>
        <v/>
      </c>
      <c r="BK16" s="972" t="str">
        <f>IF(E16=0,"",VLOOKUP(E16,TablasTec!$A$14:$V$771,20,FALSE))</f>
        <v/>
      </c>
      <c r="BL16" s="972" t="str">
        <f>IF(E16=0,"",VLOOKUP(E16,TablasTec!$A$14:$V$771,21,FALSE))</f>
        <v/>
      </c>
      <c r="BM16" s="1007" t="str">
        <f>IF(E16=0,"",VLOOKUP(E16,TablasTec!$A$14:$V$771,22,FALSE))</f>
        <v/>
      </c>
      <c r="BN16" s="975"/>
      <c r="BO16" s="976"/>
      <c r="BP16" s="961" t="str">
        <f>IF(I16="Si",VLOOKUP($D$8,TablasTec!$E$4:$F$6,2,FALSE),"")</f>
        <v/>
      </c>
      <c r="BQ16" s="962" t="str">
        <f>IF(L16="Si",VLOOKUP($D$8,TablasTec!$I$4:$J$6,2,FALSE),"")</f>
        <v/>
      </c>
      <c r="BR16" s="960" t="str">
        <f>IF(O16="Si",VLOOKUP($D$8,TablasTec!$I$7:$J$9,2,FALSE),"")</f>
        <v/>
      </c>
      <c r="BS16" s="977"/>
      <c r="BT16" s="4861" t="s">
        <v>4525</v>
      </c>
      <c r="BU16" s="4862"/>
      <c r="BV16" s="954"/>
      <c r="BW16" s="934"/>
      <c r="BX16" s="934"/>
      <c r="BY16" s="1269"/>
      <c r="BZ16" s="1287"/>
      <c r="CA16" s="922"/>
      <c r="DR16" s="922"/>
      <c r="DS16" s="1301"/>
      <c r="DT16" s="1308"/>
      <c r="DU16" s="1362"/>
      <c r="DV16" s="1359" t="str">
        <f>IF(E16="","",", "&amp;E16)&amp;IF(I16="No",""," (Mant.)")&amp;IF(L16="No",""," (Sme)")&amp;IF(O16="No",""," (SMa)")</f>
        <v/>
      </c>
      <c r="DW16" s="1360"/>
      <c r="DX16" s="1361" t="str">
        <f>IF(ISNUMBER(FIND(TablasTec!A$678,DW34)),BL40&amp;BM40,IF(ISNUMBER(FIND(TablasTec!A$679,DW34)),BL40&amp;" "&amp;BM40,""))</f>
        <v/>
      </c>
      <c r="DY16" s="1307"/>
      <c r="DZ16" s="922"/>
      <c r="EA16" s="1453">
        <f t="shared" si="0"/>
        <v>1</v>
      </c>
    </row>
    <row r="17" spans="1:131">
      <c r="A17" s="922"/>
      <c r="B17" s="922"/>
      <c r="C17" s="4909"/>
      <c r="D17" s="1435" t="s">
        <v>1766</v>
      </c>
      <c r="E17" s="978"/>
      <c r="F17" s="1008"/>
      <c r="G17" s="1420" t="str">
        <f>IF(E17=0,"",VLOOKUP(E17,TablasTec!$A$14:$V$771,3,FALSE))</f>
        <v/>
      </c>
      <c r="H17" s="981" t="str">
        <f>IF($E17=0,"",VLOOKUP($E17,TablasTec!$A$14:$V$771,4,FALSE))</f>
        <v/>
      </c>
      <c r="I17" s="982" t="s">
        <v>1690</v>
      </c>
      <c r="J17" s="1398" t="str">
        <f>IF(E17=0,"",VLOOKUP(E17,TablasTec!$A$14:$V$771,5,FALSE))</f>
        <v/>
      </c>
      <c r="K17" s="984" t="str">
        <f>IF(I17="Si",IF(E17=0,"",VLOOKUP(E17,TablasTec!$A$14:$V$771,5,FALSE)),"")</f>
        <v/>
      </c>
      <c r="L17" s="982" t="s">
        <v>1690</v>
      </c>
      <c r="M17" s="1398" t="str">
        <f>IF(E17=0,"",VLOOKUP(E17,TablasTec!$A$14:$V$771,6,FALSE))</f>
        <v/>
      </c>
      <c r="N17" s="985" t="str">
        <f>IF(L17="Si",IF(E17=0,"",VLOOKUP(E17,TablasTec!$A$14:$V$771,6,FALSE)),"")</f>
        <v/>
      </c>
      <c r="O17" s="982" t="s">
        <v>1690</v>
      </c>
      <c r="P17" s="1398" t="str">
        <f>IF(E17=0,"",VLOOKUP(E17,TablasTec!$A$14:$V$771,7,FALSE))</f>
        <v/>
      </c>
      <c r="Q17" s="985" t="str">
        <f>IF(O17="Si",IF(E17=0,"",VLOOKUP(E17,TablasTec!$A$14:$V$771,7,FALSE)),"")</f>
        <v/>
      </c>
      <c r="R17" s="983" t="str">
        <f>IF(E17=0,"",VLOOKUP(E17,TablasTec!$A$14:$V$771,8,FALSE))</f>
        <v/>
      </c>
      <c r="S17" s="981" t="str">
        <f>IF(R17=$D$8,$D$8,IF(R17=2,2,IF(R17=3,3,R17)))</f>
        <v/>
      </c>
      <c r="T17" s="4883" t="s">
        <v>4540</v>
      </c>
      <c r="U17" s="4884"/>
      <c r="V17" s="4884"/>
      <c r="W17" s="4884"/>
      <c r="X17" s="4884"/>
      <c r="Y17" s="4884"/>
      <c r="Z17" s="4884"/>
      <c r="AA17" s="4884"/>
      <c r="AB17" s="4884"/>
      <c r="AC17" s="4884"/>
      <c r="AD17" s="4884"/>
      <c r="AE17" s="4884"/>
      <c r="AF17" s="4884"/>
      <c r="AG17" s="4884"/>
      <c r="AH17" s="4884"/>
      <c r="AI17" s="4884"/>
      <c r="AJ17" s="4884"/>
      <c r="AK17" s="4884"/>
      <c r="AL17" s="4884"/>
      <c r="AM17" s="4884"/>
      <c r="AN17" s="4884"/>
      <c r="AO17" s="4884"/>
      <c r="AP17" s="4884"/>
      <c r="AQ17" s="4884"/>
      <c r="AR17" s="4884"/>
      <c r="AS17" s="4884"/>
      <c r="AT17" s="4884"/>
      <c r="AU17" s="4884"/>
      <c r="AV17" s="4884"/>
      <c r="AW17" s="4884"/>
      <c r="AX17" s="4884"/>
      <c r="AY17" s="4884"/>
      <c r="AZ17" s="4884"/>
      <c r="BA17" s="4884"/>
      <c r="BB17" s="4884"/>
      <c r="BC17" s="4884"/>
      <c r="BD17" s="4884"/>
      <c r="BE17" s="4884"/>
      <c r="BF17" s="4884"/>
      <c r="BG17" s="4884"/>
      <c r="BH17" s="4884"/>
      <c r="BI17" s="4884"/>
      <c r="BJ17" s="4884"/>
      <c r="BK17" s="4885"/>
      <c r="BL17" s="1420"/>
      <c r="BM17" s="1421"/>
      <c r="BN17" s="975"/>
      <c r="BO17" s="976"/>
      <c r="BP17" s="961" t="str">
        <f>IF(I17="Si",VLOOKUP($D$8,TablasTec!$E$4:$F$6,2,FALSE),"")</f>
        <v/>
      </c>
      <c r="BQ17" s="962" t="str">
        <f>IF(L17="Si",VLOOKUP($D$8,TablasTec!$I$4:$J$6,2,FALSE),"")</f>
        <v/>
      </c>
      <c r="BR17" s="960" t="str">
        <f>IF(O17="Si",VLOOKUP($D$8,TablasTec!$I$7:$J$9,2,FALSE),"")</f>
        <v/>
      </c>
      <c r="BS17" s="977"/>
      <c r="BT17" s="4857" t="s">
        <v>4546</v>
      </c>
      <c r="BU17" s="4858"/>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c r="A18" s="922"/>
      <c r="B18" s="922"/>
      <c r="C18" s="4909"/>
      <c r="D18" s="1436" t="s">
        <v>1766</v>
      </c>
      <c r="E18" s="986"/>
      <c r="F18" s="1002"/>
      <c r="G18" s="972" t="str">
        <f>IF(E18=0,"",VLOOKUP(E18,TablasTec!$A$14:$V$771,3,FALSE))</f>
        <v/>
      </c>
      <c r="H18" s="1375" t="str">
        <f>IF($E18=0,"",VLOOKUP($E18,TablasTec!$A$14:$V$771,4,FALSE))</f>
        <v/>
      </c>
      <c r="I18" s="970" t="s">
        <v>1690</v>
      </c>
      <c r="J18" s="1394" t="str">
        <f>IF(E18=0,"",VLOOKUP(E18,TablasTec!$A$14:$V$771,5,FALSE))</f>
        <v/>
      </c>
      <c r="K18" s="989" t="str">
        <f>IF(I18="Si",IF(E18=0,"",VLOOKUP(E18,TablasTec!$A$14:$V$771,5,FALSE)),"")</f>
        <v/>
      </c>
      <c r="L18" s="970" t="s">
        <v>1690</v>
      </c>
      <c r="M18" s="1394" t="str">
        <f>IF(E18=0,"",VLOOKUP(E18,TablasTec!$A$14:$V$771,6,FALSE))</f>
        <v/>
      </c>
      <c r="N18" s="973" t="str">
        <f>IF(L18="Si",IF(E18=0,"",VLOOKUP(E18,TablasTec!$A$14:$V$771,6,FALSE)),"")</f>
        <v/>
      </c>
      <c r="O18" s="970" t="s">
        <v>1690</v>
      </c>
      <c r="P18" s="1394" t="str">
        <f>IF(E18=0,"",VLOOKUP(E18,TablasTec!$A$14:$V$771,7,FALSE))</f>
        <v/>
      </c>
      <c r="Q18" s="973" t="str">
        <f>IF(O18="Si",IF(E18=0,"",VLOOKUP(E18,TablasTec!$A$14:$V$771,7,FALSE)),"")</f>
        <v/>
      </c>
      <c r="R18" s="988" t="str">
        <f>IF(E18=0,"",VLOOKUP(E18,TablasTec!$A$14:$V$771,8,FALSE))</f>
        <v/>
      </c>
      <c r="S18" s="1375" t="str">
        <f>IF(R18=$D$8,$D$8,IF(R18=2,2,IF(R18=3,3,R18)))</f>
        <v/>
      </c>
      <c r="T18" s="4896"/>
      <c r="U18" s="4897"/>
      <c r="V18" s="1368" t="str">
        <f>IF(OR(V16=0,V16=""),"N/A",V16)</f>
        <v>N/A</v>
      </c>
      <c r="W18" s="4896" t="str">
        <f xml:space="preserve"> IF(OR(AF16=0,AF16=""),"N/A",W16)</f>
        <v>N/A</v>
      </c>
      <c r="X18" s="4898"/>
      <c r="Y18" s="4898"/>
      <c r="Z18" s="4898"/>
      <c r="AA18" s="4898"/>
      <c r="AB18" s="4898"/>
      <c r="AC18" s="4898"/>
      <c r="AD18" s="4898"/>
      <c r="AE18" s="4898"/>
      <c r="AF18" s="4897"/>
      <c r="AG18" s="4896" t="str">
        <f xml:space="preserve"> IF(OR(AP16="",AP16=0),"N/A",AG16)</f>
        <v>N/A</v>
      </c>
      <c r="AH18" s="4898"/>
      <c r="AI18" s="4898"/>
      <c r="AJ18" s="4898"/>
      <c r="AK18" s="4898"/>
      <c r="AL18" s="4898"/>
      <c r="AM18" s="4898"/>
      <c r="AN18" s="4898"/>
      <c r="AO18" s="4898"/>
      <c r="AP18" s="4897"/>
      <c r="AQ18" s="4896" t="str">
        <f xml:space="preserve"> IF(OR(AZ16="",AZ16=0),"N/A",AQ16)</f>
        <v>N/A</v>
      </c>
      <c r="AR18" s="4898"/>
      <c r="AS18" s="4898"/>
      <c r="AT18" s="4898"/>
      <c r="AU18" s="4898"/>
      <c r="AV18" s="4898"/>
      <c r="AW18" s="4898"/>
      <c r="AX18" s="4898"/>
      <c r="AY18" s="4898"/>
      <c r="AZ18" s="4897"/>
      <c r="BA18" s="4896" t="str">
        <f xml:space="preserve"> IF(OR(BJ16="",BJ16=0),"N/A",BA16)</f>
        <v>N/A</v>
      </c>
      <c r="BB18" s="4898"/>
      <c r="BC18" s="4898"/>
      <c r="BD18" s="4898"/>
      <c r="BE18" s="4898"/>
      <c r="BF18" s="4898"/>
      <c r="BG18" s="4898"/>
      <c r="BH18" s="4898"/>
      <c r="BI18" s="4898"/>
      <c r="BJ18" s="4897"/>
      <c r="BK18" s="990" t="s">
        <v>4541</v>
      </c>
      <c r="BL18" s="972"/>
      <c r="BM18" s="1007"/>
      <c r="BN18" s="975"/>
      <c r="BO18" s="992"/>
      <c r="BP18" s="961" t="str">
        <f>IF(I18="Si",VLOOKUP($D$8,TablasTec!$E$4:$F$6,2,FALSE),"")</f>
        <v/>
      </c>
      <c r="BQ18" s="962" t="str">
        <f>IF(L18="Si",VLOOKUP($D$8,TablasTec!$I$4:$J$6,2,FALSE),"")</f>
        <v/>
      </c>
      <c r="BR18" s="960" t="str">
        <f>IF(O18="Si",VLOOKUP($D$8,TablasTec!$I$7:$J$9,2,FALSE),"")</f>
        <v/>
      </c>
      <c r="BS18" s="977"/>
      <c r="BT18" s="4861" t="s">
        <v>4519</v>
      </c>
      <c r="BU18" s="4862"/>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c r="A19" s="922"/>
      <c r="B19" s="922"/>
      <c r="C19" s="4909"/>
      <c r="D19" s="1435" t="s">
        <v>1766</v>
      </c>
      <c r="E19" s="978"/>
      <c r="F19" s="1008"/>
      <c r="G19" s="1420" t="str">
        <f>IF(E19=0,"",VLOOKUP(E19,TablasTec!$A$14:$V$771,3,FALSE))</f>
        <v/>
      </c>
      <c r="H19" s="981" t="str">
        <f>IF($E19=0,"",VLOOKUP($E19,TablasTec!$A$14:$V$771,4,FALSE))</f>
        <v/>
      </c>
      <c r="I19" s="982" t="s">
        <v>1690</v>
      </c>
      <c r="J19" s="1398" t="str">
        <f>IF(E19=0,"",VLOOKUP(E19,TablasTec!$A$14:$V$771,5,FALSE))</f>
        <v/>
      </c>
      <c r="K19" s="984" t="str">
        <f>IF(I19="Si",IF(E19=0,"",VLOOKUP(E19,TablasTec!$A$14:$V$771,5,FALSE)),"")</f>
        <v/>
      </c>
      <c r="L19" s="982" t="s">
        <v>1690</v>
      </c>
      <c r="M19" s="1398" t="str">
        <f>IF(E19=0,"",VLOOKUP(E19,TablasTec!$A$14:$V$771,6,FALSE))</f>
        <v/>
      </c>
      <c r="N19" s="985" t="str">
        <f>IF(L19="Si",IF(E19=0,"",VLOOKUP(E19,TablasTec!$A$14:$V$771,6,FALSE)),"")</f>
        <v/>
      </c>
      <c r="O19" s="982" t="s">
        <v>1690</v>
      </c>
      <c r="P19" s="1398" t="str">
        <f>IF(E19=0,"",VLOOKUP(E19,TablasTec!$A$14:$V$771,7,FALSE))</f>
        <v/>
      </c>
      <c r="Q19" s="985" t="str">
        <f>IF(O19="Si",IF(E19=0,"",VLOOKUP(E19,TablasTec!$A$14:$V$771,7,FALSE)),"")</f>
        <v/>
      </c>
      <c r="R19" s="983" t="str">
        <f>IF(E19=0,"",VLOOKUP(E19,TablasTec!$A$14:$V$771,8,FALSE))</f>
        <v/>
      </c>
      <c r="S19" s="981" t="str">
        <f>IF(R19=$D$8,$D$8,IF(R19=2,2,IF(R19=3,3,R19)))</f>
        <v/>
      </c>
      <c r="T19" s="4899" t="s">
        <v>4542</v>
      </c>
      <c r="U19" s="4900"/>
      <c r="V19" s="1374"/>
      <c r="W19" s="4901"/>
      <c r="X19" s="4902"/>
      <c r="Y19" s="4902"/>
      <c r="Z19" s="4902"/>
      <c r="AA19" s="4902"/>
      <c r="AB19" s="4902"/>
      <c r="AC19" s="4902"/>
      <c r="AD19" s="4902"/>
      <c r="AE19" s="4902"/>
      <c r="AF19" s="4903"/>
      <c r="AG19" s="4901"/>
      <c r="AH19" s="4902"/>
      <c r="AI19" s="4902"/>
      <c r="AJ19" s="4902"/>
      <c r="AK19" s="4902"/>
      <c r="AL19" s="4902"/>
      <c r="AM19" s="4902"/>
      <c r="AN19" s="4902"/>
      <c r="AO19" s="4902"/>
      <c r="AP19" s="4903"/>
      <c r="AQ19" s="4901"/>
      <c r="AR19" s="4902"/>
      <c r="AS19" s="4902"/>
      <c r="AT19" s="4902"/>
      <c r="AU19" s="4902"/>
      <c r="AV19" s="4902"/>
      <c r="AW19" s="4902"/>
      <c r="AX19" s="4902"/>
      <c r="AY19" s="4902"/>
      <c r="AZ19" s="4903"/>
      <c r="BA19" s="4901"/>
      <c r="BB19" s="4902"/>
      <c r="BC19" s="4902"/>
      <c r="BD19" s="4902"/>
      <c r="BE19" s="4902"/>
      <c r="BF19" s="4902"/>
      <c r="BG19" s="4902"/>
      <c r="BH19" s="4902"/>
      <c r="BI19" s="4902"/>
      <c r="BJ19" s="4903"/>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IF(I19="Si",VLOOKUP($D$8,TablasTec!$E$4:$F$6,2,FALSE),"")</f>
        <v/>
      </c>
      <c r="BQ19" s="962" t="str">
        <f>IF(L19="Si",VLOOKUP($D$8,TablasTec!$I$4:$J$6,2,FALSE),"")</f>
        <v/>
      </c>
      <c r="BR19" s="960" t="str">
        <f>IF(O19="Si",VLOOKUP($D$8,TablasTec!$I$7:$J$9,2,FALSE),"")</f>
        <v/>
      </c>
      <c r="BS19" s="977"/>
      <c r="BT19" s="4853" t="s">
        <v>4547</v>
      </c>
      <c r="BU19" s="4854"/>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c r="A20" s="922"/>
      <c r="B20" s="922"/>
      <c r="C20" s="4909"/>
      <c r="D20" s="1436" t="s">
        <v>1766</v>
      </c>
      <c r="E20" s="986"/>
      <c r="F20" s="1002"/>
      <c r="G20" s="972" t="str">
        <f>IF(E20=0,"",VLOOKUP(E20,TablasTec!$A$14:$V$771,3,FALSE))</f>
        <v/>
      </c>
      <c r="H20" s="987" t="str">
        <f>IF($E20=0,"",VLOOKUP($E20,TablasTec!$A$14:$V$771,4,FALSE))</f>
        <v/>
      </c>
      <c r="I20" s="970" t="s">
        <v>1690</v>
      </c>
      <c r="J20" s="1394" t="str">
        <f>IF(E20=0,"",VLOOKUP(E20,TablasTec!$A$14:$V$771,5,FALSE))</f>
        <v/>
      </c>
      <c r="K20" s="989" t="str">
        <f>IF(I20="Si",IF(E20=0,"",VLOOKUP(E20,TablasTec!$A$14:$V$771,5,FALSE)),"")</f>
        <v/>
      </c>
      <c r="L20" s="970" t="s">
        <v>1690</v>
      </c>
      <c r="M20" s="1394" t="str">
        <f>IF(E20=0,"",VLOOKUP(E20,TablasTec!$A$14:$V$771,6,FALSE))</f>
        <v/>
      </c>
      <c r="N20" s="973" t="str">
        <f>IF(L20="Si",IF(E20=0,"",VLOOKUP(E20,TablasTec!$A$14:$V$771,6,FALSE)),"")</f>
        <v/>
      </c>
      <c r="O20" s="970" t="s">
        <v>1690</v>
      </c>
      <c r="P20" s="1394" t="str">
        <f>IF(E20=0,"",VLOOKUP(E20,TablasTec!$A$14:$V$771,7,FALSE))</f>
        <v/>
      </c>
      <c r="Q20" s="973" t="str">
        <f>IF(O20="Si",IF(E20=0,"",VLOOKUP(E20,TablasTec!$A$14:$V$771,7,FALSE)),"")</f>
        <v/>
      </c>
      <c r="R20" s="988" t="str">
        <f>IF(E20=0,"",VLOOKUP(E20,TablasTec!$A$14:$V$771,8,FALSE))</f>
        <v/>
      </c>
      <c r="S20" s="987" t="str">
        <f>IF(R20=$D$8,$D$8,IF(R20=2,2,IF(R20=3,3,R20)))</f>
        <v/>
      </c>
      <c r="T20" s="4890" t="s">
        <v>4544</v>
      </c>
      <c r="U20" s="4891"/>
      <c r="V20" s="1372"/>
      <c r="W20" s="4892"/>
      <c r="X20" s="4893"/>
      <c r="Y20" s="4893"/>
      <c r="Z20" s="4893"/>
      <c r="AA20" s="4893"/>
      <c r="AB20" s="4893"/>
      <c r="AC20" s="4893"/>
      <c r="AD20" s="4893"/>
      <c r="AE20" s="4893"/>
      <c r="AF20" s="4894"/>
      <c r="AG20" s="4892"/>
      <c r="AH20" s="4893"/>
      <c r="AI20" s="4893"/>
      <c r="AJ20" s="4893"/>
      <c r="AK20" s="4893"/>
      <c r="AL20" s="4893"/>
      <c r="AM20" s="4893"/>
      <c r="AN20" s="4893"/>
      <c r="AO20" s="4893"/>
      <c r="AP20" s="4894"/>
      <c r="AQ20" s="4892"/>
      <c r="AR20" s="4893"/>
      <c r="AS20" s="4893"/>
      <c r="AT20" s="4893"/>
      <c r="AU20" s="4893"/>
      <c r="AV20" s="4893"/>
      <c r="AW20" s="4893"/>
      <c r="AX20" s="4893"/>
      <c r="AY20" s="4893"/>
      <c r="AZ20" s="4894"/>
      <c r="BA20" s="4892"/>
      <c r="BB20" s="4893"/>
      <c r="BC20" s="4893"/>
      <c r="BD20" s="4893"/>
      <c r="BE20" s="4893"/>
      <c r="BF20" s="4893"/>
      <c r="BG20" s="4893"/>
      <c r="BH20" s="4893"/>
      <c r="BI20" s="4893"/>
      <c r="BJ20" s="4894"/>
      <c r="BK20" s="997">
        <f>SUM(K16:K20)-SUM(V20:BA20)</f>
        <v>0</v>
      </c>
      <c r="BL20" s="1422"/>
      <c r="BM20" s="1423"/>
      <c r="BN20" s="975"/>
      <c r="BO20" s="992"/>
      <c r="BP20" s="961" t="str">
        <f>IF(I20="Si",VLOOKUP($D$8,TablasTec!$E$4:$F$6,2,FALSE),"")</f>
        <v/>
      </c>
      <c r="BQ20" s="962" t="str">
        <f>IF(L20="Si",VLOOKUP($D$8,TablasTec!$I$4:$J$6,2,FALSE),"")</f>
        <v/>
      </c>
      <c r="BR20" s="960" t="str">
        <f>IF(O20="Si",VLOOKUP($D$8,TablasTec!$I$7:$J$9,2,FALSE),"")</f>
        <v/>
      </c>
      <c r="BS20" s="977"/>
      <c r="BT20" s="2293">
        <f>IF(BT14="No",0,IF(D8=0,0,VLOOKUP(D8,TablasTec!$L$4:$N$7,2,FALSE)))+IF(BT16="Bajar coste de CM",0,IF(BT16="-5 CM",2,IF(BT16="-10 CM",4,IF(BT16="-15 CM",6,IF(BT16="-20 CM",8,0)))))+IF(BT18="Bajar coste de Ki",0,IF(BT18="-1 Ki",-1,IF(BT18="-2 Ki",-2,IF(BT18="-3 Ki",-3,IF(BT18="-4 Ki",-4,IF(BT18="-5 Ki",-5,0))))))-BU23-BU25-BU27-BU29-BU31-BU33</f>
        <v>0</v>
      </c>
      <c r="BU20" s="2294">
        <f>IF(BT14="No",0,IF(D8=0,0,VLOOKUP(D8,TablasTec!$L$4:$N$7,2,FALSE)))+IF(BT16="Bajar coste de CM",0,IF(BT16="-5 CM",2,IF(BT16="-10 CM",4,IF(BT16="-15 CM",6,IF(BT16="-20 CM",8,0)))))+IF(BT18="Bajar coste de Ki",0,IF(BT18="-1 Ki",-1,IF(BT18="-2 Ki",-2,IF(BT18="-3 Ki",-3,IF(BT18="-4 Ki",-4,IF(BT18="-5 Ki",-5,0))))))</f>
        <v>0</v>
      </c>
      <c r="BV20" s="954"/>
      <c r="BW20" s="934"/>
      <c r="BX20" s="934"/>
      <c r="BY20" s="1269"/>
      <c r="BZ20" s="4895"/>
      <c r="CA20" s="922"/>
      <c r="DR20" s="922"/>
      <c r="DS20" s="1301"/>
      <c r="DT20" s="1308"/>
      <c r="DU20" s="1362"/>
      <c r="DV20" s="1359" t="str">
        <f>IF(E20="","",E20)&amp;IF(I20="No",""," (Mant.)")&amp;IF(L20="No",""," (Sme)")&amp;IF(O20="No",""," (SMa)")</f>
        <v/>
      </c>
      <c r="DW20" s="1360"/>
      <c r="DX20" s="1361"/>
      <c r="DY20" s="1307"/>
      <c r="DZ20" s="922"/>
      <c r="EA20" s="1453">
        <f t="shared" si="0"/>
        <v>1</v>
      </c>
    </row>
    <row r="21" spans="1:131">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09"/>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IF(I21="Si",VLOOKUP($D$8,TablasTec!$E$4:$F$6,2,FALSE),"")</f>
        <v/>
      </c>
      <c r="BQ21" s="1013" t="str">
        <f>IF(L21="Si",VLOOKUP($D$8,TablasTec!$I$4:$J$6,2,FALSE),"")</f>
        <v/>
      </c>
      <c r="BR21" s="1011" t="str">
        <f>IF(O21="Si",VLOOKUP($D$8,TablasTec!$I$7:$J$9,2,FALSE),"")</f>
        <v/>
      </c>
      <c r="BS21" s="977"/>
      <c r="BU21" s="939"/>
      <c r="BV21" s="954"/>
      <c r="BW21" s="934"/>
      <c r="BX21" s="934"/>
      <c r="BY21" s="1269"/>
      <c r="BZ21" s="4895"/>
      <c r="CA21" s="922"/>
      <c r="DR21" s="922"/>
      <c r="DS21" s="1301"/>
      <c r="DT21" s="1308"/>
      <c r="DU21" s="1362"/>
      <c r="DV21" s="1363"/>
      <c r="DW21" s="1360"/>
      <c r="DX21" s="1361"/>
      <c r="DY21" s="1307"/>
      <c r="DZ21" s="922"/>
      <c r="EA21" s="1453">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09"/>
      <c r="D22" s="1436" t="s">
        <v>1766</v>
      </c>
      <c r="E22" s="966"/>
      <c r="F22" s="1002"/>
      <c r="G22" s="972" t="str">
        <f>IF(E22=0,"",VLOOKUP(E22,TablasTec!$A$14:$V$771,3,FALSE))</f>
        <v/>
      </c>
      <c r="H22" s="1014" t="str">
        <f>IF($E22=0,"",VLOOKUP($E22,TablasTec!$A$14:$V$771,4,FALSE))</f>
        <v/>
      </c>
      <c r="I22" s="970" t="s">
        <v>1690</v>
      </c>
      <c r="J22" s="1400" t="str">
        <f>IF(E22=0,"",VLOOKUP(E22,TablasTec!$A$14:$V$771,5,FALSE))</f>
        <v/>
      </c>
      <c r="K22" s="1016" t="str">
        <f>IF(I22="Si",IF(E22=0,"",VLOOKUP(E22,TablasTec!$A$14:$V$771,5,FALSE)),"")</f>
        <v/>
      </c>
      <c r="L22" s="970" t="s">
        <v>1690</v>
      </c>
      <c r="M22" s="1400" t="str">
        <f>IF(E22=0,"",VLOOKUP(E22,TablasTec!$A$14:$V$771,6,FALSE))</f>
        <v/>
      </c>
      <c r="N22" s="973" t="str">
        <f>IF(L22="Si",IF(E22=0,"",VLOOKUP(E22,TablasTec!$A$14:$V$771,6,FALSE)),"")</f>
        <v/>
      </c>
      <c r="O22" s="970" t="s">
        <v>1690</v>
      </c>
      <c r="P22" s="1400" t="str">
        <f>IF(E22=0,"",VLOOKUP(E22,TablasTec!$A$14:$V$771,7,FALSE))</f>
        <v/>
      </c>
      <c r="Q22" s="973" t="str">
        <f>IF(O22="Si",IF(E22=0,"",VLOOKUP(E22,TablasTec!$A$14:$V$771,7,FALSE)),"")</f>
        <v/>
      </c>
      <c r="R22" s="1015" t="str">
        <f>IF(E22=0,"",VLOOKUP(E22,TablasTec!$A$14:$V$771,8,FALSE))</f>
        <v/>
      </c>
      <c r="S22" s="987" t="str">
        <f>IF(R22=$D$8,$D$8,IF(R22=2,2,IF(R22=3,3,R22)))</f>
        <v/>
      </c>
      <c r="T22" s="1016" t="str">
        <f>IF(E22=0,"",VLOOKUP(E22,TablasTec!$A$14:$V$771,9,FALSE))</f>
        <v/>
      </c>
      <c r="U22" s="1016" t="str">
        <f>IF(E22=0,"",VLOOKUP(E22,TablasTec!$A$14:$V$771,10,FALSE))</f>
        <v/>
      </c>
      <c r="V22" s="1017" t="str">
        <f>IF(E22=0,"",VLOOKUP(E22,TablasTec!$A$14:$V$771,11,FALSE))</f>
        <v/>
      </c>
      <c r="W22" s="970"/>
      <c r="X22" s="971" t="e">
        <f>VLOOKUP(E22,TablasTec!$A$14:$V$771,12,FALSE)</f>
        <v>#N/A</v>
      </c>
      <c r="Y22" s="971" t="e">
        <f>IF(W22=X22,VLOOKUP(E22,TablasTec!$A$14:$V$771,13,FALSE),0)</f>
        <v>#N/A</v>
      </c>
      <c r="Z22" s="971" t="e">
        <f>VLOOKUP(E22,TablasTec!$A$14:$V$771,14,FALSE)</f>
        <v>#N/A</v>
      </c>
      <c r="AA22" s="971" t="e">
        <f>IF(W22=Z22,VLOOKUP(E22,TablasTec!$A$14:$V$616,15,FALSE),0)</f>
        <v>#N/A</v>
      </c>
      <c r="AB22" s="971" t="e">
        <f>VLOOKUP(E22,TablasTec!$A$14:$V$771,16,FALSE)</f>
        <v>#N/A</v>
      </c>
      <c r="AC22" s="971" t="e">
        <f>IF(W22=AB22,VLOOKUP(E22,TablasTec!$A$14:$V$616,17,FALSE),0)</f>
        <v>#N/A</v>
      </c>
      <c r="AD22" s="971" t="e">
        <f>VLOOKUP(E22,TablasTec!$A$14:$V$771,18,FALSE)</f>
        <v>#N/A</v>
      </c>
      <c r="AE22" s="971" t="e">
        <f>IF(W22=AD22,VLOOKUP(E22,TablasTec!$A$14:$V$771,19,FALSE),0)</f>
        <v>#N/A</v>
      </c>
      <c r="AF22" s="989" t="str">
        <f>IF(E22=0,"",(Y22+AA22+AC22+AE22))</f>
        <v/>
      </c>
      <c r="AG22" s="970"/>
      <c r="AH22" s="988" t="e">
        <f>VLOOKUP(E22,TablasTec!$A$14:$V$771,12,FALSE)</f>
        <v>#N/A</v>
      </c>
      <c r="AI22" s="988" t="e">
        <f>IF(AG22=AH22,VLOOKUP(E22,TablasTec!$A$14:$V$771,13,FALSE),0)</f>
        <v>#N/A</v>
      </c>
      <c r="AJ22" s="988" t="e">
        <f>VLOOKUP(E22,TablasTec!$A$14:$V$771,14,FALSE)</f>
        <v>#N/A</v>
      </c>
      <c r="AK22" s="988" t="e">
        <f>IF(AG22=AJ22,VLOOKUP(E22,TablasTec!$A$14:$V$771,15,FALSE),0)</f>
        <v>#N/A</v>
      </c>
      <c r="AL22" s="988" t="e">
        <f>VLOOKUP(E22,TablasTec!$A$14:$V$771,16,FALSE)</f>
        <v>#N/A</v>
      </c>
      <c r="AM22" s="988" t="e">
        <f>IF(AG22=AL22,VLOOKUP(E22,TablasTec!$A$14:$V$771,17,FALSE),0)</f>
        <v>#N/A</v>
      </c>
      <c r="AN22" s="988" t="e">
        <f>VLOOKUP(E22,TablasTec!$A$14:$V$771,18,FALSE)</f>
        <v>#N/A</v>
      </c>
      <c r="AO22" s="988" t="e">
        <f>IF(AG22=AN22,VLOOKUP(E22,TablasTec!$A$14:$V$771,19,FALSE),0)</f>
        <v>#N/A</v>
      </c>
      <c r="AP22" s="1376" t="str">
        <f>IF(E22=0,"",(AI22+AK22+AM22+AO22))</f>
        <v/>
      </c>
      <c r="AQ22" s="970"/>
      <c r="AR22" s="988" t="e">
        <f>VLOOKUP(E22,TablasTec!$A$14:$V$771,12,FALSE)</f>
        <v>#N/A</v>
      </c>
      <c r="AS22" s="988" t="e">
        <f>IF(AQ22=AR22,VLOOKUP(E22,TablasTec!$A$14:$V$771,13,FALSE),0)</f>
        <v>#N/A</v>
      </c>
      <c r="AT22" s="988" t="e">
        <f>VLOOKUP(E22,TablasTec!$A$14:$V$771,14,FALSE)</f>
        <v>#N/A</v>
      </c>
      <c r="AU22" s="988" t="e">
        <f>IF(AQ22=AT22,VLOOKUP(E22,TablasTec!$A$14:$V$771,15,FALSE),0)</f>
        <v>#N/A</v>
      </c>
      <c r="AV22" s="988" t="e">
        <f>VLOOKUP(E22,TablasTec!$A$14:$V$771,16,FALSE)</f>
        <v>#N/A</v>
      </c>
      <c r="AW22" s="988" t="e">
        <f>IF(AQ22=AV22,VLOOKUP(E22,TablasTec!$A$14:$V$771,17,FALSE),0)</f>
        <v>#N/A</v>
      </c>
      <c r="AX22" s="988" t="e">
        <f>VLOOKUP(E22,TablasTec!$A$14:$V$771,18,FALSE)</f>
        <v>#N/A</v>
      </c>
      <c r="AY22" s="988" t="e">
        <f>IF(AQ22=AX22,VLOOKUP(E22,TablasTec!$A$14:$V$771,19,FALSE),0)</f>
        <v>#N/A</v>
      </c>
      <c r="AZ22" s="989" t="str">
        <f>IF(E22=0,"",(AS22+AU22+AW22+AY22))</f>
        <v/>
      </c>
      <c r="BA22" s="970"/>
      <c r="BB22" s="988" t="e">
        <f>VLOOKUP(E22,TablasTec!$A$14:$V$771,12,FALSE)</f>
        <v>#N/A</v>
      </c>
      <c r="BC22" s="988" t="e">
        <f>IF(BA22=BB22,VLOOKUP(E22,TablasTec!$A$14:$V$771,13,FALSE),0)</f>
        <v>#N/A</v>
      </c>
      <c r="BD22" s="988" t="e">
        <f>VLOOKUP(E22,TablasTec!$A$14:$V$771,14,FALSE)</f>
        <v>#N/A</v>
      </c>
      <c r="BE22" s="988" t="e">
        <f>IF(BA22=BD22,VLOOKUP(E22,TablasTec!$A$14:$V$771,15,FALSE),0)</f>
        <v>#N/A</v>
      </c>
      <c r="BF22" s="988" t="e">
        <f>VLOOKUP(E22,TablasTec!$A$14:$V$771,16,FALSE)</f>
        <v>#N/A</v>
      </c>
      <c r="BG22" s="988" t="e">
        <f>IF(BA22=BF22,VLOOKUP(E22,TablasTec!$A$14:$V$771,17,FALSE),0)</f>
        <v>#N/A</v>
      </c>
      <c r="BH22" s="988" t="e">
        <f>VLOOKUP(E22,TablasTec!$A$14:$V$771,18,FALSE)</f>
        <v>#N/A</v>
      </c>
      <c r="BI22" s="988" t="e">
        <f>IF(BA22=BH22,VLOOKUP(E22,TablasTec!$A$14:$V$771,19,FALSE),0)</f>
        <v>#N/A</v>
      </c>
      <c r="BJ22" s="1376" t="str">
        <f>IF(E22=0,"",(BC22+BE22+BG22+BI22))</f>
        <v/>
      </c>
      <c r="BK22" s="1016" t="str">
        <f>IF(E22=0,"",VLOOKUP(E22,TablasTec!$A$14:$V$771,20,FALSE))</f>
        <v/>
      </c>
      <c r="BL22" s="1003" t="str">
        <f>IF(E22=0,"",VLOOKUP(E22,TablasTec!$A$14:$V$771,21,FALSE))</f>
        <v/>
      </c>
      <c r="BM22" s="974" t="str">
        <f>IF(E22=0,"",VLOOKUP(E22,TablasTec!$A$14:$V$771,22,FALSE))</f>
        <v/>
      </c>
      <c r="BN22" s="975"/>
      <c r="BO22" s="976"/>
      <c r="BP22" s="961" t="str">
        <f>IF(I22="Si",VLOOKUP($D$8,TablasTec!$E$4:$F$6,2,FALSE),"")</f>
        <v/>
      </c>
      <c r="BQ22" s="962" t="str">
        <f>IF(L22="Si",VLOOKUP($D$8,TablasTec!$I$4:$J$6,2,FALSE),"")</f>
        <v/>
      </c>
      <c r="BR22" s="960" t="str">
        <f>IF(O22="Si",VLOOKUP($D$8,TablasTec!$I$7:$J$9,2,FALSE),"")</f>
        <v/>
      </c>
      <c r="BS22" s="977"/>
      <c r="BT22" s="1367" t="s">
        <v>1682</v>
      </c>
      <c r="BU22" s="1366" t="s">
        <v>4548</v>
      </c>
      <c r="BV22" s="954"/>
      <c r="BW22" s="1366" t="s">
        <v>4549</v>
      </c>
      <c r="BX22" s="1367" t="s">
        <v>4550</v>
      </c>
      <c r="BY22" s="1283" t="s">
        <v>4550</v>
      </c>
      <c r="BZ22" s="4895"/>
      <c r="CA22" s="922"/>
      <c r="DR22" s="922"/>
      <c r="DS22" s="1301"/>
      <c r="DT22" s="1309"/>
      <c r="DU22" s="1362"/>
      <c r="DV22" s="1359" t="str">
        <f>IF(E22="","",", "&amp;E22)&amp;IF(I22="No",""," (Mant.)")&amp;IF(L22="No",""," (Sme)")&amp;IF(O22="No",""," (SMa)")</f>
        <v/>
      </c>
      <c r="DW22" s="1360"/>
      <c r="DX22" s="1361"/>
      <c r="DY22" s="1307"/>
      <c r="DZ22" s="922"/>
      <c r="EA22" s="1453">
        <f t="shared" si="0"/>
        <v>1</v>
      </c>
    </row>
    <row r="23" spans="1:131">
      <c r="A23" s="922"/>
      <c r="B23" s="922"/>
      <c r="C23" s="4909"/>
      <c r="D23" s="1435" t="s">
        <v>1766</v>
      </c>
      <c r="E23" s="978"/>
      <c r="F23" s="1008"/>
      <c r="G23" s="1420" t="str">
        <f>IF(E23=0,"",VLOOKUP(E23,TablasTec!$A$14:$V$771,3,FALSE))</f>
        <v/>
      </c>
      <c r="H23" s="981" t="str">
        <f>IF($E23=0,"",VLOOKUP($E23,TablasTec!$A$14:$V$771,4,FALSE))</f>
        <v/>
      </c>
      <c r="I23" s="982" t="s">
        <v>1690</v>
      </c>
      <c r="J23" s="1398" t="str">
        <f>IF(E23=0,"",VLOOKUP(E23,TablasTec!$A$14:$V$771,5,FALSE))</f>
        <v/>
      </c>
      <c r="K23" s="984" t="str">
        <f>IF(I23="Si",IF(E23=0,"",VLOOKUP(E23,TablasTec!$A$14:$V$771,5,FALSE)),"")</f>
        <v/>
      </c>
      <c r="L23" s="982" t="s">
        <v>1690</v>
      </c>
      <c r="M23" s="1398" t="str">
        <f>IF(E23=0,"",VLOOKUP(E23,TablasTec!$A$14:$V$771,6,FALSE))</f>
        <v/>
      </c>
      <c r="N23" s="985" t="str">
        <f>IF(L23="Si",IF(E23=0,"",VLOOKUP(E23,TablasTec!$A$14:$V$771,6,FALSE)),"")</f>
        <v/>
      </c>
      <c r="O23" s="982" t="s">
        <v>1690</v>
      </c>
      <c r="P23" s="1398" t="str">
        <f>IF(E23=0,"",VLOOKUP(E23,TablasTec!$A$14:$V$771,7,FALSE))</f>
        <v/>
      </c>
      <c r="Q23" s="985" t="str">
        <f>IF(O23="Si",IF(E23=0,"",VLOOKUP(E23,TablasTec!$A$14:$V$771,7,FALSE)),"")</f>
        <v/>
      </c>
      <c r="R23" s="983" t="str">
        <f>IF(E23=0,"",VLOOKUP(E23,TablasTec!$A$14:$V$771,8,FALSE))</f>
        <v/>
      </c>
      <c r="S23" s="981" t="str">
        <f>IF(R23=$D$8,$D$8,IF(R23=2,2,IF(R23=3,3,R23)))</f>
        <v/>
      </c>
      <c r="T23" s="4883" t="s">
        <v>4540</v>
      </c>
      <c r="U23" s="4884"/>
      <c r="V23" s="4884"/>
      <c r="W23" s="4884"/>
      <c r="X23" s="4884"/>
      <c r="Y23" s="4884"/>
      <c r="Z23" s="4884"/>
      <c r="AA23" s="4884"/>
      <c r="AB23" s="4884"/>
      <c r="AC23" s="4884"/>
      <c r="AD23" s="4884"/>
      <c r="AE23" s="4884"/>
      <c r="AF23" s="4884"/>
      <c r="AG23" s="4884"/>
      <c r="AH23" s="4884"/>
      <c r="AI23" s="4884"/>
      <c r="AJ23" s="4884"/>
      <c r="AK23" s="4884"/>
      <c r="AL23" s="4884"/>
      <c r="AM23" s="4884"/>
      <c r="AN23" s="4884"/>
      <c r="AO23" s="4884"/>
      <c r="AP23" s="4884"/>
      <c r="AQ23" s="4884"/>
      <c r="AR23" s="4884"/>
      <c r="AS23" s="4884"/>
      <c r="AT23" s="4884"/>
      <c r="AU23" s="4884"/>
      <c r="AV23" s="4884"/>
      <c r="AW23" s="4884"/>
      <c r="AX23" s="4884"/>
      <c r="AY23" s="4884"/>
      <c r="AZ23" s="4884"/>
      <c r="BA23" s="4884"/>
      <c r="BB23" s="4884"/>
      <c r="BC23" s="4884"/>
      <c r="BD23" s="4884"/>
      <c r="BE23" s="4884"/>
      <c r="BF23" s="4884"/>
      <c r="BG23" s="4884"/>
      <c r="BH23" s="4884"/>
      <c r="BI23" s="4884"/>
      <c r="BJ23" s="4884"/>
      <c r="BK23" s="4885"/>
      <c r="BL23" s="1420"/>
      <c r="BM23" s="1421"/>
      <c r="BN23" s="975"/>
      <c r="BO23" s="976"/>
      <c r="BP23" s="961" t="str">
        <f>IF(I23="Si",VLOOKUP($D$8,TablasTec!$E$4:$F$6,2,FALSE),"")</f>
        <v/>
      </c>
      <c r="BQ23" s="962" t="str">
        <f>IF(L23="Si",VLOOKUP($D$8,TablasTec!$I$4:$J$6,2,FALSE),"")</f>
        <v/>
      </c>
      <c r="BR23" s="960" t="str">
        <f>IF(O23="Si",VLOOKUP($D$8,TablasTec!$I$7:$J$9,2,FALSE),"")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c r="A24" s="922"/>
      <c r="B24" s="922"/>
      <c r="C24" s="4909"/>
      <c r="D24" s="1436" t="s">
        <v>1766</v>
      </c>
      <c r="E24" s="986"/>
      <c r="F24" s="1002"/>
      <c r="G24" s="972" t="str">
        <f>IF(E24=0,"",VLOOKUP(E24,TablasTec!$A$14:$V$771,3,FALSE))</f>
        <v/>
      </c>
      <c r="H24" s="1375" t="str">
        <f>IF($E24=0,"",VLOOKUP($E24,TablasTec!$A$14:$V$771,4,FALSE))</f>
        <v/>
      </c>
      <c r="I24" s="970" t="s">
        <v>1690</v>
      </c>
      <c r="J24" s="1394" t="str">
        <f>IF(E24=0,"",VLOOKUP(E24,TablasTec!$A$14:$V$771,5,FALSE))</f>
        <v/>
      </c>
      <c r="K24" s="989" t="str">
        <f>IF(I24="Si",IF(E24=0,"",VLOOKUP(E24,TablasTec!$A$14:$V$771,5,FALSE)),"")</f>
        <v/>
      </c>
      <c r="L24" s="970" t="s">
        <v>1690</v>
      </c>
      <c r="M24" s="1394" t="str">
        <f>IF(E24=0,"",VLOOKUP(E24,TablasTec!$A$14:$V$771,6,FALSE))</f>
        <v/>
      </c>
      <c r="N24" s="973" t="str">
        <f>IF(L24="Si",IF(E24=0,"",VLOOKUP(E24,TablasTec!$A$14:$V$771,6,FALSE)),"")</f>
        <v/>
      </c>
      <c r="O24" s="970" t="s">
        <v>1690</v>
      </c>
      <c r="P24" s="1394" t="str">
        <f>IF(E24=0,"",VLOOKUP(E24,TablasTec!$A$14:$V$771,7,FALSE))</f>
        <v/>
      </c>
      <c r="Q24" s="973" t="str">
        <f>IF(O24="Si",IF(E24=0,"",VLOOKUP(E24,TablasTec!$A$14:$V$771,7,FALSE)),"")</f>
        <v/>
      </c>
      <c r="R24" s="988" t="str">
        <f>IF(E24=0,"",VLOOKUP(E24,TablasTec!$A$14:$V$771,8,FALSE))</f>
        <v/>
      </c>
      <c r="S24" s="1375" t="str">
        <f>IF(R24=$D$8,$D$8,IF(R24=2,2,IF(R24=3,3,R24)))</f>
        <v/>
      </c>
      <c r="T24" s="4896"/>
      <c r="U24" s="4897"/>
      <c r="V24" s="1368" t="str">
        <f>IF(OR(V22=0,V22=""),"N/A",V22)</f>
        <v>N/A</v>
      </c>
      <c r="W24" s="4896" t="str">
        <f xml:space="preserve"> IF(OR(AF22=0,AF22=""),"N/A",W22)</f>
        <v>N/A</v>
      </c>
      <c r="X24" s="4898"/>
      <c r="Y24" s="4898"/>
      <c r="Z24" s="4898"/>
      <c r="AA24" s="4898"/>
      <c r="AB24" s="4898"/>
      <c r="AC24" s="4898"/>
      <c r="AD24" s="4898"/>
      <c r="AE24" s="4898"/>
      <c r="AF24" s="4897"/>
      <c r="AG24" s="4896" t="str">
        <f xml:space="preserve"> IF(OR(AP22="",AP22=0),"N/A",AG22)</f>
        <v>N/A</v>
      </c>
      <c r="AH24" s="4898"/>
      <c r="AI24" s="4898"/>
      <c r="AJ24" s="4898"/>
      <c r="AK24" s="4898"/>
      <c r="AL24" s="4898"/>
      <c r="AM24" s="4898"/>
      <c r="AN24" s="4898"/>
      <c r="AO24" s="4898"/>
      <c r="AP24" s="4897"/>
      <c r="AQ24" s="4896" t="str">
        <f xml:space="preserve"> IF(OR(AZ22="",AZ22=0),"N/A",AQ22)</f>
        <v>N/A</v>
      </c>
      <c r="AR24" s="4898"/>
      <c r="AS24" s="4898"/>
      <c r="AT24" s="4898"/>
      <c r="AU24" s="4898"/>
      <c r="AV24" s="4898"/>
      <c r="AW24" s="4898"/>
      <c r="AX24" s="4898"/>
      <c r="AY24" s="4898"/>
      <c r="AZ24" s="4897"/>
      <c r="BA24" s="4896" t="str">
        <f xml:space="preserve"> IF(OR(BJ22="",BJ22=0),"N/A",BA22)</f>
        <v>N/A</v>
      </c>
      <c r="BB24" s="4898"/>
      <c r="BC24" s="4898"/>
      <c r="BD24" s="4898"/>
      <c r="BE24" s="4898"/>
      <c r="BF24" s="4898"/>
      <c r="BG24" s="4898"/>
      <c r="BH24" s="4898"/>
      <c r="BI24" s="4898"/>
      <c r="BJ24" s="4897"/>
      <c r="BK24" s="990" t="s">
        <v>4541</v>
      </c>
      <c r="BL24" s="972"/>
      <c r="BM24" s="1007"/>
      <c r="BN24" s="991"/>
      <c r="BO24" s="992"/>
      <c r="BP24" s="993" t="str">
        <f>IF(I24="Si",VLOOKUP($D$8,TablasTec!$E$4:$F$6,2,FALSE),"")</f>
        <v/>
      </c>
      <c r="BQ24" s="963" t="str">
        <f>IF(L24="Si",VLOOKUP($D$8,TablasTec!$I$4:$J$6,2,FALSE),"")</f>
        <v/>
      </c>
      <c r="BR24" s="994" t="str">
        <f>IF(O24="Si",VLOOKUP($D$8,TablasTec!$I$7:$J$9,2,FALSE),"")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c r="A25" s="922"/>
      <c r="B25" s="922"/>
      <c r="C25" s="4909"/>
      <c r="D25" s="1435" t="s">
        <v>1766</v>
      </c>
      <c r="E25" s="978"/>
      <c r="F25" s="1008"/>
      <c r="G25" s="1420" t="str">
        <f>IF(E25=0,"",VLOOKUP(E25,TablasTec!$A$14:$V$771,3,FALSE))</f>
        <v/>
      </c>
      <c r="H25" s="981" t="str">
        <f>IF($E25=0,"",VLOOKUP($E25,TablasTec!$A$14:$V$771,4,FALSE))</f>
        <v/>
      </c>
      <c r="I25" s="982" t="s">
        <v>1690</v>
      </c>
      <c r="J25" s="1398" t="str">
        <f>IF(E25=0,"",VLOOKUP(E25,TablasTec!$A$14:$V$771,5,FALSE))</f>
        <v/>
      </c>
      <c r="K25" s="984" t="str">
        <f>IF(I25="Si",IF(E25=0,"",VLOOKUP(E25,TablasTec!$A$14:$V$771,5,FALSE)),"")</f>
        <v/>
      </c>
      <c r="L25" s="982" t="s">
        <v>1690</v>
      </c>
      <c r="M25" s="1398" t="str">
        <f>IF(E25=0,"",VLOOKUP(E25,TablasTec!$A$14:$V$771,6,FALSE))</f>
        <v/>
      </c>
      <c r="N25" s="985" t="str">
        <f>IF(L25="Si",IF(E25=0,"",VLOOKUP(E25,TablasTec!$A$14:$V$771,6,FALSE)),"")</f>
        <v/>
      </c>
      <c r="O25" s="982" t="s">
        <v>1690</v>
      </c>
      <c r="P25" s="1398" t="str">
        <f>IF(E25=0,"",VLOOKUP(E25,TablasTec!$A$14:$V$771,7,FALSE))</f>
        <v/>
      </c>
      <c r="Q25" s="985" t="str">
        <f>IF(O25="Si",IF(E25=0,"",VLOOKUP(E25,TablasTec!$A$14:$V$771,7,FALSE)),"")</f>
        <v/>
      </c>
      <c r="R25" s="983" t="str">
        <f>IF(E25=0,"",VLOOKUP(E25,TablasTec!$A$14:$V$771,8,FALSE))</f>
        <v/>
      </c>
      <c r="S25" s="981" t="str">
        <f>IF(R25=$D$8,$D$8,IF(R25=2,2,IF(R25=3,3,R25)))</f>
        <v/>
      </c>
      <c r="T25" s="4899" t="s">
        <v>4542</v>
      </c>
      <c r="U25" s="4900"/>
      <c r="V25" s="1374"/>
      <c r="W25" s="4901"/>
      <c r="X25" s="4902"/>
      <c r="Y25" s="4902"/>
      <c r="Z25" s="4902"/>
      <c r="AA25" s="4902"/>
      <c r="AB25" s="4902"/>
      <c r="AC25" s="4902"/>
      <c r="AD25" s="4902"/>
      <c r="AE25" s="4902"/>
      <c r="AF25" s="4903"/>
      <c r="AG25" s="4901"/>
      <c r="AH25" s="4902"/>
      <c r="AI25" s="4902"/>
      <c r="AJ25" s="4902"/>
      <c r="AK25" s="4902"/>
      <c r="AL25" s="4902"/>
      <c r="AM25" s="4902"/>
      <c r="AN25" s="4902"/>
      <c r="AO25" s="4902"/>
      <c r="AP25" s="4903"/>
      <c r="AQ25" s="4901"/>
      <c r="AR25" s="4902"/>
      <c r="AS25" s="4902"/>
      <c r="AT25" s="4902"/>
      <c r="AU25" s="4902"/>
      <c r="AV25" s="4902"/>
      <c r="AW25" s="4902"/>
      <c r="AX25" s="4902"/>
      <c r="AY25" s="4902"/>
      <c r="AZ25" s="4903"/>
      <c r="BA25" s="4901"/>
      <c r="BB25" s="4902"/>
      <c r="BC25" s="4902"/>
      <c r="BD25" s="4902"/>
      <c r="BE25" s="4902"/>
      <c r="BF25" s="4902"/>
      <c r="BG25" s="4902"/>
      <c r="BH25" s="4902"/>
      <c r="BI25" s="4902"/>
      <c r="BJ25" s="4903"/>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IF(I25="Si",VLOOKUP($D$8,TablasTec!$E$4:$F$6,2,FALSE),"")</f>
        <v/>
      </c>
      <c r="BQ25" s="962" t="str">
        <f>IF(L25="Si",VLOOKUP($D$8,TablasTec!$I$4:$J$6,2,FALSE),"")</f>
        <v/>
      </c>
      <c r="BR25" s="960" t="str">
        <f>IF(O25="Si",VLOOKUP($D$8,TablasTec!$I$7:$J$9,2,FALSE),"")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c r="A26" s="922"/>
      <c r="B26" s="922"/>
      <c r="C26" s="4909"/>
      <c r="D26" s="1436" t="s">
        <v>1766</v>
      </c>
      <c r="E26" s="986"/>
      <c r="F26" s="1002"/>
      <c r="G26" s="972" t="str">
        <f>IF(E26=0,"",VLOOKUP(E26,TablasTec!$A$14:$V$771,3,FALSE))</f>
        <v/>
      </c>
      <c r="H26" s="997" t="str">
        <f>IF($E26=0,"",VLOOKUP($E26,TablasTec!$A$14:$V$771,4,FALSE))</f>
        <v/>
      </c>
      <c r="I26" s="970" t="s">
        <v>1690</v>
      </c>
      <c r="J26" s="1401" t="str">
        <f>IF(E26=0,"",VLOOKUP(E26,TablasTec!$A$14:$V$771,5,FALSE))</f>
        <v/>
      </c>
      <c r="K26" s="998" t="str">
        <f>IF(I26="Si",IF(E26=0,"",VLOOKUP(E26,TablasTec!$A$14:$V$771,5,FALSE)),"")</f>
        <v/>
      </c>
      <c r="L26" s="970" t="s">
        <v>1690</v>
      </c>
      <c r="M26" s="1401" t="str">
        <f>IF(E26=0,"",VLOOKUP(E26,TablasTec!$A$14:$V$771,6,FALSE))</f>
        <v/>
      </c>
      <c r="N26" s="973" t="str">
        <f>IF(L26="Si",IF(E26=0,"",VLOOKUP(E26,TablasTec!$A$14:$V$771,6,FALSE)),"")</f>
        <v/>
      </c>
      <c r="O26" s="970" t="s">
        <v>1690</v>
      </c>
      <c r="P26" s="1401" t="str">
        <f>IF(E26=0,"",VLOOKUP(E26,TablasTec!$A$14:$V$771,7,FALSE))</f>
        <v/>
      </c>
      <c r="Q26" s="973" t="str">
        <f>IF(O26="Si",IF(E26=0,"",VLOOKUP(E26,TablasTec!$A$14:$V$771,7,FALSE)),"")</f>
        <v/>
      </c>
      <c r="R26" s="1018" t="str">
        <f>IF(E26=0,"",VLOOKUP(E26,TablasTec!$A$14:$V$771,8,FALSE))</f>
        <v/>
      </c>
      <c r="S26" s="987" t="str">
        <f>IF(R26=$D$8,$D$8,IF(R26=2,2,IF(R26=3,3,R26)))</f>
        <v/>
      </c>
      <c r="T26" s="4890" t="s">
        <v>4544</v>
      </c>
      <c r="U26" s="4891"/>
      <c r="V26" s="1372"/>
      <c r="W26" s="4892"/>
      <c r="X26" s="4893"/>
      <c r="Y26" s="4893"/>
      <c r="Z26" s="4893"/>
      <c r="AA26" s="4893"/>
      <c r="AB26" s="4893"/>
      <c r="AC26" s="4893"/>
      <c r="AD26" s="4893"/>
      <c r="AE26" s="4893"/>
      <c r="AF26" s="4894"/>
      <c r="AG26" s="4892"/>
      <c r="AH26" s="4893"/>
      <c r="AI26" s="4893"/>
      <c r="AJ26" s="4893"/>
      <c r="AK26" s="4893"/>
      <c r="AL26" s="4893"/>
      <c r="AM26" s="4893"/>
      <c r="AN26" s="4893"/>
      <c r="AO26" s="4893"/>
      <c r="AP26" s="4894"/>
      <c r="AQ26" s="4892"/>
      <c r="AR26" s="4893"/>
      <c r="AS26" s="4893"/>
      <c r="AT26" s="4893"/>
      <c r="AU26" s="4893"/>
      <c r="AV26" s="4893"/>
      <c r="AW26" s="4893"/>
      <c r="AX26" s="4893"/>
      <c r="AY26" s="4893"/>
      <c r="AZ26" s="4894"/>
      <c r="BA26" s="4892"/>
      <c r="BB26" s="4893"/>
      <c r="BC26" s="4893"/>
      <c r="BD26" s="4893"/>
      <c r="BE26" s="4893"/>
      <c r="BF26" s="4893"/>
      <c r="BG26" s="4893"/>
      <c r="BH26" s="4893"/>
      <c r="BI26" s="4893"/>
      <c r="BJ26" s="4894"/>
      <c r="BK26" s="997">
        <f>SUM(K22:K26)-SUM(V26:BA26)</f>
        <v>0</v>
      </c>
      <c r="BL26" s="1422"/>
      <c r="BM26" s="1423"/>
      <c r="BN26" s="991"/>
      <c r="BO26" s="992"/>
      <c r="BP26" s="993" t="str">
        <f>IF(I26="Si",VLOOKUP($D$8,TablasTec!$E$4:$F$6,2,FALSE),"")</f>
        <v/>
      </c>
      <c r="BQ26" s="963" t="str">
        <f>IF(L26="Si",VLOOKUP($D$8,TablasTec!$I$4:$J$6,2,FALSE),"")</f>
        <v/>
      </c>
      <c r="BR26" s="994" t="str">
        <f>IF(O26="Si",VLOOKUP($D$8,TablasTec!$I$7:$J$9,2,FALSE),"")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09"/>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IF(I27="Si",VLOOKUP($D$8,TablasTec!$E$4:$F$6,2,FALSE),"")</f>
        <v/>
      </c>
      <c r="BQ27" s="1013" t="str">
        <f>IF(L27="Si",VLOOKUP($D$8,TablasTec!$I$4:$J$6,2,FALSE),"")</f>
        <v/>
      </c>
      <c r="BR27" s="1011" t="str">
        <f>IF(O27="Si",VLOOKUP($D$8,TablasTec!$I$7:$J$9,2,FALSE),"")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2</v>
      </c>
      <c r="BY27" s="1009">
        <f>IF(BX27=0,"N/A",BX27)</f>
        <v>2</v>
      </c>
      <c r="BZ27" s="1378"/>
      <c r="CA27" s="922"/>
      <c r="DR27" s="922"/>
      <c r="DS27" s="1301"/>
      <c r="DT27" s="1308"/>
      <c r="DU27" s="1362"/>
      <c r="DV27" s="1363"/>
      <c r="DW27" s="1359"/>
      <c r="DX27" s="1361"/>
      <c r="DY27" s="1307"/>
      <c r="DZ27" s="922"/>
      <c r="EA27" s="1453">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09"/>
      <c r="D28" s="1436" t="s">
        <v>1766</v>
      </c>
      <c r="E28" s="966"/>
      <c r="F28" s="1002"/>
      <c r="G28" s="972" t="str">
        <f>IF(E28=0,"",VLOOKUP(E28,TablasTec!$A$14:$V$771,3,FALSE))</f>
        <v/>
      </c>
      <c r="H28" s="1014" t="str">
        <f>IF($E28=0,"",VLOOKUP($E28,TablasTec!$A$14:$V$771,4,FALSE))</f>
        <v/>
      </c>
      <c r="I28" s="970" t="s">
        <v>1690</v>
      </c>
      <c r="J28" s="1400" t="str">
        <f>IF(E28=0,"",VLOOKUP(E28,TablasTec!$A$14:$V$771,5,FALSE))</f>
        <v/>
      </c>
      <c r="K28" s="1016" t="str">
        <f>IF(I28="Si",IF(E28=0,"",VLOOKUP(E28,TablasTec!$A$14:$V$771,5,FALSE)),"")</f>
        <v/>
      </c>
      <c r="L28" s="970" t="s">
        <v>1690</v>
      </c>
      <c r="M28" s="1400" t="str">
        <f>IF(E28=0,"",VLOOKUP(E28,TablasTec!$A$14:$V$771,6,FALSE))</f>
        <v/>
      </c>
      <c r="N28" s="973" t="str">
        <f>IF(L28="Si",IF(E28=0,"",VLOOKUP(E28,TablasTec!$A$14:$V$771,6,FALSE)),"")</f>
        <v/>
      </c>
      <c r="O28" s="970" t="s">
        <v>1690</v>
      </c>
      <c r="P28" s="1400" t="str">
        <f>IF(E28=0,"",VLOOKUP(E28,TablasTec!$A$14:$V$771,7,FALSE))</f>
        <v/>
      </c>
      <c r="Q28" s="973" t="str">
        <f>IF(O28="Si",IF(E28=0,"",VLOOKUP(E28,TablasTec!$A$14:$V$771,7,FALSE)),"")</f>
        <v/>
      </c>
      <c r="R28" s="1015" t="str">
        <f>IF(E28=0,"",VLOOKUP(E28,TablasTec!$A$14:$V$771,8,FALSE))</f>
        <v/>
      </c>
      <c r="S28" s="987" t="str">
        <f>IF(R28=$D$8,$D$8,IF(R28=2,2,IF(R28=3,3,R28)))</f>
        <v/>
      </c>
      <c r="T28" s="1016" t="str">
        <f>IF(E28=0,"",VLOOKUP(E28,TablasTec!$A$14:$V$771,9,FALSE))</f>
        <v/>
      </c>
      <c r="U28" s="1016" t="str">
        <f>IF(E28=0,"",VLOOKUP(E28,TablasTec!$A$14:$V$771,10,FALSE))</f>
        <v/>
      </c>
      <c r="V28" s="1017" t="str">
        <f>IF(E28=0,"",VLOOKUP(E28,TablasTec!$A$14:$V$771,11,FALSE))</f>
        <v/>
      </c>
      <c r="W28" s="970"/>
      <c r="X28" s="971" t="e">
        <f>VLOOKUP(E28,TablasTec!$A$14:$V$771,12,FALSE)</f>
        <v>#N/A</v>
      </c>
      <c r="Y28" s="971" t="e">
        <f>IF(W28=X28,VLOOKUP(E28,TablasTec!$A$14:$V$771,13,FALSE),0)</f>
        <v>#N/A</v>
      </c>
      <c r="Z28" s="971" t="e">
        <f>VLOOKUP(E28,TablasTec!$A$14:$V$771,14,FALSE)</f>
        <v>#N/A</v>
      </c>
      <c r="AA28" s="971" t="e">
        <f>IF(W28=Z28,VLOOKUP(E28,TablasTec!$A$14:$V$616,15,FALSE),0)</f>
        <v>#N/A</v>
      </c>
      <c r="AB28" s="971" t="e">
        <f>VLOOKUP(E28,TablasTec!$A$14:$V$771,16,FALSE)</f>
        <v>#N/A</v>
      </c>
      <c r="AC28" s="971" t="e">
        <f>IF(W28=AB28,VLOOKUP(E28,TablasTec!$A$14:$V$616,17,FALSE),0)</f>
        <v>#N/A</v>
      </c>
      <c r="AD28" s="971" t="e">
        <f>VLOOKUP(E28,TablasTec!$A$14:$V$771,18,FALSE)</f>
        <v>#N/A</v>
      </c>
      <c r="AE28" s="971" t="e">
        <f>IF(W28=AD28,VLOOKUP(E28,TablasTec!$A$14:$V$771,19,FALSE),0)</f>
        <v>#N/A</v>
      </c>
      <c r="AF28" s="989" t="str">
        <f>IF(E28=0,"",(Y28+AA28+AC28+AE28))</f>
        <v/>
      </c>
      <c r="AG28" s="970"/>
      <c r="AH28" s="988" t="e">
        <f>VLOOKUP(E28,TablasTec!$A$14:$V$771,12,FALSE)</f>
        <v>#N/A</v>
      </c>
      <c r="AI28" s="988" t="e">
        <f>IF(AG28=AH28,VLOOKUP(E28,TablasTec!$A$14:$V$771,13,FALSE),0)</f>
        <v>#N/A</v>
      </c>
      <c r="AJ28" s="988" t="e">
        <f>VLOOKUP(E28,TablasTec!$A$14:$V$771,14,FALSE)</f>
        <v>#N/A</v>
      </c>
      <c r="AK28" s="988" t="e">
        <f>IF(AG28=AJ28,VLOOKUP(E28,TablasTec!$A$14:$V$771,15,FALSE),0)</f>
        <v>#N/A</v>
      </c>
      <c r="AL28" s="988" t="e">
        <f>VLOOKUP(E28,TablasTec!$A$14:$V$771,16,FALSE)</f>
        <v>#N/A</v>
      </c>
      <c r="AM28" s="988" t="e">
        <f>IF(AG28=AL28,VLOOKUP(E28,TablasTec!$A$14:$V$771,17,FALSE),0)</f>
        <v>#N/A</v>
      </c>
      <c r="AN28" s="988" t="e">
        <f>VLOOKUP(E28,TablasTec!$A$14:$V$771,18,FALSE)</f>
        <v>#N/A</v>
      </c>
      <c r="AO28" s="988" t="e">
        <f>IF(AG28=AN28,VLOOKUP(E28,TablasTec!$A$14:$V$771,19,FALSE),0)</f>
        <v>#N/A</v>
      </c>
      <c r="AP28" s="1376" t="str">
        <f>IF(E28=0,"",(AI28+AK28+AM28+AO28))</f>
        <v/>
      </c>
      <c r="AQ28" s="970"/>
      <c r="AR28" s="988" t="e">
        <f>VLOOKUP(E28,TablasTec!$A$14:$V$771,12,FALSE)</f>
        <v>#N/A</v>
      </c>
      <c r="AS28" s="988" t="e">
        <f>IF(AQ28=AR28,VLOOKUP(E28,TablasTec!$A$14:$V$771,13,FALSE),0)</f>
        <v>#N/A</v>
      </c>
      <c r="AT28" s="988" t="e">
        <f>VLOOKUP(E28,TablasTec!$A$14:$V$771,14,FALSE)</f>
        <v>#N/A</v>
      </c>
      <c r="AU28" s="988" t="e">
        <f>IF(AQ28=AT28,VLOOKUP(E28,TablasTec!$A$14:$V$771,15,FALSE),0)</f>
        <v>#N/A</v>
      </c>
      <c r="AV28" s="988" t="e">
        <f>VLOOKUP(E28,TablasTec!$A$14:$V$771,16,FALSE)</f>
        <v>#N/A</v>
      </c>
      <c r="AW28" s="988" t="e">
        <f>IF(AQ28=AV28,VLOOKUP(E28,TablasTec!$A$14:$V$771,17,FALSE),0)</f>
        <v>#N/A</v>
      </c>
      <c r="AX28" s="988" t="e">
        <f>VLOOKUP(E28,TablasTec!$A$14:$V$771,18,FALSE)</f>
        <v>#N/A</v>
      </c>
      <c r="AY28" s="988" t="e">
        <f>IF(AQ28=AX28,VLOOKUP(E28,TablasTec!$A$14:$V$771,19,FALSE),0)</f>
        <v>#N/A</v>
      </c>
      <c r="AZ28" s="989" t="str">
        <f>IF(E28=0,"",(AS28+AU28+AW28+AY28))</f>
        <v/>
      </c>
      <c r="BA28" s="970"/>
      <c r="BB28" s="988" t="e">
        <f>VLOOKUP(E28,TablasTec!$A$14:$V$771,12,FALSE)</f>
        <v>#N/A</v>
      </c>
      <c r="BC28" s="988" t="e">
        <f>IF(BA28=BB28,VLOOKUP(E28,TablasTec!$A$14:$V$771,13,FALSE),0)</f>
        <v>#N/A</v>
      </c>
      <c r="BD28" s="988" t="e">
        <f>VLOOKUP(E28,TablasTec!$A$14:$V$771,14,FALSE)</f>
        <v>#N/A</v>
      </c>
      <c r="BE28" s="988" t="e">
        <f>IF(BA28=BD28,VLOOKUP(E28,TablasTec!$A$14:$V$771,15,FALSE),0)</f>
        <v>#N/A</v>
      </c>
      <c r="BF28" s="988" t="e">
        <f>VLOOKUP(E28,TablasTec!$A$14:$V$771,16,FALSE)</f>
        <v>#N/A</v>
      </c>
      <c r="BG28" s="988" t="e">
        <f>IF(BA28=BF28,VLOOKUP(E28,TablasTec!$A$14:$V$771,17,FALSE),0)</f>
        <v>#N/A</v>
      </c>
      <c r="BH28" s="988" t="e">
        <f>VLOOKUP(E28,TablasTec!$A$14:$V$771,18,FALSE)</f>
        <v>#N/A</v>
      </c>
      <c r="BI28" s="988" t="e">
        <f>IF(BA28=BH28,VLOOKUP(E28,TablasTec!$A$14:$V$771,19,FALSE),0)</f>
        <v>#N/A</v>
      </c>
      <c r="BJ28" s="1376" t="str">
        <f>IF(E28=0,"",(BC28+BE28+BG28+BI28))</f>
        <v/>
      </c>
      <c r="BK28" s="1016" t="str">
        <f>IF(E28=0,"",VLOOKUP(E28,TablasTec!$A$14:$V$771,20,FALSE))</f>
        <v/>
      </c>
      <c r="BL28" s="1003" t="str">
        <f>IF(E28=0,"",VLOOKUP(E28,TablasTec!$A$14:$V$771,21,FALSE))</f>
        <v/>
      </c>
      <c r="BM28" s="974" t="str">
        <f>IF(E28=0,"",VLOOKUP(E28,TablasTec!$A$14:$V$771,22,FALSE))</f>
        <v/>
      </c>
      <c r="BN28" s="975"/>
      <c r="BO28" s="976"/>
      <c r="BP28" s="961" t="str">
        <f>IF(I28="Si",VLOOKUP($D$8,TablasTec!$E$4:$F$6,2,FALSE),"")</f>
        <v/>
      </c>
      <c r="BQ28" s="962" t="str">
        <f>IF(L28="Si",VLOOKUP($D$8,TablasTec!$I$4:$J$6,2,FALSE),"")</f>
        <v/>
      </c>
      <c r="BR28" s="960" t="str">
        <f>IF(O28="Si",VLOOKUP($D$8,TablasTec!$I$7:$J$9,2,FALSE),"")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c r="A29" s="922"/>
      <c r="B29" s="922"/>
      <c r="C29" s="4909"/>
      <c r="D29" s="1435" t="s">
        <v>1766</v>
      </c>
      <c r="E29" s="978"/>
      <c r="F29" s="1008"/>
      <c r="G29" s="1420" t="str">
        <f>IF(E29=0,"",VLOOKUP(E29,TablasTec!$A$14:$V$771,3,FALSE))</f>
        <v/>
      </c>
      <c r="H29" s="981" t="str">
        <f>IF($E29=0,"",VLOOKUP($E29,TablasTec!$A$14:$V$771,4,FALSE))</f>
        <v/>
      </c>
      <c r="I29" s="982" t="s">
        <v>1690</v>
      </c>
      <c r="J29" s="1398" t="str">
        <f>IF(E29=0,"",VLOOKUP(E29,TablasTec!$A$14:$V$771,5,FALSE))</f>
        <v/>
      </c>
      <c r="K29" s="984" t="str">
        <f>IF(I29="Si",IF(E29=0,"",VLOOKUP(E29,TablasTec!$A$14:$V$771,5,FALSE)),"")</f>
        <v/>
      </c>
      <c r="L29" s="982" t="s">
        <v>1690</v>
      </c>
      <c r="M29" s="1398" t="str">
        <f>IF(E29=0,"",VLOOKUP(E29,TablasTec!$A$14:$V$771,6,FALSE))</f>
        <v/>
      </c>
      <c r="N29" s="985" t="str">
        <f>IF(L29="Si",IF(E29=0,"",VLOOKUP(E29,TablasTec!$A$14:$V$771,6,FALSE)),"")</f>
        <v/>
      </c>
      <c r="O29" s="982" t="s">
        <v>1690</v>
      </c>
      <c r="P29" s="1398" t="str">
        <f>IF(E29=0,"",VLOOKUP(E29,TablasTec!$A$14:$V$771,7,FALSE))</f>
        <v/>
      </c>
      <c r="Q29" s="985" t="str">
        <f>IF(O29="Si",IF(E29=0,"",VLOOKUP(E29,TablasTec!$A$14:$V$771,7,FALSE)),"")</f>
        <v/>
      </c>
      <c r="R29" s="983" t="str">
        <f>IF(E29=0,"",VLOOKUP(E29,TablasTec!$A$14:$V$771,8,FALSE))</f>
        <v/>
      </c>
      <c r="S29" s="981" t="str">
        <f>IF(R29=$D$8,$D$8,IF(R29=2,2,IF(R29=3,3,R29)))</f>
        <v/>
      </c>
      <c r="T29" s="4883" t="s">
        <v>4540</v>
      </c>
      <c r="U29" s="4884"/>
      <c r="V29" s="4884"/>
      <c r="W29" s="4884"/>
      <c r="X29" s="4884"/>
      <c r="Y29" s="4884"/>
      <c r="Z29" s="4884"/>
      <c r="AA29" s="4884"/>
      <c r="AB29" s="4884"/>
      <c r="AC29" s="4884"/>
      <c r="AD29" s="4884"/>
      <c r="AE29" s="4884"/>
      <c r="AF29" s="4884"/>
      <c r="AG29" s="4884"/>
      <c r="AH29" s="4884"/>
      <c r="AI29" s="4884"/>
      <c r="AJ29" s="4884"/>
      <c r="AK29" s="4884"/>
      <c r="AL29" s="4884"/>
      <c r="AM29" s="4884"/>
      <c r="AN29" s="4884"/>
      <c r="AO29" s="4884"/>
      <c r="AP29" s="4884"/>
      <c r="AQ29" s="4884"/>
      <c r="AR29" s="4884"/>
      <c r="AS29" s="4884"/>
      <c r="AT29" s="4884"/>
      <c r="AU29" s="4884"/>
      <c r="AV29" s="4884"/>
      <c r="AW29" s="4884"/>
      <c r="AX29" s="4884"/>
      <c r="AY29" s="4884"/>
      <c r="AZ29" s="4884"/>
      <c r="BA29" s="4884"/>
      <c r="BB29" s="4884"/>
      <c r="BC29" s="4884"/>
      <c r="BD29" s="4884"/>
      <c r="BE29" s="4884"/>
      <c r="BF29" s="4884"/>
      <c r="BG29" s="4884"/>
      <c r="BH29" s="4884"/>
      <c r="BI29" s="4884"/>
      <c r="BJ29" s="4884"/>
      <c r="BK29" s="4885"/>
      <c r="BL29" s="1420"/>
      <c r="BM29" s="1421"/>
      <c r="BN29" s="975"/>
      <c r="BO29" s="976"/>
      <c r="BP29" s="961" t="str">
        <f>IF(I29="Si",VLOOKUP($D$8,TablasTec!$E$4:$F$6,2,FALSE),"")</f>
        <v/>
      </c>
      <c r="BQ29" s="962" t="str">
        <f>IF(L29="Si",VLOOKUP($D$8,TablasTec!$I$4:$J$6,2,FALSE),"")</f>
        <v/>
      </c>
      <c r="BR29" s="960" t="str">
        <f>IF(O29="Si",VLOOKUP($D$8,TablasTec!$I$7:$J$9,2,FALSE),"")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c r="A30" s="922"/>
      <c r="B30" s="922"/>
      <c r="C30" s="4909"/>
      <c r="D30" s="1436" t="s">
        <v>1766</v>
      </c>
      <c r="E30" s="986"/>
      <c r="F30" s="1002"/>
      <c r="G30" s="972" t="str">
        <f>IF(E30=0,"",VLOOKUP(E30,TablasTec!$A$14:$V$771,3,FALSE))</f>
        <v/>
      </c>
      <c r="H30" s="1375" t="str">
        <f>IF($E30=0,"",VLOOKUP($E30,TablasTec!$A$14:$V$771,4,FALSE))</f>
        <v/>
      </c>
      <c r="I30" s="970" t="s">
        <v>1690</v>
      </c>
      <c r="J30" s="1394" t="str">
        <f>IF(E30=0,"",VLOOKUP(E30,TablasTec!$A$14:$V$771,5,FALSE))</f>
        <v/>
      </c>
      <c r="K30" s="989" t="str">
        <f>IF(I30="Si",IF(E30=0,"",VLOOKUP(E30,TablasTec!$A$14:$V$771,5,FALSE)),"")</f>
        <v/>
      </c>
      <c r="L30" s="970" t="s">
        <v>1690</v>
      </c>
      <c r="M30" s="1394" t="str">
        <f>IF(E30=0,"",VLOOKUP(E30,TablasTec!$A$14:$V$771,6,FALSE))</f>
        <v/>
      </c>
      <c r="N30" s="973" t="str">
        <f>IF(L30="Si",IF(E30=0,"",VLOOKUP(E30,TablasTec!$A$14:$V$771,6,FALSE)),"")</f>
        <v/>
      </c>
      <c r="O30" s="970" t="s">
        <v>1690</v>
      </c>
      <c r="P30" s="1394" t="str">
        <f>IF(E30=0,"",VLOOKUP(E30,TablasTec!$A$14:$V$771,7,FALSE))</f>
        <v/>
      </c>
      <c r="Q30" s="973" t="str">
        <f>IF(O30="Si",IF(E30=0,"",VLOOKUP(E30,TablasTec!$A$14:$V$771,7,FALSE)),"")</f>
        <v/>
      </c>
      <c r="R30" s="988" t="str">
        <f>IF(E30=0,"",VLOOKUP(E30,TablasTec!$A$14:$V$771,8,FALSE))</f>
        <v/>
      </c>
      <c r="S30" s="1375" t="str">
        <f>IF(R30=$D$8,$D$8,IF(R30=2,2,IF(R30=3,3,R30)))</f>
        <v/>
      </c>
      <c r="T30" s="4896"/>
      <c r="U30" s="4897"/>
      <c r="V30" s="1368" t="str">
        <f>IF(OR(V28=0,V28=""),"N/A",V28)</f>
        <v>N/A</v>
      </c>
      <c r="W30" s="4896" t="str">
        <f xml:space="preserve"> IF(OR(AF28=0,AF28=""),"N/A",W28)</f>
        <v>N/A</v>
      </c>
      <c r="X30" s="4898"/>
      <c r="Y30" s="4898"/>
      <c r="Z30" s="4898"/>
      <c r="AA30" s="4898"/>
      <c r="AB30" s="4898"/>
      <c r="AC30" s="4898"/>
      <c r="AD30" s="4898"/>
      <c r="AE30" s="4898"/>
      <c r="AF30" s="4897"/>
      <c r="AG30" s="4896" t="str">
        <f xml:space="preserve"> IF(OR(AP28="",AP28=0),"N/A",AG28)</f>
        <v>N/A</v>
      </c>
      <c r="AH30" s="4898"/>
      <c r="AI30" s="4898"/>
      <c r="AJ30" s="4898"/>
      <c r="AK30" s="4898"/>
      <c r="AL30" s="4898"/>
      <c r="AM30" s="4898"/>
      <c r="AN30" s="4898"/>
      <c r="AO30" s="4898"/>
      <c r="AP30" s="4897"/>
      <c r="AQ30" s="4896" t="str">
        <f xml:space="preserve"> IF(OR(AZ28="",AZ28=0),"N/A",AQ28)</f>
        <v>N/A</v>
      </c>
      <c r="AR30" s="4898"/>
      <c r="AS30" s="4898"/>
      <c r="AT30" s="4898"/>
      <c r="AU30" s="4898"/>
      <c r="AV30" s="4898"/>
      <c r="AW30" s="4898"/>
      <c r="AX30" s="4898"/>
      <c r="AY30" s="4898"/>
      <c r="AZ30" s="4897"/>
      <c r="BA30" s="4896" t="str">
        <f xml:space="preserve"> IF(OR(BJ28="",BJ28=0),"N/A",BA28)</f>
        <v>N/A</v>
      </c>
      <c r="BB30" s="4898"/>
      <c r="BC30" s="4898"/>
      <c r="BD30" s="4898"/>
      <c r="BE30" s="4898"/>
      <c r="BF30" s="4898"/>
      <c r="BG30" s="4898"/>
      <c r="BH30" s="4898"/>
      <c r="BI30" s="4898"/>
      <c r="BJ30" s="4897"/>
      <c r="BK30" s="990" t="s">
        <v>4541</v>
      </c>
      <c r="BL30" s="972"/>
      <c r="BM30" s="1007"/>
      <c r="BN30" s="991"/>
      <c r="BO30" s="992"/>
      <c r="BP30" s="993" t="str">
        <f>IF(I30="Si",VLOOKUP($D$8,TablasTec!$E$4:$F$6,2,FALSE),"")</f>
        <v/>
      </c>
      <c r="BQ30" s="963" t="str">
        <f>IF(L30="Si",VLOOKUP($D$8,TablasTec!$I$4:$J$6,2,FALSE),"")</f>
        <v/>
      </c>
      <c r="BR30" s="994" t="str">
        <f>IF(O30="Si",VLOOKUP($D$8,TablasTec!$I$7:$J$9,2,FALSE),"")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c r="A31" s="922"/>
      <c r="B31" s="922"/>
      <c r="C31" s="4909"/>
      <c r="D31" s="1435" t="s">
        <v>1766</v>
      </c>
      <c r="E31" s="978"/>
      <c r="F31" s="1008"/>
      <c r="G31" s="1420" t="str">
        <f>IF(E31=0,"",VLOOKUP(E31,TablasTec!$A$14:$V$771,3,FALSE))</f>
        <v/>
      </c>
      <c r="H31" s="981" t="str">
        <f>IF($E31=0,"",VLOOKUP($E31,TablasTec!$A$14:$V$771,4,FALSE))</f>
        <v/>
      </c>
      <c r="I31" s="982" t="s">
        <v>1690</v>
      </c>
      <c r="J31" s="1398" t="str">
        <f>IF(E31=0,"",VLOOKUP(E31,TablasTec!$A$14:$V$771,5,FALSE))</f>
        <v/>
      </c>
      <c r="K31" s="984" t="str">
        <f>IF(I31="Si",IF(E31=0,"",VLOOKUP(E31,TablasTec!$A$14:$V$771,5,FALSE)),"")</f>
        <v/>
      </c>
      <c r="L31" s="982" t="s">
        <v>1690</v>
      </c>
      <c r="M31" s="1398" t="str">
        <f>IF(E31=0,"",VLOOKUP(E31,TablasTec!$A$14:$V$771,6,FALSE))</f>
        <v/>
      </c>
      <c r="N31" s="985" t="str">
        <f>IF(L31="Si",IF(E31=0,"",VLOOKUP(E31,TablasTec!$A$14:$V$771,6,FALSE)),"")</f>
        <v/>
      </c>
      <c r="O31" s="982" t="s">
        <v>1690</v>
      </c>
      <c r="P31" s="1398" t="str">
        <f>IF(E31=0,"",VLOOKUP(E31,TablasTec!$A$14:$V$771,7,FALSE))</f>
        <v/>
      </c>
      <c r="Q31" s="985" t="str">
        <f>IF(O31="Si",IF(E31=0,"",VLOOKUP(E31,TablasTec!$A$14:$V$771,7,FALSE)),"")</f>
        <v/>
      </c>
      <c r="R31" s="983" t="str">
        <f>IF(E31=0,"",VLOOKUP(E31,TablasTec!$A$14:$V$771,8,FALSE))</f>
        <v/>
      </c>
      <c r="S31" s="981" t="str">
        <f>IF(R31=$D$8,$D$8,IF(R31=2,2,IF(R31=3,3,R31)))</f>
        <v/>
      </c>
      <c r="T31" s="4899" t="s">
        <v>4542</v>
      </c>
      <c r="U31" s="4900"/>
      <c r="V31" s="1374"/>
      <c r="W31" s="4901"/>
      <c r="X31" s="4902"/>
      <c r="Y31" s="4902"/>
      <c r="Z31" s="4902"/>
      <c r="AA31" s="4902"/>
      <c r="AB31" s="4902"/>
      <c r="AC31" s="4902"/>
      <c r="AD31" s="4902"/>
      <c r="AE31" s="4902"/>
      <c r="AF31" s="4903"/>
      <c r="AG31" s="4901"/>
      <c r="AH31" s="4902"/>
      <c r="AI31" s="4902"/>
      <c r="AJ31" s="4902"/>
      <c r="AK31" s="4902"/>
      <c r="AL31" s="4902"/>
      <c r="AM31" s="4902"/>
      <c r="AN31" s="4902"/>
      <c r="AO31" s="4902"/>
      <c r="AP31" s="4903"/>
      <c r="AQ31" s="4901"/>
      <c r="AR31" s="4902"/>
      <c r="AS31" s="4902"/>
      <c r="AT31" s="4902"/>
      <c r="AU31" s="4902"/>
      <c r="AV31" s="4902"/>
      <c r="AW31" s="4902"/>
      <c r="AX31" s="4902"/>
      <c r="AY31" s="4902"/>
      <c r="AZ31" s="4903"/>
      <c r="BA31" s="4901"/>
      <c r="BB31" s="4902"/>
      <c r="BC31" s="4902"/>
      <c r="BD31" s="4902"/>
      <c r="BE31" s="4902"/>
      <c r="BF31" s="4902"/>
      <c r="BG31" s="4902"/>
      <c r="BH31" s="4902"/>
      <c r="BI31" s="4902"/>
      <c r="BJ31" s="4903"/>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IF(I31="Si",VLOOKUP($D$8,TablasTec!$E$4:$F$6,2,FALSE),"")</f>
        <v/>
      </c>
      <c r="BQ31" s="962" t="str">
        <f>IF(L31="Si",VLOOKUP($D$8,TablasTec!$I$4:$J$6,2,FALSE),"")</f>
        <v/>
      </c>
      <c r="BR31" s="960" t="str">
        <f>IF(O31="Si",VLOOKUP($D$8,TablasTec!$I$7:$J$9,2,FALSE),"")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c r="A32" s="922"/>
      <c r="B32" s="922"/>
      <c r="C32" s="4909"/>
      <c r="D32" s="1436" t="s">
        <v>1766</v>
      </c>
      <c r="E32" s="986"/>
      <c r="F32" s="1002"/>
      <c r="G32" s="972" t="str">
        <f>IF(E32=0,"",VLOOKUP(E32,TablasTec!$A$14:$V$771,3,FALSE))</f>
        <v/>
      </c>
      <c r="H32" s="997" t="str">
        <f>IF($E32=0,"",VLOOKUP($E32,TablasTec!$A$14:$V$771,4,FALSE))</f>
        <v/>
      </c>
      <c r="I32" s="970" t="s">
        <v>1690</v>
      </c>
      <c r="J32" s="1401" t="str">
        <f>IF(E32=0,"",VLOOKUP(E32,TablasTec!$A$14:$V$771,5,FALSE))</f>
        <v/>
      </c>
      <c r="K32" s="998" t="str">
        <f>IF(I32="Si",IF(E32=0,"",VLOOKUP(E32,TablasTec!$A$14:$V$771,5,FALSE)),"")</f>
        <v/>
      </c>
      <c r="L32" s="970" t="s">
        <v>1690</v>
      </c>
      <c r="M32" s="1401" t="str">
        <f>IF(E32=0,"",VLOOKUP(E32,TablasTec!$A$14:$V$771,6,FALSE))</f>
        <v/>
      </c>
      <c r="N32" s="973" t="str">
        <f>IF(L32="Si",IF(E32=0,"",VLOOKUP(E32,TablasTec!$A$14:$V$771,6,FALSE)),"")</f>
        <v/>
      </c>
      <c r="O32" s="970" t="s">
        <v>1690</v>
      </c>
      <c r="P32" s="1401" t="str">
        <f>IF(E32=0,"",VLOOKUP(E32,TablasTec!$A$14:$V$771,7,FALSE))</f>
        <v/>
      </c>
      <c r="Q32" s="973" t="str">
        <f>IF(O32="Si",IF(E32=0,"",VLOOKUP(E32,TablasTec!$A$14:$V$771,7,FALSE)),"")</f>
        <v/>
      </c>
      <c r="R32" s="1018" t="str">
        <f>IF(E32=0,"",VLOOKUP(E32,TablasTec!$A$14:$V$771,8,FALSE))</f>
        <v/>
      </c>
      <c r="S32" s="987" t="str">
        <f>IF(R32=$D$8,$D$8,IF(R32=2,2,IF(R32=3,3,R32)))</f>
        <v/>
      </c>
      <c r="T32" s="4890" t="s">
        <v>4544</v>
      </c>
      <c r="U32" s="4891"/>
      <c r="V32" s="1372"/>
      <c r="W32" s="4892"/>
      <c r="X32" s="4893"/>
      <c r="Y32" s="4893"/>
      <c r="Z32" s="4893"/>
      <c r="AA32" s="4893"/>
      <c r="AB32" s="4893"/>
      <c r="AC32" s="4893"/>
      <c r="AD32" s="4893"/>
      <c r="AE32" s="4893"/>
      <c r="AF32" s="4894"/>
      <c r="AG32" s="4892"/>
      <c r="AH32" s="4893"/>
      <c r="AI32" s="4893"/>
      <c r="AJ32" s="4893"/>
      <c r="AK32" s="4893"/>
      <c r="AL32" s="4893"/>
      <c r="AM32" s="4893"/>
      <c r="AN32" s="4893"/>
      <c r="AO32" s="4893"/>
      <c r="AP32" s="4894"/>
      <c r="AQ32" s="4892"/>
      <c r="AR32" s="4893"/>
      <c r="AS32" s="4893"/>
      <c r="AT32" s="4893"/>
      <c r="AU32" s="4893"/>
      <c r="AV32" s="4893"/>
      <c r="AW32" s="4893"/>
      <c r="AX32" s="4893"/>
      <c r="AY32" s="4893"/>
      <c r="AZ32" s="4894"/>
      <c r="BA32" s="4892"/>
      <c r="BB32" s="4893"/>
      <c r="BC32" s="4893"/>
      <c r="BD32" s="4893"/>
      <c r="BE32" s="4893"/>
      <c r="BF32" s="4893"/>
      <c r="BG32" s="4893"/>
      <c r="BH32" s="4893"/>
      <c r="BI32" s="4893"/>
      <c r="BJ32" s="4894"/>
      <c r="BK32" s="997">
        <f>SUM(K28:K32)-SUM(V32:BA32)</f>
        <v>0</v>
      </c>
      <c r="BL32" s="1422"/>
      <c r="BM32" s="1423"/>
      <c r="BN32" s="991"/>
      <c r="BO32" s="992"/>
      <c r="BP32" s="993" t="str">
        <f>IF(I32="Si",VLOOKUP($D$8,TablasTec!$E$4:$F$6,2,FALSE),"")</f>
        <v/>
      </c>
      <c r="BQ32" s="963" t="str">
        <f>IF(L32="Si",VLOOKUP($D$8,TablasTec!$I$4:$J$6,2,FALSE),"")</f>
        <v/>
      </c>
      <c r="BR32" s="994" t="str">
        <f>IF(O32="Si",VLOOKUP($D$8,TablasTec!$I$7:$J$9,2,FALSE),"")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09"/>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IF(I33="Si",VLOOKUP($D$8,TablasTec!$E$4:$F$6,2,FALSE),"")</f>
        <v/>
      </c>
      <c r="BQ33" s="1013" t="str">
        <f>IF(L33="Si",VLOOKUP($D$8,TablasTec!$I$4:$J$6,2,FALSE),"")</f>
        <v/>
      </c>
      <c r="BR33" s="1011" t="str">
        <f>IF(O33="Si",VLOOKUP($D$8,TablasTec!$I$7:$J$9,2,FALSE),"")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09"/>
      <c r="D34" s="1436" t="s">
        <v>1766</v>
      </c>
      <c r="E34" s="966"/>
      <c r="F34" s="1002"/>
      <c r="G34" s="972" t="str">
        <f>IF(E34=0,"",VLOOKUP(E34,TablasTec!$A$14:$V$771,3,FALSE))</f>
        <v/>
      </c>
      <c r="H34" s="1014" t="str">
        <f>IF($E34=0,"",VLOOKUP($E34,TablasTec!$A$14:$V$771,4,FALSE))</f>
        <v/>
      </c>
      <c r="I34" s="970" t="s">
        <v>1690</v>
      </c>
      <c r="J34" s="1400" t="str">
        <f>IF(E34=0,"",VLOOKUP(E34,TablasTec!$A$14:$V$771,5,FALSE))</f>
        <v/>
      </c>
      <c r="K34" s="1016" t="str">
        <f>IF(I34="Si",IF(E34=0,"",VLOOKUP(E34,TablasTec!$A$14:$V$771,5,FALSE)),"")</f>
        <v/>
      </c>
      <c r="L34" s="970" t="s">
        <v>1690</v>
      </c>
      <c r="M34" s="1400" t="str">
        <f>IF(E34=0,"",VLOOKUP(E34,TablasTec!$A$14:$V$771,6,FALSE))</f>
        <v/>
      </c>
      <c r="N34" s="973" t="str">
        <f>IF(L34="Si",IF(E34=0,"",VLOOKUP(E34,TablasTec!$A$14:$V$771,6,FALSE)),"")</f>
        <v/>
      </c>
      <c r="O34" s="970" t="s">
        <v>1690</v>
      </c>
      <c r="P34" s="1400" t="str">
        <f>IF(E34=0,"",VLOOKUP(E34,TablasTec!$A$14:$V$771,7,FALSE))</f>
        <v/>
      </c>
      <c r="Q34" s="973" t="str">
        <f>IF(O34="Si",IF(E34=0,"",VLOOKUP(E34,TablasTec!$A$14:$V$771,7,FALSE)),"")</f>
        <v/>
      </c>
      <c r="R34" s="1015" t="str">
        <f>IF(E34=0,"",VLOOKUP(E34,TablasTec!$A$14:$V$771,8,FALSE))</f>
        <v/>
      </c>
      <c r="S34" s="987" t="str">
        <f>IF(R34=$D$8,$D$8,IF(R34=2,2,IF(R34=3,3,R34)))</f>
        <v/>
      </c>
      <c r="T34" s="1016" t="str">
        <f>IF(E34=0,"",VLOOKUP(E34,TablasTec!$A$14:$V$771,9,FALSE))</f>
        <v/>
      </c>
      <c r="U34" s="1016" t="str">
        <f>IF(E34=0,"",VLOOKUP(E34,TablasTec!$A$14:$V$771,10,FALSE))</f>
        <v/>
      </c>
      <c r="V34" s="1017" t="str">
        <f>IF(E34=0,"",VLOOKUP(E34,TablasTec!$A$14:$V$771,11,FALSE))</f>
        <v/>
      </c>
      <c r="W34" s="970"/>
      <c r="X34" s="971" t="e">
        <f>VLOOKUP(E34,TablasTec!$A$14:$V$771,12,FALSE)</f>
        <v>#N/A</v>
      </c>
      <c r="Y34" s="971" t="e">
        <f>IF(W34=X34,VLOOKUP(E34,TablasTec!$A$14:$V$771,13,FALSE),0)</f>
        <v>#N/A</v>
      </c>
      <c r="Z34" s="971" t="e">
        <f>VLOOKUP(E34,TablasTec!$A$14:$V$771,14,FALSE)</f>
        <v>#N/A</v>
      </c>
      <c r="AA34" s="971" t="e">
        <f>IF(W34=Z34,VLOOKUP(E34,TablasTec!$A$14:$V$616,15,FALSE),0)</f>
        <v>#N/A</v>
      </c>
      <c r="AB34" s="971" t="e">
        <f>VLOOKUP(E34,TablasTec!$A$14:$V$771,16,FALSE)</f>
        <v>#N/A</v>
      </c>
      <c r="AC34" s="971" t="e">
        <f>IF(W34=AB34,VLOOKUP(E34,TablasTec!$A$14:$V$616,17,FALSE),0)</f>
        <v>#N/A</v>
      </c>
      <c r="AD34" s="971" t="e">
        <f>VLOOKUP(E34,TablasTec!$A$14:$V$771,18,FALSE)</f>
        <v>#N/A</v>
      </c>
      <c r="AE34" s="971" t="e">
        <f>IF(W34=AD34,VLOOKUP(E34,TablasTec!$A$14:$V$771,19,FALSE),0)</f>
        <v>#N/A</v>
      </c>
      <c r="AF34" s="989" t="str">
        <f>IF(E34=0,"",(Y34+AA34+AC34+AE34))</f>
        <v/>
      </c>
      <c r="AG34" s="970"/>
      <c r="AH34" s="988" t="e">
        <f>VLOOKUP(E34,TablasTec!$A$14:$V$771,12,FALSE)</f>
        <v>#N/A</v>
      </c>
      <c r="AI34" s="988" t="e">
        <f>IF(AG34=AH34,VLOOKUP(E34,TablasTec!$A$14:$V$771,13,FALSE),0)</f>
        <v>#N/A</v>
      </c>
      <c r="AJ34" s="988" t="e">
        <f>VLOOKUP(E34,TablasTec!$A$14:$V$771,14,FALSE)</f>
        <v>#N/A</v>
      </c>
      <c r="AK34" s="988" t="e">
        <f>IF(AG34=AJ34,VLOOKUP(E34,TablasTec!$A$14:$V$771,15,FALSE),0)</f>
        <v>#N/A</v>
      </c>
      <c r="AL34" s="988" t="e">
        <f>VLOOKUP(E34,TablasTec!$A$14:$V$771,16,FALSE)</f>
        <v>#N/A</v>
      </c>
      <c r="AM34" s="988" t="e">
        <f>IF(AG34=AL34,VLOOKUP(E34,TablasTec!$A$14:$V$771,17,FALSE),0)</f>
        <v>#N/A</v>
      </c>
      <c r="AN34" s="988" t="e">
        <f>VLOOKUP(E34,TablasTec!$A$14:$V$771,18,FALSE)</f>
        <v>#N/A</v>
      </c>
      <c r="AO34" s="988" t="e">
        <f>IF(AG34=AN34,VLOOKUP(E34,TablasTec!$A$14:$V$771,19,FALSE),0)</f>
        <v>#N/A</v>
      </c>
      <c r="AP34" s="1376" t="str">
        <f>IF(E34=0,"",(AI34+AK34+AM34+AO34))</f>
        <v/>
      </c>
      <c r="AQ34" s="970"/>
      <c r="AR34" s="988" t="e">
        <f>VLOOKUP(E34,TablasTec!$A$14:$V$771,12,FALSE)</f>
        <v>#N/A</v>
      </c>
      <c r="AS34" s="988" t="e">
        <f>IF(AQ34=AR34,VLOOKUP(E34,TablasTec!$A$14:$V$771,13,FALSE),0)</f>
        <v>#N/A</v>
      </c>
      <c r="AT34" s="988" t="e">
        <f>VLOOKUP(E34,TablasTec!$A$14:$V$771,14,FALSE)</f>
        <v>#N/A</v>
      </c>
      <c r="AU34" s="988" t="e">
        <f>IF(AQ34=AT34,VLOOKUP(E34,TablasTec!$A$14:$V$771,15,FALSE),0)</f>
        <v>#N/A</v>
      </c>
      <c r="AV34" s="988" t="e">
        <f>VLOOKUP(E34,TablasTec!$A$14:$V$771,16,FALSE)</f>
        <v>#N/A</v>
      </c>
      <c r="AW34" s="988" t="e">
        <f>IF(AQ34=AV34,VLOOKUP(E34,TablasTec!$A$14:$V$771,17,FALSE),0)</f>
        <v>#N/A</v>
      </c>
      <c r="AX34" s="988" t="e">
        <f>VLOOKUP(E34,TablasTec!$A$14:$V$771,18,FALSE)</f>
        <v>#N/A</v>
      </c>
      <c r="AY34" s="988" t="e">
        <f>IF(AQ34=AX34,VLOOKUP(E34,TablasTec!$A$14:$V$771,19,FALSE),0)</f>
        <v>#N/A</v>
      </c>
      <c r="AZ34" s="989" t="str">
        <f>IF(E34=0,"",(AS34+AU34+AW34+AY34))</f>
        <v/>
      </c>
      <c r="BA34" s="970"/>
      <c r="BB34" s="988" t="e">
        <f>VLOOKUP(E34,TablasTec!$A$14:$V$771,12,FALSE)</f>
        <v>#N/A</v>
      </c>
      <c r="BC34" s="988" t="e">
        <f>IF(BA34=BB34,VLOOKUP(E34,TablasTec!$A$14:$V$771,13,FALSE),0)</f>
        <v>#N/A</v>
      </c>
      <c r="BD34" s="988" t="e">
        <f>VLOOKUP(E34,TablasTec!$A$14:$V$771,14,FALSE)</f>
        <v>#N/A</v>
      </c>
      <c r="BE34" s="988" t="e">
        <f>IF(BA34=BD34,VLOOKUP(E34,TablasTec!$A$14:$V$771,15,FALSE),0)</f>
        <v>#N/A</v>
      </c>
      <c r="BF34" s="988" t="e">
        <f>VLOOKUP(E34,TablasTec!$A$14:$V$771,16,FALSE)</f>
        <v>#N/A</v>
      </c>
      <c r="BG34" s="988" t="e">
        <f>IF(BA34=BF34,VLOOKUP(E34,TablasTec!$A$14:$V$771,17,FALSE),0)</f>
        <v>#N/A</v>
      </c>
      <c r="BH34" s="988" t="e">
        <f>VLOOKUP(E34,TablasTec!$A$14:$V$771,18,FALSE)</f>
        <v>#N/A</v>
      </c>
      <c r="BI34" s="988" t="e">
        <f>IF(BA34=BH34,VLOOKUP(E34,TablasTec!$A$14:$V$771,19,FALSE),0)</f>
        <v>#N/A</v>
      </c>
      <c r="BJ34" s="1376" t="str">
        <f>IF(E34=0,"",(BC34+BE34+BG34+BI34))</f>
        <v/>
      </c>
      <c r="BK34" s="1016" t="str">
        <f>IF(E34=0,"",VLOOKUP(E34,TablasTec!$A$14:$V$771,20,FALSE))</f>
        <v/>
      </c>
      <c r="BL34" s="1003" t="str">
        <f>IF(E34=0,"",VLOOKUP(E34,TablasTec!$A$14:$V$771,21,FALSE))</f>
        <v/>
      </c>
      <c r="BM34" s="974" t="str">
        <f>IF(E34=0,"",VLOOKUP(E34,TablasTec!$A$14:$V$771,22,FALSE))</f>
        <v/>
      </c>
      <c r="BN34" s="975"/>
      <c r="BO34" s="976"/>
      <c r="BP34" s="961" t="str">
        <f>IF(I34="Si",VLOOKUP($D$8,TablasTec!$E$4:$F$6,2,FALSE),"")</f>
        <v/>
      </c>
      <c r="BQ34" s="962" t="str">
        <f>IF(L34="Si",VLOOKUP($D$8,TablasTec!$I$4:$J$6,2,FALSE),"")</f>
        <v/>
      </c>
      <c r="BR34" s="960" t="str">
        <f>IF(O34="Si",VLOOKUP($D$8,TablasTec!$I$7:$J$9,2,FALSE),"")</f>
        <v/>
      </c>
      <c r="BS34" s="977"/>
      <c r="BU34" s="4864"/>
      <c r="BV34" s="4864"/>
      <c r="BW34" s="4864"/>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Maniobras de Combate y Apuntar Reales -10 (Mant.)</v>
      </c>
      <c r="DW34" s="1413" t="str">
        <f>DW10&amp;DW11&amp;DW12</f>
        <v/>
      </c>
      <c r="DX34" s="1414" t="str">
        <f>IF(DX16="",DX10,DX16)</f>
        <v xml:space="preserve">Aire </v>
      </c>
      <c r="DY34" s="1307"/>
      <c r="DZ34" s="922"/>
      <c r="EA34" s="1453">
        <f t="shared" si="0"/>
        <v>1</v>
      </c>
    </row>
    <row r="35" spans="1:132">
      <c r="A35" s="922"/>
      <c r="B35" s="922"/>
      <c r="C35" s="4909"/>
      <c r="D35" s="1435" t="s">
        <v>1766</v>
      </c>
      <c r="E35" s="978"/>
      <c r="F35" s="1008"/>
      <c r="G35" s="1420" t="str">
        <f>IF(E35=0,"",VLOOKUP(E35,TablasTec!$A$14:$V$771,3,FALSE))</f>
        <v/>
      </c>
      <c r="H35" s="981" t="str">
        <f>IF($E35=0,"",VLOOKUP($E35,TablasTec!$A$14:$V$771,4,FALSE))</f>
        <v/>
      </c>
      <c r="I35" s="982" t="s">
        <v>1690</v>
      </c>
      <c r="J35" s="1398" t="str">
        <f>IF(E35=0,"",VLOOKUP(E35,TablasTec!$A$14:$V$771,5,FALSE))</f>
        <v/>
      </c>
      <c r="K35" s="984" t="str">
        <f>IF(I35="Si",IF(E35=0,"",VLOOKUP(E35,TablasTec!$A$14:$V$771,5,FALSE)),"")</f>
        <v/>
      </c>
      <c r="L35" s="982" t="s">
        <v>1690</v>
      </c>
      <c r="M35" s="1398" t="str">
        <f>IF(E35=0,"",VLOOKUP(E35,TablasTec!$A$14:$V$771,6,FALSE))</f>
        <v/>
      </c>
      <c r="N35" s="985" t="str">
        <f>IF(L35="Si",IF(E35=0,"",VLOOKUP(E35,TablasTec!$A$14:$V$771,6,FALSE)),"")</f>
        <v/>
      </c>
      <c r="O35" s="982" t="s">
        <v>1690</v>
      </c>
      <c r="P35" s="1398" t="str">
        <f>IF(E35=0,"",VLOOKUP(E35,TablasTec!$A$14:$V$771,7,FALSE))</f>
        <v/>
      </c>
      <c r="Q35" s="985" t="str">
        <f>IF(O35="Si",IF(E35=0,"",VLOOKUP(E35,TablasTec!$A$14:$V$771,7,FALSE)),"")</f>
        <v/>
      </c>
      <c r="R35" s="983" t="str">
        <f>IF(E35=0,"",VLOOKUP(E35,TablasTec!$A$14:$V$771,8,FALSE))</f>
        <v/>
      </c>
      <c r="S35" s="981" t="str">
        <f>IF(R35=$D$8,$D$8,IF(R35=2,2,IF(R35=3,3,R35)))</f>
        <v/>
      </c>
      <c r="T35" s="4883" t="s">
        <v>4540</v>
      </c>
      <c r="U35" s="4884"/>
      <c r="V35" s="4884"/>
      <c r="W35" s="4884"/>
      <c r="X35" s="4884"/>
      <c r="Y35" s="4884"/>
      <c r="Z35" s="4884"/>
      <c r="AA35" s="4884"/>
      <c r="AB35" s="4884"/>
      <c r="AC35" s="4884"/>
      <c r="AD35" s="4884"/>
      <c r="AE35" s="4884"/>
      <c r="AF35" s="4884"/>
      <c r="AG35" s="4884"/>
      <c r="AH35" s="4884"/>
      <c r="AI35" s="4884"/>
      <c r="AJ35" s="4884"/>
      <c r="AK35" s="4884"/>
      <c r="AL35" s="4884"/>
      <c r="AM35" s="4884"/>
      <c r="AN35" s="4884"/>
      <c r="AO35" s="4884"/>
      <c r="AP35" s="4884"/>
      <c r="AQ35" s="4884"/>
      <c r="AR35" s="4884"/>
      <c r="AS35" s="4884"/>
      <c r="AT35" s="4884"/>
      <c r="AU35" s="4884"/>
      <c r="AV35" s="4884"/>
      <c r="AW35" s="4884"/>
      <c r="AX35" s="4884"/>
      <c r="AY35" s="4884"/>
      <c r="AZ35" s="4884"/>
      <c r="BA35" s="4884"/>
      <c r="BB35" s="4884"/>
      <c r="BC35" s="4884"/>
      <c r="BD35" s="4884"/>
      <c r="BE35" s="4884"/>
      <c r="BF35" s="4884"/>
      <c r="BG35" s="4884"/>
      <c r="BH35" s="4884"/>
      <c r="BI35" s="4884"/>
      <c r="BJ35" s="4884"/>
      <c r="BK35" s="4885"/>
      <c r="BL35" s="1420"/>
      <c r="BM35" s="1421"/>
      <c r="BN35" s="975"/>
      <c r="BO35" s="976"/>
      <c r="BP35" s="961" t="str">
        <f>IF(I35="Si",VLOOKUP($D$8,TablasTec!$E$4:$F$6,2,FALSE),"")</f>
        <v/>
      </c>
      <c r="BQ35" s="962" t="str">
        <f>IF(L35="Si",VLOOKUP($D$8,TablasTec!$I$4:$J$6,2,FALSE),"")</f>
        <v/>
      </c>
      <c r="BR35" s="960" t="str">
        <f>IF(O35="Si",VLOOKUP($D$8,TablasTec!$I$7:$J$9,2,FALSE),"")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c r="A36" s="922"/>
      <c r="B36" s="922"/>
      <c r="C36" s="4909"/>
      <c r="D36" s="1436" t="s">
        <v>1766</v>
      </c>
      <c r="E36" s="986"/>
      <c r="F36" s="1002"/>
      <c r="G36" s="972" t="str">
        <f>IF(E36=0,"",VLOOKUP(E36,TablasTec!$A$14:$V$771,3,FALSE))</f>
        <v/>
      </c>
      <c r="H36" s="1375" t="str">
        <f>IF($E36=0,"",VLOOKUP($E36,TablasTec!$A$14:$V$771,4,FALSE))</f>
        <v/>
      </c>
      <c r="I36" s="970" t="s">
        <v>1690</v>
      </c>
      <c r="J36" s="1394" t="str">
        <f>IF(E36=0,"",VLOOKUP(E36,TablasTec!$A$14:$V$771,5,FALSE))</f>
        <v/>
      </c>
      <c r="K36" s="989" t="str">
        <f>IF(I36="Si",IF(E36=0,"",VLOOKUP(E36,TablasTec!$A$14:$V$771,5,FALSE)),"")</f>
        <v/>
      </c>
      <c r="L36" s="970" t="s">
        <v>1690</v>
      </c>
      <c r="M36" s="1394" t="str">
        <f>IF(E36=0,"",VLOOKUP(E36,TablasTec!$A$14:$V$771,6,FALSE))</f>
        <v/>
      </c>
      <c r="N36" s="973" t="str">
        <f>IF(L36="Si",IF(E36=0,"",VLOOKUP(E36,TablasTec!$A$14:$V$771,6,FALSE)),"")</f>
        <v/>
      </c>
      <c r="O36" s="970" t="s">
        <v>1690</v>
      </c>
      <c r="P36" s="1394" t="str">
        <f>IF(E36=0,"",VLOOKUP(E36,TablasTec!$A$14:$V$771,7,FALSE))</f>
        <v/>
      </c>
      <c r="Q36" s="973" t="str">
        <f>IF(O36="Si",IF(E36=0,"",VLOOKUP(E36,TablasTec!$A$14:$V$771,7,FALSE)),"")</f>
        <v/>
      </c>
      <c r="R36" s="988" t="str">
        <f>IF(E36=0,"",VLOOKUP(E36,TablasTec!$A$14:$V$771,8,FALSE))</f>
        <v/>
      </c>
      <c r="S36" s="1375" t="str">
        <f>IF(R36=$D$8,$D$8,IF(R36=2,2,IF(R36=3,3,R36)))</f>
        <v/>
      </c>
      <c r="T36" s="4896"/>
      <c r="U36" s="4897"/>
      <c r="V36" s="1368" t="str">
        <f>IF(OR(V34=0,V34=""),"N/A",V34)</f>
        <v>N/A</v>
      </c>
      <c r="W36" s="4896" t="str">
        <f xml:space="preserve"> IF(OR(AF34=0,AF34=""),"N/A",W34)</f>
        <v>N/A</v>
      </c>
      <c r="X36" s="4898"/>
      <c r="Y36" s="4898"/>
      <c r="Z36" s="4898"/>
      <c r="AA36" s="4898"/>
      <c r="AB36" s="4898"/>
      <c r="AC36" s="4898"/>
      <c r="AD36" s="4898"/>
      <c r="AE36" s="4898"/>
      <c r="AF36" s="4897"/>
      <c r="AG36" s="4896" t="str">
        <f xml:space="preserve"> IF(OR(AP34="",AP34=0),"N/A",AG34)</f>
        <v>N/A</v>
      </c>
      <c r="AH36" s="4898"/>
      <c r="AI36" s="4898"/>
      <c r="AJ36" s="4898"/>
      <c r="AK36" s="4898"/>
      <c r="AL36" s="4898"/>
      <c r="AM36" s="4898"/>
      <c r="AN36" s="4898"/>
      <c r="AO36" s="4898"/>
      <c r="AP36" s="4897"/>
      <c r="AQ36" s="4896" t="str">
        <f xml:space="preserve"> IF(OR(AZ34="",AZ34=0),"N/A",AQ34)</f>
        <v>N/A</v>
      </c>
      <c r="AR36" s="4898"/>
      <c r="AS36" s="4898"/>
      <c r="AT36" s="4898"/>
      <c r="AU36" s="4898"/>
      <c r="AV36" s="4898"/>
      <c r="AW36" s="4898"/>
      <c r="AX36" s="4898"/>
      <c r="AY36" s="4898"/>
      <c r="AZ36" s="4897"/>
      <c r="BA36" s="4896" t="str">
        <f xml:space="preserve"> IF(OR(BJ34="",BJ34=0),"N/A",BA34)</f>
        <v>N/A</v>
      </c>
      <c r="BB36" s="4898"/>
      <c r="BC36" s="4898"/>
      <c r="BD36" s="4898"/>
      <c r="BE36" s="4898"/>
      <c r="BF36" s="4898"/>
      <c r="BG36" s="4898"/>
      <c r="BH36" s="4898"/>
      <c r="BI36" s="4898"/>
      <c r="BJ36" s="4897"/>
      <c r="BK36" s="990" t="s">
        <v>4541</v>
      </c>
      <c r="BL36" s="972"/>
      <c r="BM36" s="1007"/>
      <c r="BN36" s="991"/>
      <c r="BO36" s="992"/>
      <c r="BP36" s="993" t="str">
        <f>IF(I36="Si",VLOOKUP($D$8,TablasTec!$E$4:$F$6,2,FALSE),"")</f>
        <v/>
      </c>
      <c r="BQ36" s="963" t="str">
        <f>IF(L36="Si",VLOOKUP($D$8,TablasTec!$I$4:$J$6,2,FALSE),"")</f>
        <v/>
      </c>
      <c r="BR36" s="994" t="str">
        <f>IF(O36="Si",VLOOKUP($D$8,TablasTec!$I$7:$J$9,2,FALSE),"")</f>
        <v/>
      </c>
      <c r="BS36" s="977"/>
      <c r="BU36" s="4863"/>
      <c r="BV36" s="4863"/>
      <c r="BW36" s="4863"/>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c r="A37" s="922"/>
      <c r="B37" s="922"/>
      <c r="C37" s="4909"/>
      <c r="D37" s="1435" t="s">
        <v>1766</v>
      </c>
      <c r="E37" s="978"/>
      <c r="F37" s="1008"/>
      <c r="G37" s="1420" t="str">
        <f>IF(E37=0,"",VLOOKUP(E37,TablasTec!$A$14:$V$771,3,FALSE))</f>
        <v/>
      </c>
      <c r="H37" s="981" t="str">
        <f>IF($E37=0,"",VLOOKUP($E37,TablasTec!$A$14:$V$771,4,FALSE))</f>
        <v/>
      </c>
      <c r="I37" s="982" t="s">
        <v>1690</v>
      </c>
      <c r="J37" s="1398" t="str">
        <f>IF(E37=0,"",VLOOKUP(E37,TablasTec!$A$14:$V$771,5,FALSE))</f>
        <v/>
      </c>
      <c r="K37" s="984" t="str">
        <f>IF(I37="Si",IF(E37=0,"",VLOOKUP(E37,TablasTec!$A$14:$V$771,5,FALSE)),"")</f>
        <v/>
      </c>
      <c r="L37" s="982" t="s">
        <v>1690</v>
      </c>
      <c r="M37" s="1398" t="str">
        <f>IF(E37=0,"",VLOOKUP(E37,TablasTec!$A$14:$V$771,6,FALSE))</f>
        <v/>
      </c>
      <c r="N37" s="985" t="str">
        <f>IF(L37="Si",IF(E37=0,"",VLOOKUP(E37,TablasTec!$A$14:$V$771,6,FALSE)),"")</f>
        <v/>
      </c>
      <c r="O37" s="982" t="s">
        <v>1690</v>
      </c>
      <c r="P37" s="1398" t="str">
        <f>IF(E37=0,"",VLOOKUP(E37,TablasTec!$A$14:$V$771,7,FALSE))</f>
        <v/>
      </c>
      <c r="Q37" s="985" t="str">
        <f>IF(O37="Si",IF(E37=0,"",VLOOKUP(E37,TablasTec!$A$14:$V$771,7,FALSE)),"")</f>
        <v/>
      </c>
      <c r="R37" s="983" t="str">
        <f>IF(E37=0,"",VLOOKUP(E37,TablasTec!$A$14:$V$771,8,FALSE))</f>
        <v/>
      </c>
      <c r="S37" s="981" t="str">
        <f>IF(R37=$D$8,$D$8,IF(R37=2,2,IF(R37=3,3,R37)))</f>
        <v/>
      </c>
      <c r="T37" s="4899" t="s">
        <v>4542</v>
      </c>
      <c r="U37" s="4900"/>
      <c r="V37" s="1374"/>
      <c r="W37" s="4901"/>
      <c r="X37" s="4902"/>
      <c r="Y37" s="4902"/>
      <c r="Z37" s="4902"/>
      <c r="AA37" s="4902"/>
      <c r="AB37" s="4902"/>
      <c r="AC37" s="4902"/>
      <c r="AD37" s="4902"/>
      <c r="AE37" s="4902"/>
      <c r="AF37" s="4903"/>
      <c r="AG37" s="4901"/>
      <c r="AH37" s="4902"/>
      <c r="AI37" s="4902"/>
      <c r="AJ37" s="4902"/>
      <c r="AK37" s="4902"/>
      <c r="AL37" s="4902"/>
      <c r="AM37" s="4902"/>
      <c r="AN37" s="4902"/>
      <c r="AO37" s="4902"/>
      <c r="AP37" s="4903"/>
      <c r="AQ37" s="4901"/>
      <c r="AR37" s="4902"/>
      <c r="AS37" s="4902"/>
      <c r="AT37" s="4902"/>
      <c r="AU37" s="4902"/>
      <c r="AV37" s="4902"/>
      <c r="AW37" s="4902"/>
      <c r="AX37" s="4902"/>
      <c r="AY37" s="4902"/>
      <c r="AZ37" s="4903"/>
      <c r="BA37" s="4901"/>
      <c r="BB37" s="4902"/>
      <c r="BC37" s="4902"/>
      <c r="BD37" s="4902"/>
      <c r="BE37" s="4902"/>
      <c r="BF37" s="4902"/>
      <c r="BG37" s="4902"/>
      <c r="BH37" s="4902"/>
      <c r="BI37" s="4902"/>
      <c r="BJ37" s="4903"/>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IF(I37="Si",VLOOKUP($D$8,TablasTec!$E$4:$F$6,2,FALSE),"")</f>
        <v/>
      </c>
      <c r="BQ37" s="962" t="str">
        <f>IF(L37="Si",VLOOKUP($D$8,TablasTec!$I$4:$J$6,2,FALSE),"")</f>
        <v/>
      </c>
      <c r="BR37" s="960" t="str">
        <f>IF(O37="Si",VLOOKUP($D$8,TablasTec!$I$7:$J$9,2,FALSE),"")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c r="A38" s="922"/>
      <c r="B38" s="922"/>
      <c r="C38" s="4909"/>
      <c r="D38" s="1436" t="s">
        <v>1766</v>
      </c>
      <c r="E38" s="986"/>
      <c r="F38" s="1002"/>
      <c r="G38" s="972" t="str">
        <f>IF(E38=0,"",VLOOKUP(E38,TablasTec!$A$14:$V$771,3,FALSE))</f>
        <v/>
      </c>
      <c r="H38" s="987" t="str">
        <f>IF($E38=0,"",VLOOKUP($E38,TablasTec!$A$14:$V$771,4,FALSE))</f>
        <v/>
      </c>
      <c r="I38" s="970" t="s">
        <v>1690</v>
      </c>
      <c r="J38" s="1394" t="str">
        <f>IF(E38=0,"",VLOOKUP(E38,TablasTec!$A$14:$V$771,5,FALSE))</f>
        <v/>
      </c>
      <c r="K38" s="989" t="str">
        <f>IF(I38="Si",IF(E38=0,"",VLOOKUP(E38,TablasTec!$A$14:$V$771,5,FALSE)),"")</f>
        <v/>
      </c>
      <c r="L38" s="970" t="s">
        <v>1690</v>
      </c>
      <c r="M38" s="1394" t="str">
        <f>IF(E38=0,"",VLOOKUP(E38,TablasTec!$A$14:$V$771,6,FALSE))</f>
        <v/>
      </c>
      <c r="N38" s="973" t="str">
        <f>IF(L38="Si",IF(E38=0,"",VLOOKUP(E38,TablasTec!$A$14:$V$771,6,FALSE)),"")</f>
        <v/>
      </c>
      <c r="O38" s="970" t="s">
        <v>1690</v>
      </c>
      <c r="P38" s="1394" t="str">
        <f>IF(E38=0,"",VLOOKUP(E38,TablasTec!$A$14:$V$771,7,FALSE))</f>
        <v/>
      </c>
      <c r="Q38" s="973" t="str">
        <f>IF(O38="Si",IF(E38=0,"",VLOOKUP(E38,TablasTec!$A$14:$V$771,7,FALSE)),"")</f>
        <v/>
      </c>
      <c r="R38" s="988" t="str">
        <f>IF(E38=0,"",VLOOKUP(E38,TablasTec!$A$14:$V$771,8,FALSE))</f>
        <v/>
      </c>
      <c r="S38" s="987" t="str">
        <f>IF(R38=$D$8,$D$8,IF(R38=2,2,IF(R38=3,3,R38)))</f>
        <v/>
      </c>
      <c r="T38" s="4904" t="s">
        <v>4544</v>
      </c>
      <c r="U38" s="4905"/>
      <c r="V38" s="1377"/>
      <c r="W38" s="4906"/>
      <c r="X38" s="4907"/>
      <c r="Y38" s="4907"/>
      <c r="Z38" s="4907"/>
      <c r="AA38" s="4907"/>
      <c r="AB38" s="4907"/>
      <c r="AC38" s="4907"/>
      <c r="AD38" s="4907"/>
      <c r="AE38" s="4907"/>
      <c r="AF38" s="4908"/>
      <c r="AG38" s="4906"/>
      <c r="AH38" s="4907"/>
      <c r="AI38" s="4907"/>
      <c r="AJ38" s="4907"/>
      <c r="AK38" s="4907"/>
      <c r="AL38" s="4907"/>
      <c r="AM38" s="4907"/>
      <c r="AN38" s="4907"/>
      <c r="AO38" s="4907"/>
      <c r="AP38" s="4908"/>
      <c r="AQ38" s="4906"/>
      <c r="AR38" s="4907"/>
      <c r="AS38" s="4907"/>
      <c r="AT38" s="4907"/>
      <c r="AU38" s="4907"/>
      <c r="AV38" s="4907"/>
      <c r="AW38" s="4907"/>
      <c r="AX38" s="4907"/>
      <c r="AY38" s="4907"/>
      <c r="AZ38" s="4908"/>
      <c r="BA38" s="4906"/>
      <c r="BB38" s="4907"/>
      <c r="BC38" s="4907"/>
      <c r="BD38" s="4907"/>
      <c r="BE38" s="4907"/>
      <c r="BF38" s="4907"/>
      <c r="BG38" s="4907"/>
      <c r="BH38" s="4907"/>
      <c r="BI38" s="4907"/>
      <c r="BJ38" s="4908"/>
      <c r="BK38" s="987">
        <f>SUM(K34:K38)-SUM(V38:BA38)</f>
        <v>0</v>
      </c>
      <c r="BL38" s="972"/>
      <c r="BM38" s="1007"/>
      <c r="BN38" s="991"/>
      <c r="BO38" s="992"/>
      <c r="BP38" s="993" t="str">
        <f>IF(I38="Si",VLOOKUP($D$8,TablasTec!$E$4:$F$6,2,FALSE),"")</f>
        <v/>
      </c>
      <c r="BQ38" s="963" t="str">
        <f>IF(L38="Si",VLOOKUP($D$8,TablasTec!$I$4:$J$6,2,FALSE),"")</f>
        <v/>
      </c>
      <c r="BR38" s="994" t="str">
        <f>IF(O38="Si",VLOOKUP($D$8,TablasTec!$I$7:$J$9,2,FALSE),"")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c r="A39" s="922"/>
      <c r="B39" s="922"/>
      <c r="C39" s="4909"/>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89"/>
      <c r="BL39" s="4889"/>
      <c r="BM39" s="4854"/>
      <c r="BN39" s="960">
        <f>SUM(K39:K42)</f>
        <v>0</v>
      </c>
      <c r="BO39" s="954">
        <f>IF(E39=0,"",(AF39+AP39+AZ39+BJ39))</f>
        <v>0</v>
      </c>
      <c r="BP39" s="961" t="str">
        <f>IF(I39="Si",VLOOKUP($D$8,TablasTec!$E$4:$F$6,2,FALSE),"")</f>
        <v/>
      </c>
      <c r="BQ39" s="962" t="str">
        <f>IF(L39="Si",VLOOKUP($D$8,TablasTec!$I$4:$J$6,2,FALSE),"")</f>
        <v/>
      </c>
      <c r="BR39" s="960" t="str">
        <f>IF(O39="Si",VLOOKUP($D$8,TablasTec!$I$7:$J$9,2,FALSE),"")</f>
        <v/>
      </c>
      <c r="BS39" s="977"/>
      <c r="BT39" s="4853" t="s">
        <v>4553</v>
      </c>
      <c r="BU39" s="4854"/>
      <c r="BV39" s="954"/>
      <c r="BW39" s="934"/>
      <c r="BX39" s="934"/>
      <c r="BY39" s="1269"/>
      <c r="BZ39" s="1287"/>
      <c r="CA39" s="922"/>
      <c r="DR39" s="922"/>
      <c r="DT39" s="1308"/>
      <c r="DU39" s="1360"/>
      <c r="DV39" s="1360"/>
      <c r="DW39" s="1360"/>
      <c r="DX39" s="1360"/>
      <c r="DY39" s="1307"/>
      <c r="DZ39" s="922"/>
      <c r="EA39" s="1453">
        <f t="shared" si="0"/>
        <v>1</v>
      </c>
    </row>
    <row r="40" spans="1:132" ht="11.25" customHeight="1">
      <c r="A40" s="922"/>
      <c r="B40" s="922"/>
      <c r="C40" s="4909"/>
      <c r="D40" s="1439" t="s">
        <v>4552</v>
      </c>
      <c r="E40" s="966"/>
      <c r="F40" s="989"/>
      <c r="G40" s="989"/>
      <c r="H40" s="987" t="str">
        <f>IF(D8=0,"",IF(E40=0,"",VLOOKUP(E40,TablasTec!$A$14:$V$771,4,FALSE)))</f>
        <v/>
      </c>
      <c r="I40" s="989"/>
      <c r="J40" s="989"/>
      <c r="K40" s="1021"/>
      <c r="L40" s="989"/>
      <c r="M40" s="989"/>
      <c r="N40" s="1021"/>
      <c r="O40" s="989"/>
      <c r="P40" s="989"/>
      <c r="Q40" s="989"/>
      <c r="R40" s="988" t="str">
        <f>IF(E40=0,"",VLOOKUP(E40,TablasTec!$A$14:$V$771,8,FALSE))</f>
        <v/>
      </c>
      <c r="S40" s="1014" t="str">
        <f>IF(R40=$D$8,$D$8,IF(R40=2,2,IF(R40=3,3,R40)))</f>
        <v/>
      </c>
      <c r="T40" s="989" t="str">
        <f>IF(E40=0,"",VLOOKUP(E40,TablasTec!$A$14:$V$771,9,FALSE))</f>
        <v/>
      </c>
      <c r="U40" s="1016" t="str">
        <f>IF(E40=0,"",VLOOKUP(E40,TablasTec!$A$14:$V$771,10,FALSE))</f>
        <v/>
      </c>
      <c r="V40" s="1017"/>
      <c r="W40" s="1017"/>
      <c r="X40" s="1016"/>
      <c r="Y40" s="1016"/>
      <c r="Z40" s="1016"/>
      <c r="AA40" s="1016"/>
      <c r="AB40" s="1016"/>
      <c r="AC40" s="1016"/>
      <c r="AD40" s="1016"/>
      <c r="AE40" s="1016"/>
      <c r="AF40" s="1016"/>
      <c r="AG40" s="4886" t="str">
        <f>IF(OR(E40=TablasTec!A$678,E40=TablasTec!A$679,E41=TablasTec!A$678,E41=TablasTec!A$679,E42=TablasTec!A$678,E42=TablasTec!A$679),"Selecciona la atadura elemental:","")</f>
        <v/>
      </c>
      <c r="AH40" s="4887"/>
      <c r="AI40" s="4887"/>
      <c r="AJ40" s="4887"/>
      <c r="AK40" s="4887"/>
      <c r="AL40" s="4887"/>
      <c r="AM40" s="4887"/>
      <c r="AN40" s="4887"/>
      <c r="AO40" s="4887"/>
      <c r="AP40" s="4887"/>
      <c r="AQ40" s="4887"/>
      <c r="AR40" s="4887"/>
      <c r="AS40" s="4887"/>
      <c r="AT40" s="4887"/>
      <c r="AU40" s="4887"/>
      <c r="AV40" s="4887"/>
      <c r="AW40" s="4887"/>
      <c r="AX40" s="4887"/>
      <c r="AY40" s="4887"/>
      <c r="AZ40" s="4887"/>
      <c r="BA40" s="4887"/>
      <c r="BB40" s="4887"/>
      <c r="BC40" s="4887"/>
      <c r="BD40" s="4887"/>
      <c r="BE40" s="4887"/>
      <c r="BF40" s="4887"/>
      <c r="BG40" s="4887"/>
      <c r="BH40" s="4887"/>
      <c r="BI40" s="4887"/>
      <c r="BJ40" s="4887"/>
      <c r="BK40" s="4888"/>
      <c r="BL40" s="1424"/>
      <c r="BM40" s="1424"/>
      <c r="BN40" s="989"/>
      <c r="BO40" s="989"/>
      <c r="BP40" s="1021"/>
      <c r="BQ40" s="989"/>
      <c r="BR40" s="989"/>
      <c r="BS40" s="989"/>
      <c r="BT40" s="4855">
        <f>D8</f>
        <v>1</v>
      </c>
      <c r="BU40" s="4856"/>
      <c r="BV40" s="954">
        <f>IF(BV39=0,0,VLOOKUP(BV39,TablasTec!$M$4:$N$7,2,FALSE))</f>
        <v>0</v>
      </c>
      <c r="BW40" s="934"/>
      <c r="BX40" s="934"/>
      <c r="BY40" s="1269"/>
      <c r="BZ40" s="1287"/>
      <c r="CA40" s="922"/>
      <c r="DR40" s="922"/>
      <c r="DT40" s="1308"/>
      <c r="DU40" s="1360"/>
      <c r="DV40" s="1360"/>
      <c r="DW40" s="1360"/>
      <c r="DX40" s="1360"/>
      <c r="DY40" s="1307"/>
      <c r="DZ40" s="922"/>
      <c r="EA40" s="1453">
        <f t="shared" si="0"/>
        <v>1</v>
      </c>
    </row>
    <row r="41" spans="1:132">
      <c r="A41" s="922"/>
      <c r="B41" s="922"/>
      <c r="C41" s="4909"/>
      <c r="D41" s="1435" t="s">
        <v>4554</v>
      </c>
      <c r="E41" s="1022"/>
      <c r="F41" s="1388"/>
      <c r="G41" s="1389"/>
      <c r="H41" s="979" t="str">
        <f>IF(VALUE(D8)&gt;1,IF(E41=0,"",VLOOKUP(E41,TablasTec!$A$14:$V$771,4,FALSE)),"")</f>
        <v/>
      </c>
      <c r="I41" s="1388"/>
      <c r="J41" s="1389"/>
      <c r="K41" s="1389"/>
      <c r="L41" s="1388"/>
      <c r="M41" s="1389"/>
      <c r="N41" s="1390"/>
      <c r="O41" s="1389"/>
      <c r="P41" s="1389"/>
      <c r="Q41" s="1389"/>
      <c r="R41" s="983" t="str">
        <f>IF(E41=0,"",VLOOKUP(E41,TablasTec!$A$14:$V$771,8,FALSE))</f>
        <v/>
      </c>
      <c r="S41" s="981" t="str">
        <f>IF(R41=$D$8,$D$8,IF(R41=2,2,IF(R41=3,3,R41)))</f>
        <v/>
      </c>
      <c r="T41" s="984" t="str">
        <f>IF(E41=0,"",VLOOKUP(E41,TablasTec!$A$14:$V$771,9,FALSE))</f>
        <v/>
      </c>
      <c r="U41" s="984" t="str">
        <f>IF(E41=0,"",VLOOKUP(E41,TablasTec!$A$14:$V$771,10,FALSE))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c r="A42" s="922"/>
      <c r="B42" s="922"/>
      <c r="C42" s="4909"/>
      <c r="D42" s="1440" t="s">
        <v>4555</v>
      </c>
      <c r="E42" s="1023"/>
      <c r="F42" s="1370"/>
      <c r="G42" s="998"/>
      <c r="H42" s="997" t="str">
        <f>IF(VALUE(D8)=3,IF(E42=0,"",VLOOKUP(E42,TablasTec!$A$14:$V$771,4,FALSE)),"")</f>
        <v/>
      </c>
      <c r="I42" s="998"/>
      <c r="J42" s="998"/>
      <c r="K42" s="998"/>
      <c r="L42" s="1370"/>
      <c r="M42" s="998"/>
      <c r="N42" s="998"/>
      <c r="O42" s="1370"/>
      <c r="P42" s="998"/>
      <c r="Q42" s="998"/>
      <c r="R42" s="1018" t="str">
        <f>IF(E42=0,"",VLOOKUP(E42,TablasTec!$A$14:$V$771,8,FALSE))</f>
        <v/>
      </c>
      <c r="S42" s="997" t="str">
        <f>IF(R42=$D$8,$D$8,IF(R42=2,2,IF(R42=3,3,R42)))</f>
        <v/>
      </c>
      <c r="T42" s="998" t="str">
        <f>IF(E42=0,"",VLOOKUP(E42,TablasTec!$A$14:$V$771,9,FALSE))</f>
        <v/>
      </c>
      <c r="U42" s="998" t="str">
        <f>IF(E42=0,"",VLOOKUP(E42,TablasTec!$A$14:$V$771,10,FALSE))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IF(BV41=0,0,VLOOKUP(BV41,TablasTec!$M$4:$N$7,2,FALSE))</f>
        <v>0</v>
      </c>
      <c r="BW42" s="934"/>
      <c r="BX42" s="934"/>
      <c r="BY42" s="1269"/>
      <c r="BZ42" s="1287"/>
      <c r="CA42" s="926"/>
      <c r="CC42" s="2802"/>
      <c r="DR42" s="926"/>
      <c r="DS42" s="1303"/>
      <c r="DT42" s="1311"/>
      <c r="DU42" s="1416"/>
      <c r="DV42" s="1416"/>
      <c r="DW42" s="1416"/>
      <c r="DX42" s="1416"/>
      <c r="DY42" s="1312"/>
      <c r="DZ42" s="926"/>
      <c r="EA42" s="1453">
        <f t="shared" si="0"/>
        <v>1</v>
      </c>
    </row>
    <row r="43" spans="1:132">
      <c r="A43" s="926"/>
      <c r="B43" s="926"/>
      <c r="C43" s="4909"/>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c r="A44" s="922"/>
      <c r="B44" s="922"/>
      <c r="C44" s="4909"/>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c r="A45" s="922"/>
      <c r="B45" s="922"/>
      <c r="C45" s="4909"/>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3175" t="s">
        <v>1708</v>
      </c>
      <c r="U45" s="3175" t="s">
        <v>1679</v>
      </c>
      <c r="V45" s="3175" t="s">
        <v>3335</v>
      </c>
      <c r="W45" s="4881" t="s">
        <v>3336</v>
      </c>
      <c r="X45" s="4881"/>
      <c r="Y45" s="4881"/>
      <c r="Z45" s="4881"/>
      <c r="AA45" s="4881"/>
      <c r="AB45" s="4881"/>
      <c r="AC45" s="4881"/>
      <c r="AD45" s="4881"/>
      <c r="AE45" s="4881"/>
      <c r="AF45" s="4881"/>
      <c r="AG45" s="4881"/>
      <c r="AH45" s="4881"/>
      <c r="AI45" s="4881"/>
      <c r="AJ45" s="4881"/>
      <c r="AK45" s="4881"/>
      <c r="AL45" s="4881"/>
      <c r="AM45" s="4881"/>
      <c r="AN45" s="4881"/>
      <c r="AO45" s="4881"/>
      <c r="AP45" s="4881"/>
      <c r="AQ45" s="4881"/>
      <c r="AR45" s="4881"/>
      <c r="AS45" s="4881"/>
      <c r="AT45" s="4881"/>
      <c r="AU45" s="4881"/>
      <c r="AV45" s="4881"/>
      <c r="AW45" s="4881"/>
      <c r="AX45" s="4881"/>
      <c r="AY45" s="4881"/>
      <c r="AZ45" s="4881"/>
      <c r="BA45" s="4881"/>
      <c r="BB45" s="4881"/>
      <c r="BC45" s="4881"/>
      <c r="BD45" s="4881"/>
      <c r="BE45" s="4881"/>
      <c r="BF45" s="4881"/>
      <c r="BG45" s="4881"/>
      <c r="BH45" s="4881"/>
      <c r="BI45" s="4881"/>
      <c r="BJ45" s="4881"/>
      <c r="BK45" s="4881" t="s">
        <v>3337</v>
      </c>
      <c r="BL45" s="4881"/>
      <c r="BM45" s="4882"/>
      <c r="BN45" s="952" t="s">
        <v>4532</v>
      </c>
      <c r="BO45" s="952" t="s">
        <v>4533</v>
      </c>
      <c r="BP45" s="952" t="s">
        <v>4534</v>
      </c>
      <c r="BQ45" s="952" t="s">
        <v>4535</v>
      </c>
      <c r="BR45" s="952" t="s">
        <v>4536</v>
      </c>
      <c r="BS45" s="953" t="s">
        <v>4537</v>
      </c>
      <c r="BT45" s="4857" t="s">
        <v>4538</v>
      </c>
      <c r="BU45" s="4858"/>
      <c r="BV45" s="954"/>
      <c r="BW45" s="934"/>
      <c r="BX45" s="934"/>
      <c r="BY45" s="1269"/>
      <c r="BZ45" s="1287"/>
      <c r="CA45" s="922"/>
      <c r="DR45" s="922"/>
      <c r="DT45" s="1308"/>
      <c r="DU45" s="1360"/>
      <c r="DV45" s="1360"/>
      <c r="DW45" s="1360"/>
      <c r="DX45" s="1360"/>
      <c r="DY45" s="1307"/>
      <c r="DZ45" s="922"/>
      <c r="EB45" s="2127">
        <f>D45</f>
        <v>1</v>
      </c>
    </row>
    <row r="46" spans="1:13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09"/>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IF(I46="Si",VLOOKUP($D$8,TablasTec!$E$4:$F$6,2,FALSE),"")</f>
        <v/>
      </c>
      <c r="BQ46" s="962" t="str">
        <f>IF(L46="Si",VLOOKUP($D$8,TablasTec!$I$4:$J$6,2,FALSE),"")</f>
        <v/>
      </c>
      <c r="BR46" s="960" t="str">
        <f>IF(O46="Si",VLOOKUP($D$8,TablasTec!$I$7:$J$9,2,FALSE),"")</f>
        <v/>
      </c>
      <c r="BS46" s="963">
        <f>VLOOKUP(D45,TablasTec!$P$6:$R$8,3)</f>
        <v>50</v>
      </c>
      <c r="BT46" s="964">
        <f>VLOOKUP(D45,TablasTec!$P$6:$R$8,3,FALSE)</f>
        <v>50</v>
      </c>
      <c r="BU46" s="965">
        <f>VLOOKUP(D45,TablasTec!$P$6:$R$8,2,FALSE)</f>
        <v>20</v>
      </c>
      <c r="BV46" s="954">
        <f>IF(D45=0,"",VLOOKUP(D45,TablasTec!$L$4:$N$7,2,FALSE))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09"/>
      <c r="D47" s="1436" t="s">
        <v>1766</v>
      </c>
      <c r="E47" s="966"/>
      <c r="F47" s="967" t="str">
        <f>IF(E47=0,"",VLOOKUP(E47,TablasTec!$A$14:$V$771,2,FALSE))</f>
        <v/>
      </c>
      <c r="G47" s="968"/>
      <c r="H47" s="969" t="str">
        <f>IF($E47=0,"",VLOOKUP($E47,TablasTec!$A$14:$V$771,4,FALSE))</f>
        <v/>
      </c>
      <c r="I47" s="970" t="s">
        <v>1690</v>
      </c>
      <c r="J47" s="1395" t="str">
        <f>IF(E47=0,"",VLOOKUP(E47,TablasTec!$A$14:$V$771,5,FALSE))</f>
        <v/>
      </c>
      <c r="K47" s="972" t="str">
        <f>IF(I47="Si",IF(E47=0,"",VLOOKUP(E47,TablasTec!$A$14:$V$771,5,FALSE)),"")</f>
        <v/>
      </c>
      <c r="L47" s="970" t="s">
        <v>1690</v>
      </c>
      <c r="M47" s="1395" t="str">
        <f>IF(E47=0,"",VLOOKUP(E47,TablasTec!$A$14:$V$771,6,FALSE))</f>
        <v/>
      </c>
      <c r="N47" s="973" t="str">
        <f>IF(L47="Si",IF(E47=0,"",VLOOKUP(E47,TablasTec!$A$14:$V$771,6,FALSE)),"")</f>
        <v/>
      </c>
      <c r="O47" s="970" t="s">
        <v>1690</v>
      </c>
      <c r="P47" s="1395" t="str">
        <f>IF(E47=0,"",VLOOKUP(E47,TablasTec!$A$14:$V$771,7,FALSE))</f>
        <v/>
      </c>
      <c r="Q47" s="973" t="str">
        <f>IF(O47="Si",IF(E47=0,"",VLOOKUP(E47,TablasTec!$A$14:$V$771,7,FALSE)),"")</f>
        <v/>
      </c>
      <c r="R47" s="971" t="str">
        <f>IF(E47=0,"",VLOOKUP(E47,TablasTec!$A$14:$V$771,8,FALSE))</f>
        <v/>
      </c>
      <c r="S47" s="969" t="str">
        <f>IF(R47=$D$8,$D$8,IF(R47=2,2,IF(R47=3,3,R47)))</f>
        <v/>
      </c>
      <c r="T47" s="972" t="str">
        <f>IF(E47=0,"",VLOOKUP(E47,TablasTec!$A$14:$V$771,9,FALSE))</f>
        <v/>
      </c>
      <c r="U47" s="972" t="str">
        <f>IF(E47=0,"",VLOOKUP(E47,TablasTec!$A$14:$V$771,10,FALSE))</f>
        <v/>
      </c>
      <c r="V47" s="967" t="str">
        <f>IF(E47=0,"",VLOOKUP(E47,TablasTec!$A$14:$V$771,11,FALSE))</f>
        <v/>
      </c>
      <c r="W47" s="970"/>
      <c r="X47" s="971" t="e">
        <f>VLOOKUP(E47,TablasTec!$A$14:$V$771,12,FALSE)</f>
        <v>#N/A</v>
      </c>
      <c r="Y47" s="971" t="e">
        <f>IF(W47=X47,VLOOKUP(E47,TablasTec!$A$14:$V$771,13,FALSE),0)</f>
        <v>#N/A</v>
      </c>
      <c r="Z47" s="971" t="e">
        <f>VLOOKUP(E47,TablasTec!$A$14:$V$771,14,FALSE)</f>
        <v>#N/A</v>
      </c>
      <c r="AA47" s="971" t="e">
        <f>IF(W47=Z47,VLOOKUP(E47,TablasTec!$A$14:$V$616,15,FALSE),0)</f>
        <v>#N/A</v>
      </c>
      <c r="AB47" s="971" t="e">
        <f>VLOOKUP(E47,TablasTec!$A$14:$V$771,16,FALSE)</f>
        <v>#N/A</v>
      </c>
      <c r="AC47" s="971" t="e">
        <f>IF(W47=AB47,VLOOKUP(E47,TablasTec!$A$14:$V$616,17,FALSE),0)</f>
        <v>#N/A</v>
      </c>
      <c r="AD47" s="971" t="e">
        <f>VLOOKUP(E47,TablasTec!$A$14:$V$771,18,FALSE)</f>
        <v>#N/A</v>
      </c>
      <c r="AE47" s="971" t="e">
        <f>IF(W47=AD47,VLOOKUP(E47,TablasTec!$A$14:$V$771,19,FALSE),0)</f>
        <v>#N/A</v>
      </c>
      <c r="AF47" s="973" t="str">
        <f>IF(E47=0,"",(Y47+AA47+AC47+AE47))</f>
        <v/>
      </c>
      <c r="AG47" s="970"/>
      <c r="AH47" s="971" t="e">
        <f>VLOOKUP(E47,TablasTec!$A$14:$V$771,12,FALSE)</f>
        <v>#N/A</v>
      </c>
      <c r="AI47" s="971" t="e">
        <f>IF(AG47=AH47,VLOOKUP(E47,TablasTec!$A$14:$V$771,13,FALSE),0)</f>
        <v>#N/A</v>
      </c>
      <c r="AJ47" s="971" t="e">
        <f>VLOOKUP(E47,TablasTec!$A$14:$V$771,14,FALSE)</f>
        <v>#N/A</v>
      </c>
      <c r="AK47" s="971" t="e">
        <f>IF(AG47=AJ47,VLOOKUP(E47,TablasTec!$A$14:$V$771,15,FALSE),0)</f>
        <v>#N/A</v>
      </c>
      <c r="AL47" s="971" t="e">
        <f>VLOOKUP(E47,TablasTec!$A$14:$V$771,16,FALSE)</f>
        <v>#N/A</v>
      </c>
      <c r="AM47" s="971" t="e">
        <f>IF(AG47=AL47,VLOOKUP(E47,TablasTec!$A$14:$V$771,17,FALSE),0)</f>
        <v>#N/A</v>
      </c>
      <c r="AN47" s="971" t="e">
        <f>VLOOKUP(E47,TablasTec!$A$14:$V$771,18,FALSE)</f>
        <v>#N/A</v>
      </c>
      <c r="AO47" s="971" t="e">
        <f>IF(AG47=AN47,VLOOKUP(E47,TablasTec!$A$14:$V$771,19,FALSE),0)</f>
        <v>#N/A</v>
      </c>
      <c r="AP47" s="973" t="str">
        <f>IF(E47=0,"",(AI47+AK47+AM47+AO47))</f>
        <v/>
      </c>
      <c r="AQ47" s="970"/>
      <c r="AR47" s="971" t="e">
        <f>VLOOKUP(E47,TablasTec!$A$14:$V$771,12,FALSE)</f>
        <v>#N/A</v>
      </c>
      <c r="AS47" s="971" t="e">
        <f>IF(AQ47=AR47,VLOOKUP(E47,TablasTec!$A$14:$V$771,13,FALSE),0)</f>
        <v>#N/A</v>
      </c>
      <c r="AT47" s="971" t="e">
        <f>VLOOKUP(E47,TablasTec!$A$14:$V$771,14,FALSE)</f>
        <v>#N/A</v>
      </c>
      <c r="AU47" s="971" t="e">
        <f>IF(AQ47=AT47,VLOOKUP(E47,TablasTec!$A$14:$V$771,15,FALSE),0)</f>
        <v>#N/A</v>
      </c>
      <c r="AV47" s="971" t="e">
        <f>VLOOKUP(E47,TablasTec!$A$14:$V$771,16,FALSE)</f>
        <v>#N/A</v>
      </c>
      <c r="AW47" s="971" t="e">
        <f>IF(AQ47=AV47,VLOOKUP(E47,TablasTec!$A$14:$V$771,17,FALSE),0)</f>
        <v>#N/A</v>
      </c>
      <c r="AX47" s="971" t="e">
        <f>VLOOKUP(E47,TablasTec!$A$14:$V$771,18,FALSE)</f>
        <v>#N/A</v>
      </c>
      <c r="AY47" s="971" t="e">
        <f>IF(AQ47=AX47,VLOOKUP(E47,TablasTec!$A$14:$V$771,19,FALSE),0)</f>
        <v>#N/A</v>
      </c>
      <c r="AZ47" s="972" t="str">
        <f>IF(E47=0,"",(AS47+AU47+AW47+AY47))</f>
        <v/>
      </c>
      <c r="BA47" s="970"/>
      <c r="BB47" s="971" t="e">
        <f>VLOOKUP(E47,TablasTec!$A$14:$V$771,12,FALSE)</f>
        <v>#N/A</v>
      </c>
      <c r="BC47" s="971" t="e">
        <f>IF(BA47=BB47,VLOOKUP(E47,TablasTec!$A$14:$V$771,13,FALSE),0)</f>
        <v>#N/A</v>
      </c>
      <c r="BD47" s="971" t="e">
        <f>VLOOKUP(E47,TablasTec!$A$14:$V$771,14,FALSE)</f>
        <v>#N/A</v>
      </c>
      <c r="BE47" s="971" t="e">
        <f>IF(BA47=BD47,VLOOKUP(E47,TablasTec!$A$14:$V$771,15,FALSE),0)</f>
        <v>#N/A</v>
      </c>
      <c r="BF47" s="971" t="e">
        <f>VLOOKUP(E47,TablasTec!$A$14:$V$771,16,FALSE)</f>
        <v>#N/A</v>
      </c>
      <c r="BG47" s="971" t="e">
        <f>IF(BA47=BF47,VLOOKUP(E47,TablasTec!$A$14:$V$771,17,FALSE),0)</f>
        <v>#N/A</v>
      </c>
      <c r="BH47" s="971" t="e">
        <f>VLOOKUP(E47,TablasTec!$A$14:$V$771,18,FALSE)</f>
        <v>#N/A</v>
      </c>
      <c r="BI47" s="971" t="e">
        <f>IF(BA47=BH47,VLOOKUP(E47,TablasTec!$A$14:$V$771,19,FALSE),0)</f>
        <v>#N/A</v>
      </c>
      <c r="BJ47" s="973" t="str">
        <f>IF(E47=0,"",(BC47+BE47+BG47+BI47))</f>
        <v/>
      </c>
      <c r="BK47" s="972" t="str">
        <f>IF(E47=0,"",VLOOKUP(E47,TablasTec!$A$14:$V$771,20,FALSE))</f>
        <v/>
      </c>
      <c r="BL47" s="972" t="str">
        <f>IF(E47=0,"",VLOOKUP(E47,TablasTec!$A$14:$V$771,21,FALSE))</f>
        <v/>
      </c>
      <c r="BM47" s="974" t="str">
        <f>IF(E47=0,"",VLOOKUP(E47,TablasTec!$A$14:$V$771,22,FALSE))</f>
        <v/>
      </c>
      <c r="BN47" s="975"/>
      <c r="BO47" s="976"/>
      <c r="BP47" s="961" t="str">
        <f>IF(I47="Si",VLOOKUP($D$8,TablasTec!$E$4:$F$6,2,FALSE),"")</f>
        <v/>
      </c>
      <c r="BQ47" s="962" t="str">
        <f>IF(L47="Si",VLOOKUP($D$8,TablasTec!$I$4:$J$6,2,FALSE),"")</f>
        <v/>
      </c>
      <c r="BR47" s="960" t="str">
        <f>IF(O47="Si",VLOOKUP($D$8,TablasTec!$I$7:$J$9,2,FALSE),"")</f>
        <v/>
      </c>
      <c r="BS47" s="977"/>
      <c r="BT47" s="4857" t="s">
        <v>4539</v>
      </c>
      <c r="BU47" s="4858"/>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6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c r="A48" s="922"/>
      <c r="B48" s="922"/>
      <c r="C48" s="4909"/>
      <c r="D48" s="1435" t="s">
        <v>1766</v>
      </c>
      <c r="E48" s="978"/>
      <c r="F48" s="979" t="str">
        <f>IF(E48=0,"",VLOOKUP(E48,TablasTec!$A$14:$V$771,2,FALSE))</f>
        <v/>
      </c>
      <c r="G48" s="980"/>
      <c r="H48" s="981" t="str">
        <f>IF($E48=0,"",VLOOKUP($E48,TablasTec!$A$14:$V$771,4,FALSE))</f>
        <v/>
      </c>
      <c r="I48" s="982" t="s">
        <v>1690</v>
      </c>
      <c r="J48" s="1398" t="str">
        <f>IF(E48=0,"",VLOOKUP(E48,TablasTec!$A$14:$V$771,5,FALSE))</f>
        <v/>
      </c>
      <c r="K48" s="984" t="str">
        <f>IF(I48="Si",IF(E48=0,"",VLOOKUP(E48,TablasTec!$A$14:$V$771,5,FALSE)),"")</f>
        <v/>
      </c>
      <c r="L48" s="982" t="s">
        <v>1690</v>
      </c>
      <c r="M48" s="1398" t="str">
        <f>IF(E48=0,"",VLOOKUP(E48,TablasTec!$A$14:$V$771,6,FALSE))</f>
        <v/>
      </c>
      <c r="N48" s="985" t="str">
        <f>IF(L48="Si",IF(E48=0,"",VLOOKUP(E48,TablasTec!$A$14:$V$771,6,FALSE)),"")</f>
        <v/>
      </c>
      <c r="O48" s="982" t="s">
        <v>1690</v>
      </c>
      <c r="P48" s="1398" t="str">
        <f>IF(E48=0,"",VLOOKUP(E48,TablasTec!$A$14:$V$771,7,FALSE))</f>
        <v/>
      </c>
      <c r="Q48" s="985" t="str">
        <f>IF(O48="Si",IF(E48=0,"",VLOOKUP(E48,TablasTec!$A$14:$V$771,7,FALSE)),"")</f>
        <v/>
      </c>
      <c r="R48" s="983" t="str">
        <f>IF(E48=0,"",VLOOKUP(E48,TablasTec!$A$14:$V$771,8,FALSE))</f>
        <v/>
      </c>
      <c r="S48" s="981" t="str">
        <f>IF(R48=$D$8,$D$8,IF(R48=2,2,IF(R48=3,3,R48)))</f>
        <v/>
      </c>
      <c r="T48" s="4883" t="s">
        <v>4540</v>
      </c>
      <c r="U48" s="4884"/>
      <c r="V48" s="4884"/>
      <c r="W48" s="4884"/>
      <c r="X48" s="4884"/>
      <c r="Y48" s="4884"/>
      <c r="Z48" s="4884"/>
      <c r="AA48" s="4884"/>
      <c r="AB48" s="4884"/>
      <c r="AC48" s="4884"/>
      <c r="AD48" s="4884"/>
      <c r="AE48" s="4884"/>
      <c r="AF48" s="4884"/>
      <c r="AG48" s="4884"/>
      <c r="AH48" s="4884"/>
      <c r="AI48" s="4884"/>
      <c r="AJ48" s="4884"/>
      <c r="AK48" s="4884"/>
      <c r="AL48" s="4884"/>
      <c r="AM48" s="4884"/>
      <c r="AN48" s="4884"/>
      <c r="AO48" s="4884"/>
      <c r="AP48" s="4884"/>
      <c r="AQ48" s="4884"/>
      <c r="AR48" s="4884"/>
      <c r="AS48" s="4884"/>
      <c r="AT48" s="4884"/>
      <c r="AU48" s="4884"/>
      <c r="AV48" s="4884"/>
      <c r="AW48" s="4884"/>
      <c r="AX48" s="4884"/>
      <c r="AY48" s="4884"/>
      <c r="AZ48" s="4884"/>
      <c r="BA48" s="4884"/>
      <c r="BB48" s="4884"/>
      <c r="BC48" s="4884"/>
      <c r="BD48" s="4884"/>
      <c r="BE48" s="4884"/>
      <c r="BF48" s="4884"/>
      <c r="BG48" s="4884"/>
      <c r="BH48" s="4884"/>
      <c r="BI48" s="4884"/>
      <c r="BJ48" s="4884"/>
      <c r="BK48" s="4885"/>
      <c r="BL48" s="1420"/>
      <c r="BM48" s="1421"/>
      <c r="BN48" s="975"/>
      <c r="BO48" s="976"/>
      <c r="BP48" s="961" t="str">
        <f>IF(I48="Si",VLOOKUP($D$8,TablasTec!$E$4:$F$6,2,FALSE),"")</f>
        <v/>
      </c>
      <c r="BQ48" s="962" t="str">
        <f>IF(L48="Si",VLOOKUP($D$8,TablasTec!$I$4:$J$6,2,FALSE),"")</f>
        <v/>
      </c>
      <c r="BR48" s="960" t="str">
        <f>IF(O48="Si",VLOOKUP($D$8,TablasTec!$I$7:$J$9,2,FALSE),"")</f>
        <v/>
      </c>
      <c r="BS48" s="977"/>
      <c r="BT48" s="4859">
        <f>MAX(BU46,SUM(H47:H79)+IF(OR(I47="Si",I48="Si",I49="Si",I50="Si",I51="Si",I53="Si",I54="Si",I55="Si",I56="Si",I57="Si",I59="Si",I60="Si",I61="Si",I62="Si",I63="Si",I65="Si",I66="Si",I67="Si",I68="Si",I69="Si",I71="Si",I72="Si",I73="Si",I74="Si",I75="Si"),VLOOKUP($D45,TablasTec!$E$4:$F$6,2,FALSE),0)+IF(OR(L47="Si",L48="Si",L49="Si",L50="Si",L51="Si",L53="Si",L54="Si",L55="Si",L56="Si",L57="Si",L59="Si",L60="Si",L61="Si",L62="Si",L63="Si",L65="Si",L66="Si",L67="Si",L68="Si",L69="Si",L71="Si",L72="Si",L73="Si",L74="Si",L75="Si"),VLOOKUP($D45,TablasTec!$I$4:$J$6,2,FALSE),0)+IF(OR(O47="Si",O48="Si",O49="Si",O50="Si",O51="Si",O53="Si",O54="Si",O55="Si",O56="Si",O57="Si",O59="Si",O60="Si",O61="Si",O62="Si",O63="Si",O65="Si",O66="Si",O67="Si",O68="Si",O69="Si",O71="Si",O72="Si",O73="Si",O74="Si",O75="Si"),VLOOKUP($D45,TablasTec!$I$7:$J$9,2,FALSE),0)+IF(BT51="No",0,IF(D45=0,0,VLOOKUP(D45,TablasTec!$L$4:$N$7,3,FALSE)))+IF(BT53="Bajar coste de CM",0,IF(BT53="-5 CM",-5,IF(BT53="-10 CM",-10,IF(BT53="-15 CM",-15,IF(BT53="-20 CM",-20,0)))))+IF(BT55="Bajar coste de Ki",0,IF(BT55="-1 Ki",10,IF(BT55="-2 Ki",20,IF(BT55="-3 Ki",30,IF(BT55="-4 Ki",40,IF(BT55="-5 Ki",50,0)))))))</f>
        <v>20</v>
      </c>
      <c r="BU48" s="4860"/>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65"/>
      <c r="DY48" s="1307"/>
      <c r="DZ48" s="922"/>
      <c r="EA48" s="1453">
        <f t="shared" si="0"/>
        <v>1</v>
      </c>
    </row>
    <row r="49" spans="1:131" ht="11.25" customHeight="1">
      <c r="A49" s="922"/>
      <c r="B49" s="922"/>
      <c r="C49" s="4909"/>
      <c r="D49" s="1436" t="s">
        <v>1766</v>
      </c>
      <c r="E49" s="986"/>
      <c r="F49" s="3181" t="str">
        <f>IF(E49=0,"",VLOOKUP(E49,TablasTec!$A$14:$V$771,2,FALSE))</f>
        <v/>
      </c>
      <c r="G49" s="968"/>
      <c r="H49" s="987" t="str">
        <f>IF($E49=0,"",VLOOKUP($E49,TablasTec!$A$14:$V$771,4,FALSE))</f>
        <v/>
      </c>
      <c r="I49" s="970" t="s">
        <v>1690</v>
      </c>
      <c r="J49" s="1394" t="str">
        <f>IF(E49=0,"",VLOOKUP(E49,TablasTec!$A$14:$V$771,5,FALSE))</f>
        <v/>
      </c>
      <c r="K49" s="989" t="str">
        <f>IF(I49="Si",IF(E49=0,"",VLOOKUP(E49,TablasTec!$A$14:$V$771,5,FALSE)),"")</f>
        <v/>
      </c>
      <c r="L49" s="970" t="s">
        <v>1690</v>
      </c>
      <c r="M49" s="1394" t="str">
        <f>IF(E49=0,"",VLOOKUP(E49,TablasTec!$A$14:$V$771,6,FALSE))</f>
        <v/>
      </c>
      <c r="N49" s="973" t="str">
        <f>IF(L49="Si",IF(E49=0,"",VLOOKUP(E49,TablasTec!$A$14:$V$771,6,FALSE)),"")</f>
        <v/>
      </c>
      <c r="O49" s="970" t="s">
        <v>1690</v>
      </c>
      <c r="P49" s="1394" t="str">
        <f>IF(E49=0,"",VLOOKUP(E49,TablasTec!$A$14:$V$771,7,FALSE))</f>
        <v/>
      </c>
      <c r="Q49" s="973" t="str">
        <f>IF(O49="Si",IF(E49=0,"",VLOOKUP(E49,TablasTec!$A$14:$V$771,7,FALSE)),"")</f>
        <v/>
      </c>
      <c r="R49" s="988" t="str">
        <f>IF(E49=0,"",VLOOKUP(E49,TablasTec!$A$14:$V$771,8,FALSE))</f>
        <v/>
      </c>
      <c r="S49" s="3181" t="str">
        <f>IF(R49=$D$8,$D$8,IF(R49=2,2,IF(R49=3,3,R49)))</f>
        <v/>
      </c>
      <c r="T49" s="4896"/>
      <c r="U49" s="4897"/>
      <c r="V49" s="3179" t="str">
        <f>IF(OR(V47=0,V47=""),"N/A",V47)</f>
        <v>N/A</v>
      </c>
      <c r="W49" s="4896" t="str">
        <f xml:space="preserve"> IF(OR(AF47=0,AF47=""),"N/A",W47)</f>
        <v>N/A</v>
      </c>
      <c r="X49" s="4898"/>
      <c r="Y49" s="4898"/>
      <c r="Z49" s="4898"/>
      <c r="AA49" s="4898"/>
      <c r="AB49" s="4898"/>
      <c r="AC49" s="4898"/>
      <c r="AD49" s="4898"/>
      <c r="AE49" s="4898"/>
      <c r="AF49" s="4897"/>
      <c r="AG49" s="4896" t="str">
        <f xml:space="preserve"> IF(OR(AP47="",AP47=0),"N/A",AG47)</f>
        <v>N/A</v>
      </c>
      <c r="AH49" s="4898"/>
      <c r="AI49" s="4898"/>
      <c r="AJ49" s="4898"/>
      <c r="AK49" s="4898"/>
      <c r="AL49" s="4898"/>
      <c r="AM49" s="4898"/>
      <c r="AN49" s="4898"/>
      <c r="AO49" s="4898"/>
      <c r="AP49" s="4897"/>
      <c r="AQ49" s="4896" t="str">
        <f xml:space="preserve"> IF(OR(AZ47="",AZ47=0),"N/A",AQ47)</f>
        <v>N/A</v>
      </c>
      <c r="AR49" s="4898"/>
      <c r="AS49" s="4898"/>
      <c r="AT49" s="4898"/>
      <c r="AU49" s="4898"/>
      <c r="AV49" s="4898"/>
      <c r="AW49" s="4898"/>
      <c r="AX49" s="4898"/>
      <c r="AY49" s="4898"/>
      <c r="AZ49" s="4897"/>
      <c r="BA49" s="4896" t="str">
        <f xml:space="preserve"> IF(OR(BJ47="",BJ47=0),"N/A",BA47)</f>
        <v>N/A</v>
      </c>
      <c r="BB49" s="4898"/>
      <c r="BC49" s="4898"/>
      <c r="BD49" s="4898"/>
      <c r="BE49" s="4898"/>
      <c r="BF49" s="4898"/>
      <c r="BG49" s="4898"/>
      <c r="BH49" s="4898"/>
      <c r="BI49" s="4898"/>
      <c r="BJ49" s="4897"/>
      <c r="BK49" s="990" t="s">
        <v>4541</v>
      </c>
      <c r="BL49" s="972"/>
      <c r="BM49" s="1007"/>
      <c r="BN49" s="991"/>
      <c r="BO49" s="992"/>
      <c r="BP49" s="993" t="str">
        <f>IF(I49="Si",VLOOKUP($D$8,TablasTec!$E$4:$F$6,2,FALSE),"")</f>
        <v/>
      </c>
      <c r="BQ49" s="963" t="str">
        <f>IF(L49="Si",VLOOKUP($D$8,TablasTec!$I$4:$J$6,2,FALSE),"")</f>
        <v/>
      </c>
      <c r="BR49" s="994" t="str">
        <f>IF(O49="Si",VLOOKUP($D$8,TablasTec!$I$7:$J$9,2,FALSE),"")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65"/>
      <c r="DY49" s="1307"/>
      <c r="DZ49" s="922"/>
      <c r="EA49" s="1453">
        <f t="shared" si="0"/>
        <v>1</v>
      </c>
    </row>
    <row r="50" spans="1:131">
      <c r="A50" s="922"/>
      <c r="B50" s="922"/>
      <c r="C50" s="4909"/>
      <c r="D50" s="1435" t="s">
        <v>1766</v>
      </c>
      <c r="E50" s="978"/>
      <c r="F50" s="979" t="str">
        <f>IF(E50=0,"",VLOOKUP(E50,TablasTec!$A$14:$V$771,2,FALSE))</f>
        <v/>
      </c>
      <c r="G50" s="980"/>
      <c r="H50" s="981" t="str">
        <f>IF($E50=0,"",VLOOKUP($E50,TablasTec!$A$14:$V$771,4,FALSE))</f>
        <v/>
      </c>
      <c r="I50" s="982" t="s">
        <v>1690</v>
      </c>
      <c r="J50" s="1398" t="str">
        <f>IF(E50=0,"",VLOOKUP(E50,TablasTec!$A$14:$V$771,5,FALSE))</f>
        <v/>
      </c>
      <c r="K50" s="984" t="str">
        <f>IF(I50="Si",IF(E50=0,"",VLOOKUP(E50,TablasTec!$A$14:$V$771,5,FALSE)),"")</f>
        <v/>
      </c>
      <c r="L50" s="982" t="s">
        <v>1690</v>
      </c>
      <c r="M50" s="1398" t="str">
        <f>IF(E50=0,"",VLOOKUP(E50,TablasTec!$A$14:$V$771,6,FALSE))</f>
        <v/>
      </c>
      <c r="N50" s="985" t="str">
        <f>IF(L50="Si",IF(E50=0,"",VLOOKUP(E50,TablasTec!$A$14:$V$771,6,FALSE)),"")</f>
        <v/>
      </c>
      <c r="O50" s="982" t="s">
        <v>1690</v>
      </c>
      <c r="P50" s="1398" t="str">
        <f>IF(E50=0,"",VLOOKUP(E50,TablasTec!$A$14:$V$771,7,FALSE))</f>
        <v/>
      </c>
      <c r="Q50" s="985" t="str">
        <f>IF(O50="Si",IF(E50=0,"",VLOOKUP(E50,TablasTec!$A$14:$V$771,7,FALSE)),"")</f>
        <v/>
      </c>
      <c r="R50" s="983" t="str">
        <f>IF(E50=0,"",VLOOKUP(E50,TablasTec!$A$14:$V$771,8,FALSE))</f>
        <v/>
      </c>
      <c r="S50" s="981" t="str">
        <f>IF(R50=$D$8,$D$8,IF(R50=2,2,IF(R50=3,3,R50)))</f>
        <v/>
      </c>
      <c r="T50" s="4899" t="s">
        <v>4542</v>
      </c>
      <c r="U50" s="4900"/>
      <c r="V50" s="3180"/>
      <c r="W50" s="4901"/>
      <c r="X50" s="4902"/>
      <c r="Y50" s="4902"/>
      <c r="Z50" s="4902"/>
      <c r="AA50" s="4902"/>
      <c r="AB50" s="4902"/>
      <c r="AC50" s="4902"/>
      <c r="AD50" s="4902"/>
      <c r="AE50" s="4902"/>
      <c r="AF50" s="4903"/>
      <c r="AG50" s="4901"/>
      <c r="AH50" s="4902"/>
      <c r="AI50" s="4902"/>
      <c r="AJ50" s="4902"/>
      <c r="AK50" s="4902"/>
      <c r="AL50" s="4902"/>
      <c r="AM50" s="4902"/>
      <c r="AN50" s="4902"/>
      <c r="AO50" s="4902"/>
      <c r="AP50" s="4903"/>
      <c r="AQ50" s="4901"/>
      <c r="AR50" s="4902"/>
      <c r="AS50" s="4902"/>
      <c r="AT50" s="4902"/>
      <c r="AU50" s="4902"/>
      <c r="AV50" s="4902"/>
      <c r="AW50" s="4902"/>
      <c r="AX50" s="4902"/>
      <c r="AY50" s="4902"/>
      <c r="AZ50" s="4903"/>
      <c r="BA50" s="4901"/>
      <c r="BB50" s="4902"/>
      <c r="BC50" s="4902"/>
      <c r="BD50" s="4902"/>
      <c r="BE50" s="4902"/>
      <c r="BF50" s="4902"/>
      <c r="BG50" s="4902"/>
      <c r="BH50" s="4902"/>
      <c r="BI50" s="4902"/>
      <c r="BJ50" s="4903"/>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IF(I50="Si",VLOOKUP($D$8,TablasTec!$E$4:$F$6,2,FALSE),"")</f>
        <v/>
      </c>
      <c r="BQ50" s="962" t="str">
        <f>IF(L50="Si",VLOOKUP($D$8,TablasTec!$I$4:$J$6,2,FALSE),"")</f>
        <v/>
      </c>
      <c r="BR50" s="960" t="str">
        <f>IF(O50="Si",VLOOKUP($D$8,TablasTec!$I$7:$J$9,2,FALSE),"")</f>
        <v/>
      </c>
      <c r="BS50" s="977"/>
      <c r="BT50" s="4857" t="s">
        <v>4543</v>
      </c>
      <c r="BU50" s="4858"/>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65"/>
      <c r="DY50" s="1307"/>
      <c r="DZ50" s="922"/>
      <c r="EA50" s="1453">
        <f t="shared" si="0"/>
        <v>1</v>
      </c>
    </row>
    <row r="51" spans="1:131">
      <c r="A51" s="922"/>
      <c r="B51" s="922"/>
      <c r="C51" s="4909"/>
      <c r="D51" s="1436" t="s">
        <v>1766</v>
      </c>
      <c r="E51" s="986"/>
      <c r="F51" s="3181" t="str">
        <f>IF(E51=0,"",VLOOKUP(E51,TablasTec!$A$14:$V$771,2,FALSE))</f>
        <v/>
      </c>
      <c r="G51" s="968"/>
      <c r="H51" s="987" t="str">
        <f>IF($E51=0,"",VLOOKUP($E51,TablasTec!$A$14:$V$771,4,FALSE))</f>
        <v/>
      </c>
      <c r="I51" s="970" t="s">
        <v>1690</v>
      </c>
      <c r="J51" s="1394" t="str">
        <f>IF(E51=0,"",VLOOKUP(E51,TablasTec!$A$14:$V$771,5,FALSE))</f>
        <v/>
      </c>
      <c r="K51" s="989" t="str">
        <f>IF(I51="Si",IF(E51=0,"",VLOOKUP(E51,TablasTec!$A$14:$V$771,5,FALSE)),"")</f>
        <v/>
      </c>
      <c r="L51" s="970" t="s">
        <v>1690</v>
      </c>
      <c r="M51" s="1394" t="str">
        <f>IF(E51=0,"",VLOOKUP(E51,TablasTec!$A$14:$V$771,6,FALSE))</f>
        <v/>
      </c>
      <c r="N51" s="973" t="str">
        <f>IF(L51="Si",IF(E51=0,"",VLOOKUP(E51,TablasTec!$A$14:$V$771,6,FALSE)),"")</f>
        <v/>
      </c>
      <c r="O51" s="970" t="s">
        <v>1690</v>
      </c>
      <c r="P51" s="1394" t="str">
        <f>IF(E51=0,"",VLOOKUP(E51,TablasTec!$A$14:$V$771,7,FALSE))</f>
        <v/>
      </c>
      <c r="Q51" s="973" t="str">
        <f>IF(O51="Si",IF(E51=0,"",VLOOKUP(E51,TablasTec!$A$14:$V$771,7,FALSE)),"")</f>
        <v/>
      </c>
      <c r="R51" s="988" t="str">
        <f>IF(E51=0,"",VLOOKUP(E51,TablasTec!$A$14:$V$771,8,FALSE))</f>
        <v/>
      </c>
      <c r="S51" s="987" t="str">
        <f>IF(R51=$D$8,$D$8,IF(R51=2,2,IF(R51=3,3,R51)))</f>
        <v/>
      </c>
      <c r="T51" s="4890" t="s">
        <v>4544</v>
      </c>
      <c r="U51" s="4891"/>
      <c r="V51" s="3178"/>
      <c r="W51" s="4892"/>
      <c r="X51" s="4893"/>
      <c r="Y51" s="4893"/>
      <c r="Z51" s="4893"/>
      <c r="AA51" s="4893"/>
      <c r="AB51" s="4893"/>
      <c r="AC51" s="4893"/>
      <c r="AD51" s="4893"/>
      <c r="AE51" s="4893"/>
      <c r="AF51" s="4894"/>
      <c r="AG51" s="4892"/>
      <c r="AH51" s="4893"/>
      <c r="AI51" s="4893"/>
      <c r="AJ51" s="4893"/>
      <c r="AK51" s="4893"/>
      <c r="AL51" s="4893"/>
      <c r="AM51" s="4893"/>
      <c r="AN51" s="4893"/>
      <c r="AO51" s="4893"/>
      <c r="AP51" s="4894"/>
      <c r="AQ51" s="4892"/>
      <c r="AR51" s="4893"/>
      <c r="AS51" s="4893"/>
      <c r="AT51" s="4893"/>
      <c r="AU51" s="4893"/>
      <c r="AV51" s="4893"/>
      <c r="AW51" s="4893"/>
      <c r="AX51" s="4893"/>
      <c r="AY51" s="4893"/>
      <c r="AZ51" s="4894"/>
      <c r="BA51" s="4892"/>
      <c r="BB51" s="4893"/>
      <c r="BC51" s="4893"/>
      <c r="BD51" s="4893"/>
      <c r="BE51" s="4893"/>
      <c r="BF51" s="4893"/>
      <c r="BG51" s="4893"/>
      <c r="BH51" s="4893"/>
      <c r="BI51" s="4893"/>
      <c r="BJ51" s="4894"/>
      <c r="BK51" s="997">
        <f>SUM(K47:K51)-SUM(V51:BA51)</f>
        <v>0</v>
      </c>
      <c r="BL51" s="1422"/>
      <c r="BM51" s="1423"/>
      <c r="BN51" s="991"/>
      <c r="BO51" s="992"/>
      <c r="BP51" s="993" t="str">
        <f>IF(I51="Si",VLOOKUP($D$8,TablasTec!$E$4:$F$6,2,FALSE),"")</f>
        <v/>
      </c>
      <c r="BQ51" s="963" t="str">
        <f>IF(L51="Si",VLOOKUP($D$8,TablasTec!$I$4:$J$6,2,FALSE),"")</f>
        <v/>
      </c>
      <c r="BR51" s="994" t="str">
        <f>IF(O51="Si",VLOOKUP($D$8,TablasTec!$I$7:$J$9,2,FALSE),"")</f>
        <v/>
      </c>
      <c r="BS51" s="995"/>
      <c r="BT51" s="4861" t="s">
        <v>1690</v>
      </c>
      <c r="BU51" s="4862"/>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65"/>
      <c r="DY51" s="1307"/>
      <c r="DZ51" s="922"/>
      <c r="EA51" s="1453">
        <f t="shared" si="0"/>
        <v>1</v>
      </c>
    </row>
    <row r="52" spans="1:131">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09"/>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IF(I52="Si",VLOOKUP($D$8,TablasTec!$E$4:$F$6,2,FALSE),"")</f>
        <v/>
      </c>
      <c r="BQ52" s="962" t="str">
        <f>IF(L52="Si",VLOOKUP($D$8,TablasTec!$I$4:$J$6,2,FALSE),"")</f>
        <v/>
      </c>
      <c r="BR52" s="960" t="str">
        <f>IF(O52="Si",VLOOKUP($D$8,TablasTec!$I$7:$J$9,2,FALSE),"")</f>
        <v/>
      </c>
      <c r="BS52" s="977"/>
      <c r="BT52" s="4857" t="s">
        <v>4545</v>
      </c>
      <c r="BU52" s="4858"/>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09"/>
      <c r="D53" s="1436" t="s">
        <v>1766</v>
      </c>
      <c r="E53" s="966"/>
      <c r="F53" s="1002"/>
      <c r="G53" s="972" t="str">
        <f>IF(E53=0,"",VLOOKUP(E53,TablasTec!$A$14:$V$771,3,FALSE))</f>
        <v/>
      </c>
      <c r="H53" s="1004" t="str">
        <f>IF($E53=0,"",VLOOKUP($E53,TablasTec!$A$14:$V$771,4,FALSE))</f>
        <v/>
      </c>
      <c r="I53" s="970" t="s">
        <v>1690</v>
      </c>
      <c r="J53" s="1397" t="str">
        <f>IF(E53=0,"",VLOOKUP(E53,TablasTec!$A$14:$V$771,5,FALSE))</f>
        <v/>
      </c>
      <c r="K53" s="1003" t="str">
        <f>IF(I53="Si",IF(E53=0,"",VLOOKUP(E53,TablasTec!$A$14:$V$771,5,FALSE)),"")</f>
        <v/>
      </c>
      <c r="L53" s="970" t="s">
        <v>1690</v>
      </c>
      <c r="M53" s="1397" t="str">
        <f>IF(E53=0,"",VLOOKUP(E53,TablasTec!$A$14:$V$771,6,FALSE))</f>
        <v/>
      </c>
      <c r="N53" s="973" t="str">
        <f>IF(L53="Si",IF(E53=0,"",VLOOKUP(E53,TablasTec!$A$14:$V$771,6,FALSE)),"")</f>
        <v/>
      </c>
      <c r="O53" s="970" t="s">
        <v>1690</v>
      </c>
      <c r="P53" s="1397" t="str">
        <f>IF(E53=0,"",VLOOKUP(E53,TablasTec!$A$14:$V$771,7,FALSE))</f>
        <v/>
      </c>
      <c r="Q53" s="973" t="str">
        <f>IF(O53="Si",IF(E53=0,"",VLOOKUP(E53,TablasTec!$A$14:$V$771,7,FALSE)),"")</f>
        <v/>
      </c>
      <c r="R53" s="1005" t="str">
        <f>IF(E53=0,"",VLOOKUP(E53,TablasTec!$A$14:$V$771,8,FALSE))</f>
        <v/>
      </c>
      <c r="S53" s="1004" t="str">
        <f>IF(R53=$D$8,$D$8,IF(R53=2,2,IF(R53=3,3,R53)))</f>
        <v/>
      </c>
      <c r="T53" s="972" t="str">
        <f>IF(E53=0,"",VLOOKUP(E53,TablasTec!$A$14:$V$771,9,FALSE))</f>
        <v/>
      </c>
      <c r="U53" s="972" t="str">
        <f>IF(E53=0,"",VLOOKUP(E53,TablasTec!$A$14:$V$771,10,FALSE))</f>
        <v/>
      </c>
      <c r="V53" s="967" t="str">
        <f>IF(E53=0,"",VLOOKUP(E53,TablasTec!$A$14:$V$771,11,FALSE))</f>
        <v/>
      </c>
      <c r="W53" s="970"/>
      <c r="X53" s="971" t="e">
        <f>VLOOKUP(E53,TablasTec!$A$14:$V$771,12,FALSE)</f>
        <v>#N/A</v>
      </c>
      <c r="Y53" s="971" t="e">
        <f>IF(W53=X53,VLOOKUP(E53,TablasTec!$A$14:$V$771,13,FALSE),0)</f>
        <v>#N/A</v>
      </c>
      <c r="Z53" s="971" t="e">
        <f>VLOOKUP(E53,TablasTec!$A$14:$V$771,14,FALSE)</f>
        <v>#N/A</v>
      </c>
      <c r="AA53" s="971" t="e">
        <f>IF(W53=Z53,VLOOKUP(E53,TablasTec!$A$14:$V$616,15,FALSE),0)</f>
        <v>#N/A</v>
      </c>
      <c r="AB53" s="971" t="e">
        <f>VLOOKUP(E53,TablasTec!$A$14:$V$771,16,FALSE)</f>
        <v>#N/A</v>
      </c>
      <c r="AC53" s="971" t="e">
        <f>IF(W53=AB53,VLOOKUP(E53,TablasTec!$A$14:$V$616,17,FALSE),0)</f>
        <v>#N/A</v>
      </c>
      <c r="AD53" s="971" t="e">
        <f>VLOOKUP(E53,TablasTec!$A$14:$V$771,18,FALSE)</f>
        <v>#N/A</v>
      </c>
      <c r="AE53" s="971" t="e">
        <f>IF(W53=AD53,VLOOKUP(E53,TablasTec!$A$14:$V$771,19,FALSE),0)</f>
        <v>#N/A</v>
      </c>
      <c r="AF53" s="972" t="str">
        <f>IF(E53=0,"",(Y53+AA53+AC53+AE53))</f>
        <v/>
      </c>
      <c r="AG53" s="970"/>
      <c r="AH53" s="1005" t="e">
        <f>VLOOKUP(E53,TablasTec!$A$14:$V$771,12,FALSE)</f>
        <v>#N/A</v>
      </c>
      <c r="AI53" s="1005" t="e">
        <f>IF(AG53=AH53,VLOOKUP(E53,TablasTec!$A$14:$V$771,13,FALSE),0)</f>
        <v>#N/A</v>
      </c>
      <c r="AJ53" s="1005" t="e">
        <f>VLOOKUP(E53,TablasTec!$A$14:$V$771,14,FALSE)</f>
        <v>#N/A</v>
      </c>
      <c r="AK53" s="1005" t="e">
        <f>IF(AG53=AJ53,VLOOKUP(E53,TablasTec!$A$14:$V$771,15,FALSE),0)</f>
        <v>#N/A</v>
      </c>
      <c r="AL53" s="1005" t="e">
        <f>VLOOKUP(E53,TablasTec!$A$14:$V$771,16,FALSE)</f>
        <v>#N/A</v>
      </c>
      <c r="AM53" s="1005" t="e">
        <f>IF(AG53=AL53,VLOOKUP(E53,TablasTec!$A$14:$V$771,17,FALSE),0)</f>
        <v>#N/A</v>
      </c>
      <c r="AN53" s="1005" t="e">
        <f>VLOOKUP(E53,TablasTec!$A$14:$V$771,18,FALSE)</f>
        <v>#N/A</v>
      </c>
      <c r="AO53" s="1005" t="e">
        <f>IF(AG53=AN53,VLOOKUP(E53,TablasTec!$A$14:$V$771,19,FALSE),0)</f>
        <v>#N/A</v>
      </c>
      <c r="AP53" s="1006" t="str">
        <f>IF(E53=0,"",(AI53+AK53+AM53+AO53))</f>
        <v/>
      </c>
      <c r="AQ53" s="970"/>
      <c r="AR53" s="971" t="e">
        <f>VLOOKUP(E53,TablasTec!$A$14:$V$771,12,FALSE)</f>
        <v>#N/A</v>
      </c>
      <c r="AS53" s="971" t="e">
        <f>IF(AQ53=AR53,VLOOKUP(E53,TablasTec!$A$14:$V$771,13,FALSE),0)</f>
        <v>#N/A</v>
      </c>
      <c r="AT53" s="971" t="e">
        <f>VLOOKUP(E53,TablasTec!$A$14:$V$771,14,FALSE)</f>
        <v>#N/A</v>
      </c>
      <c r="AU53" s="971" t="e">
        <f>IF(AQ53=AT53,VLOOKUP(E53,TablasTec!$A$14:$V$771,15,FALSE),0)</f>
        <v>#N/A</v>
      </c>
      <c r="AV53" s="971" t="e">
        <f>VLOOKUP(E53,TablasTec!$A$14:$V$771,16,FALSE)</f>
        <v>#N/A</v>
      </c>
      <c r="AW53" s="971" t="e">
        <f>IF(AQ53=AV53,VLOOKUP(E53,TablasTec!$A$14:$V$771,17,FALSE),0)</f>
        <v>#N/A</v>
      </c>
      <c r="AX53" s="971" t="e">
        <f>VLOOKUP(E53,TablasTec!$A$14:$V$771,18,FALSE)</f>
        <v>#N/A</v>
      </c>
      <c r="AY53" s="971" t="e">
        <f>IF(AQ53=AX53,VLOOKUP(E53,TablasTec!$A$14:$V$771,19,FALSE),0)</f>
        <v>#N/A</v>
      </c>
      <c r="AZ53" s="972" t="str">
        <f>IF(E53=0,"",(AS53+AU53+AW53+AY53))</f>
        <v/>
      </c>
      <c r="BA53" s="970"/>
      <c r="BB53" s="971" t="e">
        <f>VLOOKUP(E53,TablasTec!$A$14:$V$771,12,FALSE)</f>
        <v>#N/A</v>
      </c>
      <c r="BC53" s="971" t="e">
        <f>IF(BA53=BB53,VLOOKUP(E53,TablasTec!$A$14:$V$771,13,FALSE),0)</f>
        <v>#N/A</v>
      </c>
      <c r="BD53" s="971" t="e">
        <f>VLOOKUP(E53,TablasTec!$A$14:$V$771,14,FALSE)</f>
        <v>#N/A</v>
      </c>
      <c r="BE53" s="971" t="e">
        <f>IF(BA53=BD53,VLOOKUP(E53,TablasTec!$A$14:$V$771,15,FALSE),0)</f>
        <v>#N/A</v>
      </c>
      <c r="BF53" s="971" t="e">
        <f>VLOOKUP(E53,TablasTec!$A$14:$V$771,16,FALSE)</f>
        <v>#N/A</v>
      </c>
      <c r="BG53" s="971" t="e">
        <f>IF(BA53=BF53,VLOOKUP(E53,TablasTec!$A$14:$V$771,17,FALSE),0)</f>
        <v>#N/A</v>
      </c>
      <c r="BH53" s="971" t="e">
        <f>VLOOKUP(E53,TablasTec!$A$14:$V$771,18,FALSE)</f>
        <v>#N/A</v>
      </c>
      <c r="BI53" s="971" t="e">
        <f>IF(BA53=BH53,VLOOKUP(E53,TablasTec!$A$14:$V$771,19,FALSE),0)</f>
        <v>#N/A</v>
      </c>
      <c r="BJ53" s="973" t="str">
        <f>IF(E53=0,"",(BC53+BE53+BG53+BI53))</f>
        <v/>
      </c>
      <c r="BK53" s="972" t="str">
        <f>IF(E53=0,"",VLOOKUP(E53,TablasTec!$A$14:$V$771,20,FALSE))</f>
        <v/>
      </c>
      <c r="BL53" s="972" t="str">
        <f>IF(E53=0,"",VLOOKUP(E53,TablasTec!$A$14:$V$771,21,FALSE))</f>
        <v/>
      </c>
      <c r="BM53" s="1007" t="str">
        <f>IF(E53=0,"",VLOOKUP(E53,TablasTec!$A$14:$V$771,22,FALSE))</f>
        <v/>
      </c>
      <c r="BN53" s="975"/>
      <c r="BO53" s="976"/>
      <c r="BP53" s="961" t="str">
        <f>IF(I53="Si",VLOOKUP($D$8,TablasTec!$E$4:$F$6,2,FALSE),"")</f>
        <v/>
      </c>
      <c r="BQ53" s="962" t="str">
        <f>IF(L53="Si",VLOOKUP($D$8,TablasTec!$I$4:$J$6,2,FALSE),"")</f>
        <v/>
      </c>
      <c r="BR53" s="960" t="str">
        <f>IF(O53="Si",VLOOKUP($D$8,TablasTec!$I$7:$J$9,2,FALSE),"")</f>
        <v/>
      </c>
      <c r="BS53" s="977"/>
      <c r="BT53" s="4861" t="s">
        <v>4525</v>
      </c>
      <c r="BU53" s="4862"/>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IF(ISNUMBER(FIND(TablasTec!A$678,DW71)),BL77&amp;BM77,IF(ISNUMBER(FIND(TablasTec!A$679,DW71)),BL77&amp;" "&amp;BM77,""))</f>
        <v/>
      </c>
      <c r="DY53" s="1310"/>
      <c r="DZ53" s="922"/>
      <c r="EA53" s="1453">
        <f t="shared" si="0"/>
        <v>1</v>
      </c>
    </row>
    <row r="54" spans="1:131">
      <c r="A54" s="922"/>
      <c r="B54" s="922"/>
      <c r="C54" s="4909"/>
      <c r="D54" s="1435" t="s">
        <v>1766</v>
      </c>
      <c r="E54" s="978"/>
      <c r="F54" s="1008"/>
      <c r="G54" s="1420" t="str">
        <f>IF(E54=0,"",VLOOKUP(E54,TablasTec!$A$14:$V$771,3,FALSE))</f>
        <v/>
      </c>
      <c r="H54" s="981" t="str">
        <f>IF($E54=0,"",VLOOKUP($E54,TablasTec!$A$14:$V$771,4,FALSE))</f>
        <v/>
      </c>
      <c r="I54" s="982" t="s">
        <v>1690</v>
      </c>
      <c r="J54" s="1398" t="str">
        <f>IF(E54=0,"",VLOOKUP(E54,TablasTec!$A$14:$V$771,5,FALSE))</f>
        <v/>
      </c>
      <c r="K54" s="984" t="str">
        <f>IF(I54="Si",IF(E54=0,"",VLOOKUP(E54,TablasTec!$A$14:$V$771,5,FALSE)),"")</f>
        <v/>
      </c>
      <c r="L54" s="982" t="s">
        <v>1690</v>
      </c>
      <c r="M54" s="1398" t="str">
        <f>IF(E54=0,"",VLOOKUP(E54,TablasTec!$A$14:$V$771,6,FALSE))</f>
        <v/>
      </c>
      <c r="N54" s="985" t="str">
        <f>IF(L54="Si",IF(E54=0,"",VLOOKUP(E54,TablasTec!$A$14:$V$771,6,FALSE)),"")</f>
        <v/>
      </c>
      <c r="O54" s="982" t="s">
        <v>1690</v>
      </c>
      <c r="P54" s="1398" t="str">
        <f>IF(E54=0,"",VLOOKUP(E54,TablasTec!$A$14:$V$771,7,FALSE))</f>
        <v/>
      </c>
      <c r="Q54" s="985" t="str">
        <f>IF(O54="Si",IF(E54=0,"",VLOOKUP(E54,TablasTec!$A$14:$V$771,7,FALSE)),"")</f>
        <v/>
      </c>
      <c r="R54" s="983" t="str">
        <f>IF(E54=0,"",VLOOKUP(E54,TablasTec!$A$14:$V$771,8,FALSE))</f>
        <v/>
      </c>
      <c r="S54" s="981" t="str">
        <f>IF(R54=$D$8,$D$8,IF(R54=2,2,IF(R54=3,3,R54)))</f>
        <v/>
      </c>
      <c r="T54" s="4883" t="s">
        <v>4540</v>
      </c>
      <c r="U54" s="4884"/>
      <c r="V54" s="4884"/>
      <c r="W54" s="4884"/>
      <c r="X54" s="4884"/>
      <c r="Y54" s="4884"/>
      <c r="Z54" s="4884"/>
      <c r="AA54" s="4884"/>
      <c r="AB54" s="4884"/>
      <c r="AC54" s="4884"/>
      <c r="AD54" s="4884"/>
      <c r="AE54" s="4884"/>
      <c r="AF54" s="4884"/>
      <c r="AG54" s="4884"/>
      <c r="AH54" s="4884"/>
      <c r="AI54" s="4884"/>
      <c r="AJ54" s="4884"/>
      <c r="AK54" s="4884"/>
      <c r="AL54" s="4884"/>
      <c r="AM54" s="4884"/>
      <c r="AN54" s="4884"/>
      <c r="AO54" s="4884"/>
      <c r="AP54" s="4884"/>
      <c r="AQ54" s="4884"/>
      <c r="AR54" s="4884"/>
      <c r="AS54" s="4884"/>
      <c r="AT54" s="4884"/>
      <c r="AU54" s="4884"/>
      <c r="AV54" s="4884"/>
      <c r="AW54" s="4884"/>
      <c r="AX54" s="4884"/>
      <c r="AY54" s="4884"/>
      <c r="AZ54" s="4884"/>
      <c r="BA54" s="4884"/>
      <c r="BB54" s="4884"/>
      <c r="BC54" s="4884"/>
      <c r="BD54" s="4884"/>
      <c r="BE54" s="4884"/>
      <c r="BF54" s="4884"/>
      <c r="BG54" s="4884"/>
      <c r="BH54" s="4884"/>
      <c r="BI54" s="4884"/>
      <c r="BJ54" s="4884"/>
      <c r="BK54" s="4885"/>
      <c r="BL54" s="1420"/>
      <c r="BM54" s="1421"/>
      <c r="BN54" s="975"/>
      <c r="BO54" s="976"/>
      <c r="BP54" s="961" t="str">
        <f>IF(I54="Si",VLOOKUP($D$8,TablasTec!$E$4:$F$6,2,FALSE),"")</f>
        <v/>
      </c>
      <c r="BQ54" s="962" t="str">
        <f>IF(L54="Si",VLOOKUP($D$8,TablasTec!$I$4:$J$6,2,FALSE),"")</f>
        <v/>
      </c>
      <c r="BR54" s="960" t="str">
        <f>IF(O54="Si",VLOOKUP($D$8,TablasTec!$I$7:$J$9,2,FALSE),"")</f>
        <v/>
      </c>
      <c r="BS54" s="977"/>
      <c r="BT54" s="4857" t="s">
        <v>4546</v>
      </c>
      <c r="BU54" s="4858"/>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c r="A55" s="922"/>
      <c r="B55" s="922"/>
      <c r="C55" s="4909"/>
      <c r="D55" s="1436" t="s">
        <v>1766</v>
      </c>
      <c r="E55" s="986"/>
      <c r="F55" s="1002"/>
      <c r="G55" s="972" t="str">
        <f>IF(E55=0,"",VLOOKUP(E55,TablasTec!$A$14:$V$771,3,FALSE))</f>
        <v/>
      </c>
      <c r="H55" s="3181" t="str">
        <f>IF($E55=0,"",VLOOKUP($E55,TablasTec!$A$14:$V$771,4,FALSE))</f>
        <v/>
      </c>
      <c r="I55" s="970" t="s">
        <v>1690</v>
      </c>
      <c r="J55" s="1394" t="str">
        <f>IF(E55=0,"",VLOOKUP(E55,TablasTec!$A$14:$V$771,5,FALSE))</f>
        <v/>
      </c>
      <c r="K55" s="989" t="str">
        <f>IF(I55="Si",IF(E55=0,"",VLOOKUP(E55,TablasTec!$A$14:$V$771,5,FALSE)),"")</f>
        <v/>
      </c>
      <c r="L55" s="970" t="s">
        <v>1690</v>
      </c>
      <c r="M55" s="1394" t="str">
        <f>IF(E55=0,"",VLOOKUP(E55,TablasTec!$A$14:$V$771,6,FALSE))</f>
        <v/>
      </c>
      <c r="N55" s="973" t="str">
        <f>IF(L55="Si",IF(E55=0,"",VLOOKUP(E55,TablasTec!$A$14:$V$771,6,FALSE)),"")</f>
        <v/>
      </c>
      <c r="O55" s="970" t="s">
        <v>1690</v>
      </c>
      <c r="P55" s="1394" t="str">
        <f>IF(E55=0,"",VLOOKUP(E55,TablasTec!$A$14:$V$771,7,FALSE))</f>
        <v/>
      </c>
      <c r="Q55" s="973" t="str">
        <f>IF(O55="Si",IF(E55=0,"",VLOOKUP(E55,TablasTec!$A$14:$V$771,7,FALSE)),"")</f>
        <v/>
      </c>
      <c r="R55" s="988" t="str">
        <f>IF(E55=0,"",VLOOKUP(E55,TablasTec!$A$14:$V$771,8,FALSE))</f>
        <v/>
      </c>
      <c r="S55" s="3181" t="str">
        <f>IF(R55=$D$8,$D$8,IF(R55=2,2,IF(R55=3,3,R55)))</f>
        <v/>
      </c>
      <c r="T55" s="4896"/>
      <c r="U55" s="4897"/>
      <c r="V55" s="3179" t="str">
        <f>IF(OR(V53=0,V53=""),"N/A",V53)</f>
        <v>N/A</v>
      </c>
      <c r="W55" s="4896" t="str">
        <f xml:space="preserve"> IF(OR(AF53=0,AF53=""),"N/A",W53)</f>
        <v>N/A</v>
      </c>
      <c r="X55" s="4898"/>
      <c r="Y55" s="4898"/>
      <c r="Z55" s="4898"/>
      <c r="AA55" s="4898"/>
      <c r="AB55" s="4898"/>
      <c r="AC55" s="4898"/>
      <c r="AD55" s="4898"/>
      <c r="AE55" s="4898"/>
      <c r="AF55" s="4897"/>
      <c r="AG55" s="4896" t="str">
        <f xml:space="preserve"> IF(OR(AP53="",AP53=0),"N/A",AG53)</f>
        <v>N/A</v>
      </c>
      <c r="AH55" s="4898"/>
      <c r="AI55" s="4898"/>
      <c r="AJ55" s="4898"/>
      <c r="AK55" s="4898"/>
      <c r="AL55" s="4898"/>
      <c r="AM55" s="4898"/>
      <c r="AN55" s="4898"/>
      <c r="AO55" s="4898"/>
      <c r="AP55" s="4897"/>
      <c r="AQ55" s="4896" t="str">
        <f xml:space="preserve"> IF(OR(AZ53="",AZ53=0),"N/A",AQ53)</f>
        <v>N/A</v>
      </c>
      <c r="AR55" s="4898"/>
      <c r="AS55" s="4898"/>
      <c r="AT55" s="4898"/>
      <c r="AU55" s="4898"/>
      <c r="AV55" s="4898"/>
      <c r="AW55" s="4898"/>
      <c r="AX55" s="4898"/>
      <c r="AY55" s="4898"/>
      <c r="AZ55" s="4897"/>
      <c r="BA55" s="4896" t="str">
        <f xml:space="preserve"> IF(OR(BJ53="",BJ53=0),"N/A",BA53)</f>
        <v>N/A</v>
      </c>
      <c r="BB55" s="4898"/>
      <c r="BC55" s="4898"/>
      <c r="BD55" s="4898"/>
      <c r="BE55" s="4898"/>
      <c r="BF55" s="4898"/>
      <c r="BG55" s="4898"/>
      <c r="BH55" s="4898"/>
      <c r="BI55" s="4898"/>
      <c r="BJ55" s="4897"/>
      <c r="BK55" s="990" t="s">
        <v>4541</v>
      </c>
      <c r="BL55" s="972"/>
      <c r="BM55" s="1007"/>
      <c r="BN55" s="975"/>
      <c r="BO55" s="992"/>
      <c r="BP55" s="961" t="str">
        <f>IF(I55="Si",VLOOKUP($D$8,TablasTec!$E$4:$F$6,2,FALSE),"")</f>
        <v/>
      </c>
      <c r="BQ55" s="962" t="str">
        <f>IF(L55="Si",VLOOKUP($D$8,TablasTec!$I$4:$J$6,2,FALSE),"")</f>
        <v/>
      </c>
      <c r="BR55" s="960" t="str">
        <f>IF(O55="Si",VLOOKUP($D$8,TablasTec!$I$7:$J$9,2,FALSE),"")</f>
        <v/>
      </c>
      <c r="BS55" s="977"/>
      <c r="BT55" s="4861" t="s">
        <v>4519</v>
      </c>
      <c r="BU55" s="4862"/>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c r="A56" s="922"/>
      <c r="B56" s="922"/>
      <c r="C56" s="4909"/>
      <c r="D56" s="1435" t="s">
        <v>1766</v>
      </c>
      <c r="E56" s="978"/>
      <c r="F56" s="1008"/>
      <c r="G56" s="1420" t="str">
        <f>IF(E56=0,"",VLOOKUP(E56,TablasTec!$A$14:$V$771,3,FALSE))</f>
        <v/>
      </c>
      <c r="H56" s="981" t="str">
        <f>IF($E56=0,"",VLOOKUP($E56,TablasTec!$A$14:$V$771,4,FALSE))</f>
        <v/>
      </c>
      <c r="I56" s="982" t="s">
        <v>1690</v>
      </c>
      <c r="J56" s="1398" t="str">
        <f>IF(E56=0,"",VLOOKUP(E56,TablasTec!$A$14:$V$771,5,FALSE))</f>
        <v/>
      </c>
      <c r="K56" s="984" t="str">
        <f>IF(I56="Si",IF(E56=0,"",VLOOKUP(E56,TablasTec!$A$14:$V$771,5,FALSE)),"")</f>
        <v/>
      </c>
      <c r="L56" s="982" t="s">
        <v>1690</v>
      </c>
      <c r="M56" s="1398" t="str">
        <f>IF(E56=0,"",VLOOKUP(E56,TablasTec!$A$14:$V$771,6,FALSE))</f>
        <v/>
      </c>
      <c r="N56" s="985" t="str">
        <f>IF(L56="Si",IF(E56=0,"",VLOOKUP(E56,TablasTec!$A$14:$V$771,6,FALSE)),"")</f>
        <v/>
      </c>
      <c r="O56" s="982" t="s">
        <v>1690</v>
      </c>
      <c r="P56" s="1398" t="str">
        <f>IF(E56=0,"",VLOOKUP(E56,TablasTec!$A$14:$V$771,7,FALSE))</f>
        <v/>
      </c>
      <c r="Q56" s="985" t="str">
        <f>IF(O56="Si",IF(E56=0,"",VLOOKUP(E56,TablasTec!$A$14:$V$771,7,FALSE)),"")</f>
        <v/>
      </c>
      <c r="R56" s="983" t="str">
        <f>IF(E56=0,"",VLOOKUP(E56,TablasTec!$A$14:$V$771,8,FALSE))</f>
        <v/>
      </c>
      <c r="S56" s="981" t="str">
        <f>IF(R56=$D$8,$D$8,IF(R56=2,2,IF(R56=3,3,R56)))</f>
        <v/>
      </c>
      <c r="T56" s="4899" t="s">
        <v>4542</v>
      </c>
      <c r="U56" s="4900"/>
      <c r="V56" s="3180"/>
      <c r="W56" s="4901"/>
      <c r="X56" s="4902"/>
      <c r="Y56" s="4902"/>
      <c r="Z56" s="4902"/>
      <c r="AA56" s="4902"/>
      <c r="AB56" s="4902"/>
      <c r="AC56" s="4902"/>
      <c r="AD56" s="4902"/>
      <c r="AE56" s="4902"/>
      <c r="AF56" s="4903"/>
      <c r="AG56" s="4901"/>
      <c r="AH56" s="4902"/>
      <c r="AI56" s="4902"/>
      <c r="AJ56" s="4902"/>
      <c r="AK56" s="4902"/>
      <c r="AL56" s="4902"/>
      <c r="AM56" s="4902"/>
      <c r="AN56" s="4902"/>
      <c r="AO56" s="4902"/>
      <c r="AP56" s="4903"/>
      <c r="AQ56" s="4901"/>
      <c r="AR56" s="4902"/>
      <c r="AS56" s="4902"/>
      <c r="AT56" s="4902"/>
      <c r="AU56" s="4902"/>
      <c r="AV56" s="4902"/>
      <c r="AW56" s="4902"/>
      <c r="AX56" s="4902"/>
      <c r="AY56" s="4902"/>
      <c r="AZ56" s="4903"/>
      <c r="BA56" s="4901"/>
      <c r="BB56" s="4902"/>
      <c r="BC56" s="4902"/>
      <c r="BD56" s="4902"/>
      <c r="BE56" s="4902"/>
      <c r="BF56" s="4902"/>
      <c r="BG56" s="4902"/>
      <c r="BH56" s="4902"/>
      <c r="BI56" s="4902"/>
      <c r="BJ56" s="4903"/>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IF(I56="Si",VLOOKUP($D$8,TablasTec!$E$4:$F$6,2,FALSE),"")</f>
        <v/>
      </c>
      <c r="BQ56" s="962" t="str">
        <f>IF(L56="Si",VLOOKUP($D$8,TablasTec!$I$4:$J$6,2,FALSE),"")</f>
        <v/>
      </c>
      <c r="BR56" s="960" t="str">
        <f>IF(O56="Si",VLOOKUP($D$8,TablasTec!$I$7:$J$9,2,FALSE),"")</f>
        <v/>
      </c>
      <c r="BS56" s="977"/>
      <c r="BT56" s="4853" t="s">
        <v>4547</v>
      </c>
      <c r="BU56" s="4854"/>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c r="A57" s="922"/>
      <c r="B57" s="922"/>
      <c r="C57" s="4909"/>
      <c r="D57" s="1436" t="s">
        <v>1766</v>
      </c>
      <c r="E57" s="986"/>
      <c r="F57" s="1002"/>
      <c r="G57" s="972" t="str">
        <f>IF(E57=0,"",VLOOKUP(E57,TablasTec!$A$14:$V$771,3,FALSE))</f>
        <v/>
      </c>
      <c r="H57" s="987" t="str">
        <f>IF($E57=0,"",VLOOKUP($E57,TablasTec!$A$14:$V$771,4,FALSE))</f>
        <v/>
      </c>
      <c r="I57" s="970" t="s">
        <v>1690</v>
      </c>
      <c r="J57" s="1394" t="str">
        <f>IF(E57=0,"",VLOOKUP(E57,TablasTec!$A$14:$V$771,5,FALSE))</f>
        <v/>
      </c>
      <c r="K57" s="989" t="str">
        <f>IF(I57="Si",IF(E57=0,"",VLOOKUP(E57,TablasTec!$A$14:$V$771,5,FALSE)),"")</f>
        <v/>
      </c>
      <c r="L57" s="970" t="s">
        <v>1690</v>
      </c>
      <c r="M57" s="1394" t="str">
        <f>IF(E57=0,"",VLOOKUP(E57,TablasTec!$A$14:$V$771,6,FALSE))</f>
        <v/>
      </c>
      <c r="N57" s="973" t="str">
        <f>IF(L57="Si",IF(E57=0,"",VLOOKUP(E57,TablasTec!$A$14:$V$771,6,FALSE)),"")</f>
        <v/>
      </c>
      <c r="O57" s="970" t="s">
        <v>1690</v>
      </c>
      <c r="P57" s="1394" t="str">
        <f>IF(E57=0,"",VLOOKUP(E57,TablasTec!$A$14:$V$771,7,FALSE))</f>
        <v/>
      </c>
      <c r="Q57" s="973" t="str">
        <f>IF(O57="Si",IF(E57=0,"",VLOOKUP(E57,TablasTec!$A$14:$V$771,7,FALSE)),"")</f>
        <v/>
      </c>
      <c r="R57" s="988" t="str">
        <f>IF(E57=0,"",VLOOKUP(E57,TablasTec!$A$14:$V$771,8,FALSE))</f>
        <v/>
      </c>
      <c r="S57" s="987" t="str">
        <f>IF(R57=$D$8,$D$8,IF(R57=2,2,IF(R57=3,3,R57)))</f>
        <v/>
      </c>
      <c r="T57" s="4890" t="s">
        <v>4544</v>
      </c>
      <c r="U57" s="4891"/>
      <c r="V57" s="3178"/>
      <c r="W57" s="4892"/>
      <c r="X57" s="4893"/>
      <c r="Y57" s="4893"/>
      <c r="Z57" s="4893"/>
      <c r="AA57" s="4893"/>
      <c r="AB57" s="4893"/>
      <c r="AC57" s="4893"/>
      <c r="AD57" s="4893"/>
      <c r="AE57" s="4893"/>
      <c r="AF57" s="4894"/>
      <c r="AG57" s="4892"/>
      <c r="AH57" s="4893"/>
      <c r="AI57" s="4893"/>
      <c r="AJ57" s="4893"/>
      <c r="AK57" s="4893"/>
      <c r="AL57" s="4893"/>
      <c r="AM57" s="4893"/>
      <c r="AN57" s="4893"/>
      <c r="AO57" s="4893"/>
      <c r="AP57" s="4894"/>
      <c r="AQ57" s="4892"/>
      <c r="AR57" s="4893"/>
      <c r="AS57" s="4893"/>
      <c r="AT57" s="4893"/>
      <c r="AU57" s="4893"/>
      <c r="AV57" s="4893"/>
      <c r="AW57" s="4893"/>
      <c r="AX57" s="4893"/>
      <c r="AY57" s="4893"/>
      <c r="AZ57" s="4894"/>
      <c r="BA57" s="4892"/>
      <c r="BB57" s="4893"/>
      <c r="BC57" s="4893"/>
      <c r="BD57" s="4893"/>
      <c r="BE57" s="4893"/>
      <c r="BF57" s="4893"/>
      <c r="BG57" s="4893"/>
      <c r="BH57" s="4893"/>
      <c r="BI57" s="4893"/>
      <c r="BJ57" s="4894"/>
      <c r="BK57" s="997">
        <f>SUM(K53:K57)-SUM(V57:BA57)</f>
        <v>0</v>
      </c>
      <c r="BL57" s="1422"/>
      <c r="BM57" s="1423"/>
      <c r="BN57" s="975"/>
      <c r="BO57" s="992"/>
      <c r="BP57" s="961" t="str">
        <f>IF(I57="Si",VLOOKUP($D$8,TablasTec!$E$4:$F$6,2,FALSE),"")</f>
        <v/>
      </c>
      <c r="BQ57" s="962" t="str">
        <f>IF(L57="Si",VLOOKUP($D$8,TablasTec!$I$4:$J$6,2,FALSE),"")</f>
        <v/>
      </c>
      <c r="BR57" s="960" t="str">
        <f>IF(O57="Si",VLOOKUP($D$8,TablasTec!$I$7:$J$9,2,FALSE),"")</f>
        <v/>
      </c>
      <c r="BS57" s="977"/>
      <c r="BT57" s="2293">
        <f>IF(BT51="No",0,IF(D45=0,0,VLOOKUP(D45,TablasTec!$L$4:$N$7,2,FALSE)))+IF(BT53="Bajar coste de CM",0,IF(BT53="-5 CM",2,IF(BT53="-10 CM",4,IF(BT53="-15 CM",6,IF(BT53="-20 CM",8,0)))))+IF(BT55="Bajar coste de Ki",0,IF(BT55="-1 Ki",-1,IF(BT55="-2 Ki",-2,IF(BT55="-3 Ki",-3,IF(BT55="-4 Ki",-4,IF(BT55="-5 Ki",-5,0))))))-BU60-BU62-BU64-BU66-BU68-BU70</f>
        <v>0</v>
      </c>
      <c r="BU57" s="2294">
        <f>IF(BT51="No",0,IF(D45=0,0,VLOOKUP(D45,TablasTec!$L$4:$N$7,2,FALSE)))+IF(BT53="Bajar coste de CM",0,IF(BT53="-5 CM",2,IF(BT53="-10 CM",4,IF(BT53="-15 CM",6,IF(BT53="-20 CM",8,0)))))+IF(BT55="Bajar coste de Ki",0,IF(BT55="-1 Ki",-1,IF(BT55="-2 Ki",-2,IF(BT55="-3 Ki",-3,IF(BT55="-4 Ki",-4,IF(BT55="-5 Ki",-5,0))))))</f>
        <v>0</v>
      </c>
      <c r="BV57" s="954"/>
      <c r="BW57" s="934"/>
      <c r="BX57" s="934"/>
      <c r="BY57" s="1269"/>
      <c r="BZ57" s="4895"/>
      <c r="CA57" s="922"/>
      <c r="DR57" s="922"/>
      <c r="DT57" s="1308"/>
      <c r="DU57" s="1362"/>
      <c r="DV57" s="1359" t="str">
        <f>IF(E57="","",E57)&amp;IF(I57="No",""," (Mant.)")&amp;IF(L57="No",""," (Sme)")&amp;IF(O57="No",""," (SMa)")</f>
        <v/>
      </c>
      <c r="DW57" s="1360"/>
      <c r="DX57" s="1361"/>
      <c r="DY57" s="1307"/>
      <c r="DZ57" s="922"/>
      <c r="EA57" s="1453">
        <f t="shared" si="0"/>
        <v>1</v>
      </c>
    </row>
    <row r="58" spans="1:131">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09"/>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IF(I58="Si",VLOOKUP($D$8,TablasTec!$E$4:$F$6,2,FALSE),"")</f>
        <v/>
      </c>
      <c r="BQ58" s="1013" t="str">
        <f>IF(L58="Si",VLOOKUP($D$8,TablasTec!$I$4:$J$6,2,FALSE),"")</f>
        <v/>
      </c>
      <c r="BR58" s="1011" t="str">
        <f>IF(O58="Si",VLOOKUP($D$8,TablasTec!$I$7:$J$9,2,FALSE),"")</f>
        <v/>
      </c>
      <c r="BS58" s="977"/>
      <c r="BU58" s="3174"/>
      <c r="BV58" s="954"/>
      <c r="BW58" s="934"/>
      <c r="BX58" s="934"/>
      <c r="BY58" s="1269"/>
      <c r="BZ58" s="4895"/>
      <c r="CA58" s="922"/>
      <c r="DR58" s="922"/>
      <c r="DT58" s="1308"/>
      <c r="DU58" s="1362"/>
      <c r="DV58" s="1363"/>
      <c r="DW58" s="1360"/>
      <c r="DX58" s="1361"/>
      <c r="DY58" s="1307"/>
      <c r="DZ58" s="922"/>
      <c r="EA58" s="1453">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09"/>
      <c r="D59" s="1436" t="s">
        <v>1766</v>
      </c>
      <c r="E59" s="966"/>
      <c r="F59" s="1002"/>
      <c r="G59" s="972" t="str">
        <f>IF(E59=0,"",VLOOKUP(E59,TablasTec!$A$14:$V$771,3,FALSE))</f>
        <v/>
      </c>
      <c r="H59" s="1014" t="str">
        <f>IF($E59=0,"",VLOOKUP($E59,TablasTec!$A$14:$V$771,4,FALSE))</f>
        <v/>
      </c>
      <c r="I59" s="970" t="s">
        <v>1690</v>
      </c>
      <c r="J59" s="1400" t="str">
        <f>IF(E59=0,"",VLOOKUP(E59,TablasTec!$A$14:$V$771,5,FALSE))</f>
        <v/>
      </c>
      <c r="K59" s="1016" t="str">
        <f>IF(I59="Si",IF(E59=0,"",VLOOKUP(E59,TablasTec!$A$14:$V$771,5,FALSE)),"")</f>
        <v/>
      </c>
      <c r="L59" s="970" t="s">
        <v>1690</v>
      </c>
      <c r="M59" s="1400" t="str">
        <f>IF(E59=0,"",VLOOKUP(E59,TablasTec!$A$14:$V$771,6,FALSE))</f>
        <v/>
      </c>
      <c r="N59" s="973" t="str">
        <f>IF(L59="Si",IF(E59=0,"",VLOOKUP(E59,TablasTec!$A$14:$V$771,6,FALSE)),"")</f>
        <v/>
      </c>
      <c r="O59" s="970" t="s">
        <v>1690</v>
      </c>
      <c r="P59" s="1400" t="str">
        <f>IF(E59=0,"",VLOOKUP(E59,TablasTec!$A$14:$V$771,7,FALSE))</f>
        <v/>
      </c>
      <c r="Q59" s="973" t="str">
        <f>IF(O59="Si",IF(E59=0,"",VLOOKUP(E59,TablasTec!$A$14:$V$771,7,FALSE)),"")</f>
        <v/>
      </c>
      <c r="R59" s="1015" t="str">
        <f>IF(E59=0,"",VLOOKUP(E59,TablasTec!$A$14:$V$771,8,FALSE))</f>
        <v/>
      </c>
      <c r="S59" s="987" t="str">
        <f>IF(R59=$D$8,$D$8,IF(R59=2,2,IF(R59=3,3,R59)))</f>
        <v/>
      </c>
      <c r="T59" s="1016" t="str">
        <f>IF(E59=0,"",VLOOKUP(E59,TablasTec!$A$14:$V$771,9,FALSE))</f>
        <v/>
      </c>
      <c r="U59" s="1016" t="str">
        <f>IF(E59=0,"",VLOOKUP(E59,TablasTec!$A$14:$V$771,10,FALSE))</f>
        <v/>
      </c>
      <c r="V59" s="1017" t="str">
        <f>IF(E59=0,"",VLOOKUP(E59,TablasTec!$A$14:$V$771,11,FALSE))</f>
        <v/>
      </c>
      <c r="W59" s="970"/>
      <c r="X59" s="971" t="e">
        <f>VLOOKUP(E59,TablasTec!$A$14:$V$771,12,FALSE)</f>
        <v>#N/A</v>
      </c>
      <c r="Y59" s="971" t="e">
        <f>IF(W59=X59,VLOOKUP(E59,TablasTec!$A$14:$V$771,13,FALSE),0)</f>
        <v>#N/A</v>
      </c>
      <c r="Z59" s="971" t="e">
        <f>VLOOKUP(E59,TablasTec!$A$14:$V$771,14,FALSE)</f>
        <v>#N/A</v>
      </c>
      <c r="AA59" s="971" t="e">
        <f>IF(W59=Z59,VLOOKUP(E59,TablasTec!$A$14:$V$616,15,FALSE),0)</f>
        <v>#N/A</v>
      </c>
      <c r="AB59" s="971" t="e">
        <f>VLOOKUP(E59,TablasTec!$A$14:$V$771,16,FALSE)</f>
        <v>#N/A</v>
      </c>
      <c r="AC59" s="971" t="e">
        <f>IF(W59=AB59,VLOOKUP(E59,TablasTec!$A$14:$V$616,17,FALSE),0)</f>
        <v>#N/A</v>
      </c>
      <c r="AD59" s="971" t="e">
        <f>VLOOKUP(E59,TablasTec!$A$14:$V$771,18,FALSE)</f>
        <v>#N/A</v>
      </c>
      <c r="AE59" s="971" t="e">
        <f>IF(W59=AD59,VLOOKUP(E59,TablasTec!$A$14:$V$771,19,FALSE),0)</f>
        <v>#N/A</v>
      </c>
      <c r="AF59" s="989" t="str">
        <f>IF(E59=0,"",(Y59+AA59+AC59+AE59))</f>
        <v/>
      </c>
      <c r="AG59" s="970"/>
      <c r="AH59" s="988" t="e">
        <f>VLOOKUP(E59,TablasTec!$A$14:$V$771,12,FALSE)</f>
        <v>#N/A</v>
      </c>
      <c r="AI59" s="988" t="e">
        <f>IF(AG59=AH59,VLOOKUP(E59,TablasTec!$A$14:$V$771,13,FALSE),0)</f>
        <v>#N/A</v>
      </c>
      <c r="AJ59" s="988" t="e">
        <f>VLOOKUP(E59,TablasTec!$A$14:$V$771,14,FALSE)</f>
        <v>#N/A</v>
      </c>
      <c r="AK59" s="988" t="e">
        <f>IF(AG59=AJ59,VLOOKUP(E59,TablasTec!$A$14:$V$771,15,FALSE),0)</f>
        <v>#N/A</v>
      </c>
      <c r="AL59" s="988" t="e">
        <f>VLOOKUP(E59,TablasTec!$A$14:$V$771,16,FALSE)</f>
        <v>#N/A</v>
      </c>
      <c r="AM59" s="988" t="e">
        <f>IF(AG59=AL59,VLOOKUP(E59,TablasTec!$A$14:$V$771,17,FALSE),0)</f>
        <v>#N/A</v>
      </c>
      <c r="AN59" s="988" t="e">
        <f>VLOOKUP(E59,TablasTec!$A$14:$V$771,18,FALSE)</f>
        <v>#N/A</v>
      </c>
      <c r="AO59" s="988" t="e">
        <f>IF(AG59=AN59,VLOOKUP(E59,TablasTec!$A$14:$V$771,19,FALSE),0)</f>
        <v>#N/A</v>
      </c>
      <c r="AP59" s="3182" t="str">
        <f>IF(E59=0,"",(AI59+AK59+AM59+AO59))</f>
        <v/>
      </c>
      <c r="AQ59" s="970"/>
      <c r="AR59" s="988" t="e">
        <f>VLOOKUP(E59,TablasTec!$A$14:$V$771,12,FALSE)</f>
        <v>#N/A</v>
      </c>
      <c r="AS59" s="988" t="e">
        <f>IF(AQ59=AR59,VLOOKUP(E59,TablasTec!$A$14:$V$771,13,FALSE),0)</f>
        <v>#N/A</v>
      </c>
      <c r="AT59" s="988" t="e">
        <f>VLOOKUP(E59,TablasTec!$A$14:$V$771,14,FALSE)</f>
        <v>#N/A</v>
      </c>
      <c r="AU59" s="988" t="e">
        <f>IF(AQ59=AT59,VLOOKUP(E59,TablasTec!$A$14:$V$771,15,FALSE),0)</f>
        <v>#N/A</v>
      </c>
      <c r="AV59" s="988" t="e">
        <f>VLOOKUP(E59,TablasTec!$A$14:$V$771,16,FALSE)</f>
        <v>#N/A</v>
      </c>
      <c r="AW59" s="988" t="e">
        <f>IF(AQ59=AV59,VLOOKUP(E59,TablasTec!$A$14:$V$771,17,FALSE),0)</f>
        <v>#N/A</v>
      </c>
      <c r="AX59" s="988" t="e">
        <f>VLOOKUP(E59,TablasTec!$A$14:$V$771,18,FALSE)</f>
        <v>#N/A</v>
      </c>
      <c r="AY59" s="988" t="e">
        <f>IF(AQ59=AX59,VLOOKUP(E59,TablasTec!$A$14:$V$771,19,FALSE),0)</f>
        <v>#N/A</v>
      </c>
      <c r="AZ59" s="989" t="str">
        <f>IF(E59=0,"",(AS59+AU59+AW59+AY59))</f>
        <v/>
      </c>
      <c r="BA59" s="970"/>
      <c r="BB59" s="988" t="e">
        <f>VLOOKUP(E59,TablasTec!$A$14:$V$771,12,FALSE)</f>
        <v>#N/A</v>
      </c>
      <c r="BC59" s="988" t="e">
        <f>IF(BA59=BB59,VLOOKUP(E59,TablasTec!$A$14:$V$771,13,FALSE),0)</f>
        <v>#N/A</v>
      </c>
      <c r="BD59" s="988" t="e">
        <f>VLOOKUP(E59,TablasTec!$A$14:$V$771,14,FALSE)</f>
        <v>#N/A</v>
      </c>
      <c r="BE59" s="988" t="e">
        <f>IF(BA59=BD59,VLOOKUP(E59,TablasTec!$A$14:$V$771,15,FALSE),0)</f>
        <v>#N/A</v>
      </c>
      <c r="BF59" s="988" t="e">
        <f>VLOOKUP(E59,TablasTec!$A$14:$V$771,16,FALSE)</f>
        <v>#N/A</v>
      </c>
      <c r="BG59" s="988" t="e">
        <f>IF(BA59=BF59,VLOOKUP(E59,TablasTec!$A$14:$V$771,17,FALSE),0)</f>
        <v>#N/A</v>
      </c>
      <c r="BH59" s="988" t="e">
        <f>VLOOKUP(E59,TablasTec!$A$14:$V$771,18,FALSE)</f>
        <v>#N/A</v>
      </c>
      <c r="BI59" s="988" t="e">
        <f>IF(BA59=BH59,VLOOKUP(E59,TablasTec!$A$14:$V$771,19,FALSE),0)</f>
        <v>#N/A</v>
      </c>
      <c r="BJ59" s="3182" t="str">
        <f>IF(E59=0,"",(BC59+BE59+BG59+BI59))</f>
        <v/>
      </c>
      <c r="BK59" s="1016" t="str">
        <f>IF(E59=0,"",VLOOKUP(E59,TablasTec!$A$14:$V$771,20,FALSE))</f>
        <v/>
      </c>
      <c r="BL59" s="1003" t="str">
        <f>IF(E59=0,"",VLOOKUP(E59,TablasTec!$A$14:$V$771,21,FALSE))</f>
        <v/>
      </c>
      <c r="BM59" s="974" t="str">
        <f>IF(E59=0,"",VLOOKUP(E59,TablasTec!$A$14:$V$771,22,FALSE))</f>
        <v/>
      </c>
      <c r="BN59" s="975"/>
      <c r="BO59" s="976"/>
      <c r="BP59" s="961" t="str">
        <f>IF(I59="Si",VLOOKUP($D$8,TablasTec!$E$4:$F$6,2,FALSE),"")</f>
        <v/>
      </c>
      <c r="BQ59" s="962" t="str">
        <f>IF(L59="Si",VLOOKUP($D$8,TablasTec!$I$4:$J$6,2,FALSE),"")</f>
        <v/>
      </c>
      <c r="BR59" s="960" t="str">
        <f>IF(O59="Si",VLOOKUP($D$8,TablasTec!$I$7:$J$9,2,FALSE),"")</f>
        <v/>
      </c>
      <c r="BS59" s="977"/>
      <c r="BT59" s="3171" t="s">
        <v>1682</v>
      </c>
      <c r="BU59" s="3172" t="s">
        <v>4548</v>
      </c>
      <c r="BV59" s="954"/>
      <c r="BW59" s="3172" t="s">
        <v>4549</v>
      </c>
      <c r="BX59" s="3171" t="s">
        <v>4550</v>
      </c>
      <c r="BY59" s="1283" t="s">
        <v>4550</v>
      </c>
      <c r="BZ59" s="4895"/>
      <c r="CA59" s="922"/>
      <c r="DR59" s="922"/>
      <c r="DT59" s="1308"/>
      <c r="DU59" s="1362"/>
      <c r="DV59" s="1359" t="str">
        <f>IF(E59="","",", "&amp;E59)&amp;IF(I59="No",""," (Mant.)")&amp;IF(L59="No",""," (Sme)")&amp;IF(O59="No",""," (SMa)")</f>
        <v/>
      </c>
      <c r="DW59" s="1360"/>
      <c r="DX59" s="1361"/>
      <c r="DY59" s="1307"/>
      <c r="DZ59" s="922"/>
      <c r="EA59" s="1453">
        <f t="shared" si="0"/>
        <v>1</v>
      </c>
    </row>
    <row r="60" spans="1:131">
      <c r="A60" s="922"/>
      <c r="B60" s="922"/>
      <c r="C60" s="4909"/>
      <c r="D60" s="1435" t="s">
        <v>1766</v>
      </c>
      <c r="E60" s="978"/>
      <c r="F60" s="1008"/>
      <c r="G60" s="1420" t="str">
        <f>IF(E60=0,"",VLOOKUP(E60,TablasTec!$A$14:$V$771,3,FALSE))</f>
        <v/>
      </c>
      <c r="H60" s="981" t="str">
        <f>IF($E60=0,"",VLOOKUP($E60,TablasTec!$A$14:$V$771,4,FALSE))</f>
        <v/>
      </c>
      <c r="I60" s="982" t="s">
        <v>1690</v>
      </c>
      <c r="J60" s="1398" t="str">
        <f>IF(E60=0,"",VLOOKUP(E60,TablasTec!$A$14:$V$771,5,FALSE))</f>
        <v/>
      </c>
      <c r="K60" s="984" t="str">
        <f>IF(I60="Si",IF(E60=0,"",VLOOKUP(E60,TablasTec!$A$14:$V$771,5,FALSE)),"")</f>
        <v/>
      </c>
      <c r="L60" s="982" t="s">
        <v>1690</v>
      </c>
      <c r="M60" s="1398" t="str">
        <f>IF(E60=0,"",VLOOKUP(E60,TablasTec!$A$14:$V$771,6,FALSE))</f>
        <v/>
      </c>
      <c r="N60" s="985" t="str">
        <f>IF(L60="Si",IF(E60=0,"",VLOOKUP(E60,TablasTec!$A$14:$V$771,6,FALSE)),"")</f>
        <v/>
      </c>
      <c r="O60" s="982" t="s">
        <v>1690</v>
      </c>
      <c r="P60" s="1398" t="str">
        <f>IF(E60=0,"",VLOOKUP(E60,TablasTec!$A$14:$V$771,7,FALSE))</f>
        <v/>
      </c>
      <c r="Q60" s="985" t="str">
        <f>IF(O60="Si",IF(E60=0,"",VLOOKUP(E60,TablasTec!$A$14:$V$771,7,FALSE)),"")</f>
        <v/>
      </c>
      <c r="R60" s="983" t="str">
        <f>IF(E60=0,"",VLOOKUP(E60,TablasTec!$A$14:$V$771,8,FALSE))</f>
        <v/>
      </c>
      <c r="S60" s="981" t="str">
        <f>IF(R60=$D$8,$D$8,IF(R60=2,2,IF(R60=3,3,R60)))</f>
        <v/>
      </c>
      <c r="T60" s="4883" t="s">
        <v>4540</v>
      </c>
      <c r="U60" s="4884"/>
      <c r="V60" s="4884"/>
      <c r="W60" s="4884"/>
      <c r="X60" s="4884"/>
      <c r="Y60" s="4884"/>
      <c r="Z60" s="4884"/>
      <c r="AA60" s="4884"/>
      <c r="AB60" s="4884"/>
      <c r="AC60" s="4884"/>
      <c r="AD60" s="4884"/>
      <c r="AE60" s="4884"/>
      <c r="AF60" s="4884"/>
      <c r="AG60" s="4884"/>
      <c r="AH60" s="4884"/>
      <c r="AI60" s="4884"/>
      <c r="AJ60" s="4884"/>
      <c r="AK60" s="4884"/>
      <c r="AL60" s="4884"/>
      <c r="AM60" s="4884"/>
      <c r="AN60" s="4884"/>
      <c r="AO60" s="4884"/>
      <c r="AP60" s="4884"/>
      <c r="AQ60" s="4884"/>
      <c r="AR60" s="4884"/>
      <c r="AS60" s="4884"/>
      <c r="AT60" s="4884"/>
      <c r="AU60" s="4884"/>
      <c r="AV60" s="4884"/>
      <c r="AW60" s="4884"/>
      <c r="AX60" s="4884"/>
      <c r="AY60" s="4884"/>
      <c r="AZ60" s="4884"/>
      <c r="BA60" s="4884"/>
      <c r="BB60" s="4884"/>
      <c r="BC60" s="4884"/>
      <c r="BD60" s="4884"/>
      <c r="BE60" s="4884"/>
      <c r="BF60" s="4884"/>
      <c r="BG60" s="4884"/>
      <c r="BH60" s="4884"/>
      <c r="BI60" s="4884"/>
      <c r="BJ60" s="4884"/>
      <c r="BK60" s="4885"/>
      <c r="BL60" s="1420"/>
      <c r="BM60" s="1421"/>
      <c r="BN60" s="975"/>
      <c r="BO60" s="976"/>
      <c r="BP60" s="961" t="str">
        <f>IF(I60="Si",VLOOKUP($D$8,TablasTec!$E$4:$F$6,2,FALSE),"")</f>
        <v/>
      </c>
      <c r="BQ60" s="962" t="str">
        <f>IF(L60="Si",VLOOKUP($D$8,TablasTec!$I$4:$J$6,2,FALSE),"")</f>
        <v/>
      </c>
      <c r="BR60" s="960" t="str">
        <f>IF(O60="Si",VLOOKUP($D$8,TablasTec!$I$7:$J$9,2,FALSE),"")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c r="A61" s="922"/>
      <c r="B61" s="922"/>
      <c r="C61" s="4909"/>
      <c r="D61" s="1436" t="s">
        <v>1766</v>
      </c>
      <c r="E61" s="986"/>
      <c r="F61" s="1002"/>
      <c r="G61" s="972" t="str">
        <f>IF(E61=0,"",VLOOKUP(E61,TablasTec!$A$14:$V$771,3,FALSE))</f>
        <v/>
      </c>
      <c r="H61" s="3181" t="str">
        <f>IF($E61=0,"",VLOOKUP($E61,TablasTec!$A$14:$V$771,4,FALSE))</f>
        <v/>
      </c>
      <c r="I61" s="970" t="s">
        <v>1690</v>
      </c>
      <c r="J61" s="1394" t="str">
        <f>IF(E61=0,"",VLOOKUP(E61,TablasTec!$A$14:$V$771,5,FALSE))</f>
        <v/>
      </c>
      <c r="K61" s="989" t="str">
        <f>IF(I61="Si",IF(E61=0,"",VLOOKUP(E61,TablasTec!$A$14:$V$771,5,FALSE)),"")</f>
        <v/>
      </c>
      <c r="L61" s="970" t="s">
        <v>1690</v>
      </c>
      <c r="M61" s="1394" t="str">
        <f>IF(E61=0,"",VLOOKUP(E61,TablasTec!$A$14:$V$771,6,FALSE))</f>
        <v/>
      </c>
      <c r="N61" s="973" t="str">
        <f>IF(L61="Si",IF(E61=0,"",VLOOKUP(E61,TablasTec!$A$14:$V$771,6,FALSE)),"")</f>
        <v/>
      </c>
      <c r="O61" s="970" t="s">
        <v>1690</v>
      </c>
      <c r="P61" s="1394" t="str">
        <f>IF(E61=0,"",VLOOKUP(E61,TablasTec!$A$14:$V$771,7,FALSE))</f>
        <v/>
      </c>
      <c r="Q61" s="973" t="str">
        <f>IF(O61="Si",IF(E61=0,"",VLOOKUP(E61,TablasTec!$A$14:$V$771,7,FALSE)),"")</f>
        <v/>
      </c>
      <c r="R61" s="988" t="str">
        <f>IF(E61=0,"",VLOOKUP(E61,TablasTec!$A$14:$V$771,8,FALSE))</f>
        <v/>
      </c>
      <c r="S61" s="3181" t="str">
        <f>IF(R61=$D$8,$D$8,IF(R61=2,2,IF(R61=3,3,R61)))</f>
        <v/>
      </c>
      <c r="T61" s="4896"/>
      <c r="U61" s="4897"/>
      <c r="V61" s="3179" t="str">
        <f>IF(OR(V59=0,V59=""),"N/A",V59)</f>
        <v>N/A</v>
      </c>
      <c r="W61" s="4896" t="str">
        <f xml:space="preserve"> IF(OR(AF59=0,AF59=""),"N/A",W59)</f>
        <v>N/A</v>
      </c>
      <c r="X61" s="4898"/>
      <c r="Y61" s="4898"/>
      <c r="Z61" s="4898"/>
      <c r="AA61" s="4898"/>
      <c r="AB61" s="4898"/>
      <c r="AC61" s="4898"/>
      <c r="AD61" s="4898"/>
      <c r="AE61" s="4898"/>
      <c r="AF61" s="4897"/>
      <c r="AG61" s="4896" t="str">
        <f xml:space="preserve"> IF(OR(AP59="",AP59=0),"N/A",AG59)</f>
        <v>N/A</v>
      </c>
      <c r="AH61" s="4898"/>
      <c r="AI61" s="4898"/>
      <c r="AJ61" s="4898"/>
      <c r="AK61" s="4898"/>
      <c r="AL61" s="4898"/>
      <c r="AM61" s="4898"/>
      <c r="AN61" s="4898"/>
      <c r="AO61" s="4898"/>
      <c r="AP61" s="4897"/>
      <c r="AQ61" s="4896" t="str">
        <f xml:space="preserve"> IF(OR(AZ59="",AZ59=0),"N/A",AQ59)</f>
        <v>N/A</v>
      </c>
      <c r="AR61" s="4898"/>
      <c r="AS61" s="4898"/>
      <c r="AT61" s="4898"/>
      <c r="AU61" s="4898"/>
      <c r="AV61" s="4898"/>
      <c r="AW61" s="4898"/>
      <c r="AX61" s="4898"/>
      <c r="AY61" s="4898"/>
      <c r="AZ61" s="4897"/>
      <c r="BA61" s="4896" t="str">
        <f xml:space="preserve"> IF(OR(BJ59="",BJ59=0),"N/A",BA59)</f>
        <v>N/A</v>
      </c>
      <c r="BB61" s="4898"/>
      <c r="BC61" s="4898"/>
      <c r="BD61" s="4898"/>
      <c r="BE61" s="4898"/>
      <c r="BF61" s="4898"/>
      <c r="BG61" s="4898"/>
      <c r="BH61" s="4898"/>
      <c r="BI61" s="4898"/>
      <c r="BJ61" s="4897"/>
      <c r="BK61" s="990" t="s">
        <v>4541</v>
      </c>
      <c r="BL61" s="972"/>
      <c r="BM61" s="1007"/>
      <c r="BN61" s="991"/>
      <c r="BO61" s="992"/>
      <c r="BP61" s="993" t="str">
        <f>IF(I61="Si",VLOOKUP($D$8,TablasTec!$E$4:$F$6,2,FALSE),"")</f>
        <v/>
      </c>
      <c r="BQ61" s="963" t="str">
        <f>IF(L61="Si",VLOOKUP($D$8,TablasTec!$I$4:$J$6,2,FALSE),"")</f>
        <v/>
      </c>
      <c r="BR61" s="994" t="str">
        <f>IF(O61="Si",VLOOKUP($D$8,TablasTec!$I$7:$J$9,2,FALSE),"")</f>
        <v/>
      </c>
      <c r="BS61" s="977"/>
      <c r="BT61" s="3171" t="s">
        <v>1809</v>
      </c>
      <c r="BU61" s="3172" t="s">
        <v>4548</v>
      </c>
      <c r="BV61" s="954"/>
      <c r="BW61" s="3172" t="s">
        <v>4549</v>
      </c>
      <c r="BX61" s="3171" t="s">
        <v>4550</v>
      </c>
      <c r="BY61" s="1284" t="s">
        <v>4550</v>
      </c>
      <c r="BZ61" s="2869"/>
      <c r="CA61" s="922"/>
      <c r="DR61" s="922"/>
      <c r="DT61" s="1308"/>
      <c r="DU61" s="1362"/>
      <c r="DV61" s="1359" t="str">
        <f>IF(E61="","",E61)&amp;IF(I61="No",""," (Mant.)")&amp;IF(L61="No",""," (Sme)")&amp;IF(O61="No",""," (SMa)")</f>
        <v/>
      </c>
      <c r="DW61" s="1359"/>
      <c r="DX61" s="1361"/>
      <c r="DY61" s="1307"/>
      <c r="DZ61" s="922"/>
      <c r="EA61" s="1453">
        <f t="shared" si="0"/>
        <v>1</v>
      </c>
    </row>
    <row r="62" spans="1:131" s="996" customFormat="1">
      <c r="A62" s="922"/>
      <c r="B62" s="922"/>
      <c r="C62" s="4909"/>
      <c r="D62" s="1435" t="s">
        <v>1766</v>
      </c>
      <c r="E62" s="978"/>
      <c r="F62" s="1008"/>
      <c r="G62" s="1420" t="str">
        <f>IF(E62=0,"",VLOOKUP(E62,TablasTec!$A$14:$V$771,3,FALSE))</f>
        <v/>
      </c>
      <c r="H62" s="981" t="str">
        <f>IF($E62=0,"",VLOOKUP($E62,TablasTec!$A$14:$V$771,4,FALSE))</f>
        <v/>
      </c>
      <c r="I62" s="982" t="s">
        <v>1690</v>
      </c>
      <c r="J62" s="1398" t="str">
        <f>IF(E62=0,"",VLOOKUP(E62,TablasTec!$A$14:$V$771,5,FALSE))</f>
        <v/>
      </c>
      <c r="K62" s="984" t="str">
        <f>IF(I62="Si",IF(E62=0,"",VLOOKUP(E62,TablasTec!$A$14:$V$771,5,FALSE)),"")</f>
        <v/>
      </c>
      <c r="L62" s="982" t="s">
        <v>1690</v>
      </c>
      <c r="M62" s="1398" t="str">
        <f>IF(E62=0,"",VLOOKUP(E62,TablasTec!$A$14:$V$771,6,FALSE))</f>
        <v/>
      </c>
      <c r="N62" s="985" t="str">
        <f>IF(L62="Si",IF(E62=0,"",VLOOKUP(E62,TablasTec!$A$14:$V$771,6,FALSE)),"")</f>
        <v/>
      </c>
      <c r="O62" s="982" t="s">
        <v>1690</v>
      </c>
      <c r="P62" s="1398" t="str">
        <f>IF(E62=0,"",VLOOKUP(E62,TablasTec!$A$14:$V$771,7,FALSE))</f>
        <v/>
      </c>
      <c r="Q62" s="985" t="str">
        <f>IF(O62="Si",IF(E62=0,"",VLOOKUP(E62,TablasTec!$A$14:$V$771,7,FALSE)),"")</f>
        <v/>
      </c>
      <c r="R62" s="983" t="str">
        <f>IF(E62=0,"",VLOOKUP(E62,TablasTec!$A$14:$V$771,8,FALSE))</f>
        <v/>
      </c>
      <c r="S62" s="981" t="str">
        <f>IF(R62=$D$8,$D$8,IF(R62=2,2,IF(R62=3,3,R62)))</f>
        <v/>
      </c>
      <c r="T62" s="4899" t="s">
        <v>4542</v>
      </c>
      <c r="U62" s="4900"/>
      <c r="V62" s="3180"/>
      <c r="W62" s="4901"/>
      <c r="X62" s="4902"/>
      <c r="Y62" s="4902"/>
      <c r="Z62" s="4902"/>
      <c r="AA62" s="4902"/>
      <c r="AB62" s="4902"/>
      <c r="AC62" s="4902"/>
      <c r="AD62" s="4902"/>
      <c r="AE62" s="4902"/>
      <c r="AF62" s="4903"/>
      <c r="AG62" s="4901"/>
      <c r="AH62" s="4902"/>
      <c r="AI62" s="4902"/>
      <c r="AJ62" s="4902"/>
      <c r="AK62" s="4902"/>
      <c r="AL62" s="4902"/>
      <c r="AM62" s="4902"/>
      <c r="AN62" s="4902"/>
      <c r="AO62" s="4902"/>
      <c r="AP62" s="4903"/>
      <c r="AQ62" s="4901"/>
      <c r="AR62" s="4902"/>
      <c r="AS62" s="4902"/>
      <c r="AT62" s="4902"/>
      <c r="AU62" s="4902"/>
      <c r="AV62" s="4902"/>
      <c r="AW62" s="4902"/>
      <c r="AX62" s="4902"/>
      <c r="AY62" s="4902"/>
      <c r="AZ62" s="4903"/>
      <c r="BA62" s="4901"/>
      <c r="BB62" s="4902"/>
      <c r="BC62" s="4902"/>
      <c r="BD62" s="4902"/>
      <c r="BE62" s="4902"/>
      <c r="BF62" s="4902"/>
      <c r="BG62" s="4902"/>
      <c r="BH62" s="4902"/>
      <c r="BI62" s="4902"/>
      <c r="BJ62" s="4903"/>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IF(I62="Si",VLOOKUP($D$8,TablasTec!$E$4:$F$6,2,FALSE),"")</f>
        <v/>
      </c>
      <c r="BQ62" s="962" t="str">
        <f>IF(L62="Si",VLOOKUP($D$8,TablasTec!$I$4:$J$6,2,FALSE),"")</f>
        <v/>
      </c>
      <c r="BR62" s="960" t="str">
        <f>IF(O62="Si",VLOOKUP($D$8,TablasTec!$I$7:$J$9,2,FALSE),"")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c r="A63" s="922"/>
      <c r="B63" s="922"/>
      <c r="C63" s="4909"/>
      <c r="D63" s="1436" t="s">
        <v>1766</v>
      </c>
      <c r="E63" s="986"/>
      <c r="F63" s="1002"/>
      <c r="G63" s="972" t="str">
        <f>IF(E63=0,"",VLOOKUP(E63,TablasTec!$A$14:$V$771,3,FALSE))</f>
        <v/>
      </c>
      <c r="H63" s="997" t="str">
        <f>IF($E63=0,"",VLOOKUP($E63,TablasTec!$A$14:$V$771,4,FALSE))</f>
        <v/>
      </c>
      <c r="I63" s="970" t="s">
        <v>1690</v>
      </c>
      <c r="J63" s="1401" t="str">
        <f>IF(E63=0,"",VLOOKUP(E63,TablasTec!$A$14:$V$771,5,FALSE))</f>
        <v/>
      </c>
      <c r="K63" s="998" t="str">
        <f>IF(I63="Si",IF(E63=0,"",VLOOKUP(E63,TablasTec!$A$14:$V$771,5,FALSE)),"")</f>
        <v/>
      </c>
      <c r="L63" s="970" t="s">
        <v>1690</v>
      </c>
      <c r="M63" s="1401" t="str">
        <f>IF(E63=0,"",VLOOKUP(E63,TablasTec!$A$14:$V$771,6,FALSE))</f>
        <v/>
      </c>
      <c r="N63" s="973" t="str">
        <f>IF(L63="Si",IF(E63=0,"",VLOOKUP(E63,TablasTec!$A$14:$V$771,6,FALSE)),"")</f>
        <v/>
      </c>
      <c r="O63" s="970" t="s">
        <v>1690</v>
      </c>
      <c r="P63" s="1401" t="str">
        <f>IF(E63=0,"",VLOOKUP(E63,TablasTec!$A$14:$V$771,7,FALSE))</f>
        <v/>
      </c>
      <c r="Q63" s="973" t="str">
        <f>IF(O63="Si",IF(E63=0,"",VLOOKUP(E63,TablasTec!$A$14:$V$771,7,FALSE)),"")</f>
        <v/>
      </c>
      <c r="R63" s="1018" t="str">
        <f>IF(E63=0,"",VLOOKUP(E63,TablasTec!$A$14:$V$771,8,FALSE))</f>
        <v/>
      </c>
      <c r="S63" s="987" t="str">
        <f>IF(R63=$D$8,$D$8,IF(R63=2,2,IF(R63=3,3,R63)))</f>
        <v/>
      </c>
      <c r="T63" s="4890" t="s">
        <v>4544</v>
      </c>
      <c r="U63" s="4891"/>
      <c r="V63" s="3178"/>
      <c r="W63" s="4892"/>
      <c r="X63" s="4893"/>
      <c r="Y63" s="4893"/>
      <c r="Z63" s="4893"/>
      <c r="AA63" s="4893"/>
      <c r="AB63" s="4893"/>
      <c r="AC63" s="4893"/>
      <c r="AD63" s="4893"/>
      <c r="AE63" s="4893"/>
      <c r="AF63" s="4894"/>
      <c r="AG63" s="4892"/>
      <c r="AH63" s="4893"/>
      <c r="AI63" s="4893"/>
      <c r="AJ63" s="4893"/>
      <c r="AK63" s="4893"/>
      <c r="AL63" s="4893"/>
      <c r="AM63" s="4893"/>
      <c r="AN63" s="4893"/>
      <c r="AO63" s="4893"/>
      <c r="AP63" s="4894"/>
      <c r="AQ63" s="4892"/>
      <c r="AR63" s="4893"/>
      <c r="AS63" s="4893"/>
      <c r="AT63" s="4893"/>
      <c r="AU63" s="4893"/>
      <c r="AV63" s="4893"/>
      <c r="AW63" s="4893"/>
      <c r="AX63" s="4893"/>
      <c r="AY63" s="4893"/>
      <c r="AZ63" s="4894"/>
      <c r="BA63" s="4892"/>
      <c r="BB63" s="4893"/>
      <c r="BC63" s="4893"/>
      <c r="BD63" s="4893"/>
      <c r="BE63" s="4893"/>
      <c r="BF63" s="4893"/>
      <c r="BG63" s="4893"/>
      <c r="BH63" s="4893"/>
      <c r="BI63" s="4893"/>
      <c r="BJ63" s="4894"/>
      <c r="BK63" s="997">
        <f>SUM(K59:K63)-SUM(V63:BA63)</f>
        <v>0</v>
      </c>
      <c r="BL63" s="1422"/>
      <c r="BM63" s="1423"/>
      <c r="BN63" s="991"/>
      <c r="BO63" s="992"/>
      <c r="BP63" s="993" t="str">
        <f>IF(I63="Si",VLOOKUP($D$8,TablasTec!$E$4:$F$6,2,FALSE),"")</f>
        <v/>
      </c>
      <c r="BQ63" s="963" t="str">
        <f>IF(L63="Si",VLOOKUP($D$8,TablasTec!$I$4:$J$6,2,FALSE),"")</f>
        <v/>
      </c>
      <c r="BR63" s="994" t="str">
        <f>IF(O63="Si",VLOOKUP($D$8,TablasTec!$I$7:$J$9,2,FALSE),"")</f>
        <v/>
      </c>
      <c r="BS63" s="977"/>
      <c r="BT63" s="3171" t="s">
        <v>1687</v>
      </c>
      <c r="BU63" s="3172" t="s">
        <v>4548</v>
      </c>
      <c r="BV63" s="954"/>
      <c r="BW63" s="3172" t="s">
        <v>4549</v>
      </c>
      <c r="BX63" s="3171" t="s">
        <v>4550</v>
      </c>
      <c r="BY63" s="1284" t="s">
        <v>4550</v>
      </c>
      <c r="BZ63" s="2869"/>
      <c r="CA63" s="922"/>
      <c r="DR63" s="922"/>
      <c r="DT63" s="1308"/>
      <c r="DU63" s="1362"/>
      <c r="DV63" s="1359" t="str">
        <f>IF(E63="","",E63)&amp;IF(I63="No",""," (Mant.)")&amp;IF(L63="No",""," (Sme)")&amp;IF(O63="No",""," (SMa)")</f>
        <v/>
      </c>
      <c r="DW63" s="1359"/>
      <c r="DX63" s="1361"/>
      <c r="DY63" s="1307"/>
      <c r="DZ63" s="922"/>
      <c r="EA63" s="1453">
        <f t="shared" si="0"/>
        <v>1</v>
      </c>
    </row>
    <row r="64" spans="1:131">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09"/>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IF(I64="Si",VLOOKUP($D$8,TablasTec!$E$4:$F$6,2,FALSE),"")</f>
        <v/>
      </c>
      <c r="BQ64" s="1013" t="str">
        <f>IF(L64="Si",VLOOKUP($D$8,TablasTec!$I$4:$J$6,2,FALSE),"")</f>
        <v/>
      </c>
      <c r="BR64" s="1011" t="str">
        <f>IF(O64="Si",VLOOKUP($D$8,TablasTec!$I$7:$J$9,2,FALSE),"")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09"/>
      <c r="D65" s="1436" t="s">
        <v>1766</v>
      </c>
      <c r="E65" s="966"/>
      <c r="F65" s="1002"/>
      <c r="G65" s="972" t="str">
        <f>IF(E65=0,"",VLOOKUP(E65,TablasTec!$A$14:$V$771,3,FALSE))</f>
        <v/>
      </c>
      <c r="H65" s="1014" t="str">
        <f>IF($E65=0,"",VLOOKUP($E65,TablasTec!$A$14:$V$771,4,FALSE))</f>
        <v/>
      </c>
      <c r="I65" s="970" t="s">
        <v>1690</v>
      </c>
      <c r="J65" s="1400" t="str">
        <f>IF(E65=0,"",VLOOKUP(E65,TablasTec!$A$14:$V$771,5,FALSE))</f>
        <v/>
      </c>
      <c r="K65" s="1016" t="str">
        <f>IF(I65="Si",IF(E65=0,"",VLOOKUP(E65,TablasTec!$A$14:$V$771,5,FALSE)),"")</f>
        <v/>
      </c>
      <c r="L65" s="970" t="s">
        <v>1690</v>
      </c>
      <c r="M65" s="1400" t="str">
        <f>IF(E65=0,"",VLOOKUP(E65,TablasTec!$A$14:$V$771,6,FALSE))</f>
        <v/>
      </c>
      <c r="N65" s="973" t="str">
        <f>IF(L65="Si",IF(E65=0,"",VLOOKUP(E65,TablasTec!$A$14:$V$771,6,FALSE)),"")</f>
        <v/>
      </c>
      <c r="O65" s="970" t="s">
        <v>1690</v>
      </c>
      <c r="P65" s="1400" t="str">
        <f>IF(E65=0,"",VLOOKUP(E65,TablasTec!$A$14:$V$771,7,FALSE))</f>
        <v/>
      </c>
      <c r="Q65" s="973" t="str">
        <f>IF(O65="Si",IF(E65=0,"",VLOOKUP(E65,TablasTec!$A$14:$V$771,7,FALSE)),"")</f>
        <v/>
      </c>
      <c r="R65" s="1015" t="str">
        <f>IF(E65=0,"",VLOOKUP(E65,TablasTec!$A$14:$V$771,8,FALSE))</f>
        <v/>
      </c>
      <c r="S65" s="987" t="str">
        <f>IF(R65=$D$8,$D$8,IF(R65=2,2,IF(R65=3,3,R65)))</f>
        <v/>
      </c>
      <c r="T65" s="1016" t="str">
        <f>IF(E65=0,"",VLOOKUP(E65,TablasTec!$A$14:$V$771,9,FALSE))</f>
        <v/>
      </c>
      <c r="U65" s="1016" t="str">
        <f>IF(E65=0,"",VLOOKUP(E65,TablasTec!$A$14:$V$771,10,FALSE))</f>
        <v/>
      </c>
      <c r="V65" s="1017" t="str">
        <f>IF(E65=0,"",VLOOKUP(E65,TablasTec!$A$14:$V$771,11,FALSE))</f>
        <v/>
      </c>
      <c r="W65" s="970"/>
      <c r="X65" s="971" t="e">
        <f>VLOOKUP(E65,TablasTec!$A$14:$V$771,12,FALSE)</f>
        <v>#N/A</v>
      </c>
      <c r="Y65" s="971" t="e">
        <f>IF(W65=X65,VLOOKUP(E65,TablasTec!$A$14:$V$771,13,FALSE),0)</f>
        <v>#N/A</v>
      </c>
      <c r="Z65" s="971" t="e">
        <f>VLOOKUP(E65,TablasTec!$A$14:$V$771,14,FALSE)</f>
        <v>#N/A</v>
      </c>
      <c r="AA65" s="971" t="e">
        <f>IF(W65=Z65,VLOOKUP(E65,TablasTec!$A$14:$V$616,15,FALSE),0)</f>
        <v>#N/A</v>
      </c>
      <c r="AB65" s="971" t="e">
        <f>VLOOKUP(E65,TablasTec!$A$14:$V$771,16,FALSE)</f>
        <v>#N/A</v>
      </c>
      <c r="AC65" s="971" t="e">
        <f>IF(W65=AB65,VLOOKUP(E65,TablasTec!$A$14:$V$616,17,FALSE),0)</f>
        <v>#N/A</v>
      </c>
      <c r="AD65" s="971" t="e">
        <f>VLOOKUP(E65,TablasTec!$A$14:$V$771,18,FALSE)</f>
        <v>#N/A</v>
      </c>
      <c r="AE65" s="971" t="e">
        <f>IF(W65=AD65,VLOOKUP(E65,TablasTec!$A$14:$V$771,19,FALSE),0)</f>
        <v>#N/A</v>
      </c>
      <c r="AF65" s="989" t="str">
        <f>IF(E65=0,"",(Y65+AA65+AC65+AE65))</f>
        <v/>
      </c>
      <c r="AG65" s="970"/>
      <c r="AH65" s="988" t="e">
        <f>VLOOKUP(E65,TablasTec!$A$14:$V$771,12,FALSE)</f>
        <v>#N/A</v>
      </c>
      <c r="AI65" s="988" t="e">
        <f>IF(AG65=AH65,VLOOKUP(E65,TablasTec!$A$14:$V$771,13,FALSE),0)</f>
        <v>#N/A</v>
      </c>
      <c r="AJ65" s="988" t="e">
        <f>VLOOKUP(E65,TablasTec!$A$14:$V$771,14,FALSE)</f>
        <v>#N/A</v>
      </c>
      <c r="AK65" s="988" t="e">
        <f>IF(AG65=AJ65,VLOOKUP(E65,TablasTec!$A$14:$V$771,15,FALSE),0)</f>
        <v>#N/A</v>
      </c>
      <c r="AL65" s="988" t="e">
        <f>VLOOKUP(E65,TablasTec!$A$14:$V$771,16,FALSE)</f>
        <v>#N/A</v>
      </c>
      <c r="AM65" s="988" t="e">
        <f>IF(AG65=AL65,VLOOKUP(E65,TablasTec!$A$14:$V$771,17,FALSE),0)</f>
        <v>#N/A</v>
      </c>
      <c r="AN65" s="988" t="e">
        <f>VLOOKUP(E65,TablasTec!$A$14:$V$771,18,FALSE)</f>
        <v>#N/A</v>
      </c>
      <c r="AO65" s="988" t="e">
        <f>IF(AG65=AN65,VLOOKUP(E65,TablasTec!$A$14:$V$771,19,FALSE),0)</f>
        <v>#N/A</v>
      </c>
      <c r="AP65" s="3182" t="str">
        <f>IF(E65=0,"",(AI65+AK65+AM65+AO65))</f>
        <v/>
      </c>
      <c r="AQ65" s="970"/>
      <c r="AR65" s="988" t="e">
        <f>VLOOKUP(E65,TablasTec!$A$14:$V$771,12,FALSE)</f>
        <v>#N/A</v>
      </c>
      <c r="AS65" s="988" t="e">
        <f>IF(AQ65=AR65,VLOOKUP(E65,TablasTec!$A$14:$V$771,13,FALSE),0)</f>
        <v>#N/A</v>
      </c>
      <c r="AT65" s="988" t="e">
        <f>VLOOKUP(E65,TablasTec!$A$14:$V$771,14,FALSE)</f>
        <v>#N/A</v>
      </c>
      <c r="AU65" s="988" t="e">
        <f>IF(AQ65=AT65,VLOOKUP(E65,TablasTec!$A$14:$V$771,15,FALSE),0)</f>
        <v>#N/A</v>
      </c>
      <c r="AV65" s="988" t="e">
        <f>VLOOKUP(E65,TablasTec!$A$14:$V$771,16,FALSE)</f>
        <v>#N/A</v>
      </c>
      <c r="AW65" s="988" t="e">
        <f>IF(AQ65=AV65,VLOOKUP(E65,TablasTec!$A$14:$V$771,17,FALSE),0)</f>
        <v>#N/A</v>
      </c>
      <c r="AX65" s="988" t="e">
        <f>VLOOKUP(E65,TablasTec!$A$14:$V$771,18,FALSE)</f>
        <v>#N/A</v>
      </c>
      <c r="AY65" s="988" t="e">
        <f>IF(AQ65=AX65,VLOOKUP(E65,TablasTec!$A$14:$V$771,19,FALSE),0)</f>
        <v>#N/A</v>
      </c>
      <c r="AZ65" s="989" t="str">
        <f>IF(E65=0,"",(AS65+AU65+AW65+AY65))</f>
        <v/>
      </c>
      <c r="BA65" s="970"/>
      <c r="BB65" s="988" t="e">
        <f>VLOOKUP(E65,TablasTec!$A$14:$V$771,12,FALSE)</f>
        <v>#N/A</v>
      </c>
      <c r="BC65" s="988" t="e">
        <f>IF(BA65=BB65,VLOOKUP(E65,TablasTec!$A$14:$V$771,13,FALSE),0)</f>
        <v>#N/A</v>
      </c>
      <c r="BD65" s="988" t="e">
        <f>VLOOKUP(E65,TablasTec!$A$14:$V$771,14,FALSE)</f>
        <v>#N/A</v>
      </c>
      <c r="BE65" s="988" t="e">
        <f>IF(BA65=BD65,VLOOKUP(E65,TablasTec!$A$14:$V$771,15,FALSE),0)</f>
        <v>#N/A</v>
      </c>
      <c r="BF65" s="988" t="e">
        <f>VLOOKUP(E65,TablasTec!$A$14:$V$771,16,FALSE)</f>
        <v>#N/A</v>
      </c>
      <c r="BG65" s="988" t="e">
        <f>IF(BA65=BF65,VLOOKUP(E65,TablasTec!$A$14:$V$771,17,FALSE),0)</f>
        <v>#N/A</v>
      </c>
      <c r="BH65" s="988" t="e">
        <f>VLOOKUP(E65,TablasTec!$A$14:$V$771,18,FALSE)</f>
        <v>#N/A</v>
      </c>
      <c r="BI65" s="988" t="e">
        <f>IF(BA65=BH65,VLOOKUP(E65,TablasTec!$A$14:$V$771,19,FALSE),0)</f>
        <v>#N/A</v>
      </c>
      <c r="BJ65" s="3182" t="str">
        <f>IF(E65=0,"",(BC65+BE65+BG65+BI65))</f>
        <v/>
      </c>
      <c r="BK65" s="1016" t="str">
        <f>IF(E65=0,"",VLOOKUP(E65,TablasTec!$A$14:$V$771,20,FALSE))</f>
        <v/>
      </c>
      <c r="BL65" s="1003" t="str">
        <f>IF(E65=0,"",VLOOKUP(E65,TablasTec!$A$14:$V$771,21,FALSE))</f>
        <v/>
      </c>
      <c r="BM65" s="974" t="str">
        <f>IF(E65=0,"",VLOOKUP(E65,TablasTec!$A$14:$V$771,22,FALSE))</f>
        <v/>
      </c>
      <c r="BN65" s="975"/>
      <c r="BO65" s="976"/>
      <c r="BP65" s="961" t="str">
        <f>IF(I65="Si",VLOOKUP($D$8,TablasTec!$E$4:$F$6,2,FALSE),"")</f>
        <v/>
      </c>
      <c r="BQ65" s="962" t="str">
        <f>IF(L65="Si",VLOOKUP($D$8,TablasTec!$I$4:$J$6,2,FALSE),"")</f>
        <v/>
      </c>
      <c r="BR65" s="960" t="str">
        <f>IF(O65="Si",VLOOKUP($D$8,TablasTec!$I$7:$J$9,2,FALSE),"")</f>
        <v/>
      </c>
      <c r="BS65" s="977"/>
      <c r="BT65" s="3171" t="s">
        <v>1692</v>
      </c>
      <c r="BU65" s="3172" t="s">
        <v>4548</v>
      </c>
      <c r="BV65" s="954"/>
      <c r="BW65" s="3172" t="s">
        <v>4549</v>
      </c>
      <c r="BX65" s="3171" t="s">
        <v>4550</v>
      </c>
      <c r="BY65" s="1284" t="s">
        <v>4550</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c r="A66" s="922"/>
      <c r="B66" s="922"/>
      <c r="C66" s="4909"/>
      <c r="D66" s="1435" t="s">
        <v>1766</v>
      </c>
      <c r="E66" s="978"/>
      <c r="F66" s="1008"/>
      <c r="G66" s="1420" t="str">
        <f>IF(E66=0,"",VLOOKUP(E66,TablasTec!$A$14:$V$771,3,FALSE))</f>
        <v/>
      </c>
      <c r="H66" s="981" t="str">
        <f>IF($E66=0,"",VLOOKUP($E66,TablasTec!$A$14:$V$771,4,FALSE))</f>
        <v/>
      </c>
      <c r="I66" s="982" t="s">
        <v>1690</v>
      </c>
      <c r="J66" s="1398" t="str">
        <f>IF(E66=0,"",VLOOKUP(E66,TablasTec!$A$14:$V$771,5,FALSE))</f>
        <v/>
      </c>
      <c r="K66" s="984" t="str">
        <f>IF(I66="Si",IF(E66=0,"",VLOOKUP(E66,TablasTec!$A$14:$V$771,5,FALSE)),"")</f>
        <v/>
      </c>
      <c r="L66" s="982" t="s">
        <v>1690</v>
      </c>
      <c r="M66" s="1398" t="str">
        <f>IF(E66=0,"",VLOOKUP(E66,TablasTec!$A$14:$V$771,6,FALSE))</f>
        <v/>
      </c>
      <c r="N66" s="985" t="str">
        <f>IF(L66="Si",IF(E66=0,"",VLOOKUP(E66,TablasTec!$A$14:$V$771,6,FALSE)),"")</f>
        <v/>
      </c>
      <c r="O66" s="982" t="s">
        <v>1690</v>
      </c>
      <c r="P66" s="1398" t="str">
        <f>IF(E66=0,"",VLOOKUP(E66,TablasTec!$A$14:$V$771,7,FALSE))</f>
        <v/>
      </c>
      <c r="Q66" s="985" t="str">
        <f>IF(O66="Si",IF(E66=0,"",VLOOKUP(E66,TablasTec!$A$14:$V$771,7,FALSE)),"")</f>
        <v/>
      </c>
      <c r="R66" s="983" t="str">
        <f>IF(E66=0,"",VLOOKUP(E66,TablasTec!$A$14:$V$771,8,FALSE))</f>
        <v/>
      </c>
      <c r="S66" s="981" t="str">
        <f>IF(R66=$D$8,$D$8,IF(R66=2,2,IF(R66=3,3,R66)))</f>
        <v/>
      </c>
      <c r="T66" s="4883" t="s">
        <v>4540</v>
      </c>
      <c r="U66" s="4884"/>
      <c r="V66" s="4884"/>
      <c r="W66" s="4884"/>
      <c r="X66" s="4884"/>
      <c r="Y66" s="4884"/>
      <c r="Z66" s="4884"/>
      <c r="AA66" s="4884"/>
      <c r="AB66" s="4884"/>
      <c r="AC66" s="4884"/>
      <c r="AD66" s="4884"/>
      <c r="AE66" s="4884"/>
      <c r="AF66" s="4884"/>
      <c r="AG66" s="4884"/>
      <c r="AH66" s="4884"/>
      <c r="AI66" s="4884"/>
      <c r="AJ66" s="4884"/>
      <c r="AK66" s="4884"/>
      <c r="AL66" s="4884"/>
      <c r="AM66" s="4884"/>
      <c r="AN66" s="4884"/>
      <c r="AO66" s="4884"/>
      <c r="AP66" s="4884"/>
      <c r="AQ66" s="4884"/>
      <c r="AR66" s="4884"/>
      <c r="AS66" s="4884"/>
      <c r="AT66" s="4884"/>
      <c r="AU66" s="4884"/>
      <c r="AV66" s="4884"/>
      <c r="AW66" s="4884"/>
      <c r="AX66" s="4884"/>
      <c r="AY66" s="4884"/>
      <c r="AZ66" s="4884"/>
      <c r="BA66" s="4884"/>
      <c r="BB66" s="4884"/>
      <c r="BC66" s="4884"/>
      <c r="BD66" s="4884"/>
      <c r="BE66" s="4884"/>
      <c r="BF66" s="4884"/>
      <c r="BG66" s="4884"/>
      <c r="BH66" s="4884"/>
      <c r="BI66" s="4884"/>
      <c r="BJ66" s="4884"/>
      <c r="BK66" s="4885"/>
      <c r="BL66" s="1420"/>
      <c r="BM66" s="1421"/>
      <c r="BN66" s="975"/>
      <c r="BO66" s="976"/>
      <c r="BP66" s="961" t="str">
        <f>IF(I66="Si",VLOOKUP($D$8,TablasTec!$E$4:$F$6,2,FALSE),"")</f>
        <v/>
      </c>
      <c r="BQ66" s="962" t="str">
        <f>IF(L66="Si",VLOOKUP($D$8,TablasTec!$I$4:$J$6,2,FALSE),"")</f>
        <v/>
      </c>
      <c r="BR66" s="960" t="str">
        <f>IF(O66="Si",VLOOKUP($D$8,TablasTec!$I$7:$J$9,2,FALSE),"")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c r="A67" s="922"/>
      <c r="B67" s="922"/>
      <c r="C67" s="4909"/>
      <c r="D67" s="1436" t="s">
        <v>1766</v>
      </c>
      <c r="E67" s="986"/>
      <c r="F67" s="1002"/>
      <c r="G67" s="972" t="str">
        <f>IF(E67=0,"",VLOOKUP(E67,TablasTec!$A$14:$V$771,3,FALSE))</f>
        <v/>
      </c>
      <c r="H67" s="3181" t="str">
        <f>IF($E67=0,"",VLOOKUP($E67,TablasTec!$A$14:$V$771,4,FALSE))</f>
        <v/>
      </c>
      <c r="I67" s="970" t="s">
        <v>1690</v>
      </c>
      <c r="J67" s="1394" t="str">
        <f>IF(E67=0,"",VLOOKUP(E67,TablasTec!$A$14:$V$771,5,FALSE))</f>
        <v/>
      </c>
      <c r="K67" s="989" t="str">
        <f>IF(I67="Si",IF(E67=0,"",VLOOKUP(E67,TablasTec!$A$14:$V$771,5,FALSE)),"")</f>
        <v/>
      </c>
      <c r="L67" s="970" t="s">
        <v>1690</v>
      </c>
      <c r="M67" s="1394" t="str">
        <f>IF(E67=0,"",VLOOKUP(E67,TablasTec!$A$14:$V$771,6,FALSE))</f>
        <v/>
      </c>
      <c r="N67" s="973" t="str">
        <f>IF(L67="Si",IF(E67=0,"",VLOOKUP(E67,TablasTec!$A$14:$V$771,6,FALSE)),"")</f>
        <v/>
      </c>
      <c r="O67" s="970" t="s">
        <v>1690</v>
      </c>
      <c r="P67" s="1394" t="str">
        <f>IF(E67=0,"",VLOOKUP(E67,TablasTec!$A$14:$V$771,7,FALSE))</f>
        <v/>
      </c>
      <c r="Q67" s="973" t="str">
        <f>IF(O67="Si",IF(E67=0,"",VLOOKUP(E67,TablasTec!$A$14:$V$771,7,FALSE)),"")</f>
        <v/>
      </c>
      <c r="R67" s="988" t="str">
        <f>IF(E67=0,"",VLOOKUP(E67,TablasTec!$A$14:$V$771,8,FALSE))</f>
        <v/>
      </c>
      <c r="S67" s="3181" t="str">
        <f>IF(R67=$D$8,$D$8,IF(R67=2,2,IF(R67=3,3,R67)))</f>
        <v/>
      </c>
      <c r="T67" s="4896"/>
      <c r="U67" s="4897"/>
      <c r="V67" s="3179" t="str">
        <f>IF(OR(V65=0,V65=""),"N/A",V65)</f>
        <v>N/A</v>
      </c>
      <c r="W67" s="4896" t="str">
        <f xml:space="preserve"> IF(OR(AF65=0,AF65=""),"N/A",W65)</f>
        <v>N/A</v>
      </c>
      <c r="X67" s="4898"/>
      <c r="Y67" s="4898"/>
      <c r="Z67" s="4898"/>
      <c r="AA67" s="4898"/>
      <c r="AB67" s="4898"/>
      <c r="AC67" s="4898"/>
      <c r="AD67" s="4898"/>
      <c r="AE67" s="4898"/>
      <c r="AF67" s="4897"/>
      <c r="AG67" s="4896" t="str">
        <f xml:space="preserve"> IF(OR(AP65="",AP65=0),"N/A",AG65)</f>
        <v>N/A</v>
      </c>
      <c r="AH67" s="4898"/>
      <c r="AI67" s="4898"/>
      <c r="AJ67" s="4898"/>
      <c r="AK67" s="4898"/>
      <c r="AL67" s="4898"/>
      <c r="AM67" s="4898"/>
      <c r="AN67" s="4898"/>
      <c r="AO67" s="4898"/>
      <c r="AP67" s="4897"/>
      <c r="AQ67" s="4896" t="str">
        <f xml:space="preserve"> IF(OR(AZ65="",AZ65=0),"N/A",AQ65)</f>
        <v>N/A</v>
      </c>
      <c r="AR67" s="4898"/>
      <c r="AS67" s="4898"/>
      <c r="AT67" s="4898"/>
      <c r="AU67" s="4898"/>
      <c r="AV67" s="4898"/>
      <c r="AW67" s="4898"/>
      <c r="AX67" s="4898"/>
      <c r="AY67" s="4898"/>
      <c r="AZ67" s="4897"/>
      <c r="BA67" s="4896" t="str">
        <f xml:space="preserve"> IF(OR(BJ65="",BJ65=0),"N/A",BA65)</f>
        <v>N/A</v>
      </c>
      <c r="BB67" s="4898"/>
      <c r="BC67" s="4898"/>
      <c r="BD67" s="4898"/>
      <c r="BE67" s="4898"/>
      <c r="BF67" s="4898"/>
      <c r="BG67" s="4898"/>
      <c r="BH67" s="4898"/>
      <c r="BI67" s="4898"/>
      <c r="BJ67" s="4897"/>
      <c r="BK67" s="990" t="s">
        <v>4541</v>
      </c>
      <c r="BL67" s="972"/>
      <c r="BM67" s="1007"/>
      <c r="BN67" s="991"/>
      <c r="BO67" s="992"/>
      <c r="BP67" s="993" t="str">
        <f>IF(I67="Si",VLOOKUP($D$8,TablasTec!$E$4:$F$6,2,FALSE),"")</f>
        <v/>
      </c>
      <c r="BQ67" s="963" t="str">
        <f>IF(L67="Si",VLOOKUP($D$8,TablasTec!$I$4:$J$6,2,FALSE),"")</f>
        <v/>
      </c>
      <c r="BR67" s="994" t="str">
        <f>IF(O67="Si",VLOOKUP($D$8,TablasTec!$I$7:$J$9,2,FALSE),"")</f>
        <v/>
      </c>
      <c r="BS67" s="977"/>
      <c r="BT67" s="3171" t="s">
        <v>1700</v>
      </c>
      <c r="BU67" s="3172" t="s">
        <v>4548</v>
      </c>
      <c r="BV67" s="954"/>
      <c r="BW67" s="3172" t="s">
        <v>4549</v>
      </c>
      <c r="BX67" s="3171" t="s">
        <v>4550</v>
      </c>
      <c r="BY67" s="1284" t="s">
        <v>4550</v>
      </c>
      <c r="BZ67" s="2869"/>
      <c r="CA67" s="922"/>
      <c r="DR67" s="922"/>
      <c r="DT67" s="1308"/>
      <c r="DU67" s="1362"/>
      <c r="DV67" s="1359" t="str">
        <f>IF(E67="","",E67)&amp;IF(I67="No",""," (Mant.)")&amp;IF(L67="No",""," (Sme)")&amp;IF(O67="No",""," (SMa)")</f>
        <v/>
      </c>
      <c r="DW67" s="1360"/>
      <c r="DX67" s="1361"/>
      <c r="DY67" s="1307"/>
      <c r="DZ67" s="922"/>
      <c r="EA67" s="1453">
        <f t="shared" si="0"/>
        <v>1</v>
      </c>
    </row>
    <row r="68" spans="1:131">
      <c r="A68" s="922"/>
      <c r="B68" s="922"/>
      <c r="C68" s="4909"/>
      <c r="D68" s="1435" t="s">
        <v>1766</v>
      </c>
      <c r="E68" s="978"/>
      <c r="F68" s="1008"/>
      <c r="G68" s="1420" t="str">
        <f>IF(E68=0,"",VLOOKUP(E68,TablasTec!$A$14:$V$771,3,FALSE))</f>
        <v/>
      </c>
      <c r="H68" s="981" t="str">
        <f>IF($E68=0,"",VLOOKUP($E68,TablasTec!$A$14:$V$771,4,FALSE))</f>
        <v/>
      </c>
      <c r="I68" s="982" t="s">
        <v>1690</v>
      </c>
      <c r="J68" s="1398" t="str">
        <f>IF(E68=0,"",VLOOKUP(E68,TablasTec!$A$14:$V$771,5,FALSE))</f>
        <v/>
      </c>
      <c r="K68" s="984" t="str">
        <f>IF(I68="Si",IF(E68=0,"",VLOOKUP(E68,TablasTec!$A$14:$V$771,5,FALSE)),"")</f>
        <v/>
      </c>
      <c r="L68" s="982" t="s">
        <v>1690</v>
      </c>
      <c r="M68" s="1398" t="str">
        <f>IF(E68=0,"",VLOOKUP(E68,TablasTec!$A$14:$V$771,6,FALSE))</f>
        <v/>
      </c>
      <c r="N68" s="985" t="str">
        <f>IF(L68="Si",IF(E68=0,"",VLOOKUP(E68,TablasTec!$A$14:$V$771,6,FALSE)),"")</f>
        <v/>
      </c>
      <c r="O68" s="982" t="s">
        <v>1690</v>
      </c>
      <c r="P68" s="1398" t="str">
        <f>IF(E68=0,"",VLOOKUP(E68,TablasTec!$A$14:$V$771,7,FALSE))</f>
        <v/>
      </c>
      <c r="Q68" s="985" t="str">
        <f>IF(O68="Si",IF(E68=0,"",VLOOKUP(E68,TablasTec!$A$14:$V$771,7,FALSE)),"")</f>
        <v/>
      </c>
      <c r="R68" s="983" t="str">
        <f>IF(E68=0,"",VLOOKUP(E68,TablasTec!$A$14:$V$771,8,FALSE))</f>
        <v/>
      </c>
      <c r="S68" s="981" t="str">
        <f>IF(R68=$D$8,$D$8,IF(R68=2,2,IF(R68=3,3,R68)))</f>
        <v/>
      </c>
      <c r="T68" s="4899" t="s">
        <v>4542</v>
      </c>
      <c r="U68" s="4900"/>
      <c r="V68" s="3180"/>
      <c r="W68" s="4901"/>
      <c r="X68" s="4902"/>
      <c r="Y68" s="4902"/>
      <c r="Z68" s="4902"/>
      <c r="AA68" s="4902"/>
      <c r="AB68" s="4902"/>
      <c r="AC68" s="4902"/>
      <c r="AD68" s="4902"/>
      <c r="AE68" s="4902"/>
      <c r="AF68" s="4903"/>
      <c r="AG68" s="4901"/>
      <c r="AH68" s="4902"/>
      <c r="AI68" s="4902"/>
      <c r="AJ68" s="4902"/>
      <c r="AK68" s="4902"/>
      <c r="AL68" s="4902"/>
      <c r="AM68" s="4902"/>
      <c r="AN68" s="4902"/>
      <c r="AO68" s="4902"/>
      <c r="AP68" s="4903"/>
      <c r="AQ68" s="4901"/>
      <c r="AR68" s="4902"/>
      <c r="AS68" s="4902"/>
      <c r="AT68" s="4902"/>
      <c r="AU68" s="4902"/>
      <c r="AV68" s="4902"/>
      <c r="AW68" s="4902"/>
      <c r="AX68" s="4902"/>
      <c r="AY68" s="4902"/>
      <c r="AZ68" s="4903"/>
      <c r="BA68" s="4901"/>
      <c r="BB68" s="4902"/>
      <c r="BC68" s="4902"/>
      <c r="BD68" s="4902"/>
      <c r="BE68" s="4902"/>
      <c r="BF68" s="4902"/>
      <c r="BG68" s="4902"/>
      <c r="BH68" s="4902"/>
      <c r="BI68" s="4902"/>
      <c r="BJ68" s="4903"/>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IF(I68="Si",VLOOKUP($D$8,TablasTec!$E$4:$F$6,2,FALSE),"")</f>
        <v/>
      </c>
      <c r="BQ68" s="962" t="str">
        <f>IF(L68="Si",VLOOKUP($D$8,TablasTec!$I$4:$J$6,2,FALSE),"")</f>
        <v/>
      </c>
      <c r="BR68" s="960" t="str">
        <f>IF(O68="Si",VLOOKUP($D$8,TablasTec!$I$7:$J$9,2,FALSE),"")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c r="A69" s="922"/>
      <c r="B69" s="922"/>
      <c r="C69" s="4909"/>
      <c r="D69" s="1436" t="s">
        <v>1766</v>
      </c>
      <c r="E69" s="986"/>
      <c r="F69" s="1002"/>
      <c r="G69" s="972" t="str">
        <f>IF(E69=0,"",VLOOKUP(E69,TablasTec!$A$14:$V$771,3,FALSE))</f>
        <v/>
      </c>
      <c r="H69" s="997" t="str">
        <f>IF($E69=0,"",VLOOKUP($E69,TablasTec!$A$14:$V$771,4,FALSE))</f>
        <v/>
      </c>
      <c r="I69" s="970" t="s">
        <v>1690</v>
      </c>
      <c r="J69" s="1401" t="str">
        <f>IF(E69=0,"",VLOOKUP(E69,TablasTec!$A$14:$V$771,5,FALSE))</f>
        <v/>
      </c>
      <c r="K69" s="998" t="str">
        <f>IF(I69="Si",IF(E69=0,"",VLOOKUP(E69,TablasTec!$A$14:$V$771,5,FALSE)),"")</f>
        <v/>
      </c>
      <c r="L69" s="970" t="s">
        <v>1690</v>
      </c>
      <c r="M69" s="1401" t="str">
        <f>IF(E69=0,"",VLOOKUP(E69,TablasTec!$A$14:$V$771,6,FALSE))</f>
        <v/>
      </c>
      <c r="N69" s="973" t="str">
        <f>IF(L69="Si",IF(E69=0,"",VLOOKUP(E69,TablasTec!$A$14:$V$771,6,FALSE)),"")</f>
        <v/>
      </c>
      <c r="O69" s="970" t="s">
        <v>1690</v>
      </c>
      <c r="P69" s="1401" t="str">
        <f>IF(E69=0,"",VLOOKUP(E69,TablasTec!$A$14:$V$771,7,FALSE))</f>
        <v/>
      </c>
      <c r="Q69" s="973" t="str">
        <f>IF(O69="Si",IF(E69=0,"",VLOOKUP(E69,TablasTec!$A$14:$V$771,7,FALSE)),"")</f>
        <v/>
      </c>
      <c r="R69" s="1018" t="str">
        <f>IF(E69=0,"",VLOOKUP(E69,TablasTec!$A$14:$V$771,8,FALSE))</f>
        <v/>
      </c>
      <c r="S69" s="987" t="str">
        <f>IF(R69=$D$8,$D$8,IF(R69=2,2,IF(R69=3,3,R69)))</f>
        <v/>
      </c>
      <c r="T69" s="4890" t="s">
        <v>4544</v>
      </c>
      <c r="U69" s="4891"/>
      <c r="V69" s="3178"/>
      <c r="W69" s="4892"/>
      <c r="X69" s="4893"/>
      <c r="Y69" s="4893"/>
      <c r="Z69" s="4893"/>
      <c r="AA69" s="4893"/>
      <c r="AB69" s="4893"/>
      <c r="AC69" s="4893"/>
      <c r="AD69" s="4893"/>
      <c r="AE69" s="4893"/>
      <c r="AF69" s="4894"/>
      <c r="AG69" s="4892"/>
      <c r="AH69" s="4893"/>
      <c r="AI69" s="4893"/>
      <c r="AJ69" s="4893"/>
      <c r="AK69" s="4893"/>
      <c r="AL69" s="4893"/>
      <c r="AM69" s="4893"/>
      <c r="AN69" s="4893"/>
      <c r="AO69" s="4893"/>
      <c r="AP69" s="4894"/>
      <c r="AQ69" s="4892"/>
      <c r="AR69" s="4893"/>
      <c r="AS69" s="4893"/>
      <c r="AT69" s="4893"/>
      <c r="AU69" s="4893"/>
      <c r="AV69" s="4893"/>
      <c r="AW69" s="4893"/>
      <c r="AX69" s="4893"/>
      <c r="AY69" s="4893"/>
      <c r="AZ69" s="4894"/>
      <c r="BA69" s="4892"/>
      <c r="BB69" s="4893"/>
      <c r="BC69" s="4893"/>
      <c r="BD69" s="4893"/>
      <c r="BE69" s="4893"/>
      <c r="BF69" s="4893"/>
      <c r="BG69" s="4893"/>
      <c r="BH69" s="4893"/>
      <c r="BI69" s="4893"/>
      <c r="BJ69" s="4894"/>
      <c r="BK69" s="997">
        <f>SUM(K65:K69)-SUM(V69:BA69)</f>
        <v>0</v>
      </c>
      <c r="BL69" s="1422"/>
      <c r="BM69" s="1423"/>
      <c r="BN69" s="991"/>
      <c r="BO69" s="992"/>
      <c r="BP69" s="993" t="str">
        <f>IF(I69="Si",VLOOKUP($D$8,TablasTec!$E$4:$F$6,2,FALSE),"")</f>
        <v/>
      </c>
      <c r="BQ69" s="963" t="str">
        <f>IF(L69="Si",VLOOKUP($D$8,TablasTec!$I$4:$J$6,2,FALSE),"")</f>
        <v/>
      </c>
      <c r="BR69" s="994" t="str">
        <f>IF(O69="Si",VLOOKUP($D$8,TablasTec!$I$7:$J$9,2,FALSE),"")</f>
        <v/>
      </c>
      <c r="BS69" s="977"/>
      <c r="BT69" s="3171" t="s">
        <v>1701</v>
      </c>
      <c r="BU69" s="3172" t="s">
        <v>4548</v>
      </c>
      <c r="BV69" s="954"/>
      <c r="BW69" s="3172" t="s">
        <v>4549</v>
      </c>
      <c r="BX69" s="3171" t="s">
        <v>4550</v>
      </c>
      <c r="BY69" s="1284" t="s">
        <v>4550</v>
      </c>
      <c r="BZ69" s="2869"/>
      <c r="CA69" s="922"/>
      <c r="DR69" s="922"/>
      <c r="DT69" s="1308"/>
      <c r="DU69" s="1362"/>
      <c r="DV69" s="1359" t="str">
        <f>IF(E69="","",E69)&amp;IF(I69="No",""," (Mant.)")&amp;IF(L69="No",""," (Sme)")&amp;IF(O69="No",""," (SMa)")</f>
        <v/>
      </c>
      <c r="DW69" s="1360"/>
      <c r="DX69" s="1361"/>
      <c r="DY69" s="1307"/>
      <c r="DZ69" s="922"/>
      <c r="EA69" s="1453">
        <f t="shared" si="0"/>
        <v>1</v>
      </c>
    </row>
    <row r="70" spans="1:131">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09"/>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IF(I70="Si",VLOOKUP($D$8,TablasTec!$E$4:$F$6,2,FALSE),"")</f>
        <v/>
      </c>
      <c r="BQ70" s="1013" t="str">
        <f>IF(L70="Si",VLOOKUP($D$8,TablasTec!$I$4:$J$6,2,FALSE),"")</f>
        <v/>
      </c>
      <c r="BR70" s="1011" t="str">
        <f>IF(O70="Si",VLOOKUP($D$8,TablasTec!$I$7:$J$9,2,FALSE),"")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09"/>
      <c r="D71" s="1436" t="s">
        <v>1766</v>
      </c>
      <c r="E71" s="966"/>
      <c r="F71" s="1002"/>
      <c r="G71" s="972" t="str">
        <f>IF(E71=0,"",VLOOKUP(E71,TablasTec!$A$14:$V$771,3,FALSE))</f>
        <v/>
      </c>
      <c r="H71" s="1014" t="str">
        <f>IF($E71=0,"",VLOOKUP($E71,TablasTec!$A$14:$V$771,4,FALSE))</f>
        <v/>
      </c>
      <c r="I71" s="970" t="s">
        <v>1690</v>
      </c>
      <c r="J71" s="1400" t="str">
        <f>IF(E71=0,"",VLOOKUP(E71,TablasTec!$A$14:$V$771,5,FALSE))</f>
        <v/>
      </c>
      <c r="K71" s="1016" t="str">
        <f>IF(I71="Si",IF(E71=0,"",VLOOKUP(E71,TablasTec!$A$14:$V$771,5,FALSE)),"")</f>
        <v/>
      </c>
      <c r="L71" s="970" t="s">
        <v>1690</v>
      </c>
      <c r="M71" s="1400" t="str">
        <f>IF(E71=0,"",VLOOKUP(E71,TablasTec!$A$14:$V$771,6,FALSE))</f>
        <v/>
      </c>
      <c r="N71" s="973" t="str">
        <f>IF(L71="Si",IF(E71=0,"",VLOOKUP(E71,TablasTec!$A$14:$V$771,6,FALSE)),"")</f>
        <v/>
      </c>
      <c r="O71" s="970" t="s">
        <v>1690</v>
      </c>
      <c r="P71" s="1400" t="str">
        <f>IF(E71=0,"",VLOOKUP(E71,TablasTec!$A$14:$V$771,7,FALSE))</f>
        <v/>
      </c>
      <c r="Q71" s="973" t="str">
        <f>IF(O71="Si",IF(E71=0,"",VLOOKUP(E71,TablasTec!$A$14:$V$771,7,FALSE)),"")</f>
        <v/>
      </c>
      <c r="R71" s="1015" t="str">
        <f>IF(E71=0,"",VLOOKUP(E71,TablasTec!$A$14:$V$771,8,FALSE))</f>
        <v/>
      </c>
      <c r="S71" s="987" t="str">
        <f>IF(R71=$D$8,$D$8,IF(R71=2,2,IF(R71=3,3,R71)))</f>
        <v/>
      </c>
      <c r="T71" s="1016" t="str">
        <f>IF(E71=0,"",VLOOKUP(E71,TablasTec!$A$14:$V$771,9,FALSE))</f>
        <v/>
      </c>
      <c r="U71" s="1016" t="str">
        <f>IF(E71=0,"",VLOOKUP(E71,TablasTec!$A$14:$V$771,10,FALSE))</f>
        <v/>
      </c>
      <c r="V71" s="1017" t="str">
        <f>IF(E71=0,"",VLOOKUP(E71,TablasTec!$A$14:$V$771,11,FALSE))</f>
        <v/>
      </c>
      <c r="W71" s="970"/>
      <c r="X71" s="971" t="e">
        <f>VLOOKUP(E71,TablasTec!$A$14:$V$771,12,FALSE)</f>
        <v>#N/A</v>
      </c>
      <c r="Y71" s="971" t="e">
        <f>IF(W71=X71,VLOOKUP(E71,TablasTec!$A$14:$V$771,13,FALSE),0)</f>
        <v>#N/A</v>
      </c>
      <c r="Z71" s="971" t="e">
        <f>VLOOKUP(E71,TablasTec!$A$14:$V$771,14,FALSE)</f>
        <v>#N/A</v>
      </c>
      <c r="AA71" s="971" t="e">
        <f>IF(W71=Z71,VLOOKUP(E71,TablasTec!$A$14:$V$616,15,FALSE),0)</f>
        <v>#N/A</v>
      </c>
      <c r="AB71" s="971" t="e">
        <f>VLOOKUP(E71,TablasTec!$A$14:$V$771,16,FALSE)</f>
        <v>#N/A</v>
      </c>
      <c r="AC71" s="971" t="e">
        <f>IF(W71=AB71,VLOOKUP(E71,TablasTec!$A$14:$V$616,17,FALSE),0)</f>
        <v>#N/A</v>
      </c>
      <c r="AD71" s="971" t="e">
        <f>VLOOKUP(E71,TablasTec!$A$14:$V$771,18,FALSE)</f>
        <v>#N/A</v>
      </c>
      <c r="AE71" s="971" t="e">
        <f>IF(W71=AD71,VLOOKUP(E71,TablasTec!$A$14:$V$771,19,FALSE),0)</f>
        <v>#N/A</v>
      </c>
      <c r="AF71" s="989" t="str">
        <f>IF(E71=0,"",(Y71+AA71+AC71+AE71))</f>
        <v/>
      </c>
      <c r="AG71" s="970"/>
      <c r="AH71" s="988" t="e">
        <f>VLOOKUP(E71,TablasTec!$A$14:$V$771,12,FALSE)</f>
        <v>#N/A</v>
      </c>
      <c r="AI71" s="988" t="e">
        <f>IF(AG71=AH71,VLOOKUP(E71,TablasTec!$A$14:$V$771,13,FALSE),0)</f>
        <v>#N/A</v>
      </c>
      <c r="AJ71" s="988" t="e">
        <f>VLOOKUP(E71,TablasTec!$A$14:$V$771,14,FALSE)</f>
        <v>#N/A</v>
      </c>
      <c r="AK71" s="988" t="e">
        <f>IF(AG71=AJ71,VLOOKUP(E71,TablasTec!$A$14:$V$771,15,FALSE),0)</f>
        <v>#N/A</v>
      </c>
      <c r="AL71" s="988" t="e">
        <f>VLOOKUP(E71,TablasTec!$A$14:$V$771,16,FALSE)</f>
        <v>#N/A</v>
      </c>
      <c r="AM71" s="988" t="e">
        <f>IF(AG71=AL71,VLOOKUP(E71,TablasTec!$A$14:$V$771,17,FALSE),0)</f>
        <v>#N/A</v>
      </c>
      <c r="AN71" s="988" t="e">
        <f>VLOOKUP(E71,TablasTec!$A$14:$V$771,18,FALSE)</f>
        <v>#N/A</v>
      </c>
      <c r="AO71" s="988" t="e">
        <f>IF(AG71=AN71,VLOOKUP(E71,TablasTec!$A$14:$V$771,19,FALSE),0)</f>
        <v>#N/A</v>
      </c>
      <c r="AP71" s="3182" t="str">
        <f>IF(E71=0,"",(AI71+AK71+AM71+AO71))</f>
        <v/>
      </c>
      <c r="AQ71" s="970"/>
      <c r="AR71" s="988" t="e">
        <f>VLOOKUP(E71,TablasTec!$A$14:$V$771,12,FALSE)</f>
        <v>#N/A</v>
      </c>
      <c r="AS71" s="988" t="e">
        <f>IF(AQ71=AR71,VLOOKUP(E71,TablasTec!$A$14:$V$771,13,FALSE),0)</f>
        <v>#N/A</v>
      </c>
      <c r="AT71" s="988" t="e">
        <f>VLOOKUP(E71,TablasTec!$A$14:$V$771,14,FALSE)</f>
        <v>#N/A</v>
      </c>
      <c r="AU71" s="988" t="e">
        <f>IF(AQ71=AT71,VLOOKUP(E71,TablasTec!$A$14:$V$771,15,FALSE),0)</f>
        <v>#N/A</v>
      </c>
      <c r="AV71" s="988" t="e">
        <f>VLOOKUP(E71,TablasTec!$A$14:$V$771,16,FALSE)</f>
        <v>#N/A</v>
      </c>
      <c r="AW71" s="988" t="e">
        <f>IF(AQ71=AV71,VLOOKUP(E71,TablasTec!$A$14:$V$771,17,FALSE),0)</f>
        <v>#N/A</v>
      </c>
      <c r="AX71" s="988" t="e">
        <f>VLOOKUP(E71,TablasTec!$A$14:$V$771,18,FALSE)</f>
        <v>#N/A</v>
      </c>
      <c r="AY71" s="988" t="e">
        <f>IF(AQ71=AX71,VLOOKUP(E71,TablasTec!$A$14:$V$771,19,FALSE),0)</f>
        <v>#N/A</v>
      </c>
      <c r="AZ71" s="989" t="str">
        <f>IF(E71=0,"",(AS71+AU71+AW71+AY71))</f>
        <v/>
      </c>
      <c r="BA71" s="970"/>
      <c r="BB71" s="988" t="e">
        <f>VLOOKUP(E71,TablasTec!$A$14:$V$771,12,FALSE)</f>
        <v>#N/A</v>
      </c>
      <c r="BC71" s="988" t="e">
        <f>IF(BA71=BB71,VLOOKUP(E71,TablasTec!$A$14:$V$771,13,FALSE),0)</f>
        <v>#N/A</v>
      </c>
      <c r="BD71" s="988" t="e">
        <f>VLOOKUP(E71,TablasTec!$A$14:$V$771,14,FALSE)</f>
        <v>#N/A</v>
      </c>
      <c r="BE71" s="988" t="e">
        <f>IF(BA71=BD71,VLOOKUP(E71,TablasTec!$A$14:$V$771,15,FALSE),0)</f>
        <v>#N/A</v>
      </c>
      <c r="BF71" s="988" t="e">
        <f>VLOOKUP(E71,TablasTec!$A$14:$V$771,16,FALSE)</f>
        <v>#N/A</v>
      </c>
      <c r="BG71" s="988" t="e">
        <f>IF(BA71=BF71,VLOOKUP(E71,TablasTec!$A$14:$V$771,17,FALSE),0)</f>
        <v>#N/A</v>
      </c>
      <c r="BH71" s="988" t="e">
        <f>VLOOKUP(E71,TablasTec!$A$14:$V$771,18,FALSE)</f>
        <v>#N/A</v>
      </c>
      <c r="BI71" s="988" t="e">
        <f>IF(BA71=BH71,VLOOKUP(E71,TablasTec!$A$14:$V$771,19,FALSE),0)</f>
        <v>#N/A</v>
      </c>
      <c r="BJ71" s="3182" t="str">
        <f>IF(E71=0,"",(BC71+BE71+BG71+BI71))</f>
        <v/>
      </c>
      <c r="BK71" s="1016" t="str">
        <f>IF(E71=0,"",VLOOKUP(E71,TablasTec!$A$14:$V$771,20,FALSE))</f>
        <v/>
      </c>
      <c r="BL71" s="1003" t="str">
        <f>IF(E71=0,"",VLOOKUP(E71,TablasTec!$A$14:$V$771,21,FALSE))</f>
        <v/>
      </c>
      <c r="BM71" s="974" t="str">
        <f>IF(E71=0,"",VLOOKUP(E71,TablasTec!$A$14:$V$771,22,FALSE))</f>
        <v/>
      </c>
      <c r="BN71" s="975"/>
      <c r="BO71" s="976"/>
      <c r="BP71" s="961" t="str">
        <f>IF(I71="Si",VLOOKUP($D$8,TablasTec!$E$4:$F$6,2,FALSE),"")</f>
        <v/>
      </c>
      <c r="BQ71" s="962" t="str">
        <f>IF(L71="Si",VLOOKUP($D$8,TablasTec!$I$4:$J$6,2,FALSE),"")</f>
        <v/>
      </c>
      <c r="BR71" s="960" t="str">
        <f>IF(O71="Si",VLOOKUP($D$8,TablasTec!$I$7:$J$9,2,FALSE),"")</f>
        <v/>
      </c>
      <c r="BS71" s="977"/>
      <c r="BT71" s="943"/>
      <c r="BU71" s="4864"/>
      <c r="BV71" s="4864"/>
      <c r="BW71" s="4864"/>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c r="A72" s="922"/>
      <c r="B72" s="922"/>
      <c r="C72" s="4909"/>
      <c r="D72" s="1435" t="s">
        <v>1766</v>
      </c>
      <c r="E72" s="978"/>
      <c r="F72" s="1008"/>
      <c r="G72" s="1420" t="str">
        <f>IF(E72=0,"",VLOOKUP(E72,TablasTec!$A$14:$V$771,3,FALSE))</f>
        <v/>
      </c>
      <c r="H72" s="981" t="str">
        <f>IF($E72=0,"",VLOOKUP($E72,TablasTec!$A$14:$V$771,4,FALSE))</f>
        <v/>
      </c>
      <c r="I72" s="982" t="s">
        <v>1690</v>
      </c>
      <c r="J72" s="1398" t="str">
        <f>IF(E72=0,"",VLOOKUP(E72,TablasTec!$A$14:$V$771,5,FALSE))</f>
        <v/>
      </c>
      <c r="K72" s="984" t="str">
        <f>IF(I72="Si",IF(E72=0,"",VLOOKUP(E72,TablasTec!$A$14:$V$771,5,FALSE)),"")</f>
        <v/>
      </c>
      <c r="L72" s="982" t="s">
        <v>1690</v>
      </c>
      <c r="M72" s="1398" t="str">
        <f>IF(E72=0,"",VLOOKUP(E72,TablasTec!$A$14:$V$771,6,FALSE))</f>
        <v/>
      </c>
      <c r="N72" s="985" t="str">
        <f>IF(L72="Si",IF(E72=0,"",VLOOKUP(E72,TablasTec!$A$14:$V$771,6,FALSE)),"")</f>
        <v/>
      </c>
      <c r="O72" s="982" t="s">
        <v>1690</v>
      </c>
      <c r="P72" s="1398" t="str">
        <f>IF(E72=0,"",VLOOKUP(E72,TablasTec!$A$14:$V$771,7,FALSE))</f>
        <v/>
      </c>
      <c r="Q72" s="985" t="str">
        <f>IF(O72="Si",IF(E72=0,"",VLOOKUP(E72,TablasTec!$A$14:$V$771,7,FALSE)),"")</f>
        <v/>
      </c>
      <c r="R72" s="983" t="str">
        <f>IF(E72=0,"",VLOOKUP(E72,TablasTec!$A$14:$V$771,8,FALSE))</f>
        <v/>
      </c>
      <c r="S72" s="981" t="str">
        <f>IF(R72=$D$8,$D$8,IF(R72=2,2,IF(R72=3,3,R72)))</f>
        <v/>
      </c>
      <c r="T72" s="4883" t="s">
        <v>4540</v>
      </c>
      <c r="U72" s="4884"/>
      <c r="V72" s="4884"/>
      <c r="W72" s="4884"/>
      <c r="X72" s="4884"/>
      <c r="Y72" s="4884"/>
      <c r="Z72" s="4884"/>
      <c r="AA72" s="4884"/>
      <c r="AB72" s="4884"/>
      <c r="AC72" s="4884"/>
      <c r="AD72" s="4884"/>
      <c r="AE72" s="4884"/>
      <c r="AF72" s="4884"/>
      <c r="AG72" s="4884"/>
      <c r="AH72" s="4884"/>
      <c r="AI72" s="4884"/>
      <c r="AJ72" s="4884"/>
      <c r="AK72" s="4884"/>
      <c r="AL72" s="4884"/>
      <c r="AM72" s="4884"/>
      <c r="AN72" s="4884"/>
      <c r="AO72" s="4884"/>
      <c r="AP72" s="4884"/>
      <c r="AQ72" s="4884"/>
      <c r="AR72" s="4884"/>
      <c r="AS72" s="4884"/>
      <c r="AT72" s="4884"/>
      <c r="AU72" s="4884"/>
      <c r="AV72" s="4884"/>
      <c r="AW72" s="4884"/>
      <c r="AX72" s="4884"/>
      <c r="AY72" s="4884"/>
      <c r="AZ72" s="4884"/>
      <c r="BA72" s="4884"/>
      <c r="BB72" s="4884"/>
      <c r="BC72" s="4884"/>
      <c r="BD72" s="4884"/>
      <c r="BE72" s="4884"/>
      <c r="BF72" s="4884"/>
      <c r="BG72" s="4884"/>
      <c r="BH72" s="4884"/>
      <c r="BI72" s="4884"/>
      <c r="BJ72" s="4884"/>
      <c r="BK72" s="4885"/>
      <c r="BL72" s="1420"/>
      <c r="BM72" s="1421"/>
      <c r="BN72" s="975"/>
      <c r="BO72" s="976"/>
      <c r="BP72" s="961" t="str">
        <f>IF(I72="Si",VLOOKUP($D$8,TablasTec!$E$4:$F$6,2,FALSE),"")</f>
        <v/>
      </c>
      <c r="BQ72" s="962" t="str">
        <f>IF(L72="Si",VLOOKUP($D$8,TablasTec!$I$4:$J$6,2,FALSE),"")</f>
        <v/>
      </c>
      <c r="BR72" s="960" t="str">
        <f>IF(O72="Si",VLOOKUP($D$8,TablasTec!$I$7:$J$9,2,FALSE),"")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c r="A73" s="922"/>
      <c r="B73" s="922"/>
      <c r="C73" s="4909"/>
      <c r="D73" s="1436" t="s">
        <v>1766</v>
      </c>
      <c r="E73" s="986"/>
      <c r="F73" s="1002"/>
      <c r="G73" s="972" t="str">
        <f>IF(E73=0,"",VLOOKUP(E73,TablasTec!$A$14:$V$771,3,FALSE))</f>
        <v/>
      </c>
      <c r="H73" s="3181" t="str">
        <f>IF($E73=0,"",VLOOKUP($E73,TablasTec!$A$14:$V$771,4,FALSE))</f>
        <v/>
      </c>
      <c r="I73" s="970" t="s">
        <v>1690</v>
      </c>
      <c r="J73" s="1394" t="str">
        <f>IF(E73=0,"",VLOOKUP(E73,TablasTec!$A$14:$V$771,5,FALSE))</f>
        <v/>
      </c>
      <c r="K73" s="989" t="str">
        <f>IF(I73="Si",IF(E73=0,"",VLOOKUP(E73,TablasTec!$A$14:$V$771,5,FALSE)),"")</f>
        <v/>
      </c>
      <c r="L73" s="970" t="s">
        <v>1690</v>
      </c>
      <c r="M73" s="1394" t="str">
        <f>IF(E73=0,"",VLOOKUP(E73,TablasTec!$A$14:$V$771,6,FALSE))</f>
        <v/>
      </c>
      <c r="N73" s="973" t="str">
        <f>IF(L73="Si",IF(E73=0,"",VLOOKUP(E73,TablasTec!$A$14:$V$771,6,FALSE)),"")</f>
        <v/>
      </c>
      <c r="O73" s="970" t="s">
        <v>1690</v>
      </c>
      <c r="P73" s="1394" t="str">
        <f>IF(E73=0,"",VLOOKUP(E73,TablasTec!$A$14:$V$771,7,FALSE))</f>
        <v/>
      </c>
      <c r="Q73" s="973" t="str">
        <f>IF(O73="Si",IF(E73=0,"",VLOOKUP(E73,TablasTec!$A$14:$V$771,7,FALSE)),"")</f>
        <v/>
      </c>
      <c r="R73" s="988" t="str">
        <f>IF(E73=0,"",VLOOKUP(E73,TablasTec!$A$14:$V$771,8,FALSE))</f>
        <v/>
      </c>
      <c r="S73" s="3181" t="str">
        <f>IF(R73=$D$8,$D$8,IF(R73=2,2,IF(R73=3,3,R73)))</f>
        <v/>
      </c>
      <c r="T73" s="4896"/>
      <c r="U73" s="4897"/>
      <c r="V73" s="3179" t="str">
        <f>IF(OR(V71=0,V71=""),"N/A",V71)</f>
        <v>N/A</v>
      </c>
      <c r="W73" s="4896" t="str">
        <f xml:space="preserve"> IF(OR(AF71=0,AF71=""),"N/A",W71)</f>
        <v>N/A</v>
      </c>
      <c r="X73" s="4898"/>
      <c r="Y73" s="4898"/>
      <c r="Z73" s="4898"/>
      <c r="AA73" s="4898"/>
      <c r="AB73" s="4898"/>
      <c r="AC73" s="4898"/>
      <c r="AD73" s="4898"/>
      <c r="AE73" s="4898"/>
      <c r="AF73" s="4897"/>
      <c r="AG73" s="4896" t="str">
        <f xml:space="preserve"> IF(OR(AP71="",AP71=0),"N/A",AG71)</f>
        <v>N/A</v>
      </c>
      <c r="AH73" s="4898"/>
      <c r="AI73" s="4898"/>
      <c r="AJ73" s="4898"/>
      <c r="AK73" s="4898"/>
      <c r="AL73" s="4898"/>
      <c r="AM73" s="4898"/>
      <c r="AN73" s="4898"/>
      <c r="AO73" s="4898"/>
      <c r="AP73" s="4897"/>
      <c r="AQ73" s="4896" t="str">
        <f xml:space="preserve"> IF(OR(AZ71="",AZ71=0),"N/A",AQ71)</f>
        <v>N/A</v>
      </c>
      <c r="AR73" s="4898"/>
      <c r="AS73" s="4898"/>
      <c r="AT73" s="4898"/>
      <c r="AU73" s="4898"/>
      <c r="AV73" s="4898"/>
      <c r="AW73" s="4898"/>
      <c r="AX73" s="4898"/>
      <c r="AY73" s="4898"/>
      <c r="AZ73" s="4897"/>
      <c r="BA73" s="4896" t="str">
        <f xml:space="preserve"> IF(OR(BJ71="",BJ71=0),"N/A",BA71)</f>
        <v>N/A</v>
      </c>
      <c r="BB73" s="4898"/>
      <c r="BC73" s="4898"/>
      <c r="BD73" s="4898"/>
      <c r="BE73" s="4898"/>
      <c r="BF73" s="4898"/>
      <c r="BG73" s="4898"/>
      <c r="BH73" s="4898"/>
      <c r="BI73" s="4898"/>
      <c r="BJ73" s="4897"/>
      <c r="BK73" s="990" t="s">
        <v>4541</v>
      </c>
      <c r="BL73" s="972"/>
      <c r="BM73" s="1007"/>
      <c r="BN73" s="991"/>
      <c r="BO73" s="992"/>
      <c r="BP73" s="993" t="str">
        <f>IF(I73="Si",VLOOKUP($D$8,TablasTec!$E$4:$F$6,2,FALSE),"")</f>
        <v/>
      </c>
      <c r="BQ73" s="963" t="str">
        <f>IF(L73="Si",VLOOKUP($D$8,TablasTec!$I$4:$J$6,2,FALSE),"")</f>
        <v/>
      </c>
      <c r="BR73" s="994" t="str">
        <f>IF(O73="Si",VLOOKUP($D$8,TablasTec!$I$7:$J$9,2,FALSE),"")</f>
        <v/>
      </c>
      <c r="BS73" s="977"/>
      <c r="BU73" s="4863"/>
      <c r="BV73" s="4863"/>
      <c r="BW73" s="4863"/>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c r="A74" s="922"/>
      <c r="B74" s="922"/>
      <c r="C74" s="4909"/>
      <c r="D74" s="1435" t="s">
        <v>1766</v>
      </c>
      <c r="E74" s="978"/>
      <c r="F74" s="1008"/>
      <c r="G74" s="1420" t="str">
        <f>IF(E74=0,"",VLOOKUP(E74,TablasTec!$A$14:$V$771,3,FALSE))</f>
        <v/>
      </c>
      <c r="H74" s="981" t="str">
        <f>IF($E74=0,"",VLOOKUP($E74,TablasTec!$A$14:$V$771,4,FALSE))</f>
        <v/>
      </c>
      <c r="I74" s="982" t="s">
        <v>1690</v>
      </c>
      <c r="J74" s="1398" t="str">
        <f>IF(E74=0,"",VLOOKUP(E74,TablasTec!$A$14:$V$771,5,FALSE))</f>
        <v/>
      </c>
      <c r="K74" s="984" t="str">
        <f>IF(I74="Si",IF(E74=0,"",VLOOKUP(E74,TablasTec!$A$14:$V$771,5,FALSE)),"")</f>
        <v/>
      </c>
      <c r="L74" s="982" t="s">
        <v>1690</v>
      </c>
      <c r="M74" s="1398" t="str">
        <f>IF(E74=0,"",VLOOKUP(E74,TablasTec!$A$14:$V$771,6,FALSE))</f>
        <v/>
      </c>
      <c r="N74" s="985" t="str">
        <f>IF(L74="Si",IF(E74=0,"",VLOOKUP(E74,TablasTec!$A$14:$V$771,6,FALSE)),"")</f>
        <v/>
      </c>
      <c r="O74" s="982" t="s">
        <v>1690</v>
      </c>
      <c r="P74" s="1398" t="str">
        <f>IF(E74=0,"",VLOOKUP(E74,TablasTec!$A$14:$V$771,7,FALSE))</f>
        <v/>
      </c>
      <c r="Q74" s="985" t="str">
        <f>IF(O74="Si",IF(E74=0,"",VLOOKUP(E74,TablasTec!$A$14:$V$771,7,FALSE)),"")</f>
        <v/>
      </c>
      <c r="R74" s="983" t="str">
        <f>IF(E74=0,"",VLOOKUP(E74,TablasTec!$A$14:$V$771,8,FALSE))</f>
        <v/>
      </c>
      <c r="S74" s="981" t="str">
        <f>IF(R74=$D$8,$D$8,IF(R74=2,2,IF(R74=3,3,R74)))</f>
        <v/>
      </c>
      <c r="T74" s="4899" t="s">
        <v>4542</v>
      </c>
      <c r="U74" s="4900"/>
      <c r="V74" s="3180"/>
      <c r="W74" s="4901"/>
      <c r="X74" s="4902"/>
      <c r="Y74" s="4902"/>
      <c r="Z74" s="4902"/>
      <c r="AA74" s="4902"/>
      <c r="AB74" s="4902"/>
      <c r="AC74" s="4902"/>
      <c r="AD74" s="4902"/>
      <c r="AE74" s="4902"/>
      <c r="AF74" s="4903"/>
      <c r="AG74" s="4901"/>
      <c r="AH74" s="4902"/>
      <c r="AI74" s="4902"/>
      <c r="AJ74" s="4902"/>
      <c r="AK74" s="4902"/>
      <c r="AL74" s="4902"/>
      <c r="AM74" s="4902"/>
      <c r="AN74" s="4902"/>
      <c r="AO74" s="4902"/>
      <c r="AP74" s="4903"/>
      <c r="AQ74" s="4901"/>
      <c r="AR74" s="4902"/>
      <c r="AS74" s="4902"/>
      <c r="AT74" s="4902"/>
      <c r="AU74" s="4902"/>
      <c r="AV74" s="4902"/>
      <c r="AW74" s="4902"/>
      <c r="AX74" s="4902"/>
      <c r="AY74" s="4902"/>
      <c r="AZ74" s="4903"/>
      <c r="BA74" s="4901"/>
      <c r="BB74" s="4902"/>
      <c r="BC74" s="4902"/>
      <c r="BD74" s="4902"/>
      <c r="BE74" s="4902"/>
      <c r="BF74" s="4902"/>
      <c r="BG74" s="4902"/>
      <c r="BH74" s="4902"/>
      <c r="BI74" s="4902"/>
      <c r="BJ74" s="4903"/>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IF(I74="Si",VLOOKUP($D$8,TablasTec!$E$4:$F$6,2,FALSE),"")</f>
        <v/>
      </c>
      <c r="BQ74" s="962" t="str">
        <f>IF(L74="Si",VLOOKUP($D$8,TablasTec!$I$4:$J$6,2,FALSE),"")</f>
        <v/>
      </c>
      <c r="BR74" s="960" t="str">
        <f>IF(O74="Si",VLOOKUP($D$8,TablasTec!$I$7:$J$9,2,FALSE),"")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c r="A75" s="922"/>
      <c r="B75" s="922"/>
      <c r="C75" s="4909"/>
      <c r="D75" s="1436" t="s">
        <v>1766</v>
      </c>
      <c r="E75" s="986"/>
      <c r="F75" s="1002"/>
      <c r="G75" s="972" t="str">
        <f>IF(E75=0,"",VLOOKUP(E75,TablasTec!$A$14:$V$771,3,FALSE))</f>
        <v/>
      </c>
      <c r="H75" s="987" t="str">
        <f>IF($E75=0,"",VLOOKUP($E75,TablasTec!$A$14:$V$771,4,FALSE))</f>
        <v/>
      </c>
      <c r="I75" s="970" t="s">
        <v>1690</v>
      </c>
      <c r="J75" s="1394" t="str">
        <f>IF(E75=0,"",VLOOKUP(E75,TablasTec!$A$14:$V$771,5,FALSE))</f>
        <v/>
      </c>
      <c r="K75" s="989" t="str">
        <f>IF(I75="Si",IF(E75=0,"",VLOOKUP(E75,TablasTec!$A$14:$V$771,5,FALSE)),"")</f>
        <v/>
      </c>
      <c r="L75" s="970" t="s">
        <v>1690</v>
      </c>
      <c r="M75" s="1394" t="str">
        <f>IF(E75=0,"",VLOOKUP(E75,TablasTec!$A$14:$V$771,6,FALSE))</f>
        <v/>
      </c>
      <c r="N75" s="973" t="str">
        <f>IF(L75="Si",IF(E75=0,"",VLOOKUP(E75,TablasTec!$A$14:$V$771,6,FALSE)),"")</f>
        <v/>
      </c>
      <c r="O75" s="970" t="s">
        <v>1690</v>
      </c>
      <c r="P75" s="1394" t="str">
        <f>IF(E75=0,"",VLOOKUP(E75,TablasTec!$A$14:$V$771,7,FALSE))</f>
        <v/>
      </c>
      <c r="Q75" s="973" t="str">
        <f>IF(O75="Si",IF(E75=0,"",VLOOKUP(E75,TablasTec!$A$14:$V$771,7,FALSE)),"")</f>
        <v/>
      </c>
      <c r="R75" s="988" t="str">
        <f>IF(E75=0,"",VLOOKUP(E75,TablasTec!$A$14:$V$771,8,FALSE))</f>
        <v/>
      </c>
      <c r="S75" s="987" t="str">
        <f>IF(R75=$D$8,$D$8,IF(R75=2,2,IF(R75=3,3,R75)))</f>
        <v/>
      </c>
      <c r="T75" s="4904" t="s">
        <v>4544</v>
      </c>
      <c r="U75" s="4905"/>
      <c r="V75" s="3183"/>
      <c r="W75" s="4906"/>
      <c r="X75" s="4907"/>
      <c r="Y75" s="4907"/>
      <c r="Z75" s="4907"/>
      <c r="AA75" s="4907"/>
      <c r="AB75" s="4907"/>
      <c r="AC75" s="4907"/>
      <c r="AD75" s="4907"/>
      <c r="AE75" s="4907"/>
      <c r="AF75" s="4908"/>
      <c r="AG75" s="4906"/>
      <c r="AH75" s="4907"/>
      <c r="AI75" s="4907"/>
      <c r="AJ75" s="4907"/>
      <c r="AK75" s="4907"/>
      <c r="AL75" s="4907"/>
      <c r="AM75" s="4907"/>
      <c r="AN75" s="4907"/>
      <c r="AO75" s="4907"/>
      <c r="AP75" s="4908"/>
      <c r="AQ75" s="4906"/>
      <c r="AR75" s="4907"/>
      <c r="AS75" s="4907"/>
      <c r="AT75" s="4907"/>
      <c r="AU75" s="4907"/>
      <c r="AV75" s="4907"/>
      <c r="AW75" s="4907"/>
      <c r="AX75" s="4907"/>
      <c r="AY75" s="4907"/>
      <c r="AZ75" s="4908"/>
      <c r="BA75" s="4906"/>
      <c r="BB75" s="4907"/>
      <c r="BC75" s="4907"/>
      <c r="BD75" s="4907"/>
      <c r="BE75" s="4907"/>
      <c r="BF75" s="4907"/>
      <c r="BG75" s="4907"/>
      <c r="BH75" s="4907"/>
      <c r="BI75" s="4907"/>
      <c r="BJ75" s="4908"/>
      <c r="BK75" s="987">
        <f>SUM(K71:K75)-SUM(V75:BA75)</f>
        <v>0</v>
      </c>
      <c r="BL75" s="972"/>
      <c r="BM75" s="1007"/>
      <c r="BN75" s="991"/>
      <c r="BO75" s="992"/>
      <c r="BP75" s="993" t="str">
        <f>IF(I75="Si",VLOOKUP($D$8,TablasTec!$E$4:$F$6,2,FALSE),"")</f>
        <v/>
      </c>
      <c r="BQ75" s="963" t="str">
        <f>IF(L75="Si",VLOOKUP($D$8,TablasTec!$I$4:$J$6,2,FALSE),"")</f>
        <v/>
      </c>
      <c r="BR75" s="994" t="str">
        <f>IF(O75="Si",VLOOKUP($D$8,TablasTec!$I$7:$J$9,2,FALSE),"")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c r="A76" s="922"/>
      <c r="B76" s="922"/>
      <c r="C76" s="4909"/>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89"/>
      <c r="BL76" s="4889"/>
      <c r="BM76" s="4854"/>
      <c r="BN76" s="960">
        <f>SUM(K76:K79)</f>
        <v>0</v>
      </c>
      <c r="BO76" s="954">
        <f>IF(E76=0,"",(AF76+AP76+AZ76+BJ76))</f>
        <v>0</v>
      </c>
      <c r="BP76" s="961" t="str">
        <f>IF(I76="Si",VLOOKUP($D$8,TablasTec!$E$4:$F$6,2,FALSE),"")</f>
        <v/>
      </c>
      <c r="BQ76" s="962" t="str">
        <f>IF(L76="Si",VLOOKUP($D$8,TablasTec!$I$4:$J$6,2,FALSE),"")</f>
        <v/>
      </c>
      <c r="BR76" s="960" t="str">
        <f>IF(O76="Si",VLOOKUP($D$8,TablasTec!$I$7:$J$9,2,FALSE),"")</f>
        <v/>
      </c>
      <c r="BS76" s="977"/>
      <c r="BT76" s="4853" t="s">
        <v>4553</v>
      </c>
      <c r="BU76" s="4854"/>
      <c r="BV76" s="954"/>
      <c r="BW76" s="934"/>
      <c r="BX76" s="934"/>
      <c r="BY76" s="1269"/>
      <c r="BZ76" s="1287"/>
      <c r="CA76" s="922"/>
      <c r="DR76" s="922"/>
      <c r="DT76" s="1308"/>
      <c r="DU76" s="1360"/>
      <c r="DV76" s="1360"/>
      <c r="DW76" s="1360"/>
      <c r="DX76" s="1360"/>
      <c r="DY76" s="1307"/>
      <c r="DZ76" s="922"/>
      <c r="EA76" s="1453">
        <f t="shared" si="1"/>
        <v>1</v>
      </c>
    </row>
    <row r="77" spans="1:131" ht="12">
      <c r="A77" s="922"/>
      <c r="B77" s="922"/>
      <c r="C77" s="4909"/>
      <c r="D77" s="1439" t="s">
        <v>4552</v>
      </c>
      <c r="E77" s="966"/>
      <c r="F77" s="989"/>
      <c r="G77" s="989"/>
      <c r="H77" s="987" t="str">
        <f>IF(D45=0,"",IF(E77=0,"",VLOOKUP(E77,TablasTec!$A$14:$V$771,4,FALSE)))</f>
        <v/>
      </c>
      <c r="I77" s="989"/>
      <c r="J77" s="989"/>
      <c r="K77" s="1021"/>
      <c r="L77" s="989"/>
      <c r="M77" s="989"/>
      <c r="N77" s="1021"/>
      <c r="O77" s="989"/>
      <c r="P77" s="989"/>
      <c r="Q77" s="989"/>
      <c r="R77" s="988" t="str">
        <f>IF(E77=0,"",VLOOKUP(E77,TablasTec!$A$14:$V$771,8,FALSE))</f>
        <v/>
      </c>
      <c r="S77" s="1014" t="str">
        <f>IF(R77=$D$8,$D$8,IF(R77=2,2,IF(R77=3,3,R77)))</f>
        <v/>
      </c>
      <c r="T77" s="989" t="str">
        <f>IF(E77=0,"",VLOOKUP(E77,TablasTec!$A$14:$V$771,9,FALSE))</f>
        <v/>
      </c>
      <c r="U77" s="1016" t="str">
        <f>IF(E77=0,"",VLOOKUP(E77,TablasTec!$A$14:$V$771,10,FALSE))</f>
        <v/>
      </c>
      <c r="V77" s="1017"/>
      <c r="W77" s="1017"/>
      <c r="X77" s="1016"/>
      <c r="Y77" s="1016"/>
      <c r="Z77" s="1016"/>
      <c r="AA77" s="1016"/>
      <c r="AB77" s="1016"/>
      <c r="AC77" s="1016"/>
      <c r="AD77" s="1016"/>
      <c r="AE77" s="1016"/>
      <c r="AF77" s="1016"/>
      <c r="AG77" s="4886" t="str">
        <f>IF(OR(E77=TablasTec!A$678,E77=TablasTec!A$679,E78=TablasTec!A$678,E78=TablasTec!A$679,E79=TablasTec!A$678,E79=TablasTec!A$679),"Selecciona la atadura elemental:","")</f>
        <v/>
      </c>
      <c r="AH77" s="4887"/>
      <c r="AI77" s="4887"/>
      <c r="AJ77" s="4887"/>
      <c r="AK77" s="4887"/>
      <c r="AL77" s="4887"/>
      <c r="AM77" s="4887"/>
      <c r="AN77" s="4887"/>
      <c r="AO77" s="4887"/>
      <c r="AP77" s="4887"/>
      <c r="AQ77" s="4887"/>
      <c r="AR77" s="4887"/>
      <c r="AS77" s="4887"/>
      <c r="AT77" s="4887"/>
      <c r="AU77" s="4887"/>
      <c r="AV77" s="4887"/>
      <c r="AW77" s="4887"/>
      <c r="AX77" s="4887"/>
      <c r="AY77" s="4887"/>
      <c r="AZ77" s="4887"/>
      <c r="BA77" s="4887"/>
      <c r="BB77" s="4887"/>
      <c r="BC77" s="4887"/>
      <c r="BD77" s="4887"/>
      <c r="BE77" s="4887"/>
      <c r="BF77" s="4887"/>
      <c r="BG77" s="4887"/>
      <c r="BH77" s="4887"/>
      <c r="BI77" s="4887"/>
      <c r="BJ77" s="4887"/>
      <c r="BK77" s="4888"/>
      <c r="BL77" s="1424"/>
      <c r="BM77" s="1424"/>
      <c r="BN77" s="989"/>
      <c r="BO77" s="989"/>
      <c r="BP77" s="1021"/>
      <c r="BQ77" s="989"/>
      <c r="BR77" s="989"/>
      <c r="BS77" s="989"/>
      <c r="BT77" s="4855">
        <f>D45</f>
        <v>1</v>
      </c>
      <c r="BU77" s="4856"/>
      <c r="BV77" s="954">
        <f>IF(BV76=0,0,VLOOKUP(BV76,TablasTec!$M$4:$N$7,2,FALSE))</f>
        <v>0</v>
      </c>
      <c r="BW77" s="934"/>
      <c r="BX77" s="934"/>
      <c r="BY77" s="1269"/>
      <c r="BZ77" s="1287"/>
      <c r="CA77" s="922"/>
      <c r="DR77" s="922"/>
      <c r="DT77" s="1308"/>
      <c r="DU77" s="1360"/>
      <c r="DV77" s="1360"/>
      <c r="DW77" s="1360"/>
      <c r="DX77" s="1360"/>
      <c r="DY77" s="1307"/>
      <c r="DZ77" s="922"/>
      <c r="EA77" s="1453">
        <f t="shared" si="1"/>
        <v>1</v>
      </c>
    </row>
    <row r="78" spans="1:131">
      <c r="A78" s="922"/>
      <c r="B78" s="922"/>
      <c r="C78" s="4909"/>
      <c r="D78" s="1435" t="s">
        <v>4554</v>
      </c>
      <c r="E78" s="1022"/>
      <c r="F78" s="1388"/>
      <c r="G78" s="1389"/>
      <c r="H78" s="979" t="str">
        <f>IF(VALUE(D45)&gt;1,IF(E78=0,"",VLOOKUP(E78,TablasTec!$A$14:$V$771,4,FALSE)),"")</f>
        <v/>
      </c>
      <c r="I78" s="1388"/>
      <c r="J78" s="1389"/>
      <c r="K78" s="1389"/>
      <c r="L78" s="1388"/>
      <c r="M78" s="1389"/>
      <c r="N78" s="1390"/>
      <c r="O78" s="1389"/>
      <c r="P78" s="1389"/>
      <c r="Q78" s="1389"/>
      <c r="R78" s="983" t="str">
        <f>IF(E78=0,"",VLOOKUP(E78,TablasTec!$A$14:$V$771,8,FALSE))</f>
        <v/>
      </c>
      <c r="S78" s="981" t="str">
        <f>IF(R78=$D$8,$D$8,IF(R78=2,2,IF(R78=3,3,R78)))</f>
        <v/>
      </c>
      <c r="T78" s="984" t="str">
        <f>IF(E78=0,"",VLOOKUP(E78,TablasTec!$A$14:$V$771,9,FALSE))</f>
        <v/>
      </c>
      <c r="U78" s="984" t="str">
        <f>IF(E78=0,"",VLOOKUP(E78,TablasTec!$A$14:$V$771,10,FALSE))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c r="A79" s="922"/>
      <c r="B79" s="922"/>
      <c r="C79" s="4909"/>
      <c r="D79" s="1440" t="s">
        <v>4555</v>
      </c>
      <c r="E79" s="1023"/>
      <c r="F79" s="3176"/>
      <c r="G79" s="998"/>
      <c r="H79" s="997" t="str">
        <f>IF(VALUE(D45)=3,IF(E79=0,"",VLOOKUP(E79,TablasTec!$A$14:$V$771,4,FALSE)),"")</f>
        <v/>
      </c>
      <c r="I79" s="998"/>
      <c r="J79" s="998"/>
      <c r="K79" s="998"/>
      <c r="L79" s="3176"/>
      <c r="M79" s="998"/>
      <c r="N79" s="998"/>
      <c r="O79" s="3176"/>
      <c r="P79" s="998"/>
      <c r="Q79" s="998"/>
      <c r="R79" s="1018" t="str">
        <f>IF(E79=0,"",VLOOKUP(E79,TablasTec!$A$14:$V$771,8,FALSE))</f>
        <v/>
      </c>
      <c r="S79" s="997" t="str">
        <f>IF(R79=$D$8,$D$8,IF(R79=2,2,IF(R79=3,3,R79)))</f>
        <v/>
      </c>
      <c r="T79" s="998" t="str">
        <f>IF(E79=0,"",VLOOKUP(E79,TablasTec!$A$14:$V$771,9,FALSE))</f>
        <v/>
      </c>
      <c r="U79" s="998" t="str">
        <f>IF(E79=0,"",VLOOKUP(E79,TablasTec!$A$14:$V$771,10,FALSE))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IF(BV78=0,0,VLOOKUP(BV78,TablasTec!$M$4:$N$7,2,FALSE))</f>
        <v>0</v>
      </c>
      <c r="BW79" s="934"/>
      <c r="BX79" s="934"/>
      <c r="BY79" s="1269"/>
      <c r="BZ79" s="1287"/>
      <c r="CA79" s="926"/>
      <c r="DR79" s="926"/>
      <c r="DT79" s="1311"/>
      <c r="DU79" s="1416"/>
      <c r="DV79" s="1416"/>
      <c r="DW79" s="1416"/>
      <c r="DX79" s="1416"/>
      <c r="DY79" s="1312"/>
      <c r="DZ79" s="926"/>
      <c r="EA79" s="1453">
        <f t="shared" si="1"/>
        <v>1</v>
      </c>
    </row>
    <row r="80" spans="1:131">
      <c r="A80" s="926"/>
      <c r="B80" s="926"/>
      <c r="C80" s="4909"/>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c r="A81" s="922"/>
      <c r="B81" s="922"/>
      <c r="C81" s="4909"/>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c r="A82" s="922"/>
      <c r="B82" s="922"/>
      <c r="C82" s="4909"/>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3175" t="s">
        <v>1708</v>
      </c>
      <c r="U82" s="3175" t="s">
        <v>1679</v>
      </c>
      <c r="V82" s="3175" t="s">
        <v>3335</v>
      </c>
      <c r="W82" s="4881" t="s">
        <v>3336</v>
      </c>
      <c r="X82" s="4881"/>
      <c r="Y82" s="4881"/>
      <c r="Z82" s="4881"/>
      <c r="AA82" s="4881"/>
      <c r="AB82" s="4881"/>
      <c r="AC82" s="4881"/>
      <c r="AD82" s="4881"/>
      <c r="AE82" s="4881"/>
      <c r="AF82" s="4881"/>
      <c r="AG82" s="4881"/>
      <c r="AH82" s="4881"/>
      <c r="AI82" s="4881"/>
      <c r="AJ82" s="4881"/>
      <c r="AK82" s="4881"/>
      <c r="AL82" s="4881"/>
      <c r="AM82" s="4881"/>
      <c r="AN82" s="4881"/>
      <c r="AO82" s="4881"/>
      <c r="AP82" s="4881"/>
      <c r="AQ82" s="4881"/>
      <c r="AR82" s="4881"/>
      <c r="AS82" s="4881"/>
      <c r="AT82" s="4881"/>
      <c r="AU82" s="4881"/>
      <c r="AV82" s="4881"/>
      <c r="AW82" s="4881"/>
      <c r="AX82" s="4881"/>
      <c r="AY82" s="4881"/>
      <c r="AZ82" s="4881"/>
      <c r="BA82" s="4881"/>
      <c r="BB82" s="4881"/>
      <c r="BC82" s="4881"/>
      <c r="BD82" s="4881"/>
      <c r="BE82" s="4881"/>
      <c r="BF82" s="4881"/>
      <c r="BG82" s="4881"/>
      <c r="BH82" s="4881"/>
      <c r="BI82" s="4881"/>
      <c r="BJ82" s="4881"/>
      <c r="BK82" s="4881" t="s">
        <v>3337</v>
      </c>
      <c r="BL82" s="4881"/>
      <c r="BM82" s="4882"/>
      <c r="BN82" s="952" t="s">
        <v>4532</v>
      </c>
      <c r="BO82" s="952" t="s">
        <v>4533</v>
      </c>
      <c r="BP82" s="952" t="s">
        <v>4534</v>
      </c>
      <c r="BQ82" s="952" t="s">
        <v>4535</v>
      </c>
      <c r="BR82" s="952" t="s">
        <v>4536</v>
      </c>
      <c r="BS82" s="953" t="s">
        <v>4537</v>
      </c>
      <c r="BT82" s="4857" t="s">
        <v>4538</v>
      </c>
      <c r="BU82" s="4858"/>
      <c r="BV82" s="954"/>
      <c r="BW82" s="934"/>
      <c r="BX82" s="934"/>
      <c r="BY82" s="1269"/>
      <c r="BZ82" s="1287"/>
      <c r="CA82" s="922"/>
      <c r="DR82" s="922"/>
      <c r="DT82" s="1308"/>
      <c r="DU82" s="1360"/>
      <c r="DV82" s="1360"/>
      <c r="DW82" s="1360"/>
      <c r="DX82" s="1360"/>
      <c r="DY82" s="1307"/>
      <c r="DZ82" s="922"/>
      <c r="EB82" s="2127">
        <f>D82</f>
        <v>1</v>
      </c>
    </row>
    <row r="83" spans="1:13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09"/>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IF(I83="Si",VLOOKUP($D$8,TablasTec!$E$4:$F$6,2,FALSE),"")</f>
        <v/>
      </c>
      <c r="BQ83" s="962" t="str">
        <f>IF(L83="Si",VLOOKUP($D$8,TablasTec!$I$4:$J$6,2,FALSE),"")</f>
        <v/>
      </c>
      <c r="BR83" s="960" t="str">
        <f>IF(O83="Si",VLOOKUP($D$8,TablasTec!$I$7:$J$9,2,FALSE),"")</f>
        <v/>
      </c>
      <c r="BS83" s="963">
        <f>VLOOKUP(D82,TablasTec!$P$6:$R$8,3)</f>
        <v>50</v>
      </c>
      <c r="BT83" s="964">
        <f>VLOOKUP(D82,TablasTec!$P$6:$R$8,3,FALSE)</f>
        <v>50</v>
      </c>
      <c r="BU83" s="965">
        <f>VLOOKUP(D82,TablasTec!$P$6:$R$8,2,FALSE)</f>
        <v>20</v>
      </c>
      <c r="BV83" s="954">
        <f>IF(D82=0,"",VLOOKUP(D82,TablasTec!$L$4:$N$7,2,FALSE))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09"/>
      <c r="D84" s="1436" t="s">
        <v>1766</v>
      </c>
      <c r="E84" s="966"/>
      <c r="F84" s="967" t="str">
        <f>IF(E84=0,"",VLOOKUP(E84,TablasTec!$A$14:$V$771,2,FALSE))</f>
        <v/>
      </c>
      <c r="G84" s="968"/>
      <c r="H84" s="969" t="str">
        <f>IF($E84=0,"",VLOOKUP($E84,TablasTec!$A$14:$V$771,4,FALSE))</f>
        <v/>
      </c>
      <c r="I84" s="970" t="s">
        <v>1690</v>
      </c>
      <c r="J84" s="1395" t="str">
        <f>IF(E84=0,"",VLOOKUP(E84,TablasTec!$A$14:$V$771,5,FALSE))</f>
        <v/>
      </c>
      <c r="K84" s="972" t="str">
        <f>IF(I84="Si",IF(E84=0,"",VLOOKUP(E84,TablasTec!$A$14:$V$771,5,FALSE)),"")</f>
        <v/>
      </c>
      <c r="L84" s="970" t="s">
        <v>1690</v>
      </c>
      <c r="M84" s="1395" t="str">
        <f>IF(E84=0,"",VLOOKUP(E84,TablasTec!$A$14:$V$771,6,FALSE))</f>
        <v/>
      </c>
      <c r="N84" s="973" t="str">
        <f>IF(L84="Si",IF(E84=0,"",VLOOKUP(E84,TablasTec!$A$14:$V$771,6,FALSE)),"")</f>
        <v/>
      </c>
      <c r="O84" s="970" t="s">
        <v>1690</v>
      </c>
      <c r="P84" s="1395" t="str">
        <f>IF(E84=0,"",VLOOKUP(E84,TablasTec!$A$14:$V$771,7,FALSE))</f>
        <v/>
      </c>
      <c r="Q84" s="973" t="str">
        <f>IF(O84="Si",IF(E84=0,"",VLOOKUP(E84,TablasTec!$A$14:$V$771,7,FALSE)),"")</f>
        <v/>
      </c>
      <c r="R84" s="971" t="str">
        <f>IF(E84=0,"",VLOOKUP(E84,TablasTec!$A$14:$V$771,8,FALSE))</f>
        <v/>
      </c>
      <c r="S84" s="969" t="str">
        <f>IF(R84=$D$8,$D$8,IF(R84=2,2,IF(R84=3,3,R84)))</f>
        <v/>
      </c>
      <c r="T84" s="972" t="str">
        <f>IF(E84=0,"",VLOOKUP(E84,TablasTec!$A$14:$V$771,9,FALSE))</f>
        <v/>
      </c>
      <c r="U84" s="972" t="str">
        <f>IF(E84=0,"",VLOOKUP(E84,TablasTec!$A$14:$V$771,10,FALSE))</f>
        <v/>
      </c>
      <c r="V84" s="967" t="str">
        <f>IF(E84=0,"",VLOOKUP(E84,TablasTec!$A$14:$V$771,11,FALSE))</f>
        <v/>
      </c>
      <c r="W84" s="970"/>
      <c r="X84" s="971" t="e">
        <f>VLOOKUP(E84,TablasTec!$A$14:$V$771,12,FALSE)</f>
        <v>#N/A</v>
      </c>
      <c r="Y84" s="971" t="e">
        <f>IF(W84=X84,VLOOKUP(E84,TablasTec!$A$14:$V$771,13,FALSE),0)</f>
        <v>#N/A</v>
      </c>
      <c r="Z84" s="971" t="e">
        <f>VLOOKUP(E84,TablasTec!$A$14:$V$771,14,FALSE)</f>
        <v>#N/A</v>
      </c>
      <c r="AA84" s="971" t="e">
        <f>IF(W84=Z84,VLOOKUP(E84,TablasTec!$A$14:$V$616,15,FALSE),0)</f>
        <v>#N/A</v>
      </c>
      <c r="AB84" s="971" t="e">
        <f>VLOOKUP(E84,TablasTec!$A$14:$V$771,16,FALSE)</f>
        <v>#N/A</v>
      </c>
      <c r="AC84" s="971" t="e">
        <f>IF(W84=AB84,VLOOKUP(E84,TablasTec!$A$14:$V$616,17,FALSE),0)</f>
        <v>#N/A</v>
      </c>
      <c r="AD84" s="971" t="e">
        <f>VLOOKUP(E84,TablasTec!$A$14:$V$771,18,FALSE)</f>
        <v>#N/A</v>
      </c>
      <c r="AE84" s="971" t="e">
        <f>IF(W84=AD84,VLOOKUP(E84,TablasTec!$A$14:$V$771,19,FALSE),0)</f>
        <v>#N/A</v>
      </c>
      <c r="AF84" s="973" t="str">
        <f>IF(E84=0,"",(Y84+AA84+AC84+AE84))</f>
        <v/>
      </c>
      <c r="AG84" s="970"/>
      <c r="AH84" s="971" t="e">
        <f>VLOOKUP(E84,TablasTec!$A$14:$V$771,12,FALSE)</f>
        <v>#N/A</v>
      </c>
      <c r="AI84" s="971" t="e">
        <f>IF(AG84=AH84,VLOOKUP(E84,TablasTec!$A$14:$V$771,13,FALSE),0)</f>
        <v>#N/A</v>
      </c>
      <c r="AJ84" s="971" t="e">
        <f>VLOOKUP(E84,TablasTec!$A$14:$V$771,14,FALSE)</f>
        <v>#N/A</v>
      </c>
      <c r="AK84" s="971" t="e">
        <f>IF(AG84=AJ84,VLOOKUP(E84,TablasTec!$A$14:$V$771,15,FALSE),0)</f>
        <v>#N/A</v>
      </c>
      <c r="AL84" s="971" t="e">
        <f>VLOOKUP(E84,TablasTec!$A$14:$V$771,16,FALSE)</f>
        <v>#N/A</v>
      </c>
      <c r="AM84" s="971" t="e">
        <f>IF(AG84=AL84,VLOOKUP(E84,TablasTec!$A$14:$V$771,17,FALSE),0)</f>
        <v>#N/A</v>
      </c>
      <c r="AN84" s="971" t="e">
        <f>VLOOKUP(E84,TablasTec!$A$14:$V$771,18,FALSE)</f>
        <v>#N/A</v>
      </c>
      <c r="AO84" s="971" t="e">
        <f>IF(AG84=AN84,VLOOKUP(E84,TablasTec!$A$14:$V$771,19,FALSE),0)</f>
        <v>#N/A</v>
      </c>
      <c r="AP84" s="973" t="str">
        <f>IF(E84=0,"",(AI84+AK84+AM84+AO84))</f>
        <v/>
      </c>
      <c r="AQ84" s="970"/>
      <c r="AR84" s="971" t="e">
        <f>VLOOKUP(E84,TablasTec!$A$14:$V$771,12,FALSE)</f>
        <v>#N/A</v>
      </c>
      <c r="AS84" s="971" t="e">
        <f>IF(AQ84=AR84,VLOOKUP(E84,TablasTec!$A$14:$V$771,13,FALSE),0)</f>
        <v>#N/A</v>
      </c>
      <c r="AT84" s="971" t="e">
        <f>VLOOKUP(E84,TablasTec!$A$14:$V$771,14,FALSE)</f>
        <v>#N/A</v>
      </c>
      <c r="AU84" s="971" t="e">
        <f>IF(AQ84=AT84,VLOOKUP(E84,TablasTec!$A$14:$V$771,15,FALSE),0)</f>
        <v>#N/A</v>
      </c>
      <c r="AV84" s="971" t="e">
        <f>VLOOKUP(E84,TablasTec!$A$14:$V$771,16,FALSE)</f>
        <v>#N/A</v>
      </c>
      <c r="AW84" s="971" t="e">
        <f>IF(AQ84=AV84,VLOOKUP(E84,TablasTec!$A$14:$V$771,17,FALSE),0)</f>
        <v>#N/A</v>
      </c>
      <c r="AX84" s="971" t="e">
        <f>VLOOKUP(E84,TablasTec!$A$14:$V$771,18,FALSE)</f>
        <v>#N/A</v>
      </c>
      <c r="AY84" s="971" t="e">
        <f>IF(AQ84=AX84,VLOOKUP(E84,TablasTec!$A$14:$V$771,19,FALSE),0)</f>
        <v>#N/A</v>
      </c>
      <c r="AZ84" s="972" t="str">
        <f>IF(E84=0,"",(AS84+AU84+AW84+AY84))</f>
        <v/>
      </c>
      <c r="BA84" s="970"/>
      <c r="BB84" s="971" t="e">
        <f>VLOOKUP(E84,TablasTec!$A$14:$V$771,12,FALSE)</f>
        <v>#N/A</v>
      </c>
      <c r="BC84" s="971" t="e">
        <f>IF(BA84=BB84,VLOOKUP(E84,TablasTec!$A$14:$V$771,13,FALSE),0)</f>
        <v>#N/A</v>
      </c>
      <c r="BD84" s="971" t="e">
        <f>VLOOKUP(E84,TablasTec!$A$14:$V$771,14,FALSE)</f>
        <v>#N/A</v>
      </c>
      <c r="BE84" s="971" t="e">
        <f>IF(BA84=BD84,VLOOKUP(E84,TablasTec!$A$14:$V$771,15,FALSE),0)</f>
        <v>#N/A</v>
      </c>
      <c r="BF84" s="971" t="e">
        <f>VLOOKUP(E84,TablasTec!$A$14:$V$771,16,FALSE)</f>
        <v>#N/A</v>
      </c>
      <c r="BG84" s="971" t="e">
        <f>IF(BA84=BF84,VLOOKUP(E84,TablasTec!$A$14:$V$771,17,FALSE),0)</f>
        <v>#N/A</v>
      </c>
      <c r="BH84" s="971" t="e">
        <f>VLOOKUP(E84,TablasTec!$A$14:$V$771,18,FALSE)</f>
        <v>#N/A</v>
      </c>
      <c r="BI84" s="971" t="e">
        <f>IF(BA84=BH84,VLOOKUP(E84,TablasTec!$A$14:$V$771,19,FALSE),0)</f>
        <v>#N/A</v>
      </c>
      <c r="BJ84" s="973" t="str">
        <f>IF(E84=0,"",(BC84+BE84+BG84+BI84))</f>
        <v/>
      </c>
      <c r="BK84" s="972" t="str">
        <f>IF(E84=0,"",VLOOKUP(E84,TablasTec!$A$14:$V$771,20,FALSE))</f>
        <v/>
      </c>
      <c r="BL84" s="972" t="str">
        <f>IF(E84=0,"",VLOOKUP(E84,TablasTec!$A$14:$V$771,21,FALSE))</f>
        <v/>
      </c>
      <c r="BM84" s="974" t="str">
        <f>IF(E84=0,"",VLOOKUP(E84,TablasTec!$A$14:$V$771,22,FALSE))</f>
        <v/>
      </c>
      <c r="BN84" s="975"/>
      <c r="BO84" s="976"/>
      <c r="BP84" s="961" t="str">
        <f>IF(I84="Si",VLOOKUP($D$8,TablasTec!$E$4:$F$6,2,FALSE),"")</f>
        <v/>
      </c>
      <c r="BQ84" s="962" t="str">
        <f>IF(L84="Si",VLOOKUP($D$8,TablasTec!$I$4:$J$6,2,FALSE),"")</f>
        <v/>
      </c>
      <c r="BR84" s="960" t="str">
        <f>IF(O84="Si",VLOOKUP($D$8,TablasTec!$I$7:$J$9,2,FALSE),"")</f>
        <v/>
      </c>
      <c r="BS84" s="977"/>
      <c r="BT84" s="4857" t="s">
        <v>4539</v>
      </c>
      <c r="BU84" s="4858"/>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86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c r="A85" s="922"/>
      <c r="B85" s="922"/>
      <c r="C85" s="4909"/>
      <c r="D85" s="1435" t="s">
        <v>1766</v>
      </c>
      <c r="E85" s="978"/>
      <c r="F85" s="979" t="str">
        <f>IF(E85=0,"",VLOOKUP(E85,TablasTec!$A$14:$V$771,2,FALSE))</f>
        <v/>
      </c>
      <c r="G85" s="980"/>
      <c r="H85" s="981" t="str">
        <f>IF($E85=0,"",VLOOKUP($E85,TablasTec!$A$14:$V$771,4,FALSE))</f>
        <v/>
      </c>
      <c r="I85" s="982" t="s">
        <v>1690</v>
      </c>
      <c r="J85" s="1398" t="str">
        <f>IF(E85=0,"",VLOOKUP(E85,TablasTec!$A$14:$V$771,5,FALSE))</f>
        <v/>
      </c>
      <c r="K85" s="984" t="str">
        <f>IF(I85="Si",IF(E85=0,"",VLOOKUP(E85,TablasTec!$A$14:$V$771,5,FALSE)),"")</f>
        <v/>
      </c>
      <c r="L85" s="982" t="s">
        <v>1690</v>
      </c>
      <c r="M85" s="1398" t="str">
        <f>IF(E85=0,"",VLOOKUP(E85,TablasTec!$A$14:$V$771,6,FALSE))</f>
        <v/>
      </c>
      <c r="N85" s="985" t="str">
        <f>IF(L85="Si",IF(E85=0,"",VLOOKUP(E85,TablasTec!$A$14:$V$771,6,FALSE)),"")</f>
        <v/>
      </c>
      <c r="O85" s="982" t="s">
        <v>1690</v>
      </c>
      <c r="P85" s="1398" t="str">
        <f>IF(E85=0,"",VLOOKUP(E85,TablasTec!$A$14:$V$771,7,FALSE))</f>
        <v/>
      </c>
      <c r="Q85" s="985" t="str">
        <f>IF(O85="Si",IF(E85=0,"",VLOOKUP(E85,TablasTec!$A$14:$V$771,7,FALSE)),"")</f>
        <v/>
      </c>
      <c r="R85" s="983" t="str">
        <f>IF(E85=0,"",VLOOKUP(E85,TablasTec!$A$14:$V$771,8,FALSE))</f>
        <v/>
      </c>
      <c r="S85" s="981" t="str">
        <f>IF(R85=$D$8,$D$8,IF(R85=2,2,IF(R85=3,3,R85)))</f>
        <v/>
      </c>
      <c r="T85" s="4883" t="s">
        <v>4540</v>
      </c>
      <c r="U85" s="4884"/>
      <c r="V85" s="4884"/>
      <c r="W85" s="4884"/>
      <c r="X85" s="4884"/>
      <c r="Y85" s="4884"/>
      <c r="Z85" s="4884"/>
      <c r="AA85" s="4884"/>
      <c r="AB85" s="4884"/>
      <c r="AC85" s="4884"/>
      <c r="AD85" s="4884"/>
      <c r="AE85" s="4884"/>
      <c r="AF85" s="4884"/>
      <c r="AG85" s="4884"/>
      <c r="AH85" s="4884"/>
      <c r="AI85" s="4884"/>
      <c r="AJ85" s="4884"/>
      <c r="AK85" s="4884"/>
      <c r="AL85" s="4884"/>
      <c r="AM85" s="4884"/>
      <c r="AN85" s="4884"/>
      <c r="AO85" s="4884"/>
      <c r="AP85" s="4884"/>
      <c r="AQ85" s="4884"/>
      <c r="AR85" s="4884"/>
      <c r="AS85" s="4884"/>
      <c r="AT85" s="4884"/>
      <c r="AU85" s="4884"/>
      <c r="AV85" s="4884"/>
      <c r="AW85" s="4884"/>
      <c r="AX85" s="4884"/>
      <c r="AY85" s="4884"/>
      <c r="AZ85" s="4884"/>
      <c r="BA85" s="4884"/>
      <c r="BB85" s="4884"/>
      <c r="BC85" s="4884"/>
      <c r="BD85" s="4884"/>
      <c r="BE85" s="4884"/>
      <c r="BF85" s="4884"/>
      <c r="BG85" s="4884"/>
      <c r="BH85" s="4884"/>
      <c r="BI85" s="4884"/>
      <c r="BJ85" s="4884"/>
      <c r="BK85" s="4885"/>
      <c r="BL85" s="1420"/>
      <c r="BM85" s="1421"/>
      <c r="BN85" s="975"/>
      <c r="BO85" s="976"/>
      <c r="BP85" s="961" t="str">
        <f>IF(I85="Si",VLOOKUP($D$8,TablasTec!$E$4:$F$6,2,FALSE),"")</f>
        <v/>
      </c>
      <c r="BQ85" s="962" t="str">
        <f>IF(L85="Si",VLOOKUP($D$8,TablasTec!$I$4:$J$6,2,FALSE),"")</f>
        <v/>
      </c>
      <c r="BR85" s="960" t="str">
        <f>IF(O85="Si",VLOOKUP($D$8,TablasTec!$I$7:$J$9,2,FALSE),"")</f>
        <v/>
      </c>
      <c r="BS85" s="977"/>
      <c r="BT85" s="4859">
        <f>MAX(BU83,SUM(H84:H116)+IF(OR(I84="Si",I85="Si",I86="Si",I87="Si",I88="Si",I90="Si",I91="Si",I92="Si",I93="Si",I94="Si",I96="Si",I97="Si",I98="Si",I99="Si",I100="Si",I102="Si",I103="Si",I104="Si",I105="Si",I106="Si",I108="Si",I109="Si",I110="Si",I111="Si",I112="Si"),VLOOKUP($D82,TablasTec!$E$4:$F$6,2,FALSE),0)+IF(OR(L84="Si",L85="Si",L86="Si",L87="Si",L88="Si",L90="Si",L91="Si",L92="Si",L93="Si",L94="Si",L96="Si",L97="Si",L98="Si",L99="Si",L100="Si",L102="Si",L103="Si",L104="Si",L105="Si",L106="Si",L108="Si",L109="Si",L110="Si",L111="Si",L112="Si"),VLOOKUP($D82,TablasTec!$I$4:$J$6,2,FALSE),0)+IF(OR(O84="Si",O85="Si",O86="Si",O87="Si",O88="Si",O90="Si",O91="Si",O92="Si",O93="Si",O94="Si",O96="Si",O97="Si",O98="Si",O99="Si",O100="Si",O102="Si",O103="Si",O104="Si",O105="Si",O106="Si",O108="Si",O109="Si",O110="Si",O111="Si",O112="Si"),VLOOKUP($D82,TablasTec!$I$7:$J$9,2,FALSE),0)+IF(BT88="No",0,IF(D82=0,0,VLOOKUP(D82,TablasTec!$L$4:$N$7,3,FALSE)))+IF(BT90="Bajar coste de CM",0,IF(BT90="-5 CM",-5,IF(BT90="-10 CM",-10,IF(BT90="-15 CM",-15,IF(BT90="-20 CM",-20,0)))))+IF(BT92="Bajar coste de Ki",0,IF(BT92="-1 Ki",10,IF(BT92="-2 Ki",20,IF(BT92="-3 Ki",30,IF(BT92="-4 Ki",40,IF(BT92="-5 Ki",50,0)))))))</f>
        <v>20</v>
      </c>
      <c r="BU85" s="4860"/>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65"/>
      <c r="DY85" s="1307"/>
      <c r="DZ85" s="922"/>
      <c r="EA85" s="1453">
        <f t="shared" si="1"/>
        <v>1</v>
      </c>
    </row>
    <row r="86" spans="1:132">
      <c r="A86" s="922"/>
      <c r="B86" s="922"/>
      <c r="C86" s="4909"/>
      <c r="D86" s="1436" t="s">
        <v>1766</v>
      </c>
      <c r="E86" s="986"/>
      <c r="F86" s="3181" t="str">
        <f>IF(E86=0,"",VLOOKUP(E86,TablasTec!$A$14:$V$771,2,FALSE))</f>
        <v/>
      </c>
      <c r="G86" s="968"/>
      <c r="H86" s="987" t="str">
        <f>IF($E86=0,"",VLOOKUP($E86,TablasTec!$A$14:$V$771,4,FALSE))</f>
        <v/>
      </c>
      <c r="I86" s="970" t="s">
        <v>1690</v>
      </c>
      <c r="J86" s="1394" t="str">
        <f>IF(E86=0,"",VLOOKUP(E86,TablasTec!$A$14:$V$771,5,FALSE))</f>
        <v/>
      </c>
      <c r="K86" s="989" t="str">
        <f>IF(I86="Si",IF(E86=0,"",VLOOKUP(E86,TablasTec!$A$14:$V$771,5,FALSE)),"")</f>
        <v/>
      </c>
      <c r="L86" s="970" t="s">
        <v>1690</v>
      </c>
      <c r="M86" s="1394" t="str">
        <f>IF(E86=0,"",VLOOKUP(E86,TablasTec!$A$14:$V$771,6,FALSE))</f>
        <v/>
      </c>
      <c r="N86" s="973" t="str">
        <f>IF(L86="Si",IF(E86=0,"",VLOOKUP(E86,TablasTec!$A$14:$V$771,6,FALSE)),"")</f>
        <v/>
      </c>
      <c r="O86" s="970" t="s">
        <v>1690</v>
      </c>
      <c r="P86" s="1394" t="str">
        <f>IF(E86=0,"",VLOOKUP(E86,TablasTec!$A$14:$V$771,7,FALSE))</f>
        <v/>
      </c>
      <c r="Q86" s="973" t="str">
        <f>IF(O86="Si",IF(E86=0,"",VLOOKUP(E86,TablasTec!$A$14:$V$771,7,FALSE)),"")</f>
        <v/>
      </c>
      <c r="R86" s="988" t="str">
        <f>IF(E86=0,"",VLOOKUP(E86,TablasTec!$A$14:$V$771,8,FALSE))</f>
        <v/>
      </c>
      <c r="S86" s="3181" t="str">
        <f>IF(R86=$D$8,$D$8,IF(R86=2,2,IF(R86=3,3,R86)))</f>
        <v/>
      </c>
      <c r="T86" s="4896"/>
      <c r="U86" s="4897"/>
      <c r="V86" s="3179" t="str">
        <f>IF(OR(V84=0,V84=""),"N/A",V84)</f>
        <v>N/A</v>
      </c>
      <c r="W86" s="4896" t="str">
        <f xml:space="preserve"> IF(OR(AF84=0,AF84=""),"N/A",W84)</f>
        <v>N/A</v>
      </c>
      <c r="X86" s="4898"/>
      <c r="Y86" s="4898"/>
      <c r="Z86" s="4898"/>
      <c r="AA86" s="4898"/>
      <c r="AB86" s="4898"/>
      <c r="AC86" s="4898"/>
      <c r="AD86" s="4898"/>
      <c r="AE86" s="4898"/>
      <c r="AF86" s="4897"/>
      <c r="AG86" s="4896" t="str">
        <f xml:space="preserve"> IF(OR(AP84="",AP84=0),"N/A",AG84)</f>
        <v>N/A</v>
      </c>
      <c r="AH86" s="4898"/>
      <c r="AI86" s="4898"/>
      <c r="AJ86" s="4898"/>
      <c r="AK86" s="4898"/>
      <c r="AL86" s="4898"/>
      <c r="AM86" s="4898"/>
      <c r="AN86" s="4898"/>
      <c r="AO86" s="4898"/>
      <c r="AP86" s="4897"/>
      <c r="AQ86" s="4896" t="str">
        <f xml:space="preserve"> IF(OR(AZ84="",AZ84=0),"N/A",AQ84)</f>
        <v>N/A</v>
      </c>
      <c r="AR86" s="4898"/>
      <c r="AS86" s="4898"/>
      <c r="AT86" s="4898"/>
      <c r="AU86" s="4898"/>
      <c r="AV86" s="4898"/>
      <c r="AW86" s="4898"/>
      <c r="AX86" s="4898"/>
      <c r="AY86" s="4898"/>
      <c r="AZ86" s="4897"/>
      <c r="BA86" s="4896" t="str">
        <f xml:space="preserve"> IF(OR(BJ84="",BJ84=0),"N/A",BA84)</f>
        <v>N/A</v>
      </c>
      <c r="BB86" s="4898"/>
      <c r="BC86" s="4898"/>
      <c r="BD86" s="4898"/>
      <c r="BE86" s="4898"/>
      <c r="BF86" s="4898"/>
      <c r="BG86" s="4898"/>
      <c r="BH86" s="4898"/>
      <c r="BI86" s="4898"/>
      <c r="BJ86" s="4897"/>
      <c r="BK86" s="990" t="s">
        <v>4541</v>
      </c>
      <c r="BL86" s="972"/>
      <c r="BM86" s="1007"/>
      <c r="BN86" s="991"/>
      <c r="BO86" s="992"/>
      <c r="BP86" s="993" t="str">
        <f>IF(I86="Si",VLOOKUP($D$8,TablasTec!$E$4:$F$6,2,FALSE),"")</f>
        <v/>
      </c>
      <c r="BQ86" s="963" t="str">
        <f>IF(L86="Si",VLOOKUP($D$8,TablasTec!$I$4:$J$6,2,FALSE),"")</f>
        <v/>
      </c>
      <c r="BR86" s="994" t="str">
        <f>IF(O86="Si",VLOOKUP($D$8,TablasTec!$I$7:$J$9,2,FALSE),"")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65"/>
      <c r="DY86" s="1307"/>
      <c r="DZ86" s="922"/>
      <c r="EA86" s="1453">
        <f t="shared" si="1"/>
        <v>1</v>
      </c>
    </row>
    <row r="87" spans="1:132">
      <c r="A87" s="922"/>
      <c r="B87" s="922"/>
      <c r="C87" s="4909"/>
      <c r="D87" s="1435" t="s">
        <v>1766</v>
      </c>
      <c r="E87" s="978"/>
      <c r="F87" s="979" t="str">
        <f>IF(E87=0,"",VLOOKUP(E87,TablasTec!$A$14:$V$771,2,FALSE))</f>
        <v/>
      </c>
      <c r="G87" s="980"/>
      <c r="H87" s="981" t="str">
        <f>IF($E87=0,"",VLOOKUP($E87,TablasTec!$A$14:$V$771,4,FALSE))</f>
        <v/>
      </c>
      <c r="I87" s="982" t="s">
        <v>1690</v>
      </c>
      <c r="J87" s="1398" t="str">
        <f>IF(E87=0,"",VLOOKUP(E87,TablasTec!$A$14:$V$771,5,FALSE))</f>
        <v/>
      </c>
      <c r="K87" s="984" t="str">
        <f>IF(I87="Si",IF(E87=0,"",VLOOKUP(E87,TablasTec!$A$14:$V$771,5,FALSE)),"")</f>
        <v/>
      </c>
      <c r="L87" s="982" t="s">
        <v>1690</v>
      </c>
      <c r="M87" s="1398" t="str">
        <f>IF(E87=0,"",VLOOKUP(E87,TablasTec!$A$14:$V$771,6,FALSE))</f>
        <v/>
      </c>
      <c r="N87" s="985" t="str">
        <f>IF(L87="Si",IF(E87=0,"",VLOOKUP(E87,TablasTec!$A$14:$V$771,6,FALSE)),"")</f>
        <v/>
      </c>
      <c r="O87" s="982" t="s">
        <v>1690</v>
      </c>
      <c r="P87" s="1398" t="str">
        <f>IF(E87=0,"",VLOOKUP(E87,TablasTec!$A$14:$V$771,7,FALSE))</f>
        <v/>
      </c>
      <c r="Q87" s="985" t="str">
        <f>IF(O87="Si",IF(E87=0,"",VLOOKUP(E87,TablasTec!$A$14:$V$771,7,FALSE)),"")</f>
        <v/>
      </c>
      <c r="R87" s="983" t="str">
        <f>IF(E87=0,"",VLOOKUP(E87,TablasTec!$A$14:$V$771,8,FALSE))</f>
        <v/>
      </c>
      <c r="S87" s="981" t="str">
        <f>IF(R87=$D$8,$D$8,IF(R87=2,2,IF(R87=3,3,R87)))</f>
        <v/>
      </c>
      <c r="T87" s="4899" t="s">
        <v>4542</v>
      </c>
      <c r="U87" s="4900"/>
      <c r="V87" s="3180"/>
      <c r="W87" s="4901"/>
      <c r="X87" s="4902"/>
      <c r="Y87" s="4902"/>
      <c r="Z87" s="4902"/>
      <c r="AA87" s="4902"/>
      <c r="AB87" s="4902"/>
      <c r="AC87" s="4902"/>
      <c r="AD87" s="4902"/>
      <c r="AE87" s="4902"/>
      <c r="AF87" s="4903"/>
      <c r="AG87" s="4901"/>
      <c r="AH87" s="4902"/>
      <c r="AI87" s="4902"/>
      <c r="AJ87" s="4902"/>
      <c r="AK87" s="4902"/>
      <c r="AL87" s="4902"/>
      <c r="AM87" s="4902"/>
      <c r="AN87" s="4902"/>
      <c r="AO87" s="4902"/>
      <c r="AP87" s="4903"/>
      <c r="AQ87" s="4901"/>
      <c r="AR87" s="4902"/>
      <c r="AS87" s="4902"/>
      <c r="AT87" s="4902"/>
      <c r="AU87" s="4902"/>
      <c r="AV87" s="4902"/>
      <c r="AW87" s="4902"/>
      <c r="AX87" s="4902"/>
      <c r="AY87" s="4902"/>
      <c r="AZ87" s="4903"/>
      <c r="BA87" s="4901"/>
      <c r="BB87" s="4902"/>
      <c r="BC87" s="4902"/>
      <c r="BD87" s="4902"/>
      <c r="BE87" s="4902"/>
      <c r="BF87" s="4902"/>
      <c r="BG87" s="4902"/>
      <c r="BH87" s="4902"/>
      <c r="BI87" s="4902"/>
      <c r="BJ87" s="4903"/>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IF(I87="Si",VLOOKUP($D$8,TablasTec!$E$4:$F$6,2,FALSE),"")</f>
        <v/>
      </c>
      <c r="BQ87" s="962" t="str">
        <f>IF(L87="Si",VLOOKUP($D$8,TablasTec!$I$4:$J$6,2,FALSE),"")</f>
        <v/>
      </c>
      <c r="BR87" s="960" t="str">
        <f>IF(O87="Si",VLOOKUP($D$8,TablasTec!$I$7:$J$9,2,FALSE),"")</f>
        <v/>
      </c>
      <c r="BS87" s="977"/>
      <c r="BT87" s="4857" t="s">
        <v>4543</v>
      </c>
      <c r="BU87" s="4858"/>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65"/>
      <c r="DY87" s="1307"/>
      <c r="DZ87" s="922"/>
      <c r="EA87" s="1453">
        <f t="shared" si="1"/>
        <v>1</v>
      </c>
    </row>
    <row r="88" spans="1:132">
      <c r="A88" s="922"/>
      <c r="B88" s="922"/>
      <c r="C88" s="4909"/>
      <c r="D88" s="1436" t="s">
        <v>1766</v>
      </c>
      <c r="E88" s="986"/>
      <c r="F88" s="3181" t="str">
        <f>IF(E88=0,"",VLOOKUP(E88,TablasTec!$A$14:$V$771,2,FALSE))</f>
        <v/>
      </c>
      <c r="G88" s="968"/>
      <c r="H88" s="987" t="str">
        <f>IF($E88=0,"",VLOOKUP($E88,TablasTec!$A$14:$V$771,4,FALSE))</f>
        <v/>
      </c>
      <c r="I88" s="970" t="s">
        <v>1690</v>
      </c>
      <c r="J88" s="1394" t="str">
        <f>IF(E88=0,"",VLOOKUP(E88,TablasTec!$A$14:$V$771,5,FALSE))</f>
        <v/>
      </c>
      <c r="K88" s="989" t="str">
        <f>IF(I88="Si",IF(E88=0,"",VLOOKUP(E88,TablasTec!$A$14:$V$771,5,FALSE)),"")</f>
        <v/>
      </c>
      <c r="L88" s="970" t="s">
        <v>1690</v>
      </c>
      <c r="M88" s="1394" t="str">
        <f>IF(E88=0,"",VLOOKUP(E88,TablasTec!$A$14:$V$771,6,FALSE))</f>
        <v/>
      </c>
      <c r="N88" s="973" t="str">
        <f>IF(L88="Si",IF(E88=0,"",VLOOKUP(E88,TablasTec!$A$14:$V$771,6,FALSE)),"")</f>
        <v/>
      </c>
      <c r="O88" s="970" t="s">
        <v>1690</v>
      </c>
      <c r="P88" s="1394" t="str">
        <f>IF(E88=0,"",VLOOKUP(E88,TablasTec!$A$14:$V$771,7,FALSE))</f>
        <v/>
      </c>
      <c r="Q88" s="973" t="str">
        <f>IF(O88="Si",IF(E88=0,"",VLOOKUP(E88,TablasTec!$A$14:$V$771,7,FALSE)),"")</f>
        <v/>
      </c>
      <c r="R88" s="988" t="str">
        <f>IF(E88=0,"",VLOOKUP(E88,TablasTec!$A$14:$V$771,8,FALSE))</f>
        <v/>
      </c>
      <c r="S88" s="987" t="str">
        <f>IF(R88=$D$8,$D$8,IF(R88=2,2,IF(R88=3,3,R88)))</f>
        <v/>
      </c>
      <c r="T88" s="4890" t="s">
        <v>4544</v>
      </c>
      <c r="U88" s="4891"/>
      <c r="V88" s="3178"/>
      <c r="W88" s="4892"/>
      <c r="X88" s="4893"/>
      <c r="Y88" s="4893"/>
      <c r="Z88" s="4893"/>
      <c r="AA88" s="4893"/>
      <c r="AB88" s="4893"/>
      <c r="AC88" s="4893"/>
      <c r="AD88" s="4893"/>
      <c r="AE88" s="4893"/>
      <c r="AF88" s="4894"/>
      <c r="AG88" s="4892"/>
      <c r="AH88" s="4893"/>
      <c r="AI88" s="4893"/>
      <c r="AJ88" s="4893"/>
      <c r="AK88" s="4893"/>
      <c r="AL88" s="4893"/>
      <c r="AM88" s="4893"/>
      <c r="AN88" s="4893"/>
      <c r="AO88" s="4893"/>
      <c r="AP88" s="4894"/>
      <c r="AQ88" s="4892"/>
      <c r="AR88" s="4893"/>
      <c r="AS88" s="4893"/>
      <c r="AT88" s="4893"/>
      <c r="AU88" s="4893"/>
      <c r="AV88" s="4893"/>
      <c r="AW88" s="4893"/>
      <c r="AX88" s="4893"/>
      <c r="AY88" s="4893"/>
      <c r="AZ88" s="4894"/>
      <c r="BA88" s="4892"/>
      <c r="BB88" s="4893"/>
      <c r="BC88" s="4893"/>
      <c r="BD88" s="4893"/>
      <c r="BE88" s="4893"/>
      <c r="BF88" s="4893"/>
      <c r="BG88" s="4893"/>
      <c r="BH88" s="4893"/>
      <c r="BI88" s="4893"/>
      <c r="BJ88" s="4894"/>
      <c r="BK88" s="997">
        <f>SUM(K84:K88)-SUM(V88:BA88)</f>
        <v>0</v>
      </c>
      <c r="BL88" s="1422"/>
      <c r="BM88" s="1423"/>
      <c r="BN88" s="991"/>
      <c r="BO88" s="992"/>
      <c r="BP88" s="993" t="str">
        <f>IF(I88="Si",VLOOKUP($D$8,TablasTec!$E$4:$F$6,2,FALSE),"")</f>
        <v/>
      </c>
      <c r="BQ88" s="963" t="str">
        <f>IF(L88="Si",VLOOKUP($D$8,TablasTec!$I$4:$J$6,2,FALSE),"")</f>
        <v/>
      </c>
      <c r="BR88" s="994" t="str">
        <f>IF(O88="Si",VLOOKUP($D$8,TablasTec!$I$7:$J$9,2,FALSE),"")</f>
        <v/>
      </c>
      <c r="BS88" s="995"/>
      <c r="BT88" s="4861" t="s">
        <v>1690</v>
      </c>
      <c r="BU88" s="4862"/>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65"/>
      <c r="DY88" s="1307"/>
      <c r="DZ88" s="922"/>
      <c r="EA88" s="1453">
        <f t="shared" si="1"/>
        <v>1</v>
      </c>
    </row>
    <row r="89" spans="1:132" s="996" customFormat="1">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09"/>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IF(I89="Si",VLOOKUP($D$8,TablasTec!$E$4:$F$6,2,FALSE),"")</f>
        <v/>
      </c>
      <c r="BQ89" s="962" t="str">
        <f>IF(L89="Si",VLOOKUP($D$8,TablasTec!$I$4:$J$6,2,FALSE),"")</f>
        <v/>
      </c>
      <c r="BR89" s="960" t="str">
        <f>IF(O89="Si",VLOOKUP($D$8,TablasTec!$I$7:$J$9,2,FALSE),"")</f>
        <v/>
      </c>
      <c r="BS89" s="977"/>
      <c r="BT89" s="4857" t="s">
        <v>4545</v>
      </c>
      <c r="BU89" s="4858"/>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09"/>
      <c r="D90" s="1436" t="s">
        <v>1766</v>
      </c>
      <c r="E90" s="966"/>
      <c r="F90" s="1002"/>
      <c r="G90" s="972" t="str">
        <f>IF(E90=0,"",VLOOKUP(E90,TablasTec!$A$14:$V$771,3,FALSE))</f>
        <v/>
      </c>
      <c r="H90" s="1004" t="str">
        <f>IF($E90=0,"",VLOOKUP($E90,TablasTec!$A$14:$V$771,4,FALSE))</f>
        <v/>
      </c>
      <c r="I90" s="970" t="s">
        <v>1690</v>
      </c>
      <c r="J90" s="1397" t="str">
        <f>IF(E90=0,"",VLOOKUP(E90,TablasTec!$A$14:$V$771,5,FALSE))</f>
        <v/>
      </c>
      <c r="K90" s="1003" t="str">
        <f>IF(I90="Si",IF(E90=0,"",VLOOKUP(E90,TablasTec!$A$14:$V$771,5,FALSE)),"")</f>
        <v/>
      </c>
      <c r="L90" s="970" t="s">
        <v>1690</v>
      </c>
      <c r="M90" s="1397" t="str">
        <f>IF(E90=0,"",VLOOKUP(E90,TablasTec!$A$14:$V$771,6,FALSE))</f>
        <v/>
      </c>
      <c r="N90" s="973" t="str">
        <f>IF(L90="Si",IF(E90=0,"",VLOOKUP(E90,TablasTec!$A$14:$V$771,6,FALSE)),"")</f>
        <v/>
      </c>
      <c r="O90" s="970" t="s">
        <v>1690</v>
      </c>
      <c r="P90" s="1397" t="str">
        <f>IF(E90=0,"",VLOOKUP(E90,TablasTec!$A$14:$V$771,7,FALSE))</f>
        <v/>
      </c>
      <c r="Q90" s="973" t="str">
        <f>IF(O90="Si",IF(E90=0,"",VLOOKUP(E90,TablasTec!$A$14:$V$771,7,FALSE)),"")</f>
        <v/>
      </c>
      <c r="R90" s="1005" t="str">
        <f>IF(E90=0,"",VLOOKUP(E90,TablasTec!$A$14:$V$771,8,FALSE))</f>
        <v/>
      </c>
      <c r="S90" s="1004" t="str">
        <f>IF(R90=$D$8,$D$8,IF(R90=2,2,IF(R90=3,3,R90)))</f>
        <v/>
      </c>
      <c r="T90" s="972" t="str">
        <f>IF(E90=0,"",VLOOKUP(E90,TablasTec!$A$14:$V$771,9,FALSE))</f>
        <v/>
      </c>
      <c r="U90" s="972" t="str">
        <f>IF(E90=0,"",VLOOKUP(E90,TablasTec!$A$14:$V$771,10,FALSE))</f>
        <v/>
      </c>
      <c r="V90" s="967" t="str">
        <f>IF(E90=0,"",VLOOKUP(E90,TablasTec!$A$14:$V$771,11,FALSE))</f>
        <v/>
      </c>
      <c r="W90" s="970"/>
      <c r="X90" s="971" t="e">
        <f>VLOOKUP(E90,TablasTec!$A$14:$V$771,12,FALSE)</f>
        <v>#N/A</v>
      </c>
      <c r="Y90" s="971" t="e">
        <f>IF(W90=X90,VLOOKUP(E90,TablasTec!$A$14:$V$771,13,FALSE),0)</f>
        <v>#N/A</v>
      </c>
      <c r="Z90" s="971" t="e">
        <f>VLOOKUP(E90,TablasTec!$A$14:$V$771,14,FALSE)</f>
        <v>#N/A</v>
      </c>
      <c r="AA90" s="971" t="e">
        <f>IF(W90=Z90,VLOOKUP(E90,TablasTec!$A$14:$V$616,15,FALSE),0)</f>
        <v>#N/A</v>
      </c>
      <c r="AB90" s="971" t="e">
        <f>VLOOKUP(E90,TablasTec!$A$14:$V$771,16,FALSE)</f>
        <v>#N/A</v>
      </c>
      <c r="AC90" s="971" t="e">
        <f>IF(W90=AB90,VLOOKUP(E90,TablasTec!$A$14:$V$616,17,FALSE),0)</f>
        <v>#N/A</v>
      </c>
      <c r="AD90" s="971" t="e">
        <f>VLOOKUP(E90,TablasTec!$A$14:$V$771,18,FALSE)</f>
        <v>#N/A</v>
      </c>
      <c r="AE90" s="971" t="e">
        <f>IF(W90=AD90,VLOOKUP(E90,TablasTec!$A$14:$V$771,19,FALSE),0)</f>
        <v>#N/A</v>
      </c>
      <c r="AF90" s="972" t="str">
        <f>IF(E90=0,"",(Y90+AA90+AC90+AE90))</f>
        <v/>
      </c>
      <c r="AG90" s="970"/>
      <c r="AH90" s="1005" t="e">
        <f>VLOOKUP(E90,TablasTec!$A$14:$V$771,12,FALSE)</f>
        <v>#N/A</v>
      </c>
      <c r="AI90" s="1005" t="e">
        <f>IF(AG90=AH90,VLOOKUP(E90,TablasTec!$A$14:$V$771,13,FALSE),0)</f>
        <v>#N/A</v>
      </c>
      <c r="AJ90" s="1005" t="e">
        <f>VLOOKUP(E90,TablasTec!$A$14:$V$771,14,FALSE)</f>
        <v>#N/A</v>
      </c>
      <c r="AK90" s="1005" t="e">
        <f>IF(AG90=AJ90,VLOOKUP(E90,TablasTec!$A$14:$V$771,15,FALSE),0)</f>
        <v>#N/A</v>
      </c>
      <c r="AL90" s="1005" t="e">
        <f>VLOOKUP(E90,TablasTec!$A$14:$V$771,16,FALSE)</f>
        <v>#N/A</v>
      </c>
      <c r="AM90" s="1005" t="e">
        <f>IF(AG90=AL90,VLOOKUP(E90,TablasTec!$A$14:$V$771,17,FALSE),0)</f>
        <v>#N/A</v>
      </c>
      <c r="AN90" s="1005" t="e">
        <f>VLOOKUP(E90,TablasTec!$A$14:$V$771,18,FALSE)</f>
        <v>#N/A</v>
      </c>
      <c r="AO90" s="1005" t="e">
        <f>IF(AG90=AN90,VLOOKUP(E90,TablasTec!$A$14:$V$771,19,FALSE),0)</f>
        <v>#N/A</v>
      </c>
      <c r="AP90" s="1006" t="str">
        <f>IF(E90=0,"",(AI90+AK90+AM90+AO90))</f>
        <v/>
      </c>
      <c r="AQ90" s="970"/>
      <c r="AR90" s="971" t="e">
        <f>VLOOKUP(E90,TablasTec!$A$14:$V$771,12,FALSE)</f>
        <v>#N/A</v>
      </c>
      <c r="AS90" s="971" t="e">
        <f>IF(AQ90=AR90,VLOOKUP(E90,TablasTec!$A$14:$V$771,13,FALSE),0)</f>
        <v>#N/A</v>
      </c>
      <c r="AT90" s="971" t="e">
        <f>VLOOKUP(E90,TablasTec!$A$14:$V$771,14,FALSE)</f>
        <v>#N/A</v>
      </c>
      <c r="AU90" s="971" t="e">
        <f>IF(AQ90=AT90,VLOOKUP(E90,TablasTec!$A$14:$V$771,15,FALSE),0)</f>
        <v>#N/A</v>
      </c>
      <c r="AV90" s="971" t="e">
        <f>VLOOKUP(E90,TablasTec!$A$14:$V$771,16,FALSE)</f>
        <v>#N/A</v>
      </c>
      <c r="AW90" s="971" t="e">
        <f>IF(AQ90=AV90,VLOOKUP(E90,TablasTec!$A$14:$V$771,17,FALSE),0)</f>
        <v>#N/A</v>
      </c>
      <c r="AX90" s="971" t="e">
        <f>VLOOKUP(E90,TablasTec!$A$14:$V$771,18,FALSE)</f>
        <v>#N/A</v>
      </c>
      <c r="AY90" s="971" t="e">
        <f>IF(AQ90=AX90,VLOOKUP(E90,TablasTec!$A$14:$V$771,19,FALSE),0)</f>
        <v>#N/A</v>
      </c>
      <c r="AZ90" s="972" t="str">
        <f>IF(E90=0,"",(AS90+AU90+AW90+AY90))</f>
        <v/>
      </c>
      <c r="BA90" s="970"/>
      <c r="BB90" s="971" t="e">
        <f>VLOOKUP(E90,TablasTec!$A$14:$V$771,12,FALSE)</f>
        <v>#N/A</v>
      </c>
      <c r="BC90" s="971" t="e">
        <f>IF(BA90=BB90,VLOOKUP(E90,TablasTec!$A$14:$V$771,13,FALSE),0)</f>
        <v>#N/A</v>
      </c>
      <c r="BD90" s="971" t="e">
        <f>VLOOKUP(E90,TablasTec!$A$14:$V$771,14,FALSE)</f>
        <v>#N/A</v>
      </c>
      <c r="BE90" s="971" t="e">
        <f>IF(BA90=BD90,VLOOKUP(E90,TablasTec!$A$14:$V$771,15,FALSE),0)</f>
        <v>#N/A</v>
      </c>
      <c r="BF90" s="971" t="e">
        <f>VLOOKUP(E90,TablasTec!$A$14:$V$771,16,FALSE)</f>
        <v>#N/A</v>
      </c>
      <c r="BG90" s="971" t="e">
        <f>IF(BA90=BF90,VLOOKUP(E90,TablasTec!$A$14:$V$771,17,FALSE),0)</f>
        <v>#N/A</v>
      </c>
      <c r="BH90" s="971" t="e">
        <f>VLOOKUP(E90,TablasTec!$A$14:$V$771,18,FALSE)</f>
        <v>#N/A</v>
      </c>
      <c r="BI90" s="971" t="e">
        <f>IF(BA90=BH90,VLOOKUP(E90,TablasTec!$A$14:$V$771,19,FALSE),0)</f>
        <v>#N/A</v>
      </c>
      <c r="BJ90" s="973" t="str">
        <f>IF(E90=0,"",(BC90+BE90+BG90+BI90))</f>
        <v/>
      </c>
      <c r="BK90" s="972" t="str">
        <f>IF(E90=0,"",VLOOKUP(E90,TablasTec!$A$14:$V$771,20,FALSE))</f>
        <v/>
      </c>
      <c r="BL90" s="972" t="str">
        <f>IF(E90=0,"",VLOOKUP(E90,TablasTec!$A$14:$V$771,21,FALSE))</f>
        <v/>
      </c>
      <c r="BM90" s="1007" t="str">
        <f>IF(E90=0,"",VLOOKUP(E90,TablasTec!$A$14:$V$771,22,FALSE))</f>
        <v/>
      </c>
      <c r="BN90" s="975"/>
      <c r="BO90" s="976"/>
      <c r="BP90" s="961" t="str">
        <f>IF(I90="Si",VLOOKUP($D$8,TablasTec!$E$4:$F$6,2,FALSE),"")</f>
        <v/>
      </c>
      <c r="BQ90" s="962" t="str">
        <f>IF(L90="Si",VLOOKUP($D$8,TablasTec!$I$4:$J$6,2,FALSE),"")</f>
        <v/>
      </c>
      <c r="BR90" s="960" t="str">
        <f>IF(O90="Si",VLOOKUP($D$8,TablasTec!$I$7:$J$9,2,FALSE),"")</f>
        <v/>
      </c>
      <c r="BS90" s="977"/>
      <c r="BT90" s="4861" t="s">
        <v>4525</v>
      </c>
      <c r="BU90" s="4862"/>
      <c r="BV90" s="954"/>
      <c r="BW90" s="934"/>
      <c r="BX90" s="934"/>
      <c r="BY90" s="1269"/>
      <c r="BZ90" s="1287"/>
      <c r="CA90" s="922"/>
      <c r="DR90" s="922"/>
      <c r="DT90" s="1309"/>
      <c r="DU90" s="1362"/>
      <c r="DV90" s="1359" t="str">
        <f>IF(E90="","",", "&amp;E90)&amp;IF(I90="No",""," (Mant.)")&amp;IF(L90="No",""," (Sme)")&amp;IF(O90="No",""," (SMa)")</f>
        <v/>
      </c>
      <c r="DW90" s="1360"/>
      <c r="DX90" s="1361" t="str">
        <f>IF(ISNUMBER(FIND(TablasTec!A$678,DW108)),BL114&amp;BM114,IF(ISNUMBER(FIND(TablasTec!A$679,DW108)),BL114&amp;" "&amp;BM114,""))</f>
        <v/>
      </c>
      <c r="DY90" s="1310"/>
      <c r="DZ90" s="922"/>
      <c r="EA90" s="1453">
        <f t="shared" si="1"/>
        <v>1</v>
      </c>
    </row>
    <row r="91" spans="1:132" ht="11.25" customHeight="1">
      <c r="A91" s="922"/>
      <c r="B91" s="922"/>
      <c r="C91" s="4909"/>
      <c r="D91" s="1435" t="s">
        <v>1766</v>
      </c>
      <c r="E91" s="978"/>
      <c r="F91" s="1008"/>
      <c r="G91" s="1420" t="str">
        <f>IF(E91=0,"",VLOOKUP(E91,TablasTec!$A$14:$V$771,3,FALSE))</f>
        <v/>
      </c>
      <c r="H91" s="981" t="str">
        <f>IF($E91=0,"",VLOOKUP($E91,TablasTec!$A$14:$V$771,4,FALSE))</f>
        <v/>
      </c>
      <c r="I91" s="982" t="s">
        <v>1690</v>
      </c>
      <c r="J91" s="1398" t="str">
        <f>IF(E91=0,"",VLOOKUP(E91,TablasTec!$A$14:$V$771,5,FALSE))</f>
        <v/>
      </c>
      <c r="K91" s="984" t="str">
        <f>IF(I91="Si",IF(E91=0,"",VLOOKUP(E91,TablasTec!$A$14:$V$771,5,FALSE)),"")</f>
        <v/>
      </c>
      <c r="L91" s="982" t="s">
        <v>1690</v>
      </c>
      <c r="M91" s="1398" t="str">
        <f>IF(E91=0,"",VLOOKUP(E91,TablasTec!$A$14:$V$771,6,FALSE))</f>
        <v/>
      </c>
      <c r="N91" s="985" t="str">
        <f>IF(L91="Si",IF(E91=0,"",VLOOKUP(E91,TablasTec!$A$14:$V$771,6,FALSE)),"")</f>
        <v/>
      </c>
      <c r="O91" s="982" t="s">
        <v>1690</v>
      </c>
      <c r="P91" s="1398" t="str">
        <f>IF(E91=0,"",VLOOKUP(E91,TablasTec!$A$14:$V$771,7,FALSE))</f>
        <v/>
      </c>
      <c r="Q91" s="985" t="str">
        <f>IF(O91="Si",IF(E91=0,"",VLOOKUP(E91,TablasTec!$A$14:$V$771,7,FALSE)),"")</f>
        <v/>
      </c>
      <c r="R91" s="983" t="str">
        <f>IF(E91=0,"",VLOOKUP(E91,TablasTec!$A$14:$V$771,8,FALSE))</f>
        <v/>
      </c>
      <c r="S91" s="981" t="str">
        <f>IF(R91=$D$8,$D$8,IF(R91=2,2,IF(R91=3,3,R91)))</f>
        <v/>
      </c>
      <c r="T91" s="4883" t="s">
        <v>4540</v>
      </c>
      <c r="U91" s="4884"/>
      <c r="V91" s="4884"/>
      <c r="W91" s="4884"/>
      <c r="X91" s="4884"/>
      <c r="Y91" s="4884"/>
      <c r="Z91" s="4884"/>
      <c r="AA91" s="4884"/>
      <c r="AB91" s="4884"/>
      <c r="AC91" s="4884"/>
      <c r="AD91" s="4884"/>
      <c r="AE91" s="4884"/>
      <c r="AF91" s="4884"/>
      <c r="AG91" s="4884"/>
      <c r="AH91" s="4884"/>
      <c r="AI91" s="4884"/>
      <c r="AJ91" s="4884"/>
      <c r="AK91" s="4884"/>
      <c r="AL91" s="4884"/>
      <c r="AM91" s="4884"/>
      <c r="AN91" s="4884"/>
      <c r="AO91" s="4884"/>
      <c r="AP91" s="4884"/>
      <c r="AQ91" s="4884"/>
      <c r="AR91" s="4884"/>
      <c r="AS91" s="4884"/>
      <c r="AT91" s="4884"/>
      <c r="AU91" s="4884"/>
      <c r="AV91" s="4884"/>
      <c r="AW91" s="4884"/>
      <c r="AX91" s="4884"/>
      <c r="AY91" s="4884"/>
      <c r="AZ91" s="4884"/>
      <c r="BA91" s="4884"/>
      <c r="BB91" s="4884"/>
      <c r="BC91" s="4884"/>
      <c r="BD91" s="4884"/>
      <c r="BE91" s="4884"/>
      <c r="BF91" s="4884"/>
      <c r="BG91" s="4884"/>
      <c r="BH91" s="4884"/>
      <c r="BI91" s="4884"/>
      <c r="BJ91" s="4884"/>
      <c r="BK91" s="4885"/>
      <c r="BL91" s="1420"/>
      <c r="BM91" s="1421"/>
      <c r="BN91" s="975"/>
      <c r="BO91" s="976"/>
      <c r="BP91" s="961" t="str">
        <f>IF(I91="Si",VLOOKUP($D$8,TablasTec!$E$4:$F$6,2,FALSE),"")</f>
        <v/>
      </c>
      <c r="BQ91" s="962" t="str">
        <f>IF(L91="Si",VLOOKUP($D$8,TablasTec!$I$4:$J$6,2,FALSE),"")</f>
        <v/>
      </c>
      <c r="BR91" s="960" t="str">
        <f>IF(O91="Si",VLOOKUP($D$8,TablasTec!$I$7:$J$9,2,FALSE),"")</f>
        <v/>
      </c>
      <c r="BS91" s="977"/>
      <c r="BT91" s="4857" t="s">
        <v>4546</v>
      </c>
      <c r="BU91" s="4858"/>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c r="A92" s="922"/>
      <c r="B92" s="922"/>
      <c r="C92" s="4909"/>
      <c r="D92" s="1436" t="s">
        <v>1766</v>
      </c>
      <c r="E92" s="986"/>
      <c r="F92" s="1002"/>
      <c r="G92" s="972" t="str">
        <f>IF(E92=0,"",VLOOKUP(E92,TablasTec!$A$14:$V$771,3,FALSE))</f>
        <v/>
      </c>
      <c r="H92" s="3181" t="str">
        <f>IF($E92=0,"",VLOOKUP($E92,TablasTec!$A$14:$V$771,4,FALSE))</f>
        <v/>
      </c>
      <c r="I92" s="970" t="s">
        <v>1690</v>
      </c>
      <c r="J92" s="1394" t="str">
        <f>IF(E92=0,"",VLOOKUP(E92,TablasTec!$A$14:$V$771,5,FALSE))</f>
        <v/>
      </c>
      <c r="K92" s="989" t="str">
        <f>IF(I92="Si",IF(E92=0,"",VLOOKUP(E92,TablasTec!$A$14:$V$771,5,FALSE)),"")</f>
        <v/>
      </c>
      <c r="L92" s="970" t="s">
        <v>1690</v>
      </c>
      <c r="M92" s="1394" t="str">
        <f>IF(E92=0,"",VLOOKUP(E92,TablasTec!$A$14:$V$771,6,FALSE))</f>
        <v/>
      </c>
      <c r="N92" s="973" t="str">
        <f>IF(L92="Si",IF(E92=0,"",VLOOKUP(E92,TablasTec!$A$14:$V$771,6,FALSE)),"")</f>
        <v/>
      </c>
      <c r="O92" s="970" t="s">
        <v>1690</v>
      </c>
      <c r="P92" s="1394" t="str">
        <f>IF(E92=0,"",VLOOKUP(E92,TablasTec!$A$14:$V$771,7,FALSE))</f>
        <v/>
      </c>
      <c r="Q92" s="973" t="str">
        <f>IF(O92="Si",IF(E92=0,"",VLOOKUP(E92,TablasTec!$A$14:$V$771,7,FALSE)),"")</f>
        <v/>
      </c>
      <c r="R92" s="988" t="str">
        <f>IF(E92=0,"",VLOOKUP(E92,TablasTec!$A$14:$V$771,8,FALSE))</f>
        <v/>
      </c>
      <c r="S92" s="3181" t="str">
        <f>IF(R92=$D$8,$D$8,IF(R92=2,2,IF(R92=3,3,R92)))</f>
        <v/>
      </c>
      <c r="T92" s="4896"/>
      <c r="U92" s="4897"/>
      <c r="V92" s="3179" t="str">
        <f>IF(OR(V90=0,V90=""),"N/A",V90)</f>
        <v>N/A</v>
      </c>
      <c r="W92" s="4896" t="str">
        <f xml:space="preserve"> IF(OR(AF90=0,AF90=""),"N/A",W90)</f>
        <v>N/A</v>
      </c>
      <c r="X92" s="4898"/>
      <c r="Y92" s="4898"/>
      <c r="Z92" s="4898"/>
      <c r="AA92" s="4898"/>
      <c r="AB92" s="4898"/>
      <c r="AC92" s="4898"/>
      <c r="AD92" s="4898"/>
      <c r="AE92" s="4898"/>
      <c r="AF92" s="4897"/>
      <c r="AG92" s="4896" t="str">
        <f xml:space="preserve"> IF(OR(AP90="",AP90=0),"N/A",AG90)</f>
        <v>N/A</v>
      </c>
      <c r="AH92" s="4898"/>
      <c r="AI92" s="4898"/>
      <c r="AJ92" s="4898"/>
      <c r="AK92" s="4898"/>
      <c r="AL92" s="4898"/>
      <c r="AM92" s="4898"/>
      <c r="AN92" s="4898"/>
      <c r="AO92" s="4898"/>
      <c r="AP92" s="4897"/>
      <c r="AQ92" s="4896" t="str">
        <f xml:space="preserve"> IF(OR(AZ90="",AZ90=0),"N/A",AQ90)</f>
        <v>N/A</v>
      </c>
      <c r="AR92" s="4898"/>
      <c r="AS92" s="4898"/>
      <c r="AT92" s="4898"/>
      <c r="AU92" s="4898"/>
      <c r="AV92" s="4898"/>
      <c r="AW92" s="4898"/>
      <c r="AX92" s="4898"/>
      <c r="AY92" s="4898"/>
      <c r="AZ92" s="4897"/>
      <c r="BA92" s="4896" t="str">
        <f xml:space="preserve"> IF(OR(BJ90="",BJ90=0),"N/A",BA90)</f>
        <v>N/A</v>
      </c>
      <c r="BB92" s="4898"/>
      <c r="BC92" s="4898"/>
      <c r="BD92" s="4898"/>
      <c r="BE92" s="4898"/>
      <c r="BF92" s="4898"/>
      <c r="BG92" s="4898"/>
      <c r="BH92" s="4898"/>
      <c r="BI92" s="4898"/>
      <c r="BJ92" s="4897"/>
      <c r="BK92" s="990" t="s">
        <v>4541</v>
      </c>
      <c r="BL92" s="972"/>
      <c r="BM92" s="1007"/>
      <c r="BN92" s="975"/>
      <c r="BO92" s="992"/>
      <c r="BP92" s="961" t="str">
        <f>IF(I92="Si",VLOOKUP($D$8,TablasTec!$E$4:$F$6,2,FALSE),"")</f>
        <v/>
      </c>
      <c r="BQ92" s="962" t="str">
        <f>IF(L92="Si",VLOOKUP($D$8,TablasTec!$I$4:$J$6,2,FALSE),"")</f>
        <v/>
      </c>
      <c r="BR92" s="960" t="str">
        <f>IF(O92="Si",VLOOKUP($D$8,TablasTec!$I$7:$J$9,2,FALSE),"")</f>
        <v/>
      </c>
      <c r="BS92" s="977"/>
      <c r="BT92" s="4861" t="s">
        <v>4519</v>
      </c>
      <c r="BU92" s="4862"/>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c r="A93" s="922"/>
      <c r="B93" s="922"/>
      <c r="C93" s="4909"/>
      <c r="D93" s="1435" t="s">
        <v>1766</v>
      </c>
      <c r="E93" s="978"/>
      <c r="F93" s="1008"/>
      <c r="G93" s="1420" t="str">
        <f>IF(E93=0,"",VLOOKUP(E93,TablasTec!$A$14:$V$771,3,FALSE))</f>
        <v/>
      </c>
      <c r="H93" s="981" t="str">
        <f>IF($E93=0,"",VLOOKUP($E93,TablasTec!$A$14:$V$771,4,FALSE))</f>
        <v/>
      </c>
      <c r="I93" s="982" t="s">
        <v>1690</v>
      </c>
      <c r="J93" s="1398" t="str">
        <f>IF(E93=0,"",VLOOKUP(E93,TablasTec!$A$14:$V$771,5,FALSE))</f>
        <v/>
      </c>
      <c r="K93" s="984" t="str">
        <f>IF(I93="Si",IF(E93=0,"",VLOOKUP(E93,TablasTec!$A$14:$V$771,5,FALSE)),"")</f>
        <v/>
      </c>
      <c r="L93" s="982" t="s">
        <v>1690</v>
      </c>
      <c r="M93" s="1398" t="str">
        <f>IF(E93=0,"",VLOOKUP(E93,TablasTec!$A$14:$V$771,6,FALSE))</f>
        <v/>
      </c>
      <c r="N93" s="985" t="str">
        <f>IF(L93="Si",IF(E93=0,"",VLOOKUP(E93,TablasTec!$A$14:$V$771,6,FALSE)),"")</f>
        <v/>
      </c>
      <c r="O93" s="982" t="s">
        <v>1690</v>
      </c>
      <c r="P93" s="1398" t="str">
        <f>IF(E93=0,"",VLOOKUP(E93,TablasTec!$A$14:$V$771,7,FALSE))</f>
        <v/>
      </c>
      <c r="Q93" s="985" t="str">
        <f>IF(O93="Si",IF(E93=0,"",VLOOKUP(E93,TablasTec!$A$14:$V$771,7,FALSE)),"")</f>
        <v/>
      </c>
      <c r="R93" s="983" t="str">
        <f>IF(E93=0,"",VLOOKUP(E93,TablasTec!$A$14:$V$771,8,FALSE))</f>
        <v/>
      </c>
      <c r="S93" s="981" t="str">
        <f>IF(R93=$D$8,$D$8,IF(R93=2,2,IF(R93=3,3,R93)))</f>
        <v/>
      </c>
      <c r="T93" s="4899" t="s">
        <v>4542</v>
      </c>
      <c r="U93" s="4900"/>
      <c r="V93" s="3180"/>
      <c r="W93" s="4901"/>
      <c r="X93" s="4902"/>
      <c r="Y93" s="4902"/>
      <c r="Z93" s="4902"/>
      <c r="AA93" s="4902"/>
      <c r="AB93" s="4902"/>
      <c r="AC93" s="4902"/>
      <c r="AD93" s="4902"/>
      <c r="AE93" s="4902"/>
      <c r="AF93" s="4903"/>
      <c r="AG93" s="4901"/>
      <c r="AH93" s="4902"/>
      <c r="AI93" s="4902"/>
      <c r="AJ93" s="4902"/>
      <c r="AK93" s="4902"/>
      <c r="AL93" s="4902"/>
      <c r="AM93" s="4902"/>
      <c r="AN93" s="4902"/>
      <c r="AO93" s="4902"/>
      <c r="AP93" s="4903"/>
      <c r="AQ93" s="4901"/>
      <c r="AR93" s="4902"/>
      <c r="AS93" s="4902"/>
      <c r="AT93" s="4902"/>
      <c r="AU93" s="4902"/>
      <c r="AV93" s="4902"/>
      <c r="AW93" s="4902"/>
      <c r="AX93" s="4902"/>
      <c r="AY93" s="4902"/>
      <c r="AZ93" s="4903"/>
      <c r="BA93" s="4901"/>
      <c r="BB93" s="4902"/>
      <c r="BC93" s="4902"/>
      <c r="BD93" s="4902"/>
      <c r="BE93" s="4902"/>
      <c r="BF93" s="4902"/>
      <c r="BG93" s="4902"/>
      <c r="BH93" s="4902"/>
      <c r="BI93" s="4902"/>
      <c r="BJ93" s="4903"/>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IF(I93="Si",VLOOKUP($D$8,TablasTec!$E$4:$F$6,2,FALSE),"")</f>
        <v/>
      </c>
      <c r="BQ93" s="962" t="str">
        <f>IF(L93="Si",VLOOKUP($D$8,TablasTec!$I$4:$J$6,2,FALSE),"")</f>
        <v/>
      </c>
      <c r="BR93" s="960" t="str">
        <f>IF(O93="Si",VLOOKUP($D$8,TablasTec!$I$7:$J$9,2,FALSE),"")</f>
        <v/>
      </c>
      <c r="BS93" s="977"/>
      <c r="BT93" s="4853" t="s">
        <v>4547</v>
      </c>
      <c r="BU93" s="4854"/>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c r="A94" s="922"/>
      <c r="B94" s="922"/>
      <c r="C94" s="4909"/>
      <c r="D94" s="1436" t="s">
        <v>1766</v>
      </c>
      <c r="E94" s="986"/>
      <c r="F94" s="1002"/>
      <c r="G94" s="972" t="str">
        <f>IF(E94=0,"",VLOOKUP(E94,TablasTec!$A$14:$V$771,3,FALSE))</f>
        <v/>
      </c>
      <c r="H94" s="987" t="str">
        <f>IF($E94=0,"",VLOOKUP($E94,TablasTec!$A$14:$V$771,4,FALSE))</f>
        <v/>
      </c>
      <c r="I94" s="970" t="s">
        <v>1690</v>
      </c>
      <c r="J94" s="1394" t="str">
        <f>IF(E94=0,"",VLOOKUP(E94,TablasTec!$A$14:$V$771,5,FALSE))</f>
        <v/>
      </c>
      <c r="K94" s="989" t="str">
        <f>IF(I94="Si",IF(E94=0,"",VLOOKUP(E94,TablasTec!$A$14:$V$771,5,FALSE)),"")</f>
        <v/>
      </c>
      <c r="L94" s="970" t="s">
        <v>1690</v>
      </c>
      <c r="M94" s="1394" t="str">
        <f>IF(E94=0,"",VLOOKUP(E94,TablasTec!$A$14:$V$771,6,FALSE))</f>
        <v/>
      </c>
      <c r="N94" s="973" t="str">
        <f>IF(L94="Si",IF(E94=0,"",VLOOKUP(E94,TablasTec!$A$14:$V$771,6,FALSE)),"")</f>
        <v/>
      </c>
      <c r="O94" s="970" t="s">
        <v>1690</v>
      </c>
      <c r="P94" s="1394" t="str">
        <f>IF(E94=0,"",VLOOKUP(E94,TablasTec!$A$14:$V$771,7,FALSE))</f>
        <v/>
      </c>
      <c r="Q94" s="973" t="str">
        <f>IF(O94="Si",IF(E94=0,"",VLOOKUP(E94,TablasTec!$A$14:$V$771,7,FALSE)),"")</f>
        <v/>
      </c>
      <c r="R94" s="988" t="str">
        <f>IF(E94=0,"",VLOOKUP(E94,TablasTec!$A$14:$V$771,8,FALSE))</f>
        <v/>
      </c>
      <c r="S94" s="987" t="str">
        <f>IF(R94=$D$8,$D$8,IF(R94=2,2,IF(R94=3,3,R94)))</f>
        <v/>
      </c>
      <c r="T94" s="4890" t="s">
        <v>4544</v>
      </c>
      <c r="U94" s="4891"/>
      <c r="V94" s="3178"/>
      <c r="W94" s="4892"/>
      <c r="X94" s="4893"/>
      <c r="Y94" s="4893"/>
      <c r="Z94" s="4893"/>
      <c r="AA94" s="4893"/>
      <c r="AB94" s="4893"/>
      <c r="AC94" s="4893"/>
      <c r="AD94" s="4893"/>
      <c r="AE94" s="4893"/>
      <c r="AF94" s="4894"/>
      <c r="AG94" s="4892"/>
      <c r="AH94" s="4893"/>
      <c r="AI94" s="4893"/>
      <c r="AJ94" s="4893"/>
      <c r="AK94" s="4893"/>
      <c r="AL94" s="4893"/>
      <c r="AM94" s="4893"/>
      <c r="AN94" s="4893"/>
      <c r="AO94" s="4893"/>
      <c r="AP94" s="4894"/>
      <c r="AQ94" s="4892"/>
      <c r="AR94" s="4893"/>
      <c r="AS94" s="4893"/>
      <c r="AT94" s="4893"/>
      <c r="AU94" s="4893"/>
      <c r="AV94" s="4893"/>
      <c r="AW94" s="4893"/>
      <c r="AX94" s="4893"/>
      <c r="AY94" s="4893"/>
      <c r="AZ94" s="4894"/>
      <c r="BA94" s="4892"/>
      <c r="BB94" s="4893"/>
      <c r="BC94" s="4893"/>
      <c r="BD94" s="4893"/>
      <c r="BE94" s="4893"/>
      <c r="BF94" s="4893"/>
      <c r="BG94" s="4893"/>
      <c r="BH94" s="4893"/>
      <c r="BI94" s="4893"/>
      <c r="BJ94" s="4894"/>
      <c r="BK94" s="997">
        <f>SUM(K90:K94)-SUM(V94:BA94)</f>
        <v>0</v>
      </c>
      <c r="BL94" s="1422"/>
      <c r="BM94" s="1423"/>
      <c r="BN94" s="975"/>
      <c r="BO94" s="992"/>
      <c r="BP94" s="961" t="str">
        <f>IF(I94="Si",VLOOKUP($D$8,TablasTec!$E$4:$F$6,2,FALSE),"")</f>
        <v/>
      </c>
      <c r="BQ94" s="962" t="str">
        <f>IF(L94="Si",VLOOKUP($D$8,TablasTec!$I$4:$J$6,2,FALSE),"")</f>
        <v/>
      </c>
      <c r="BR94" s="960" t="str">
        <f>IF(O94="Si",VLOOKUP($D$8,TablasTec!$I$7:$J$9,2,FALSE),"")</f>
        <v/>
      </c>
      <c r="BS94" s="977"/>
      <c r="BT94" s="2293">
        <f>IF(BT88="No",0,IF(D82=0,0,VLOOKUP(D82,TablasTec!$L$4:$N$7,2,FALSE)))+IF(BT90="Bajar coste de CM",0,IF(BT90="-5 CM",2,IF(BT90="-10 CM",4,IF(BT90="-15 CM",6,IF(BT90="-20 CM",8,0)))))+IF(BT92="Bajar coste de Ki",0,IF(BT92="-1 Ki",-1,IF(BT92="-2 Ki",-2,IF(BT92="-3 Ki",-3,IF(BT92="-4 Ki",-4,IF(BT92="-5 Ki",-5,0))))))-BU97-BU99-BU101-BU103-BU105-BU107</f>
        <v>0</v>
      </c>
      <c r="BU94" s="2294">
        <f>IF(BT88="No",0,IF(D82=0,0,VLOOKUP(D82,TablasTec!$L$4:$N$7,2,FALSE)))+IF(BT90="Bajar coste de CM",0,IF(BT90="-5 CM",2,IF(BT90="-10 CM",4,IF(BT90="-15 CM",6,IF(BT90="-20 CM",8,0)))))+IF(BT92="Bajar coste de Ki",0,IF(BT92="-1 Ki",-1,IF(BT92="-2 Ki",-2,IF(BT92="-3 Ki",-3,IF(BT92="-4 Ki",-4,IF(BT92="-5 Ki",-5,0))))))</f>
        <v>0</v>
      </c>
      <c r="BV94" s="954"/>
      <c r="BW94" s="934"/>
      <c r="BX94" s="934"/>
      <c r="BY94" s="1269"/>
      <c r="BZ94" s="4895"/>
      <c r="CA94" s="922"/>
      <c r="DR94" s="922"/>
      <c r="DT94" s="1308"/>
      <c r="DU94" s="1362"/>
      <c r="DV94" s="1359" t="str">
        <f>IF(E94="","",E94)&amp;IF(I94="No",""," (Mant.)")&amp;IF(L94="No",""," (Sme)")&amp;IF(O94="No",""," (SMa)")</f>
        <v/>
      </c>
      <c r="DW94" s="1360"/>
      <c r="DX94" s="1361"/>
      <c r="DY94" s="1307"/>
      <c r="DZ94" s="922"/>
      <c r="EA94" s="1453">
        <f t="shared" si="1"/>
        <v>1</v>
      </c>
    </row>
    <row r="95" spans="1:13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09"/>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IF(I95="Si",VLOOKUP($D$8,TablasTec!$E$4:$F$6,2,FALSE),"")</f>
        <v/>
      </c>
      <c r="BQ95" s="1013" t="str">
        <f>IF(L95="Si",VLOOKUP($D$8,TablasTec!$I$4:$J$6,2,FALSE),"")</f>
        <v/>
      </c>
      <c r="BR95" s="1011" t="str">
        <f>IF(O95="Si",VLOOKUP($D$8,TablasTec!$I$7:$J$9,2,FALSE),"")</f>
        <v/>
      </c>
      <c r="BS95" s="977"/>
      <c r="BU95" s="3174"/>
      <c r="BV95" s="954"/>
      <c r="BW95" s="934"/>
      <c r="BX95" s="934"/>
      <c r="BY95" s="1269"/>
      <c r="BZ95" s="4895"/>
      <c r="CA95" s="922"/>
      <c r="DR95" s="922"/>
      <c r="DT95" s="1308"/>
      <c r="DU95" s="1362"/>
      <c r="DV95" s="1363"/>
      <c r="DW95" s="1360"/>
      <c r="DX95" s="1361"/>
      <c r="DY95" s="1307"/>
      <c r="DZ95" s="922"/>
      <c r="EA95" s="1453">
        <f t="shared" si="1"/>
        <v>1</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09"/>
      <c r="D96" s="1436" t="s">
        <v>1766</v>
      </c>
      <c r="E96" s="966"/>
      <c r="F96" s="1002"/>
      <c r="G96" s="972" t="str">
        <f>IF(E96=0,"",VLOOKUP(E96,TablasTec!$A$14:$V$771,3,FALSE))</f>
        <v/>
      </c>
      <c r="H96" s="1014" t="str">
        <f>IF($E96=0,"",VLOOKUP($E96,TablasTec!$A$14:$V$771,4,FALSE))</f>
        <v/>
      </c>
      <c r="I96" s="970" t="s">
        <v>1690</v>
      </c>
      <c r="J96" s="1400" t="str">
        <f>IF(E96=0,"",VLOOKUP(E96,TablasTec!$A$14:$V$771,5,FALSE))</f>
        <v/>
      </c>
      <c r="K96" s="1016" t="str">
        <f>IF(I96="Si",IF(E96=0,"",VLOOKUP(E96,TablasTec!$A$14:$V$771,5,FALSE)),"")</f>
        <v/>
      </c>
      <c r="L96" s="970" t="s">
        <v>1690</v>
      </c>
      <c r="M96" s="1400" t="str">
        <f>IF(E96=0,"",VLOOKUP(E96,TablasTec!$A$14:$V$771,6,FALSE))</f>
        <v/>
      </c>
      <c r="N96" s="973" t="str">
        <f>IF(L96="Si",IF(E96=0,"",VLOOKUP(E96,TablasTec!$A$14:$V$771,6,FALSE)),"")</f>
        <v/>
      </c>
      <c r="O96" s="970" t="s">
        <v>1690</v>
      </c>
      <c r="P96" s="1400" t="str">
        <f>IF(E96=0,"",VLOOKUP(E96,TablasTec!$A$14:$V$771,7,FALSE))</f>
        <v/>
      </c>
      <c r="Q96" s="973" t="str">
        <f>IF(O96="Si",IF(E96=0,"",VLOOKUP(E96,TablasTec!$A$14:$V$771,7,FALSE)),"")</f>
        <v/>
      </c>
      <c r="R96" s="1015" t="str">
        <f>IF(E96=0,"",VLOOKUP(E96,TablasTec!$A$14:$V$771,8,FALSE))</f>
        <v/>
      </c>
      <c r="S96" s="987" t="str">
        <f>IF(R96=$D$8,$D$8,IF(R96=2,2,IF(R96=3,3,R96)))</f>
        <v/>
      </c>
      <c r="T96" s="1016" t="str">
        <f>IF(E96=0,"",VLOOKUP(E96,TablasTec!$A$14:$V$771,9,FALSE))</f>
        <v/>
      </c>
      <c r="U96" s="1016" t="str">
        <f>IF(E96=0,"",VLOOKUP(E96,TablasTec!$A$14:$V$771,10,FALSE))</f>
        <v/>
      </c>
      <c r="V96" s="1017" t="str">
        <f>IF(E96=0,"",VLOOKUP(E96,TablasTec!$A$14:$V$771,11,FALSE))</f>
        <v/>
      </c>
      <c r="W96" s="970"/>
      <c r="X96" s="971" t="e">
        <f>VLOOKUP(E96,TablasTec!$A$14:$V$771,12,FALSE)</f>
        <v>#N/A</v>
      </c>
      <c r="Y96" s="971" t="e">
        <f>IF(W96=X96,VLOOKUP(E96,TablasTec!$A$14:$V$771,13,FALSE),0)</f>
        <v>#N/A</v>
      </c>
      <c r="Z96" s="971" t="e">
        <f>VLOOKUP(E96,TablasTec!$A$14:$V$771,14,FALSE)</f>
        <v>#N/A</v>
      </c>
      <c r="AA96" s="971" t="e">
        <f>IF(W96=Z96,VLOOKUP(E96,TablasTec!$A$14:$V$616,15,FALSE),0)</f>
        <v>#N/A</v>
      </c>
      <c r="AB96" s="971" t="e">
        <f>VLOOKUP(E96,TablasTec!$A$14:$V$771,16,FALSE)</f>
        <v>#N/A</v>
      </c>
      <c r="AC96" s="971" t="e">
        <f>IF(W96=AB96,VLOOKUP(E96,TablasTec!$A$14:$V$616,17,FALSE),0)</f>
        <v>#N/A</v>
      </c>
      <c r="AD96" s="971" t="e">
        <f>VLOOKUP(E96,TablasTec!$A$14:$V$771,18,FALSE)</f>
        <v>#N/A</v>
      </c>
      <c r="AE96" s="971" t="e">
        <f>IF(W96=AD96,VLOOKUP(E96,TablasTec!$A$14:$V$771,19,FALSE),0)</f>
        <v>#N/A</v>
      </c>
      <c r="AF96" s="989" t="str">
        <f>IF(E96=0,"",(Y96+AA96+AC96+AE96))</f>
        <v/>
      </c>
      <c r="AG96" s="970"/>
      <c r="AH96" s="988" t="e">
        <f>VLOOKUP(E96,TablasTec!$A$14:$V$771,12,FALSE)</f>
        <v>#N/A</v>
      </c>
      <c r="AI96" s="988" t="e">
        <f>IF(AG96=AH96,VLOOKUP(E96,TablasTec!$A$14:$V$771,13,FALSE),0)</f>
        <v>#N/A</v>
      </c>
      <c r="AJ96" s="988" t="e">
        <f>VLOOKUP(E96,TablasTec!$A$14:$V$771,14,FALSE)</f>
        <v>#N/A</v>
      </c>
      <c r="AK96" s="988" t="e">
        <f>IF(AG96=AJ96,VLOOKUP(E96,TablasTec!$A$14:$V$771,15,FALSE),0)</f>
        <v>#N/A</v>
      </c>
      <c r="AL96" s="988" t="e">
        <f>VLOOKUP(E96,TablasTec!$A$14:$V$771,16,FALSE)</f>
        <v>#N/A</v>
      </c>
      <c r="AM96" s="988" t="e">
        <f>IF(AG96=AL96,VLOOKUP(E96,TablasTec!$A$14:$V$771,17,FALSE),0)</f>
        <v>#N/A</v>
      </c>
      <c r="AN96" s="988" t="e">
        <f>VLOOKUP(E96,TablasTec!$A$14:$V$771,18,FALSE)</f>
        <v>#N/A</v>
      </c>
      <c r="AO96" s="988" t="e">
        <f>IF(AG96=AN96,VLOOKUP(E96,TablasTec!$A$14:$V$771,19,FALSE),0)</f>
        <v>#N/A</v>
      </c>
      <c r="AP96" s="3182" t="str">
        <f>IF(E96=0,"",(AI96+AK96+AM96+AO96))</f>
        <v/>
      </c>
      <c r="AQ96" s="970"/>
      <c r="AR96" s="988" t="e">
        <f>VLOOKUP(E96,TablasTec!$A$14:$V$771,12,FALSE)</f>
        <v>#N/A</v>
      </c>
      <c r="AS96" s="988" t="e">
        <f>IF(AQ96=AR96,VLOOKUP(E96,TablasTec!$A$14:$V$771,13,FALSE),0)</f>
        <v>#N/A</v>
      </c>
      <c r="AT96" s="988" t="e">
        <f>VLOOKUP(E96,TablasTec!$A$14:$V$771,14,FALSE)</f>
        <v>#N/A</v>
      </c>
      <c r="AU96" s="988" t="e">
        <f>IF(AQ96=AT96,VLOOKUP(E96,TablasTec!$A$14:$V$771,15,FALSE),0)</f>
        <v>#N/A</v>
      </c>
      <c r="AV96" s="988" t="e">
        <f>VLOOKUP(E96,TablasTec!$A$14:$V$771,16,FALSE)</f>
        <v>#N/A</v>
      </c>
      <c r="AW96" s="988" t="e">
        <f>IF(AQ96=AV96,VLOOKUP(E96,TablasTec!$A$14:$V$771,17,FALSE),0)</f>
        <v>#N/A</v>
      </c>
      <c r="AX96" s="988" t="e">
        <f>VLOOKUP(E96,TablasTec!$A$14:$V$771,18,FALSE)</f>
        <v>#N/A</v>
      </c>
      <c r="AY96" s="988" t="e">
        <f>IF(AQ96=AX96,VLOOKUP(E96,TablasTec!$A$14:$V$771,19,FALSE),0)</f>
        <v>#N/A</v>
      </c>
      <c r="AZ96" s="989" t="str">
        <f>IF(E96=0,"",(AS96+AU96+AW96+AY96))</f>
        <v/>
      </c>
      <c r="BA96" s="970"/>
      <c r="BB96" s="988" t="e">
        <f>VLOOKUP(E96,TablasTec!$A$14:$V$771,12,FALSE)</f>
        <v>#N/A</v>
      </c>
      <c r="BC96" s="988" t="e">
        <f>IF(BA96=BB96,VLOOKUP(E96,TablasTec!$A$14:$V$771,13,FALSE),0)</f>
        <v>#N/A</v>
      </c>
      <c r="BD96" s="988" t="e">
        <f>VLOOKUP(E96,TablasTec!$A$14:$V$771,14,FALSE)</f>
        <v>#N/A</v>
      </c>
      <c r="BE96" s="988" t="e">
        <f>IF(BA96=BD96,VLOOKUP(E96,TablasTec!$A$14:$V$771,15,FALSE),0)</f>
        <v>#N/A</v>
      </c>
      <c r="BF96" s="988" t="e">
        <f>VLOOKUP(E96,TablasTec!$A$14:$V$771,16,FALSE)</f>
        <v>#N/A</v>
      </c>
      <c r="BG96" s="988" t="e">
        <f>IF(BA96=BF96,VLOOKUP(E96,TablasTec!$A$14:$V$771,17,FALSE),0)</f>
        <v>#N/A</v>
      </c>
      <c r="BH96" s="988" t="e">
        <f>VLOOKUP(E96,TablasTec!$A$14:$V$771,18,FALSE)</f>
        <v>#N/A</v>
      </c>
      <c r="BI96" s="988" t="e">
        <f>IF(BA96=BH96,VLOOKUP(E96,TablasTec!$A$14:$V$771,19,FALSE),0)</f>
        <v>#N/A</v>
      </c>
      <c r="BJ96" s="3182" t="str">
        <f>IF(E96=0,"",(BC96+BE96+BG96+BI96))</f>
        <v/>
      </c>
      <c r="BK96" s="1016" t="str">
        <f>IF(E96=0,"",VLOOKUP(E96,TablasTec!$A$14:$V$771,20,FALSE))</f>
        <v/>
      </c>
      <c r="BL96" s="1003" t="str">
        <f>IF(E96=0,"",VLOOKUP(E96,TablasTec!$A$14:$V$771,21,FALSE))</f>
        <v/>
      </c>
      <c r="BM96" s="974" t="str">
        <f>IF(E96=0,"",VLOOKUP(E96,TablasTec!$A$14:$V$771,22,FALSE))</f>
        <v/>
      </c>
      <c r="BN96" s="975"/>
      <c r="BO96" s="976"/>
      <c r="BP96" s="961" t="str">
        <f>IF(I96="Si",VLOOKUP($D$8,TablasTec!$E$4:$F$6,2,FALSE),"")</f>
        <v/>
      </c>
      <c r="BQ96" s="962" t="str">
        <f>IF(L96="Si",VLOOKUP($D$8,TablasTec!$I$4:$J$6,2,FALSE),"")</f>
        <v/>
      </c>
      <c r="BR96" s="960" t="str">
        <f>IF(O96="Si",VLOOKUP($D$8,TablasTec!$I$7:$J$9,2,FALSE),"")</f>
        <v/>
      </c>
      <c r="BS96" s="977"/>
      <c r="BT96" s="3171" t="s">
        <v>1682</v>
      </c>
      <c r="BU96" s="3172" t="s">
        <v>4548</v>
      </c>
      <c r="BV96" s="954"/>
      <c r="BW96" s="3172" t="s">
        <v>4549</v>
      </c>
      <c r="BX96" s="3171" t="s">
        <v>4550</v>
      </c>
      <c r="BY96" s="1283" t="s">
        <v>4550</v>
      </c>
      <c r="BZ96" s="4895"/>
      <c r="CA96" s="922"/>
      <c r="DR96" s="922"/>
      <c r="DT96" s="1308"/>
      <c r="DU96" s="1362"/>
      <c r="DV96" s="1359" t="str">
        <f>IF(E96="","",", "&amp;E96)&amp;IF(I96="No",""," (Mant.)")&amp;IF(L96="No",""," (Sme)")&amp;IF(O96="No",""," (SMa)")</f>
        <v/>
      </c>
      <c r="DW96" s="1360"/>
      <c r="DX96" s="1361"/>
      <c r="DY96" s="1307"/>
      <c r="DZ96" s="922"/>
      <c r="EA96" s="1453">
        <f t="shared" si="1"/>
        <v>1</v>
      </c>
    </row>
    <row r="97" spans="1:131">
      <c r="A97" s="922"/>
      <c r="B97" s="922"/>
      <c r="C97" s="4909"/>
      <c r="D97" s="1435" t="s">
        <v>1766</v>
      </c>
      <c r="E97" s="978"/>
      <c r="F97" s="1008"/>
      <c r="G97" s="1420" t="str">
        <f>IF(E97=0,"",VLOOKUP(E97,TablasTec!$A$14:$V$771,3,FALSE))</f>
        <v/>
      </c>
      <c r="H97" s="981" t="str">
        <f>IF($E97=0,"",VLOOKUP($E97,TablasTec!$A$14:$V$771,4,FALSE))</f>
        <v/>
      </c>
      <c r="I97" s="982" t="s">
        <v>1690</v>
      </c>
      <c r="J97" s="1398" t="str">
        <f>IF(E97=0,"",VLOOKUP(E97,TablasTec!$A$14:$V$771,5,FALSE))</f>
        <v/>
      </c>
      <c r="K97" s="984" t="str">
        <f>IF(I97="Si",IF(E97=0,"",VLOOKUP(E97,TablasTec!$A$14:$V$771,5,FALSE)),"")</f>
        <v/>
      </c>
      <c r="L97" s="982" t="s">
        <v>1690</v>
      </c>
      <c r="M97" s="1398" t="str">
        <f>IF(E97=0,"",VLOOKUP(E97,TablasTec!$A$14:$V$771,6,FALSE))</f>
        <v/>
      </c>
      <c r="N97" s="985" t="str">
        <f>IF(L97="Si",IF(E97=0,"",VLOOKUP(E97,TablasTec!$A$14:$V$771,6,FALSE)),"")</f>
        <v/>
      </c>
      <c r="O97" s="982" t="s">
        <v>1690</v>
      </c>
      <c r="P97" s="1398" t="str">
        <f>IF(E97=0,"",VLOOKUP(E97,TablasTec!$A$14:$V$771,7,FALSE))</f>
        <v/>
      </c>
      <c r="Q97" s="985" t="str">
        <f>IF(O97="Si",IF(E97=0,"",VLOOKUP(E97,TablasTec!$A$14:$V$771,7,FALSE)),"")</f>
        <v/>
      </c>
      <c r="R97" s="983" t="str">
        <f>IF(E97=0,"",VLOOKUP(E97,TablasTec!$A$14:$V$771,8,FALSE))</f>
        <v/>
      </c>
      <c r="S97" s="981" t="str">
        <f>IF(R97=$D$8,$D$8,IF(R97=2,2,IF(R97=3,3,R97)))</f>
        <v/>
      </c>
      <c r="T97" s="4883" t="s">
        <v>4540</v>
      </c>
      <c r="U97" s="4884"/>
      <c r="V97" s="4884"/>
      <c r="W97" s="4884"/>
      <c r="X97" s="4884"/>
      <c r="Y97" s="4884"/>
      <c r="Z97" s="4884"/>
      <c r="AA97" s="4884"/>
      <c r="AB97" s="4884"/>
      <c r="AC97" s="4884"/>
      <c r="AD97" s="4884"/>
      <c r="AE97" s="4884"/>
      <c r="AF97" s="4884"/>
      <c r="AG97" s="4884"/>
      <c r="AH97" s="4884"/>
      <c r="AI97" s="4884"/>
      <c r="AJ97" s="4884"/>
      <c r="AK97" s="4884"/>
      <c r="AL97" s="4884"/>
      <c r="AM97" s="4884"/>
      <c r="AN97" s="4884"/>
      <c r="AO97" s="4884"/>
      <c r="AP97" s="4884"/>
      <c r="AQ97" s="4884"/>
      <c r="AR97" s="4884"/>
      <c r="AS97" s="4884"/>
      <c r="AT97" s="4884"/>
      <c r="AU97" s="4884"/>
      <c r="AV97" s="4884"/>
      <c r="AW97" s="4884"/>
      <c r="AX97" s="4884"/>
      <c r="AY97" s="4884"/>
      <c r="AZ97" s="4884"/>
      <c r="BA97" s="4884"/>
      <c r="BB97" s="4884"/>
      <c r="BC97" s="4884"/>
      <c r="BD97" s="4884"/>
      <c r="BE97" s="4884"/>
      <c r="BF97" s="4884"/>
      <c r="BG97" s="4884"/>
      <c r="BH97" s="4884"/>
      <c r="BI97" s="4884"/>
      <c r="BJ97" s="4884"/>
      <c r="BK97" s="4885"/>
      <c r="BL97" s="1420"/>
      <c r="BM97" s="1421"/>
      <c r="BN97" s="975"/>
      <c r="BO97" s="976"/>
      <c r="BP97" s="961" t="str">
        <f>IF(I97="Si",VLOOKUP($D$8,TablasTec!$E$4:$F$6,2,FALSE),"")</f>
        <v/>
      </c>
      <c r="BQ97" s="962" t="str">
        <f>IF(L97="Si",VLOOKUP($D$8,TablasTec!$I$4:$J$6,2,FALSE),"")</f>
        <v/>
      </c>
      <c r="BR97" s="960" t="str">
        <f>IF(O97="Si",VLOOKUP($D$8,TablasTec!$I$7:$J$9,2,FALSE),"")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c r="A98" s="922"/>
      <c r="B98" s="922"/>
      <c r="C98" s="4909"/>
      <c r="D98" s="1436" t="s">
        <v>1766</v>
      </c>
      <c r="E98" s="986"/>
      <c r="F98" s="1002"/>
      <c r="G98" s="972" t="str">
        <f>IF(E98=0,"",VLOOKUP(E98,TablasTec!$A$14:$V$771,3,FALSE))</f>
        <v/>
      </c>
      <c r="H98" s="3181" t="str">
        <f>IF($E98=0,"",VLOOKUP($E98,TablasTec!$A$14:$V$771,4,FALSE))</f>
        <v/>
      </c>
      <c r="I98" s="970" t="s">
        <v>1690</v>
      </c>
      <c r="J98" s="1394" t="str">
        <f>IF(E98=0,"",VLOOKUP(E98,TablasTec!$A$14:$V$771,5,FALSE))</f>
        <v/>
      </c>
      <c r="K98" s="989" t="str">
        <f>IF(I98="Si",IF(E98=0,"",VLOOKUP(E98,TablasTec!$A$14:$V$771,5,FALSE)),"")</f>
        <v/>
      </c>
      <c r="L98" s="970" t="s">
        <v>1690</v>
      </c>
      <c r="M98" s="1394" t="str">
        <f>IF(E98=0,"",VLOOKUP(E98,TablasTec!$A$14:$V$771,6,FALSE))</f>
        <v/>
      </c>
      <c r="N98" s="973" t="str">
        <f>IF(L98="Si",IF(E98=0,"",VLOOKUP(E98,TablasTec!$A$14:$V$771,6,FALSE)),"")</f>
        <v/>
      </c>
      <c r="O98" s="970" t="s">
        <v>1690</v>
      </c>
      <c r="P98" s="1394" t="str">
        <f>IF(E98=0,"",VLOOKUP(E98,TablasTec!$A$14:$V$771,7,FALSE))</f>
        <v/>
      </c>
      <c r="Q98" s="973" t="str">
        <f>IF(O98="Si",IF(E98=0,"",VLOOKUP(E98,TablasTec!$A$14:$V$771,7,FALSE)),"")</f>
        <v/>
      </c>
      <c r="R98" s="988" t="str">
        <f>IF(E98=0,"",VLOOKUP(E98,TablasTec!$A$14:$V$771,8,FALSE))</f>
        <v/>
      </c>
      <c r="S98" s="3181" t="str">
        <f>IF(R98=$D$8,$D$8,IF(R98=2,2,IF(R98=3,3,R98)))</f>
        <v/>
      </c>
      <c r="T98" s="4896"/>
      <c r="U98" s="4897"/>
      <c r="V98" s="3179" t="str">
        <f>IF(OR(V96=0,V96=""),"N/A",V96)</f>
        <v>N/A</v>
      </c>
      <c r="W98" s="4896" t="str">
        <f xml:space="preserve"> IF(OR(AF96=0,AF96=""),"N/A",W96)</f>
        <v>N/A</v>
      </c>
      <c r="X98" s="4898"/>
      <c r="Y98" s="4898"/>
      <c r="Z98" s="4898"/>
      <c r="AA98" s="4898"/>
      <c r="AB98" s="4898"/>
      <c r="AC98" s="4898"/>
      <c r="AD98" s="4898"/>
      <c r="AE98" s="4898"/>
      <c r="AF98" s="4897"/>
      <c r="AG98" s="4896" t="str">
        <f xml:space="preserve"> IF(OR(AP96="",AP96=0),"N/A",AG96)</f>
        <v>N/A</v>
      </c>
      <c r="AH98" s="4898"/>
      <c r="AI98" s="4898"/>
      <c r="AJ98" s="4898"/>
      <c r="AK98" s="4898"/>
      <c r="AL98" s="4898"/>
      <c r="AM98" s="4898"/>
      <c r="AN98" s="4898"/>
      <c r="AO98" s="4898"/>
      <c r="AP98" s="4897"/>
      <c r="AQ98" s="4896" t="str">
        <f xml:space="preserve"> IF(OR(AZ96="",AZ96=0),"N/A",AQ96)</f>
        <v>N/A</v>
      </c>
      <c r="AR98" s="4898"/>
      <c r="AS98" s="4898"/>
      <c r="AT98" s="4898"/>
      <c r="AU98" s="4898"/>
      <c r="AV98" s="4898"/>
      <c r="AW98" s="4898"/>
      <c r="AX98" s="4898"/>
      <c r="AY98" s="4898"/>
      <c r="AZ98" s="4897"/>
      <c r="BA98" s="4896" t="str">
        <f xml:space="preserve"> IF(OR(BJ96="",BJ96=0),"N/A",BA96)</f>
        <v>N/A</v>
      </c>
      <c r="BB98" s="4898"/>
      <c r="BC98" s="4898"/>
      <c r="BD98" s="4898"/>
      <c r="BE98" s="4898"/>
      <c r="BF98" s="4898"/>
      <c r="BG98" s="4898"/>
      <c r="BH98" s="4898"/>
      <c r="BI98" s="4898"/>
      <c r="BJ98" s="4897"/>
      <c r="BK98" s="990" t="s">
        <v>4541</v>
      </c>
      <c r="BL98" s="972"/>
      <c r="BM98" s="1007"/>
      <c r="BN98" s="991"/>
      <c r="BO98" s="992"/>
      <c r="BP98" s="993" t="str">
        <f>IF(I98="Si",VLOOKUP($D$8,TablasTec!$E$4:$F$6,2,FALSE),"")</f>
        <v/>
      </c>
      <c r="BQ98" s="963" t="str">
        <f>IF(L98="Si",VLOOKUP($D$8,TablasTec!$I$4:$J$6,2,FALSE),"")</f>
        <v/>
      </c>
      <c r="BR98" s="994" t="str">
        <f>IF(O98="Si",VLOOKUP($D$8,TablasTec!$I$7:$J$9,2,FALSE),"")</f>
        <v/>
      </c>
      <c r="BS98" s="977"/>
      <c r="BT98" s="3171" t="s">
        <v>1809</v>
      </c>
      <c r="BU98" s="3172" t="s">
        <v>4548</v>
      </c>
      <c r="BV98" s="954"/>
      <c r="BW98" s="3172" t="s">
        <v>4549</v>
      </c>
      <c r="BX98" s="3171" t="s">
        <v>4550</v>
      </c>
      <c r="BY98" s="1284" t="s">
        <v>4550</v>
      </c>
      <c r="BZ98" s="2869"/>
      <c r="CA98" s="922"/>
      <c r="DR98" s="922"/>
      <c r="DT98" s="1308"/>
      <c r="DU98" s="1362"/>
      <c r="DV98" s="1359" t="str">
        <f>IF(E98="","",E98)&amp;IF(I98="No",""," (Mant.)")&amp;IF(L98="No",""," (Sme)")&amp;IF(O98="No",""," (SMa)")</f>
        <v/>
      </c>
      <c r="DW98" s="1359"/>
      <c r="DX98" s="1361"/>
      <c r="DY98" s="1307"/>
      <c r="DZ98" s="922"/>
      <c r="EA98" s="1453">
        <f t="shared" si="1"/>
        <v>1</v>
      </c>
    </row>
    <row r="99" spans="1:131">
      <c r="A99" s="922"/>
      <c r="B99" s="922"/>
      <c r="C99" s="4909"/>
      <c r="D99" s="1435" t="s">
        <v>1766</v>
      </c>
      <c r="E99" s="978"/>
      <c r="F99" s="1008"/>
      <c r="G99" s="1420" t="str">
        <f>IF(E99=0,"",VLOOKUP(E99,TablasTec!$A$14:$V$771,3,FALSE))</f>
        <v/>
      </c>
      <c r="H99" s="981" t="str">
        <f>IF($E99=0,"",VLOOKUP($E99,TablasTec!$A$14:$V$771,4,FALSE))</f>
        <v/>
      </c>
      <c r="I99" s="982" t="s">
        <v>1690</v>
      </c>
      <c r="J99" s="1398" t="str">
        <f>IF(E99=0,"",VLOOKUP(E99,TablasTec!$A$14:$V$771,5,FALSE))</f>
        <v/>
      </c>
      <c r="K99" s="984" t="str">
        <f>IF(I99="Si",IF(E99=0,"",VLOOKUP(E99,TablasTec!$A$14:$V$771,5,FALSE)),"")</f>
        <v/>
      </c>
      <c r="L99" s="982" t="s">
        <v>1690</v>
      </c>
      <c r="M99" s="1398" t="str">
        <f>IF(E99=0,"",VLOOKUP(E99,TablasTec!$A$14:$V$771,6,FALSE))</f>
        <v/>
      </c>
      <c r="N99" s="985" t="str">
        <f>IF(L99="Si",IF(E99=0,"",VLOOKUP(E99,TablasTec!$A$14:$V$771,6,FALSE)),"")</f>
        <v/>
      </c>
      <c r="O99" s="982" t="s">
        <v>1690</v>
      </c>
      <c r="P99" s="1398" t="str">
        <f>IF(E99=0,"",VLOOKUP(E99,TablasTec!$A$14:$V$771,7,FALSE))</f>
        <v/>
      </c>
      <c r="Q99" s="985" t="str">
        <f>IF(O99="Si",IF(E99=0,"",VLOOKUP(E99,TablasTec!$A$14:$V$771,7,FALSE)),"")</f>
        <v/>
      </c>
      <c r="R99" s="983" t="str">
        <f>IF(E99=0,"",VLOOKUP(E99,TablasTec!$A$14:$V$771,8,FALSE))</f>
        <v/>
      </c>
      <c r="S99" s="981" t="str">
        <f>IF(R99=$D$8,$D$8,IF(R99=2,2,IF(R99=3,3,R99)))</f>
        <v/>
      </c>
      <c r="T99" s="4899" t="s">
        <v>4542</v>
      </c>
      <c r="U99" s="4900"/>
      <c r="V99" s="3180"/>
      <c r="W99" s="4901"/>
      <c r="X99" s="4902"/>
      <c r="Y99" s="4902"/>
      <c r="Z99" s="4902"/>
      <c r="AA99" s="4902"/>
      <c r="AB99" s="4902"/>
      <c r="AC99" s="4902"/>
      <c r="AD99" s="4902"/>
      <c r="AE99" s="4902"/>
      <c r="AF99" s="4903"/>
      <c r="AG99" s="4901"/>
      <c r="AH99" s="4902"/>
      <c r="AI99" s="4902"/>
      <c r="AJ99" s="4902"/>
      <c r="AK99" s="4902"/>
      <c r="AL99" s="4902"/>
      <c r="AM99" s="4902"/>
      <c r="AN99" s="4902"/>
      <c r="AO99" s="4902"/>
      <c r="AP99" s="4903"/>
      <c r="AQ99" s="4901"/>
      <c r="AR99" s="4902"/>
      <c r="AS99" s="4902"/>
      <c r="AT99" s="4902"/>
      <c r="AU99" s="4902"/>
      <c r="AV99" s="4902"/>
      <c r="AW99" s="4902"/>
      <c r="AX99" s="4902"/>
      <c r="AY99" s="4902"/>
      <c r="AZ99" s="4903"/>
      <c r="BA99" s="4901"/>
      <c r="BB99" s="4902"/>
      <c r="BC99" s="4902"/>
      <c r="BD99" s="4902"/>
      <c r="BE99" s="4902"/>
      <c r="BF99" s="4902"/>
      <c r="BG99" s="4902"/>
      <c r="BH99" s="4902"/>
      <c r="BI99" s="4902"/>
      <c r="BJ99" s="4903"/>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IF(I99="Si",VLOOKUP($D$8,TablasTec!$E$4:$F$6,2,FALSE),"")</f>
        <v/>
      </c>
      <c r="BQ99" s="962" t="str">
        <f>IF(L99="Si",VLOOKUP($D$8,TablasTec!$I$4:$J$6,2,FALSE),"")</f>
        <v/>
      </c>
      <c r="BR99" s="960" t="str">
        <f>IF(O99="Si",VLOOKUP($D$8,TablasTec!$I$7:$J$9,2,FALSE),"")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c r="A100" s="922"/>
      <c r="B100" s="922"/>
      <c r="C100" s="4909"/>
      <c r="D100" s="1436" t="s">
        <v>1766</v>
      </c>
      <c r="E100" s="986"/>
      <c r="F100" s="1002"/>
      <c r="G100" s="972" t="str">
        <f>IF(E100=0,"",VLOOKUP(E100,TablasTec!$A$14:$V$771,3,FALSE))</f>
        <v/>
      </c>
      <c r="H100" s="997" t="str">
        <f>IF($E100=0,"",VLOOKUP($E100,TablasTec!$A$14:$V$771,4,FALSE))</f>
        <v/>
      </c>
      <c r="I100" s="970" t="s">
        <v>1690</v>
      </c>
      <c r="J100" s="1401" t="str">
        <f>IF(E100=0,"",VLOOKUP(E100,TablasTec!$A$14:$V$771,5,FALSE))</f>
        <v/>
      </c>
      <c r="K100" s="998" t="str">
        <f>IF(I100="Si",IF(E100=0,"",VLOOKUP(E100,TablasTec!$A$14:$V$771,5,FALSE)),"")</f>
        <v/>
      </c>
      <c r="L100" s="970" t="s">
        <v>1690</v>
      </c>
      <c r="M100" s="1401" t="str">
        <f>IF(E100=0,"",VLOOKUP(E100,TablasTec!$A$14:$V$771,6,FALSE))</f>
        <v/>
      </c>
      <c r="N100" s="973" t="str">
        <f>IF(L100="Si",IF(E100=0,"",VLOOKUP(E100,TablasTec!$A$14:$V$771,6,FALSE)),"")</f>
        <v/>
      </c>
      <c r="O100" s="970" t="s">
        <v>1690</v>
      </c>
      <c r="P100" s="1401" t="str">
        <f>IF(E100=0,"",VLOOKUP(E100,TablasTec!$A$14:$V$771,7,FALSE))</f>
        <v/>
      </c>
      <c r="Q100" s="973" t="str">
        <f>IF(O100="Si",IF(E100=0,"",VLOOKUP(E100,TablasTec!$A$14:$V$771,7,FALSE)),"")</f>
        <v/>
      </c>
      <c r="R100" s="1018" t="str">
        <f>IF(E100=0,"",VLOOKUP(E100,TablasTec!$A$14:$V$771,8,FALSE))</f>
        <v/>
      </c>
      <c r="S100" s="987" t="str">
        <f>IF(R100=$D$8,$D$8,IF(R100=2,2,IF(R100=3,3,R100)))</f>
        <v/>
      </c>
      <c r="T100" s="4890" t="s">
        <v>4544</v>
      </c>
      <c r="U100" s="4891"/>
      <c r="V100" s="3178"/>
      <c r="W100" s="4892"/>
      <c r="X100" s="4893"/>
      <c r="Y100" s="4893"/>
      <c r="Z100" s="4893"/>
      <c r="AA100" s="4893"/>
      <c r="AB100" s="4893"/>
      <c r="AC100" s="4893"/>
      <c r="AD100" s="4893"/>
      <c r="AE100" s="4893"/>
      <c r="AF100" s="4894"/>
      <c r="AG100" s="4892"/>
      <c r="AH100" s="4893"/>
      <c r="AI100" s="4893"/>
      <c r="AJ100" s="4893"/>
      <c r="AK100" s="4893"/>
      <c r="AL100" s="4893"/>
      <c r="AM100" s="4893"/>
      <c r="AN100" s="4893"/>
      <c r="AO100" s="4893"/>
      <c r="AP100" s="4894"/>
      <c r="AQ100" s="4892"/>
      <c r="AR100" s="4893"/>
      <c r="AS100" s="4893"/>
      <c r="AT100" s="4893"/>
      <c r="AU100" s="4893"/>
      <c r="AV100" s="4893"/>
      <c r="AW100" s="4893"/>
      <c r="AX100" s="4893"/>
      <c r="AY100" s="4893"/>
      <c r="AZ100" s="4894"/>
      <c r="BA100" s="4892"/>
      <c r="BB100" s="4893"/>
      <c r="BC100" s="4893"/>
      <c r="BD100" s="4893"/>
      <c r="BE100" s="4893"/>
      <c r="BF100" s="4893"/>
      <c r="BG100" s="4893"/>
      <c r="BH100" s="4893"/>
      <c r="BI100" s="4893"/>
      <c r="BJ100" s="4894"/>
      <c r="BK100" s="997">
        <f>SUM(K96:K100)-SUM(V100:BA100)</f>
        <v>0</v>
      </c>
      <c r="BL100" s="1422"/>
      <c r="BM100" s="1423"/>
      <c r="BN100" s="991"/>
      <c r="BO100" s="992"/>
      <c r="BP100" s="993" t="str">
        <f>IF(I100="Si",VLOOKUP($D$8,TablasTec!$E$4:$F$6,2,FALSE),"")</f>
        <v/>
      </c>
      <c r="BQ100" s="963" t="str">
        <f>IF(L100="Si",VLOOKUP($D$8,TablasTec!$I$4:$J$6,2,FALSE),"")</f>
        <v/>
      </c>
      <c r="BR100" s="994" t="str">
        <f>IF(O100="Si",VLOOKUP($D$8,TablasTec!$I$7:$J$9,2,FALSE),"")</f>
        <v/>
      </c>
      <c r="BS100" s="977"/>
      <c r="BT100" s="3171" t="s">
        <v>1687</v>
      </c>
      <c r="BU100" s="3172" t="s">
        <v>4548</v>
      </c>
      <c r="BV100" s="954"/>
      <c r="BW100" s="3172" t="s">
        <v>4549</v>
      </c>
      <c r="BX100" s="3171" t="s">
        <v>4550</v>
      </c>
      <c r="BY100" s="1284" t="s">
        <v>4550</v>
      </c>
      <c r="BZ100" s="2869"/>
      <c r="CA100" s="922"/>
      <c r="DR100" s="922"/>
      <c r="DT100" s="1308"/>
      <c r="DU100" s="1362"/>
      <c r="DV100" s="1359" t="str">
        <f>IF(E100="","",E100)&amp;IF(I100="No",""," (Mant.)")&amp;IF(L100="No",""," (Sme)")&amp;IF(O100="No",""," (SMa)")</f>
        <v/>
      </c>
      <c r="DW100" s="1359"/>
      <c r="DX100" s="1361"/>
      <c r="DY100" s="1307"/>
      <c r="DZ100" s="922"/>
      <c r="EA100" s="1453">
        <f t="shared" si="1"/>
        <v>1</v>
      </c>
    </row>
    <row r="101" spans="1:131">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09"/>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IF(I101="Si",VLOOKUP($D$8,TablasTec!$E$4:$F$6,2,FALSE),"")</f>
        <v/>
      </c>
      <c r="BQ101" s="1013" t="str">
        <f>IF(L101="Si",VLOOKUP($D$8,TablasTec!$I$4:$J$6,2,FALSE),"")</f>
        <v/>
      </c>
      <c r="BR101" s="1011" t="str">
        <f>IF(O101="Si",VLOOKUP($D$8,TablasTec!$I$7:$J$9,2,FALSE),"")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09"/>
      <c r="D102" s="1436" t="s">
        <v>1766</v>
      </c>
      <c r="E102" s="966"/>
      <c r="F102" s="1002"/>
      <c r="G102" s="972" t="str">
        <f>IF(E102=0,"",VLOOKUP(E102,TablasTec!$A$14:$V$771,3,FALSE))</f>
        <v/>
      </c>
      <c r="H102" s="1014" t="str">
        <f>IF($E102=0,"",VLOOKUP($E102,TablasTec!$A$14:$V$771,4,FALSE))</f>
        <v/>
      </c>
      <c r="I102" s="970" t="s">
        <v>1690</v>
      </c>
      <c r="J102" s="1400" t="str">
        <f>IF(E102=0,"",VLOOKUP(E102,TablasTec!$A$14:$V$771,5,FALSE))</f>
        <v/>
      </c>
      <c r="K102" s="1016" t="str">
        <f>IF(I102="Si",IF(E102=0,"",VLOOKUP(E102,TablasTec!$A$14:$V$771,5,FALSE)),"")</f>
        <v/>
      </c>
      <c r="L102" s="970" t="s">
        <v>1690</v>
      </c>
      <c r="M102" s="1400" t="str">
        <f>IF(E102=0,"",VLOOKUP(E102,TablasTec!$A$14:$V$771,6,FALSE))</f>
        <v/>
      </c>
      <c r="N102" s="973" t="str">
        <f>IF(L102="Si",IF(E102=0,"",VLOOKUP(E102,TablasTec!$A$14:$V$771,6,FALSE)),"")</f>
        <v/>
      </c>
      <c r="O102" s="970" t="s">
        <v>1690</v>
      </c>
      <c r="P102" s="1400" t="str">
        <f>IF(E102=0,"",VLOOKUP(E102,TablasTec!$A$14:$V$771,7,FALSE))</f>
        <v/>
      </c>
      <c r="Q102" s="973" t="str">
        <f>IF(O102="Si",IF(E102=0,"",VLOOKUP(E102,TablasTec!$A$14:$V$771,7,FALSE)),"")</f>
        <v/>
      </c>
      <c r="R102" s="1015" t="str">
        <f>IF(E102=0,"",VLOOKUP(E102,TablasTec!$A$14:$V$771,8,FALSE))</f>
        <v/>
      </c>
      <c r="S102" s="987" t="str">
        <f>IF(R102=$D$8,$D$8,IF(R102=2,2,IF(R102=3,3,R102)))</f>
        <v/>
      </c>
      <c r="T102" s="1016" t="str">
        <f>IF(E102=0,"",VLOOKUP(E102,TablasTec!$A$14:$V$771,9,FALSE))</f>
        <v/>
      </c>
      <c r="U102" s="1016" t="str">
        <f>IF(E102=0,"",VLOOKUP(E102,TablasTec!$A$14:$V$771,10,FALSE))</f>
        <v/>
      </c>
      <c r="V102" s="1017" t="str">
        <f>IF(E102=0,"",VLOOKUP(E102,TablasTec!$A$14:$V$771,11,FALSE))</f>
        <v/>
      </c>
      <c r="W102" s="970"/>
      <c r="X102" s="971" t="e">
        <f>VLOOKUP(E102,TablasTec!$A$14:$V$771,12,FALSE)</f>
        <v>#N/A</v>
      </c>
      <c r="Y102" s="971" t="e">
        <f>IF(W102=X102,VLOOKUP(E102,TablasTec!$A$14:$V$771,13,FALSE),0)</f>
        <v>#N/A</v>
      </c>
      <c r="Z102" s="971" t="e">
        <f>VLOOKUP(E102,TablasTec!$A$14:$V$771,14,FALSE)</f>
        <v>#N/A</v>
      </c>
      <c r="AA102" s="971" t="e">
        <f>IF(W102=Z102,VLOOKUP(E102,TablasTec!$A$14:$V$616,15,FALSE),0)</f>
        <v>#N/A</v>
      </c>
      <c r="AB102" s="971" t="e">
        <f>VLOOKUP(E102,TablasTec!$A$14:$V$771,16,FALSE)</f>
        <v>#N/A</v>
      </c>
      <c r="AC102" s="971" t="e">
        <f>IF(W102=AB102,VLOOKUP(E102,TablasTec!$A$14:$V$616,17,FALSE),0)</f>
        <v>#N/A</v>
      </c>
      <c r="AD102" s="971" t="e">
        <f>VLOOKUP(E102,TablasTec!$A$14:$V$771,18,FALSE)</f>
        <v>#N/A</v>
      </c>
      <c r="AE102" s="971" t="e">
        <f>IF(W102=AD102,VLOOKUP(E102,TablasTec!$A$14:$V$771,19,FALSE),0)</f>
        <v>#N/A</v>
      </c>
      <c r="AF102" s="989" t="str">
        <f>IF(E102=0,"",(Y102+AA102+AC102+AE102))</f>
        <v/>
      </c>
      <c r="AG102" s="970"/>
      <c r="AH102" s="988" t="e">
        <f>VLOOKUP(E102,TablasTec!$A$14:$V$771,12,FALSE)</f>
        <v>#N/A</v>
      </c>
      <c r="AI102" s="988" t="e">
        <f>IF(AG102=AH102,VLOOKUP(E102,TablasTec!$A$14:$V$771,13,FALSE),0)</f>
        <v>#N/A</v>
      </c>
      <c r="AJ102" s="988" t="e">
        <f>VLOOKUP(E102,TablasTec!$A$14:$V$771,14,FALSE)</f>
        <v>#N/A</v>
      </c>
      <c r="AK102" s="988" t="e">
        <f>IF(AG102=AJ102,VLOOKUP(E102,TablasTec!$A$14:$V$771,15,FALSE),0)</f>
        <v>#N/A</v>
      </c>
      <c r="AL102" s="988" t="e">
        <f>VLOOKUP(E102,TablasTec!$A$14:$V$771,16,FALSE)</f>
        <v>#N/A</v>
      </c>
      <c r="AM102" s="988" t="e">
        <f>IF(AG102=AL102,VLOOKUP(E102,TablasTec!$A$14:$V$771,17,FALSE),0)</f>
        <v>#N/A</v>
      </c>
      <c r="AN102" s="988" t="e">
        <f>VLOOKUP(E102,TablasTec!$A$14:$V$771,18,FALSE)</f>
        <v>#N/A</v>
      </c>
      <c r="AO102" s="988" t="e">
        <f>IF(AG102=AN102,VLOOKUP(E102,TablasTec!$A$14:$V$771,19,FALSE),0)</f>
        <v>#N/A</v>
      </c>
      <c r="AP102" s="3182" t="str">
        <f>IF(E102=0,"",(AI102+AK102+AM102+AO102))</f>
        <v/>
      </c>
      <c r="AQ102" s="970"/>
      <c r="AR102" s="988" t="e">
        <f>VLOOKUP(E102,TablasTec!$A$14:$V$771,12,FALSE)</f>
        <v>#N/A</v>
      </c>
      <c r="AS102" s="988" t="e">
        <f>IF(AQ102=AR102,VLOOKUP(E102,TablasTec!$A$14:$V$771,13,FALSE),0)</f>
        <v>#N/A</v>
      </c>
      <c r="AT102" s="988" t="e">
        <f>VLOOKUP(E102,TablasTec!$A$14:$V$771,14,FALSE)</f>
        <v>#N/A</v>
      </c>
      <c r="AU102" s="988" t="e">
        <f>IF(AQ102=AT102,VLOOKUP(E102,TablasTec!$A$14:$V$771,15,FALSE),0)</f>
        <v>#N/A</v>
      </c>
      <c r="AV102" s="988" t="e">
        <f>VLOOKUP(E102,TablasTec!$A$14:$V$771,16,FALSE)</f>
        <v>#N/A</v>
      </c>
      <c r="AW102" s="988" t="e">
        <f>IF(AQ102=AV102,VLOOKUP(E102,TablasTec!$A$14:$V$771,17,FALSE),0)</f>
        <v>#N/A</v>
      </c>
      <c r="AX102" s="988" t="e">
        <f>VLOOKUP(E102,TablasTec!$A$14:$V$771,18,FALSE)</f>
        <v>#N/A</v>
      </c>
      <c r="AY102" s="988" t="e">
        <f>IF(AQ102=AX102,VLOOKUP(E102,TablasTec!$A$14:$V$771,19,FALSE),0)</f>
        <v>#N/A</v>
      </c>
      <c r="AZ102" s="989" t="str">
        <f>IF(E102=0,"",(AS102+AU102+AW102+AY102))</f>
        <v/>
      </c>
      <c r="BA102" s="970"/>
      <c r="BB102" s="988" t="e">
        <f>VLOOKUP(E102,TablasTec!$A$14:$V$771,12,FALSE)</f>
        <v>#N/A</v>
      </c>
      <c r="BC102" s="988" t="e">
        <f>IF(BA102=BB102,VLOOKUP(E102,TablasTec!$A$14:$V$771,13,FALSE),0)</f>
        <v>#N/A</v>
      </c>
      <c r="BD102" s="988" t="e">
        <f>VLOOKUP(E102,TablasTec!$A$14:$V$771,14,FALSE)</f>
        <v>#N/A</v>
      </c>
      <c r="BE102" s="988" t="e">
        <f>IF(BA102=BD102,VLOOKUP(E102,TablasTec!$A$14:$V$771,15,FALSE),0)</f>
        <v>#N/A</v>
      </c>
      <c r="BF102" s="988" t="e">
        <f>VLOOKUP(E102,TablasTec!$A$14:$V$771,16,FALSE)</f>
        <v>#N/A</v>
      </c>
      <c r="BG102" s="988" t="e">
        <f>IF(BA102=BF102,VLOOKUP(E102,TablasTec!$A$14:$V$771,17,FALSE),0)</f>
        <v>#N/A</v>
      </c>
      <c r="BH102" s="988" t="e">
        <f>VLOOKUP(E102,TablasTec!$A$14:$V$771,18,FALSE)</f>
        <v>#N/A</v>
      </c>
      <c r="BI102" s="988" t="e">
        <f>IF(BA102=BH102,VLOOKUP(E102,TablasTec!$A$14:$V$771,19,FALSE),0)</f>
        <v>#N/A</v>
      </c>
      <c r="BJ102" s="3182" t="str">
        <f>IF(E102=0,"",(BC102+BE102+BG102+BI102))</f>
        <v/>
      </c>
      <c r="BK102" s="1016" t="str">
        <f>IF(E102=0,"",VLOOKUP(E102,TablasTec!$A$14:$V$771,20,FALSE))</f>
        <v/>
      </c>
      <c r="BL102" s="1003" t="str">
        <f>IF(E102=0,"",VLOOKUP(E102,TablasTec!$A$14:$V$771,21,FALSE))</f>
        <v/>
      </c>
      <c r="BM102" s="974" t="str">
        <f>IF(E102=0,"",VLOOKUP(E102,TablasTec!$A$14:$V$771,22,FALSE))</f>
        <v/>
      </c>
      <c r="BN102" s="975"/>
      <c r="BO102" s="976"/>
      <c r="BP102" s="961" t="str">
        <f>IF(I102="Si",VLOOKUP($D$8,TablasTec!$E$4:$F$6,2,FALSE),"")</f>
        <v/>
      </c>
      <c r="BQ102" s="962" t="str">
        <f>IF(L102="Si",VLOOKUP($D$8,TablasTec!$I$4:$J$6,2,FALSE),"")</f>
        <v/>
      </c>
      <c r="BR102" s="960" t="str">
        <f>IF(O102="Si",VLOOKUP($D$8,TablasTec!$I$7:$J$9,2,FALSE),"")</f>
        <v/>
      </c>
      <c r="BS102" s="977"/>
      <c r="BT102" s="3171" t="s">
        <v>1692</v>
      </c>
      <c r="BU102" s="3172" t="s">
        <v>4548</v>
      </c>
      <c r="BV102" s="954"/>
      <c r="BW102" s="3172" t="s">
        <v>4549</v>
      </c>
      <c r="BX102" s="3171" t="s">
        <v>4550</v>
      </c>
      <c r="BY102" s="1284" t="s">
        <v>4550</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c r="A103" s="922"/>
      <c r="B103" s="922"/>
      <c r="C103" s="4909"/>
      <c r="D103" s="1435" t="s">
        <v>1766</v>
      </c>
      <c r="E103" s="978"/>
      <c r="F103" s="1008"/>
      <c r="G103" s="1420" t="str">
        <f>IF(E103=0,"",VLOOKUP(E103,TablasTec!$A$14:$V$771,3,FALSE))</f>
        <v/>
      </c>
      <c r="H103" s="981" t="str">
        <f>IF($E103=0,"",VLOOKUP($E103,TablasTec!$A$14:$V$771,4,FALSE))</f>
        <v/>
      </c>
      <c r="I103" s="982" t="s">
        <v>1690</v>
      </c>
      <c r="J103" s="1398" t="str">
        <f>IF(E103=0,"",VLOOKUP(E103,TablasTec!$A$14:$V$771,5,FALSE))</f>
        <v/>
      </c>
      <c r="K103" s="984" t="str">
        <f>IF(I103="Si",IF(E103=0,"",VLOOKUP(E103,TablasTec!$A$14:$V$771,5,FALSE)),"")</f>
        <v/>
      </c>
      <c r="L103" s="982" t="s">
        <v>1690</v>
      </c>
      <c r="M103" s="1398" t="str">
        <f>IF(E103=0,"",VLOOKUP(E103,TablasTec!$A$14:$V$771,6,FALSE))</f>
        <v/>
      </c>
      <c r="N103" s="985" t="str">
        <f>IF(L103="Si",IF(E103=0,"",VLOOKUP(E103,TablasTec!$A$14:$V$771,6,FALSE)),"")</f>
        <v/>
      </c>
      <c r="O103" s="982" t="s">
        <v>1690</v>
      </c>
      <c r="P103" s="1398" t="str">
        <f>IF(E103=0,"",VLOOKUP(E103,TablasTec!$A$14:$V$771,7,FALSE))</f>
        <v/>
      </c>
      <c r="Q103" s="985" t="str">
        <f>IF(O103="Si",IF(E103=0,"",VLOOKUP(E103,TablasTec!$A$14:$V$771,7,FALSE)),"")</f>
        <v/>
      </c>
      <c r="R103" s="983" t="str">
        <f>IF(E103=0,"",VLOOKUP(E103,TablasTec!$A$14:$V$771,8,FALSE))</f>
        <v/>
      </c>
      <c r="S103" s="981" t="str">
        <f>IF(R103=$D$8,$D$8,IF(R103=2,2,IF(R103=3,3,R103)))</f>
        <v/>
      </c>
      <c r="T103" s="4883" t="s">
        <v>4540</v>
      </c>
      <c r="U103" s="4884"/>
      <c r="V103" s="4884"/>
      <c r="W103" s="4884"/>
      <c r="X103" s="4884"/>
      <c r="Y103" s="4884"/>
      <c r="Z103" s="4884"/>
      <c r="AA103" s="4884"/>
      <c r="AB103" s="4884"/>
      <c r="AC103" s="4884"/>
      <c r="AD103" s="4884"/>
      <c r="AE103" s="4884"/>
      <c r="AF103" s="4884"/>
      <c r="AG103" s="4884"/>
      <c r="AH103" s="4884"/>
      <c r="AI103" s="4884"/>
      <c r="AJ103" s="4884"/>
      <c r="AK103" s="4884"/>
      <c r="AL103" s="4884"/>
      <c r="AM103" s="4884"/>
      <c r="AN103" s="4884"/>
      <c r="AO103" s="4884"/>
      <c r="AP103" s="4884"/>
      <c r="AQ103" s="4884"/>
      <c r="AR103" s="4884"/>
      <c r="AS103" s="4884"/>
      <c r="AT103" s="4884"/>
      <c r="AU103" s="4884"/>
      <c r="AV103" s="4884"/>
      <c r="AW103" s="4884"/>
      <c r="AX103" s="4884"/>
      <c r="AY103" s="4884"/>
      <c r="AZ103" s="4884"/>
      <c r="BA103" s="4884"/>
      <c r="BB103" s="4884"/>
      <c r="BC103" s="4884"/>
      <c r="BD103" s="4884"/>
      <c r="BE103" s="4884"/>
      <c r="BF103" s="4884"/>
      <c r="BG103" s="4884"/>
      <c r="BH103" s="4884"/>
      <c r="BI103" s="4884"/>
      <c r="BJ103" s="4884"/>
      <c r="BK103" s="4885"/>
      <c r="BL103" s="1420"/>
      <c r="BM103" s="1421"/>
      <c r="BN103" s="975"/>
      <c r="BO103" s="976"/>
      <c r="BP103" s="961" t="str">
        <f>IF(I103="Si",VLOOKUP($D$8,TablasTec!$E$4:$F$6,2,FALSE),"")</f>
        <v/>
      </c>
      <c r="BQ103" s="962" t="str">
        <f>IF(L103="Si",VLOOKUP($D$8,TablasTec!$I$4:$J$6,2,FALSE),"")</f>
        <v/>
      </c>
      <c r="BR103" s="960" t="str">
        <f>IF(O103="Si",VLOOKUP($D$8,TablasTec!$I$7:$J$9,2,FALSE),"")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c r="A104" s="922"/>
      <c r="B104" s="922"/>
      <c r="C104" s="4909"/>
      <c r="D104" s="1436" t="s">
        <v>1766</v>
      </c>
      <c r="E104" s="986"/>
      <c r="F104" s="1002"/>
      <c r="G104" s="972" t="str">
        <f>IF(E104=0,"",VLOOKUP(E104,TablasTec!$A$14:$V$771,3,FALSE))</f>
        <v/>
      </c>
      <c r="H104" s="3181" t="str">
        <f>IF($E104=0,"",VLOOKUP($E104,TablasTec!$A$14:$V$771,4,FALSE))</f>
        <v/>
      </c>
      <c r="I104" s="970" t="s">
        <v>1690</v>
      </c>
      <c r="J104" s="1394" t="str">
        <f>IF(E104=0,"",VLOOKUP(E104,TablasTec!$A$14:$V$771,5,FALSE))</f>
        <v/>
      </c>
      <c r="K104" s="989" t="str">
        <f>IF(I104="Si",IF(E104=0,"",VLOOKUP(E104,TablasTec!$A$14:$V$771,5,FALSE)),"")</f>
        <v/>
      </c>
      <c r="L104" s="970" t="s">
        <v>1690</v>
      </c>
      <c r="M104" s="1394" t="str">
        <f>IF(E104=0,"",VLOOKUP(E104,TablasTec!$A$14:$V$771,6,FALSE))</f>
        <v/>
      </c>
      <c r="N104" s="973" t="str">
        <f>IF(L104="Si",IF(E104=0,"",VLOOKUP(E104,TablasTec!$A$14:$V$771,6,FALSE)),"")</f>
        <v/>
      </c>
      <c r="O104" s="970" t="s">
        <v>1690</v>
      </c>
      <c r="P104" s="1394" t="str">
        <f>IF(E104=0,"",VLOOKUP(E104,TablasTec!$A$14:$V$771,7,FALSE))</f>
        <v/>
      </c>
      <c r="Q104" s="973" t="str">
        <f>IF(O104="Si",IF(E104=0,"",VLOOKUP(E104,TablasTec!$A$14:$V$771,7,FALSE)),"")</f>
        <v/>
      </c>
      <c r="R104" s="988" t="str">
        <f>IF(E104=0,"",VLOOKUP(E104,TablasTec!$A$14:$V$771,8,FALSE))</f>
        <v/>
      </c>
      <c r="S104" s="3181" t="str">
        <f>IF(R104=$D$8,$D$8,IF(R104=2,2,IF(R104=3,3,R104)))</f>
        <v/>
      </c>
      <c r="T104" s="4896"/>
      <c r="U104" s="4897"/>
      <c r="V104" s="3179" t="str">
        <f>IF(OR(V102=0,V102=""),"N/A",V102)</f>
        <v>N/A</v>
      </c>
      <c r="W104" s="4896" t="str">
        <f xml:space="preserve"> IF(OR(AF102=0,AF102=""),"N/A",W102)</f>
        <v>N/A</v>
      </c>
      <c r="X104" s="4898"/>
      <c r="Y104" s="4898"/>
      <c r="Z104" s="4898"/>
      <c r="AA104" s="4898"/>
      <c r="AB104" s="4898"/>
      <c r="AC104" s="4898"/>
      <c r="AD104" s="4898"/>
      <c r="AE104" s="4898"/>
      <c r="AF104" s="4897"/>
      <c r="AG104" s="4896" t="str">
        <f xml:space="preserve"> IF(OR(AP102="",AP102=0),"N/A",AG102)</f>
        <v>N/A</v>
      </c>
      <c r="AH104" s="4898"/>
      <c r="AI104" s="4898"/>
      <c r="AJ104" s="4898"/>
      <c r="AK104" s="4898"/>
      <c r="AL104" s="4898"/>
      <c r="AM104" s="4898"/>
      <c r="AN104" s="4898"/>
      <c r="AO104" s="4898"/>
      <c r="AP104" s="4897"/>
      <c r="AQ104" s="4896" t="str">
        <f xml:space="preserve"> IF(OR(AZ102="",AZ102=0),"N/A",AQ102)</f>
        <v>N/A</v>
      </c>
      <c r="AR104" s="4898"/>
      <c r="AS104" s="4898"/>
      <c r="AT104" s="4898"/>
      <c r="AU104" s="4898"/>
      <c r="AV104" s="4898"/>
      <c r="AW104" s="4898"/>
      <c r="AX104" s="4898"/>
      <c r="AY104" s="4898"/>
      <c r="AZ104" s="4897"/>
      <c r="BA104" s="4896" t="str">
        <f xml:space="preserve"> IF(OR(BJ102="",BJ102=0),"N/A",BA102)</f>
        <v>N/A</v>
      </c>
      <c r="BB104" s="4898"/>
      <c r="BC104" s="4898"/>
      <c r="BD104" s="4898"/>
      <c r="BE104" s="4898"/>
      <c r="BF104" s="4898"/>
      <c r="BG104" s="4898"/>
      <c r="BH104" s="4898"/>
      <c r="BI104" s="4898"/>
      <c r="BJ104" s="4897"/>
      <c r="BK104" s="990" t="s">
        <v>4541</v>
      </c>
      <c r="BL104" s="972"/>
      <c r="BM104" s="1007"/>
      <c r="BN104" s="991"/>
      <c r="BO104" s="992"/>
      <c r="BP104" s="993" t="str">
        <f>IF(I104="Si",VLOOKUP($D$8,TablasTec!$E$4:$F$6,2,FALSE),"")</f>
        <v/>
      </c>
      <c r="BQ104" s="963" t="str">
        <f>IF(L104="Si",VLOOKUP($D$8,TablasTec!$I$4:$J$6,2,FALSE),"")</f>
        <v/>
      </c>
      <c r="BR104" s="994" t="str">
        <f>IF(O104="Si",VLOOKUP($D$8,TablasTec!$I$7:$J$9,2,FALSE),"")</f>
        <v/>
      </c>
      <c r="BS104" s="977"/>
      <c r="BT104" s="3171" t="s">
        <v>1700</v>
      </c>
      <c r="BU104" s="3172" t="s">
        <v>4548</v>
      </c>
      <c r="BV104" s="954"/>
      <c r="BW104" s="3172" t="s">
        <v>4549</v>
      </c>
      <c r="BX104" s="3171" t="s">
        <v>4550</v>
      </c>
      <c r="BY104" s="1284" t="s">
        <v>4550</v>
      </c>
      <c r="BZ104" s="2869"/>
      <c r="CA104" s="922"/>
      <c r="DR104" s="922"/>
      <c r="DT104" s="1308"/>
      <c r="DU104" s="1362"/>
      <c r="DV104" s="1359" t="str">
        <f>IF(E104="","",E104)&amp;IF(I104="No",""," (Mant.)")&amp;IF(L104="No",""," (Sme)")&amp;IF(O104="No",""," (SMa)")</f>
        <v/>
      </c>
      <c r="DW104" s="1360"/>
      <c r="DX104" s="1361"/>
      <c r="DY104" s="1307"/>
      <c r="DZ104" s="922"/>
      <c r="EA104" s="1453">
        <f t="shared" si="1"/>
        <v>1</v>
      </c>
    </row>
    <row r="105" spans="1:131">
      <c r="A105" s="922"/>
      <c r="B105" s="922"/>
      <c r="C105" s="4909"/>
      <c r="D105" s="1435" t="s">
        <v>1766</v>
      </c>
      <c r="E105" s="978"/>
      <c r="F105" s="1008"/>
      <c r="G105" s="1420" t="str">
        <f>IF(E105=0,"",VLOOKUP(E105,TablasTec!$A$14:$V$771,3,FALSE))</f>
        <v/>
      </c>
      <c r="H105" s="981" t="str">
        <f>IF($E105=0,"",VLOOKUP($E105,TablasTec!$A$14:$V$771,4,FALSE))</f>
        <v/>
      </c>
      <c r="I105" s="982" t="s">
        <v>1690</v>
      </c>
      <c r="J105" s="1398" t="str">
        <f>IF(E105=0,"",VLOOKUP(E105,TablasTec!$A$14:$V$771,5,FALSE))</f>
        <v/>
      </c>
      <c r="K105" s="984" t="str">
        <f>IF(I105="Si",IF(E105=0,"",VLOOKUP(E105,TablasTec!$A$14:$V$771,5,FALSE)),"")</f>
        <v/>
      </c>
      <c r="L105" s="982" t="s">
        <v>1690</v>
      </c>
      <c r="M105" s="1398" t="str">
        <f>IF(E105=0,"",VLOOKUP(E105,TablasTec!$A$14:$V$771,6,FALSE))</f>
        <v/>
      </c>
      <c r="N105" s="985" t="str">
        <f>IF(L105="Si",IF(E105=0,"",VLOOKUP(E105,TablasTec!$A$14:$V$771,6,FALSE)),"")</f>
        <v/>
      </c>
      <c r="O105" s="982" t="s">
        <v>1690</v>
      </c>
      <c r="P105" s="1398" t="str">
        <f>IF(E105=0,"",VLOOKUP(E105,TablasTec!$A$14:$V$771,7,FALSE))</f>
        <v/>
      </c>
      <c r="Q105" s="985" t="str">
        <f>IF(O105="Si",IF(E105=0,"",VLOOKUP(E105,TablasTec!$A$14:$V$771,7,FALSE)),"")</f>
        <v/>
      </c>
      <c r="R105" s="983" t="str">
        <f>IF(E105=0,"",VLOOKUP(E105,TablasTec!$A$14:$V$771,8,FALSE))</f>
        <v/>
      </c>
      <c r="S105" s="981" t="str">
        <f>IF(R105=$D$8,$D$8,IF(R105=2,2,IF(R105=3,3,R105)))</f>
        <v/>
      </c>
      <c r="T105" s="4899" t="s">
        <v>4542</v>
      </c>
      <c r="U105" s="4900"/>
      <c r="V105" s="3180"/>
      <c r="W105" s="4901"/>
      <c r="X105" s="4902"/>
      <c r="Y105" s="4902"/>
      <c r="Z105" s="4902"/>
      <c r="AA105" s="4902"/>
      <c r="AB105" s="4902"/>
      <c r="AC105" s="4902"/>
      <c r="AD105" s="4902"/>
      <c r="AE105" s="4902"/>
      <c r="AF105" s="4903"/>
      <c r="AG105" s="4901"/>
      <c r="AH105" s="4902"/>
      <c r="AI105" s="4902"/>
      <c r="AJ105" s="4902"/>
      <c r="AK105" s="4902"/>
      <c r="AL105" s="4902"/>
      <c r="AM105" s="4902"/>
      <c r="AN105" s="4902"/>
      <c r="AO105" s="4902"/>
      <c r="AP105" s="4903"/>
      <c r="AQ105" s="4901"/>
      <c r="AR105" s="4902"/>
      <c r="AS105" s="4902"/>
      <c r="AT105" s="4902"/>
      <c r="AU105" s="4902"/>
      <c r="AV105" s="4902"/>
      <c r="AW105" s="4902"/>
      <c r="AX105" s="4902"/>
      <c r="AY105" s="4902"/>
      <c r="AZ105" s="4903"/>
      <c r="BA105" s="4901"/>
      <c r="BB105" s="4902"/>
      <c r="BC105" s="4902"/>
      <c r="BD105" s="4902"/>
      <c r="BE105" s="4902"/>
      <c r="BF105" s="4902"/>
      <c r="BG105" s="4902"/>
      <c r="BH105" s="4902"/>
      <c r="BI105" s="4902"/>
      <c r="BJ105" s="4903"/>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IF(I105="Si",VLOOKUP($D$8,TablasTec!$E$4:$F$6,2,FALSE),"")</f>
        <v/>
      </c>
      <c r="BQ105" s="962" t="str">
        <f>IF(L105="Si",VLOOKUP($D$8,TablasTec!$I$4:$J$6,2,FALSE),"")</f>
        <v/>
      </c>
      <c r="BR105" s="960" t="str">
        <f>IF(O105="Si",VLOOKUP($D$8,TablasTec!$I$7:$J$9,2,FALSE),"")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c r="A106" s="922"/>
      <c r="B106" s="922"/>
      <c r="C106" s="4909"/>
      <c r="D106" s="1436" t="s">
        <v>1766</v>
      </c>
      <c r="E106" s="986"/>
      <c r="F106" s="1002"/>
      <c r="G106" s="972" t="str">
        <f>IF(E106=0,"",VLOOKUP(E106,TablasTec!$A$14:$V$771,3,FALSE))</f>
        <v/>
      </c>
      <c r="H106" s="997" t="str">
        <f>IF($E106=0,"",VLOOKUP($E106,TablasTec!$A$14:$V$771,4,FALSE))</f>
        <v/>
      </c>
      <c r="I106" s="970" t="s">
        <v>1690</v>
      </c>
      <c r="J106" s="1401" t="str">
        <f>IF(E106=0,"",VLOOKUP(E106,TablasTec!$A$14:$V$771,5,FALSE))</f>
        <v/>
      </c>
      <c r="K106" s="998" t="str">
        <f>IF(I106="Si",IF(E106=0,"",VLOOKUP(E106,TablasTec!$A$14:$V$771,5,FALSE)),"")</f>
        <v/>
      </c>
      <c r="L106" s="970" t="s">
        <v>1690</v>
      </c>
      <c r="M106" s="1401" t="str">
        <f>IF(E106=0,"",VLOOKUP(E106,TablasTec!$A$14:$V$771,6,FALSE))</f>
        <v/>
      </c>
      <c r="N106" s="973" t="str">
        <f>IF(L106="Si",IF(E106=0,"",VLOOKUP(E106,TablasTec!$A$14:$V$771,6,FALSE)),"")</f>
        <v/>
      </c>
      <c r="O106" s="970" t="s">
        <v>1690</v>
      </c>
      <c r="P106" s="1401" t="str">
        <f>IF(E106=0,"",VLOOKUP(E106,TablasTec!$A$14:$V$771,7,FALSE))</f>
        <v/>
      </c>
      <c r="Q106" s="973" t="str">
        <f>IF(O106="Si",IF(E106=0,"",VLOOKUP(E106,TablasTec!$A$14:$V$771,7,FALSE)),"")</f>
        <v/>
      </c>
      <c r="R106" s="1018" t="str">
        <f>IF(E106=0,"",VLOOKUP(E106,TablasTec!$A$14:$V$771,8,FALSE))</f>
        <v/>
      </c>
      <c r="S106" s="987" t="str">
        <f>IF(R106=$D$8,$D$8,IF(R106=2,2,IF(R106=3,3,R106)))</f>
        <v/>
      </c>
      <c r="T106" s="4890" t="s">
        <v>4544</v>
      </c>
      <c r="U106" s="4891"/>
      <c r="V106" s="3178"/>
      <c r="W106" s="4892"/>
      <c r="X106" s="4893"/>
      <c r="Y106" s="4893"/>
      <c r="Z106" s="4893"/>
      <c r="AA106" s="4893"/>
      <c r="AB106" s="4893"/>
      <c r="AC106" s="4893"/>
      <c r="AD106" s="4893"/>
      <c r="AE106" s="4893"/>
      <c r="AF106" s="4894"/>
      <c r="AG106" s="4892"/>
      <c r="AH106" s="4893"/>
      <c r="AI106" s="4893"/>
      <c r="AJ106" s="4893"/>
      <c r="AK106" s="4893"/>
      <c r="AL106" s="4893"/>
      <c r="AM106" s="4893"/>
      <c r="AN106" s="4893"/>
      <c r="AO106" s="4893"/>
      <c r="AP106" s="4894"/>
      <c r="AQ106" s="4892"/>
      <c r="AR106" s="4893"/>
      <c r="AS106" s="4893"/>
      <c r="AT106" s="4893"/>
      <c r="AU106" s="4893"/>
      <c r="AV106" s="4893"/>
      <c r="AW106" s="4893"/>
      <c r="AX106" s="4893"/>
      <c r="AY106" s="4893"/>
      <c r="AZ106" s="4894"/>
      <c r="BA106" s="4892"/>
      <c r="BB106" s="4893"/>
      <c r="BC106" s="4893"/>
      <c r="BD106" s="4893"/>
      <c r="BE106" s="4893"/>
      <c r="BF106" s="4893"/>
      <c r="BG106" s="4893"/>
      <c r="BH106" s="4893"/>
      <c r="BI106" s="4893"/>
      <c r="BJ106" s="4894"/>
      <c r="BK106" s="997">
        <f>SUM(K102:K106)-SUM(V106:BA106)</f>
        <v>0</v>
      </c>
      <c r="BL106" s="1422"/>
      <c r="BM106" s="1423"/>
      <c r="BN106" s="991"/>
      <c r="BO106" s="992"/>
      <c r="BP106" s="993" t="str">
        <f>IF(I106="Si",VLOOKUP($D$8,TablasTec!$E$4:$F$6,2,FALSE),"")</f>
        <v/>
      </c>
      <c r="BQ106" s="963" t="str">
        <f>IF(L106="Si",VLOOKUP($D$8,TablasTec!$I$4:$J$6,2,FALSE),"")</f>
        <v/>
      </c>
      <c r="BR106" s="994" t="str">
        <f>IF(O106="Si",VLOOKUP($D$8,TablasTec!$I$7:$J$9,2,FALSE),"")</f>
        <v/>
      </c>
      <c r="BS106" s="977"/>
      <c r="BT106" s="3171" t="s">
        <v>1701</v>
      </c>
      <c r="BU106" s="3172" t="s">
        <v>4548</v>
      </c>
      <c r="BV106" s="954"/>
      <c r="BW106" s="3172" t="s">
        <v>4549</v>
      </c>
      <c r="BX106" s="3171" t="s">
        <v>4550</v>
      </c>
      <c r="BY106" s="1284" t="s">
        <v>4550</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09"/>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IF(I107="Si",VLOOKUP($D$8,TablasTec!$E$4:$F$6,2,FALSE),"")</f>
        <v/>
      </c>
      <c r="BQ107" s="1013" t="str">
        <f>IF(L107="Si",VLOOKUP($D$8,TablasTec!$I$4:$J$6,2,FALSE),"")</f>
        <v/>
      </c>
      <c r="BR107" s="1011" t="str">
        <f>IF(O107="Si",VLOOKUP($D$8,TablasTec!$I$7:$J$9,2,FALSE),"")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09"/>
      <c r="D108" s="1436" t="s">
        <v>1766</v>
      </c>
      <c r="E108" s="966"/>
      <c r="F108" s="1002"/>
      <c r="G108" s="972" t="str">
        <f>IF(E108=0,"",VLOOKUP(E108,TablasTec!$A$14:$V$771,3,FALSE))</f>
        <v/>
      </c>
      <c r="H108" s="1014" t="str">
        <f>IF($E108=0,"",VLOOKUP($E108,TablasTec!$A$14:$V$771,4,FALSE))</f>
        <v/>
      </c>
      <c r="I108" s="970" t="s">
        <v>1690</v>
      </c>
      <c r="J108" s="1400" t="str">
        <f>IF(E108=0,"",VLOOKUP(E108,TablasTec!$A$14:$V$771,5,FALSE))</f>
        <v/>
      </c>
      <c r="K108" s="1016" t="str">
        <f>IF(I108="Si",IF(E108=0,"",VLOOKUP(E108,TablasTec!$A$14:$V$771,5,FALSE)),"")</f>
        <v/>
      </c>
      <c r="L108" s="970" t="s">
        <v>1690</v>
      </c>
      <c r="M108" s="1400" t="str">
        <f>IF(E108=0,"",VLOOKUP(E108,TablasTec!$A$14:$V$771,6,FALSE))</f>
        <v/>
      </c>
      <c r="N108" s="973" t="str">
        <f>IF(L108="Si",IF(E108=0,"",VLOOKUP(E108,TablasTec!$A$14:$V$771,6,FALSE)),"")</f>
        <v/>
      </c>
      <c r="O108" s="970" t="s">
        <v>1690</v>
      </c>
      <c r="P108" s="1400" t="str">
        <f>IF(E108=0,"",VLOOKUP(E108,TablasTec!$A$14:$V$771,7,FALSE))</f>
        <v/>
      </c>
      <c r="Q108" s="973" t="str">
        <f>IF(O108="Si",IF(E108=0,"",VLOOKUP(E108,TablasTec!$A$14:$V$771,7,FALSE)),"")</f>
        <v/>
      </c>
      <c r="R108" s="1015" t="str">
        <f>IF(E108=0,"",VLOOKUP(E108,TablasTec!$A$14:$V$771,8,FALSE))</f>
        <v/>
      </c>
      <c r="S108" s="987" t="str">
        <f>IF(R108=$D$8,$D$8,IF(R108=2,2,IF(R108=3,3,R108)))</f>
        <v/>
      </c>
      <c r="T108" s="1016" t="str">
        <f>IF(E108=0,"",VLOOKUP(E108,TablasTec!$A$14:$V$771,9,FALSE))</f>
        <v/>
      </c>
      <c r="U108" s="1016" t="str">
        <f>IF(E108=0,"",VLOOKUP(E108,TablasTec!$A$14:$V$771,10,FALSE))</f>
        <v/>
      </c>
      <c r="V108" s="1017" t="str">
        <f>IF(E108=0,"",VLOOKUP(E108,TablasTec!$A$14:$V$771,11,FALSE))</f>
        <v/>
      </c>
      <c r="W108" s="970"/>
      <c r="X108" s="971" t="e">
        <f>VLOOKUP(E108,TablasTec!$A$14:$V$771,12,FALSE)</f>
        <v>#N/A</v>
      </c>
      <c r="Y108" s="971" t="e">
        <f>IF(W108=X108,VLOOKUP(E108,TablasTec!$A$14:$V$771,13,FALSE),0)</f>
        <v>#N/A</v>
      </c>
      <c r="Z108" s="971" t="e">
        <f>VLOOKUP(E108,TablasTec!$A$14:$V$771,14,FALSE)</f>
        <v>#N/A</v>
      </c>
      <c r="AA108" s="971" t="e">
        <f>IF(W108=Z108,VLOOKUP(E108,TablasTec!$A$14:$V$616,15,FALSE),0)</f>
        <v>#N/A</v>
      </c>
      <c r="AB108" s="971" t="e">
        <f>VLOOKUP(E108,TablasTec!$A$14:$V$771,16,FALSE)</f>
        <v>#N/A</v>
      </c>
      <c r="AC108" s="971" t="e">
        <f>IF(W108=AB108,VLOOKUP(E108,TablasTec!$A$14:$V$616,17,FALSE),0)</f>
        <v>#N/A</v>
      </c>
      <c r="AD108" s="971" t="e">
        <f>VLOOKUP(E108,TablasTec!$A$14:$V$771,18,FALSE)</f>
        <v>#N/A</v>
      </c>
      <c r="AE108" s="971" t="e">
        <f>IF(W108=AD108,VLOOKUP(E108,TablasTec!$A$14:$V$771,19,FALSE),0)</f>
        <v>#N/A</v>
      </c>
      <c r="AF108" s="989" t="str">
        <f>IF(E108=0,"",(Y108+AA108+AC108+AE108))</f>
        <v/>
      </c>
      <c r="AG108" s="970"/>
      <c r="AH108" s="988" t="e">
        <f>VLOOKUP(E108,TablasTec!$A$14:$V$771,12,FALSE)</f>
        <v>#N/A</v>
      </c>
      <c r="AI108" s="988" t="e">
        <f>IF(AG108=AH108,VLOOKUP(E108,TablasTec!$A$14:$V$771,13,FALSE),0)</f>
        <v>#N/A</v>
      </c>
      <c r="AJ108" s="988" t="e">
        <f>VLOOKUP(E108,TablasTec!$A$14:$V$771,14,FALSE)</f>
        <v>#N/A</v>
      </c>
      <c r="AK108" s="988" t="e">
        <f>IF(AG108=AJ108,VLOOKUP(E108,TablasTec!$A$14:$V$771,15,FALSE),0)</f>
        <v>#N/A</v>
      </c>
      <c r="AL108" s="988" t="e">
        <f>VLOOKUP(E108,TablasTec!$A$14:$V$771,16,FALSE)</f>
        <v>#N/A</v>
      </c>
      <c r="AM108" s="988" t="e">
        <f>IF(AG108=AL108,VLOOKUP(E108,TablasTec!$A$14:$V$771,17,FALSE),0)</f>
        <v>#N/A</v>
      </c>
      <c r="AN108" s="988" t="e">
        <f>VLOOKUP(E108,TablasTec!$A$14:$V$771,18,FALSE)</f>
        <v>#N/A</v>
      </c>
      <c r="AO108" s="988" t="e">
        <f>IF(AG108=AN108,VLOOKUP(E108,TablasTec!$A$14:$V$771,19,FALSE),0)</f>
        <v>#N/A</v>
      </c>
      <c r="AP108" s="3182" t="str">
        <f>IF(E108=0,"",(AI108+AK108+AM108+AO108))</f>
        <v/>
      </c>
      <c r="AQ108" s="970"/>
      <c r="AR108" s="988" t="e">
        <f>VLOOKUP(E108,TablasTec!$A$14:$V$771,12,FALSE)</f>
        <v>#N/A</v>
      </c>
      <c r="AS108" s="988" t="e">
        <f>IF(AQ108=AR108,VLOOKUP(E108,TablasTec!$A$14:$V$771,13,FALSE),0)</f>
        <v>#N/A</v>
      </c>
      <c r="AT108" s="988" t="e">
        <f>VLOOKUP(E108,TablasTec!$A$14:$V$771,14,FALSE)</f>
        <v>#N/A</v>
      </c>
      <c r="AU108" s="988" t="e">
        <f>IF(AQ108=AT108,VLOOKUP(E108,TablasTec!$A$14:$V$771,15,FALSE),0)</f>
        <v>#N/A</v>
      </c>
      <c r="AV108" s="988" t="e">
        <f>VLOOKUP(E108,TablasTec!$A$14:$V$771,16,FALSE)</f>
        <v>#N/A</v>
      </c>
      <c r="AW108" s="988" t="e">
        <f>IF(AQ108=AV108,VLOOKUP(E108,TablasTec!$A$14:$V$771,17,FALSE),0)</f>
        <v>#N/A</v>
      </c>
      <c r="AX108" s="988" t="e">
        <f>VLOOKUP(E108,TablasTec!$A$14:$V$771,18,FALSE)</f>
        <v>#N/A</v>
      </c>
      <c r="AY108" s="988" t="e">
        <f>IF(AQ108=AX108,VLOOKUP(E108,TablasTec!$A$14:$V$771,19,FALSE),0)</f>
        <v>#N/A</v>
      </c>
      <c r="AZ108" s="989" t="str">
        <f>IF(E108=0,"",(AS108+AU108+AW108+AY108))</f>
        <v/>
      </c>
      <c r="BA108" s="970"/>
      <c r="BB108" s="988" t="e">
        <f>VLOOKUP(E108,TablasTec!$A$14:$V$771,12,FALSE)</f>
        <v>#N/A</v>
      </c>
      <c r="BC108" s="988" t="e">
        <f>IF(BA108=BB108,VLOOKUP(E108,TablasTec!$A$14:$V$771,13,FALSE),0)</f>
        <v>#N/A</v>
      </c>
      <c r="BD108" s="988" t="e">
        <f>VLOOKUP(E108,TablasTec!$A$14:$V$771,14,FALSE)</f>
        <v>#N/A</v>
      </c>
      <c r="BE108" s="988" t="e">
        <f>IF(BA108=BD108,VLOOKUP(E108,TablasTec!$A$14:$V$771,15,FALSE),0)</f>
        <v>#N/A</v>
      </c>
      <c r="BF108" s="988" t="e">
        <f>VLOOKUP(E108,TablasTec!$A$14:$V$771,16,FALSE)</f>
        <v>#N/A</v>
      </c>
      <c r="BG108" s="988" t="e">
        <f>IF(BA108=BF108,VLOOKUP(E108,TablasTec!$A$14:$V$771,17,FALSE),0)</f>
        <v>#N/A</v>
      </c>
      <c r="BH108" s="988" t="e">
        <f>VLOOKUP(E108,TablasTec!$A$14:$V$771,18,FALSE)</f>
        <v>#N/A</v>
      </c>
      <c r="BI108" s="988" t="e">
        <f>IF(BA108=BH108,VLOOKUP(E108,TablasTec!$A$14:$V$771,19,FALSE),0)</f>
        <v>#N/A</v>
      </c>
      <c r="BJ108" s="3182" t="str">
        <f>IF(E108=0,"",(BC108+BE108+BG108+BI108))</f>
        <v/>
      </c>
      <c r="BK108" s="1016" t="str">
        <f>IF(E108=0,"",VLOOKUP(E108,TablasTec!$A$14:$V$771,20,FALSE))</f>
        <v/>
      </c>
      <c r="BL108" s="1003" t="str">
        <f>IF(E108=0,"",VLOOKUP(E108,TablasTec!$A$14:$V$771,21,FALSE))</f>
        <v/>
      </c>
      <c r="BM108" s="974" t="str">
        <f>IF(E108=0,"",VLOOKUP(E108,TablasTec!$A$14:$V$771,22,FALSE))</f>
        <v/>
      </c>
      <c r="BN108" s="975"/>
      <c r="BO108" s="976"/>
      <c r="BP108" s="961" t="str">
        <f>IF(I108="Si",VLOOKUP($D$8,TablasTec!$E$4:$F$6,2,FALSE),"")</f>
        <v/>
      </c>
      <c r="BQ108" s="962" t="str">
        <f>IF(L108="Si",VLOOKUP($D$8,TablasTec!$I$4:$J$6,2,FALSE),"")</f>
        <v/>
      </c>
      <c r="BR108" s="960" t="str">
        <f>IF(O108="Si",VLOOKUP($D$8,TablasTec!$I$7:$J$9,2,FALSE),"")</f>
        <v/>
      </c>
      <c r="BS108" s="977"/>
      <c r="BU108" s="4864"/>
      <c r="BV108" s="4864"/>
      <c r="BW108" s="4864"/>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c r="A109" s="922"/>
      <c r="B109" s="922"/>
      <c r="C109" s="4909"/>
      <c r="D109" s="1435" t="s">
        <v>1766</v>
      </c>
      <c r="E109" s="978"/>
      <c r="F109" s="1008"/>
      <c r="G109" s="1420" t="str">
        <f>IF(E109=0,"",VLOOKUP(E109,TablasTec!$A$14:$V$771,3,FALSE))</f>
        <v/>
      </c>
      <c r="H109" s="981" t="str">
        <f>IF($E109=0,"",VLOOKUP($E109,TablasTec!$A$14:$V$771,4,FALSE))</f>
        <v/>
      </c>
      <c r="I109" s="982" t="s">
        <v>1690</v>
      </c>
      <c r="J109" s="1398" t="str">
        <f>IF(E109=0,"",VLOOKUP(E109,TablasTec!$A$14:$V$771,5,FALSE))</f>
        <v/>
      </c>
      <c r="K109" s="984" t="str">
        <f>IF(I109="Si",IF(E109=0,"",VLOOKUP(E109,TablasTec!$A$14:$V$771,5,FALSE)),"")</f>
        <v/>
      </c>
      <c r="L109" s="982" t="s">
        <v>1690</v>
      </c>
      <c r="M109" s="1398" t="str">
        <f>IF(E109=0,"",VLOOKUP(E109,TablasTec!$A$14:$V$771,6,FALSE))</f>
        <v/>
      </c>
      <c r="N109" s="985" t="str">
        <f>IF(L109="Si",IF(E109=0,"",VLOOKUP(E109,TablasTec!$A$14:$V$771,6,FALSE)),"")</f>
        <v/>
      </c>
      <c r="O109" s="982" t="s">
        <v>1690</v>
      </c>
      <c r="P109" s="1398" t="str">
        <f>IF(E109=0,"",VLOOKUP(E109,TablasTec!$A$14:$V$771,7,FALSE))</f>
        <v/>
      </c>
      <c r="Q109" s="985" t="str">
        <f>IF(O109="Si",IF(E109=0,"",VLOOKUP(E109,TablasTec!$A$14:$V$771,7,FALSE)),"")</f>
        <v/>
      </c>
      <c r="R109" s="983" t="str">
        <f>IF(E109=0,"",VLOOKUP(E109,TablasTec!$A$14:$V$771,8,FALSE))</f>
        <v/>
      </c>
      <c r="S109" s="981" t="str">
        <f>IF(R109=$D$8,$D$8,IF(R109=2,2,IF(R109=3,3,R109)))</f>
        <v/>
      </c>
      <c r="T109" s="4883" t="s">
        <v>4540</v>
      </c>
      <c r="U109" s="4884"/>
      <c r="V109" s="4884"/>
      <c r="W109" s="4884"/>
      <c r="X109" s="4884"/>
      <c r="Y109" s="4884"/>
      <c r="Z109" s="4884"/>
      <c r="AA109" s="4884"/>
      <c r="AB109" s="4884"/>
      <c r="AC109" s="4884"/>
      <c r="AD109" s="4884"/>
      <c r="AE109" s="4884"/>
      <c r="AF109" s="4884"/>
      <c r="AG109" s="4884"/>
      <c r="AH109" s="4884"/>
      <c r="AI109" s="4884"/>
      <c r="AJ109" s="4884"/>
      <c r="AK109" s="4884"/>
      <c r="AL109" s="4884"/>
      <c r="AM109" s="4884"/>
      <c r="AN109" s="4884"/>
      <c r="AO109" s="4884"/>
      <c r="AP109" s="4884"/>
      <c r="AQ109" s="4884"/>
      <c r="AR109" s="4884"/>
      <c r="AS109" s="4884"/>
      <c r="AT109" s="4884"/>
      <c r="AU109" s="4884"/>
      <c r="AV109" s="4884"/>
      <c r="AW109" s="4884"/>
      <c r="AX109" s="4884"/>
      <c r="AY109" s="4884"/>
      <c r="AZ109" s="4884"/>
      <c r="BA109" s="4884"/>
      <c r="BB109" s="4884"/>
      <c r="BC109" s="4884"/>
      <c r="BD109" s="4884"/>
      <c r="BE109" s="4884"/>
      <c r="BF109" s="4884"/>
      <c r="BG109" s="4884"/>
      <c r="BH109" s="4884"/>
      <c r="BI109" s="4884"/>
      <c r="BJ109" s="4884"/>
      <c r="BK109" s="4885"/>
      <c r="BL109" s="1420"/>
      <c r="BM109" s="1421"/>
      <c r="BN109" s="975"/>
      <c r="BO109" s="976"/>
      <c r="BP109" s="961" t="str">
        <f>IF(I109="Si",VLOOKUP($D$8,TablasTec!$E$4:$F$6,2,FALSE),"")</f>
        <v/>
      </c>
      <c r="BQ109" s="962" t="str">
        <f>IF(L109="Si",VLOOKUP($D$8,TablasTec!$I$4:$J$6,2,FALSE),"")</f>
        <v/>
      </c>
      <c r="BR109" s="960" t="str">
        <f>IF(O109="Si",VLOOKUP($D$8,TablasTec!$I$7:$J$9,2,FALSE),"")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c r="A110" s="922"/>
      <c r="B110" s="922"/>
      <c r="C110" s="4909"/>
      <c r="D110" s="1436" t="s">
        <v>1766</v>
      </c>
      <c r="E110" s="986"/>
      <c r="F110" s="1002"/>
      <c r="G110" s="972" t="str">
        <f>IF(E110=0,"",VLOOKUP(E110,TablasTec!$A$14:$V$771,3,FALSE))</f>
        <v/>
      </c>
      <c r="H110" s="3181" t="str">
        <f>IF($E110=0,"",VLOOKUP($E110,TablasTec!$A$14:$V$771,4,FALSE))</f>
        <v/>
      </c>
      <c r="I110" s="970" t="s">
        <v>1690</v>
      </c>
      <c r="J110" s="1394" t="str">
        <f>IF(E110=0,"",VLOOKUP(E110,TablasTec!$A$14:$V$771,5,FALSE))</f>
        <v/>
      </c>
      <c r="K110" s="989" t="str">
        <f>IF(I110="Si",IF(E110=0,"",VLOOKUP(E110,TablasTec!$A$14:$V$771,5,FALSE)),"")</f>
        <v/>
      </c>
      <c r="L110" s="970" t="s">
        <v>1690</v>
      </c>
      <c r="M110" s="1394" t="str">
        <f>IF(E110=0,"",VLOOKUP(E110,TablasTec!$A$14:$V$771,6,FALSE))</f>
        <v/>
      </c>
      <c r="N110" s="973" t="str">
        <f>IF(L110="Si",IF(E110=0,"",VLOOKUP(E110,TablasTec!$A$14:$V$771,6,FALSE)),"")</f>
        <v/>
      </c>
      <c r="O110" s="970" t="s">
        <v>1690</v>
      </c>
      <c r="P110" s="1394" t="str">
        <f>IF(E110=0,"",VLOOKUP(E110,TablasTec!$A$14:$V$771,7,FALSE))</f>
        <v/>
      </c>
      <c r="Q110" s="973" t="str">
        <f>IF(O110="Si",IF(E110=0,"",VLOOKUP(E110,TablasTec!$A$14:$V$771,7,FALSE)),"")</f>
        <v/>
      </c>
      <c r="R110" s="988" t="str">
        <f>IF(E110=0,"",VLOOKUP(E110,TablasTec!$A$14:$V$771,8,FALSE))</f>
        <v/>
      </c>
      <c r="S110" s="3181" t="str">
        <f>IF(R110=$D$8,$D$8,IF(R110=2,2,IF(R110=3,3,R110)))</f>
        <v/>
      </c>
      <c r="T110" s="4896"/>
      <c r="U110" s="4897"/>
      <c r="V110" s="3179" t="str">
        <f>IF(OR(V108=0,V108=""),"N/A",V108)</f>
        <v>N/A</v>
      </c>
      <c r="W110" s="4896" t="str">
        <f xml:space="preserve"> IF(OR(AF108=0,AF108=""),"N/A",W108)</f>
        <v>N/A</v>
      </c>
      <c r="X110" s="4898"/>
      <c r="Y110" s="4898"/>
      <c r="Z110" s="4898"/>
      <c r="AA110" s="4898"/>
      <c r="AB110" s="4898"/>
      <c r="AC110" s="4898"/>
      <c r="AD110" s="4898"/>
      <c r="AE110" s="4898"/>
      <c r="AF110" s="4897"/>
      <c r="AG110" s="4896" t="str">
        <f xml:space="preserve"> IF(OR(AP108="",AP108=0),"N/A",AG108)</f>
        <v>N/A</v>
      </c>
      <c r="AH110" s="4898"/>
      <c r="AI110" s="4898"/>
      <c r="AJ110" s="4898"/>
      <c r="AK110" s="4898"/>
      <c r="AL110" s="4898"/>
      <c r="AM110" s="4898"/>
      <c r="AN110" s="4898"/>
      <c r="AO110" s="4898"/>
      <c r="AP110" s="4897"/>
      <c r="AQ110" s="4896" t="str">
        <f xml:space="preserve"> IF(OR(AZ108="",AZ108=0),"N/A",AQ108)</f>
        <v>N/A</v>
      </c>
      <c r="AR110" s="4898"/>
      <c r="AS110" s="4898"/>
      <c r="AT110" s="4898"/>
      <c r="AU110" s="4898"/>
      <c r="AV110" s="4898"/>
      <c r="AW110" s="4898"/>
      <c r="AX110" s="4898"/>
      <c r="AY110" s="4898"/>
      <c r="AZ110" s="4897"/>
      <c r="BA110" s="4896" t="str">
        <f xml:space="preserve"> IF(OR(BJ108="",BJ108=0),"N/A",BA108)</f>
        <v>N/A</v>
      </c>
      <c r="BB110" s="4898"/>
      <c r="BC110" s="4898"/>
      <c r="BD110" s="4898"/>
      <c r="BE110" s="4898"/>
      <c r="BF110" s="4898"/>
      <c r="BG110" s="4898"/>
      <c r="BH110" s="4898"/>
      <c r="BI110" s="4898"/>
      <c r="BJ110" s="4897"/>
      <c r="BK110" s="990" t="s">
        <v>4541</v>
      </c>
      <c r="BL110" s="972"/>
      <c r="BM110" s="1007"/>
      <c r="BN110" s="991"/>
      <c r="BO110" s="992"/>
      <c r="BP110" s="993" t="str">
        <f>IF(I110="Si",VLOOKUP($D$8,TablasTec!$E$4:$F$6,2,FALSE),"")</f>
        <v/>
      </c>
      <c r="BQ110" s="963" t="str">
        <f>IF(L110="Si",VLOOKUP($D$8,TablasTec!$I$4:$J$6,2,FALSE),"")</f>
        <v/>
      </c>
      <c r="BR110" s="994" t="str">
        <f>IF(O110="Si",VLOOKUP($D$8,TablasTec!$I$7:$J$9,2,FALSE),"")</f>
        <v/>
      </c>
      <c r="BS110" s="977"/>
      <c r="BU110" s="4863"/>
      <c r="BV110" s="4863"/>
      <c r="BW110" s="4863"/>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c r="A111" s="922"/>
      <c r="B111" s="922"/>
      <c r="C111" s="4909"/>
      <c r="D111" s="1435" t="s">
        <v>1766</v>
      </c>
      <c r="E111" s="978"/>
      <c r="F111" s="1008"/>
      <c r="G111" s="1420" t="str">
        <f>IF(E111=0,"",VLOOKUP(E111,TablasTec!$A$14:$V$771,3,FALSE))</f>
        <v/>
      </c>
      <c r="H111" s="981" t="str">
        <f>IF($E111=0,"",VLOOKUP($E111,TablasTec!$A$14:$V$771,4,FALSE))</f>
        <v/>
      </c>
      <c r="I111" s="982" t="s">
        <v>1690</v>
      </c>
      <c r="J111" s="1398" t="str">
        <f>IF(E111=0,"",VLOOKUP(E111,TablasTec!$A$14:$V$771,5,FALSE))</f>
        <v/>
      </c>
      <c r="K111" s="984" t="str">
        <f>IF(I111="Si",IF(E111=0,"",VLOOKUP(E111,TablasTec!$A$14:$V$771,5,FALSE)),"")</f>
        <v/>
      </c>
      <c r="L111" s="982" t="s">
        <v>1690</v>
      </c>
      <c r="M111" s="1398" t="str">
        <f>IF(E111=0,"",VLOOKUP(E111,TablasTec!$A$14:$V$771,6,FALSE))</f>
        <v/>
      </c>
      <c r="N111" s="985" t="str">
        <f>IF(L111="Si",IF(E111=0,"",VLOOKUP(E111,TablasTec!$A$14:$V$771,6,FALSE)),"")</f>
        <v/>
      </c>
      <c r="O111" s="982" t="s">
        <v>1690</v>
      </c>
      <c r="P111" s="1398" t="str">
        <f>IF(E111=0,"",VLOOKUP(E111,TablasTec!$A$14:$V$771,7,FALSE))</f>
        <v/>
      </c>
      <c r="Q111" s="985" t="str">
        <f>IF(O111="Si",IF(E111=0,"",VLOOKUP(E111,TablasTec!$A$14:$V$771,7,FALSE)),"")</f>
        <v/>
      </c>
      <c r="R111" s="983" t="str">
        <f>IF(E111=0,"",VLOOKUP(E111,TablasTec!$A$14:$V$771,8,FALSE))</f>
        <v/>
      </c>
      <c r="S111" s="981" t="str">
        <f>IF(R111=$D$8,$D$8,IF(R111=2,2,IF(R111=3,3,R111)))</f>
        <v/>
      </c>
      <c r="T111" s="4899" t="s">
        <v>4542</v>
      </c>
      <c r="U111" s="4900"/>
      <c r="V111" s="3180"/>
      <c r="W111" s="4901"/>
      <c r="X111" s="4902"/>
      <c r="Y111" s="4902"/>
      <c r="Z111" s="4902"/>
      <c r="AA111" s="4902"/>
      <c r="AB111" s="4902"/>
      <c r="AC111" s="4902"/>
      <c r="AD111" s="4902"/>
      <c r="AE111" s="4902"/>
      <c r="AF111" s="4903"/>
      <c r="AG111" s="4901"/>
      <c r="AH111" s="4902"/>
      <c r="AI111" s="4902"/>
      <c r="AJ111" s="4902"/>
      <c r="AK111" s="4902"/>
      <c r="AL111" s="4902"/>
      <c r="AM111" s="4902"/>
      <c r="AN111" s="4902"/>
      <c r="AO111" s="4902"/>
      <c r="AP111" s="4903"/>
      <c r="AQ111" s="4901"/>
      <c r="AR111" s="4902"/>
      <c r="AS111" s="4902"/>
      <c r="AT111" s="4902"/>
      <c r="AU111" s="4902"/>
      <c r="AV111" s="4902"/>
      <c r="AW111" s="4902"/>
      <c r="AX111" s="4902"/>
      <c r="AY111" s="4902"/>
      <c r="AZ111" s="4903"/>
      <c r="BA111" s="4901"/>
      <c r="BB111" s="4902"/>
      <c r="BC111" s="4902"/>
      <c r="BD111" s="4902"/>
      <c r="BE111" s="4902"/>
      <c r="BF111" s="4902"/>
      <c r="BG111" s="4902"/>
      <c r="BH111" s="4902"/>
      <c r="BI111" s="4902"/>
      <c r="BJ111" s="4903"/>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IF(I111="Si",VLOOKUP($D$8,TablasTec!$E$4:$F$6,2,FALSE),"")</f>
        <v/>
      </c>
      <c r="BQ111" s="962" t="str">
        <f>IF(L111="Si",VLOOKUP($D$8,TablasTec!$I$4:$J$6,2,FALSE),"")</f>
        <v/>
      </c>
      <c r="BR111" s="960" t="str">
        <f>IF(O111="Si",VLOOKUP($D$8,TablasTec!$I$7:$J$9,2,FALSE),"")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c r="A112" s="922"/>
      <c r="B112" s="922"/>
      <c r="C112" s="4909"/>
      <c r="D112" s="1436" t="s">
        <v>1766</v>
      </c>
      <c r="E112" s="986"/>
      <c r="F112" s="1002"/>
      <c r="G112" s="972" t="str">
        <f>IF(E112=0,"",VLOOKUP(E112,TablasTec!$A$14:$V$771,3,FALSE))</f>
        <v/>
      </c>
      <c r="H112" s="987" t="str">
        <f>IF($E112=0,"",VLOOKUP($E112,TablasTec!$A$14:$V$771,4,FALSE))</f>
        <v/>
      </c>
      <c r="I112" s="970" t="s">
        <v>1690</v>
      </c>
      <c r="J112" s="1394" t="str">
        <f>IF(E112=0,"",VLOOKUP(E112,TablasTec!$A$14:$V$771,5,FALSE))</f>
        <v/>
      </c>
      <c r="K112" s="989" t="str">
        <f>IF(I112="Si",IF(E112=0,"",VLOOKUP(E112,TablasTec!$A$14:$V$771,5,FALSE)),"")</f>
        <v/>
      </c>
      <c r="L112" s="970" t="s">
        <v>1690</v>
      </c>
      <c r="M112" s="1394" t="str">
        <f>IF(E112=0,"",VLOOKUP(E112,TablasTec!$A$14:$V$771,6,FALSE))</f>
        <v/>
      </c>
      <c r="N112" s="973" t="str">
        <f>IF(L112="Si",IF(E112=0,"",VLOOKUP(E112,TablasTec!$A$14:$V$771,6,FALSE)),"")</f>
        <v/>
      </c>
      <c r="O112" s="970" t="s">
        <v>1690</v>
      </c>
      <c r="P112" s="1394" t="str">
        <f>IF(E112=0,"",VLOOKUP(E112,TablasTec!$A$14:$V$771,7,FALSE))</f>
        <v/>
      </c>
      <c r="Q112" s="973" t="str">
        <f>IF(O112="Si",IF(E112=0,"",VLOOKUP(E112,TablasTec!$A$14:$V$771,7,FALSE)),"")</f>
        <v/>
      </c>
      <c r="R112" s="988" t="str">
        <f>IF(E112=0,"",VLOOKUP(E112,TablasTec!$A$14:$V$771,8,FALSE))</f>
        <v/>
      </c>
      <c r="S112" s="987" t="str">
        <f>IF(R112=$D$8,$D$8,IF(R112=2,2,IF(R112=3,3,R112)))</f>
        <v/>
      </c>
      <c r="T112" s="4904" t="s">
        <v>4544</v>
      </c>
      <c r="U112" s="4905"/>
      <c r="V112" s="3183"/>
      <c r="W112" s="4906"/>
      <c r="X112" s="4907"/>
      <c r="Y112" s="4907"/>
      <c r="Z112" s="4907"/>
      <c r="AA112" s="4907"/>
      <c r="AB112" s="4907"/>
      <c r="AC112" s="4907"/>
      <c r="AD112" s="4907"/>
      <c r="AE112" s="4907"/>
      <c r="AF112" s="4908"/>
      <c r="AG112" s="4906"/>
      <c r="AH112" s="4907"/>
      <c r="AI112" s="4907"/>
      <c r="AJ112" s="4907"/>
      <c r="AK112" s="4907"/>
      <c r="AL112" s="4907"/>
      <c r="AM112" s="4907"/>
      <c r="AN112" s="4907"/>
      <c r="AO112" s="4907"/>
      <c r="AP112" s="4908"/>
      <c r="AQ112" s="4906"/>
      <c r="AR112" s="4907"/>
      <c r="AS112" s="4907"/>
      <c r="AT112" s="4907"/>
      <c r="AU112" s="4907"/>
      <c r="AV112" s="4907"/>
      <c r="AW112" s="4907"/>
      <c r="AX112" s="4907"/>
      <c r="AY112" s="4907"/>
      <c r="AZ112" s="4908"/>
      <c r="BA112" s="4906"/>
      <c r="BB112" s="4907"/>
      <c r="BC112" s="4907"/>
      <c r="BD112" s="4907"/>
      <c r="BE112" s="4907"/>
      <c r="BF112" s="4907"/>
      <c r="BG112" s="4907"/>
      <c r="BH112" s="4907"/>
      <c r="BI112" s="4907"/>
      <c r="BJ112" s="4908"/>
      <c r="BK112" s="987">
        <f>SUM(K108:K112)-SUM(V112:BA112)</f>
        <v>0</v>
      </c>
      <c r="BL112" s="972"/>
      <c r="BM112" s="1007"/>
      <c r="BN112" s="991"/>
      <c r="BO112" s="992"/>
      <c r="BP112" s="993" t="str">
        <f>IF(I112="Si",VLOOKUP($D$8,TablasTec!$E$4:$F$6,2,FALSE),"")</f>
        <v/>
      </c>
      <c r="BQ112" s="963" t="str">
        <f>IF(L112="Si",VLOOKUP($D$8,TablasTec!$I$4:$J$6,2,FALSE),"")</f>
        <v/>
      </c>
      <c r="BR112" s="994" t="str">
        <f>IF(O112="Si",VLOOKUP($D$8,TablasTec!$I$7:$J$9,2,FALSE),"")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c r="A113" s="922"/>
      <c r="B113" s="922"/>
      <c r="C113" s="4909"/>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89"/>
      <c r="BL113" s="4889"/>
      <c r="BM113" s="4854"/>
      <c r="BN113" s="960">
        <f>SUM(K113:K116)</f>
        <v>0</v>
      </c>
      <c r="BO113" s="954">
        <f>IF(E113=0,"",(AF113+AP113+AZ113+BJ113))</f>
        <v>0</v>
      </c>
      <c r="BP113" s="961" t="str">
        <f>IF(I113="Si",VLOOKUP($D$8,TablasTec!$E$4:$F$6,2,FALSE),"")</f>
        <v/>
      </c>
      <c r="BQ113" s="962" t="str">
        <f>IF(L113="Si",VLOOKUP($D$8,TablasTec!$I$4:$J$6,2,FALSE),"")</f>
        <v/>
      </c>
      <c r="BR113" s="960" t="str">
        <f>IF(O113="Si",VLOOKUP($D$8,TablasTec!$I$7:$J$9,2,FALSE),"")</f>
        <v/>
      </c>
      <c r="BS113" s="977"/>
      <c r="BT113" s="4853" t="s">
        <v>4553</v>
      </c>
      <c r="BU113" s="4854"/>
      <c r="BV113" s="954"/>
      <c r="BW113" s="934"/>
      <c r="BX113" s="934"/>
      <c r="BY113" s="1269"/>
      <c r="BZ113" s="1287"/>
      <c r="CA113" s="922"/>
      <c r="DR113" s="922"/>
      <c r="DT113" s="1308"/>
      <c r="DU113" s="1360"/>
      <c r="DV113" s="1360"/>
      <c r="DW113" s="1360"/>
      <c r="DX113" s="1360"/>
      <c r="DY113" s="1307"/>
      <c r="DZ113" s="922"/>
      <c r="EA113" s="1453">
        <f t="shared" si="1"/>
        <v>1</v>
      </c>
    </row>
    <row r="114" spans="1:132" ht="12">
      <c r="A114" s="922"/>
      <c r="B114" s="922"/>
      <c r="C114" s="4909"/>
      <c r="D114" s="1439" t="s">
        <v>4552</v>
      </c>
      <c r="E114" s="966"/>
      <c r="F114" s="989"/>
      <c r="G114" s="989"/>
      <c r="H114" s="987" t="str">
        <f>IF(D82=0,"",IF(E114=0,"",VLOOKUP(E114,TablasTec!$A$14:$V$771,4,FALSE)))</f>
        <v/>
      </c>
      <c r="I114" s="989"/>
      <c r="J114" s="989"/>
      <c r="K114" s="1021"/>
      <c r="L114" s="989"/>
      <c r="M114" s="989"/>
      <c r="N114" s="1021"/>
      <c r="O114" s="989"/>
      <c r="P114" s="989"/>
      <c r="Q114" s="989"/>
      <c r="R114" s="988" t="str">
        <f>IF(E114=0,"",VLOOKUP(E114,TablasTec!$A$14:$V$771,8,FALSE))</f>
        <v/>
      </c>
      <c r="S114" s="1014" t="str">
        <f>IF(R114=$D$8,$D$8,IF(R114=2,2,IF(R114=3,3,R114)))</f>
        <v/>
      </c>
      <c r="T114" s="989" t="str">
        <f>IF(E114=0,"",VLOOKUP(E114,TablasTec!$A$14:$V$771,9,FALSE))</f>
        <v/>
      </c>
      <c r="U114" s="1016" t="str">
        <f>IF(E114=0,"",VLOOKUP(E114,TablasTec!$A$14:$V$771,10,FALSE))</f>
        <v/>
      </c>
      <c r="V114" s="1017"/>
      <c r="W114" s="1017"/>
      <c r="X114" s="1016"/>
      <c r="Y114" s="1016"/>
      <c r="Z114" s="1016"/>
      <c r="AA114" s="1016"/>
      <c r="AB114" s="1016"/>
      <c r="AC114" s="1016"/>
      <c r="AD114" s="1016"/>
      <c r="AE114" s="1016"/>
      <c r="AF114" s="1016"/>
      <c r="AG114" s="4886" t="str">
        <f>IF(OR(E114=TablasTec!A$678,E114=TablasTec!A$679,E115=TablasTec!A$678,E115=TablasTec!A$679,E116=TablasTec!A$678,E116=TablasTec!A$679),"Selecciona la atadura elemental:","")</f>
        <v/>
      </c>
      <c r="AH114" s="4887"/>
      <c r="AI114" s="4887"/>
      <c r="AJ114" s="4887"/>
      <c r="AK114" s="4887"/>
      <c r="AL114" s="4887"/>
      <c r="AM114" s="4887"/>
      <c r="AN114" s="4887"/>
      <c r="AO114" s="4887"/>
      <c r="AP114" s="4887"/>
      <c r="AQ114" s="4887"/>
      <c r="AR114" s="4887"/>
      <c r="AS114" s="4887"/>
      <c r="AT114" s="4887"/>
      <c r="AU114" s="4887"/>
      <c r="AV114" s="4887"/>
      <c r="AW114" s="4887"/>
      <c r="AX114" s="4887"/>
      <c r="AY114" s="4887"/>
      <c r="AZ114" s="4887"/>
      <c r="BA114" s="4887"/>
      <c r="BB114" s="4887"/>
      <c r="BC114" s="4887"/>
      <c r="BD114" s="4887"/>
      <c r="BE114" s="4887"/>
      <c r="BF114" s="4887"/>
      <c r="BG114" s="4887"/>
      <c r="BH114" s="4887"/>
      <c r="BI114" s="4887"/>
      <c r="BJ114" s="4887"/>
      <c r="BK114" s="4888"/>
      <c r="BL114" s="1424"/>
      <c r="BM114" s="1424"/>
      <c r="BN114" s="989"/>
      <c r="BO114" s="989"/>
      <c r="BP114" s="1021"/>
      <c r="BQ114" s="989"/>
      <c r="BR114" s="989"/>
      <c r="BS114" s="989"/>
      <c r="BT114" s="4855">
        <f>D82</f>
        <v>1</v>
      </c>
      <c r="BU114" s="4856"/>
      <c r="BV114" s="954">
        <f>IF(BV113=0,0,VLOOKUP(BV113,TablasTec!$M$4:$N$7,2,FALSE))</f>
        <v>0</v>
      </c>
      <c r="BW114" s="934"/>
      <c r="BX114" s="934"/>
      <c r="BY114" s="1269"/>
      <c r="BZ114" s="1287"/>
      <c r="CA114" s="922"/>
      <c r="DR114" s="922"/>
      <c r="DT114" s="1308"/>
      <c r="DU114" s="1360"/>
      <c r="DV114" s="1360"/>
      <c r="DW114" s="1360"/>
      <c r="DX114" s="1360"/>
      <c r="DY114" s="1307"/>
      <c r="DZ114" s="922"/>
      <c r="EA114" s="1453">
        <f t="shared" si="1"/>
        <v>1</v>
      </c>
    </row>
    <row r="115" spans="1:132">
      <c r="A115" s="922"/>
      <c r="B115" s="922"/>
      <c r="C115" s="4909"/>
      <c r="D115" s="1435" t="s">
        <v>4554</v>
      </c>
      <c r="E115" s="1022"/>
      <c r="F115" s="1388"/>
      <c r="G115" s="1389"/>
      <c r="H115" s="979" t="str">
        <f>IF(VALUE(D82)&gt;1,IF(E115=0,"",VLOOKUP(E115,TablasTec!$A$14:$V$771,4,FALSE)),"")</f>
        <v/>
      </c>
      <c r="I115" s="1388"/>
      <c r="J115" s="1389"/>
      <c r="K115" s="1389"/>
      <c r="L115" s="1388"/>
      <c r="M115" s="1389"/>
      <c r="N115" s="1390"/>
      <c r="O115" s="1389"/>
      <c r="P115" s="1389"/>
      <c r="Q115" s="1389"/>
      <c r="R115" s="983" t="str">
        <f>IF(E115=0,"",VLOOKUP(E115,TablasTec!$A$14:$V$771,8,FALSE))</f>
        <v/>
      </c>
      <c r="S115" s="981" t="str">
        <f>IF(R115=$D$8,$D$8,IF(R115=2,2,IF(R115=3,3,R115)))</f>
        <v/>
      </c>
      <c r="T115" s="984" t="str">
        <f>IF(E115=0,"",VLOOKUP(E115,TablasTec!$A$14:$V$771,9,FALSE))</f>
        <v/>
      </c>
      <c r="U115" s="984" t="str">
        <f>IF(E115=0,"",VLOOKUP(E115,TablasTec!$A$14:$V$771,10,FALSE))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c r="A116" s="922"/>
      <c r="B116" s="922"/>
      <c r="C116" s="4909"/>
      <c r="D116" s="1440" t="s">
        <v>4555</v>
      </c>
      <c r="E116" s="1023"/>
      <c r="F116" s="3176"/>
      <c r="G116" s="998"/>
      <c r="H116" s="997" t="str">
        <f>IF(VALUE(D82)=3,IF(E116=0,"",VLOOKUP(E116,TablasTec!$A$14:$V$771,4,FALSE)),"")</f>
        <v/>
      </c>
      <c r="I116" s="998"/>
      <c r="J116" s="998"/>
      <c r="K116" s="998"/>
      <c r="L116" s="3176"/>
      <c r="M116" s="998"/>
      <c r="N116" s="998"/>
      <c r="O116" s="3176"/>
      <c r="P116" s="998"/>
      <c r="Q116" s="998"/>
      <c r="R116" s="1018" t="str">
        <f>IF(E116=0,"",VLOOKUP(E116,TablasTec!$A$14:$V$771,8,FALSE))</f>
        <v/>
      </c>
      <c r="S116" s="997" t="str">
        <f>IF(R116=$D$8,$D$8,IF(R116=2,2,IF(R116=3,3,R116)))</f>
        <v/>
      </c>
      <c r="T116" s="998" t="str">
        <f>IF(E116=0,"",VLOOKUP(E116,TablasTec!$A$14:$V$771,9,FALSE))</f>
        <v/>
      </c>
      <c r="U116" s="998" t="str">
        <f>IF(E116=0,"",VLOOKUP(E116,TablasTec!$A$14:$V$771,10,FALSE))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IF(BV115=0,0,VLOOKUP(BV115,TablasTec!$M$4:$N$7,2,FALSE))</f>
        <v>0</v>
      </c>
      <c r="BW116" s="934"/>
      <c r="BX116" s="934"/>
      <c r="BY116" s="1269"/>
      <c r="BZ116" s="1287"/>
      <c r="CA116" s="926"/>
      <c r="DR116" s="926"/>
      <c r="DT116" s="1311"/>
      <c r="DU116" s="1416"/>
      <c r="DV116" s="1416"/>
      <c r="DW116" s="1416"/>
      <c r="DX116" s="1416"/>
      <c r="DY116" s="1312"/>
      <c r="DZ116" s="926"/>
      <c r="EA116" s="1453">
        <f t="shared" si="1"/>
        <v>1</v>
      </c>
    </row>
    <row r="117" spans="1:132">
      <c r="A117" s="926"/>
      <c r="B117" s="926"/>
      <c r="C117" s="4909"/>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c r="A118" s="922"/>
      <c r="B118" s="922"/>
      <c r="C118" s="4909"/>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c r="A119" s="922"/>
      <c r="B119" s="922"/>
      <c r="C119" s="4909"/>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3175" t="s">
        <v>1708</v>
      </c>
      <c r="U119" s="3175" t="s">
        <v>1679</v>
      </c>
      <c r="V119" s="3175" t="s">
        <v>3335</v>
      </c>
      <c r="W119" s="4881" t="s">
        <v>3336</v>
      </c>
      <c r="X119" s="4881"/>
      <c r="Y119" s="4881"/>
      <c r="Z119" s="4881"/>
      <c r="AA119" s="4881"/>
      <c r="AB119" s="4881"/>
      <c r="AC119" s="4881"/>
      <c r="AD119" s="4881"/>
      <c r="AE119" s="4881"/>
      <c r="AF119" s="4881"/>
      <c r="AG119" s="4881"/>
      <c r="AH119" s="4881"/>
      <c r="AI119" s="4881"/>
      <c r="AJ119" s="4881"/>
      <c r="AK119" s="4881"/>
      <c r="AL119" s="4881"/>
      <c r="AM119" s="4881"/>
      <c r="AN119" s="4881"/>
      <c r="AO119" s="4881"/>
      <c r="AP119" s="4881"/>
      <c r="AQ119" s="4881"/>
      <c r="AR119" s="4881"/>
      <c r="AS119" s="4881"/>
      <c r="AT119" s="4881"/>
      <c r="AU119" s="4881"/>
      <c r="AV119" s="4881"/>
      <c r="AW119" s="4881"/>
      <c r="AX119" s="4881"/>
      <c r="AY119" s="4881"/>
      <c r="AZ119" s="4881"/>
      <c r="BA119" s="4881"/>
      <c r="BB119" s="4881"/>
      <c r="BC119" s="4881"/>
      <c r="BD119" s="4881"/>
      <c r="BE119" s="4881"/>
      <c r="BF119" s="4881"/>
      <c r="BG119" s="4881"/>
      <c r="BH119" s="4881"/>
      <c r="BI119" s="4881"/>
      <c r="BJ119" s="4881"/>
      <c r="BK119" s="4881" t="s">
        <v>3337</v>
      </c>
      <c r="BL119" s="4881"/>
      <c r="BM119" s="4882"/>
      <c r="BN119" s="952" t="s">
        <v>4532</v>
      </c>
      <c r="BO119" s="952" t="s">
        <v>4533</v>
      </c>
      <c r="BP119" s="952" t="s">
        <v>4534</v>
      </c>
      <c r="BQ119" s="952" t="s">
        <v>4535</v>
      </c>
      <c r="BR119" s="952" t="s">
        <v>4536</v>
      </c>
      <c r="BS119" s="953" t="s">
        <v>4537</v>
      </c>
      <c r="BT119" s="4857" t="s">
        <v>4538</v>
      </c>
      <c r="BU119" s="4858"/>
      <c r="BV119" s="954"/>
      <c r="BW119" s="934"/>
      <c r="BX119" s="934"/>
      <c r="BY119" s="1269"/>
      <c r="BZ119" s="1287"/>
      <c r="CA119" s="922"/>
      <c r="DR119" s="922"/>
      <c r="DT119" s="1308"/>
      <c r="DU119" s="1360"/>
      <c r="DV119" s="1360"/>
      <c r="DW119" s="1360"/>
      <c r="DX119" s="1360"/>
      <c r="DY119" s="1307"/>
      <c r="DZ119" s="922"/>
      <c r="EB119" s="2127">
        <f>D119</f>
        <v>1</v>
      </c>
    </row>
    <row r="120" spans="1:132" ht="11.25" customHeight="1">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09"/>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IF(I120="Si",VLOOKUP($D$8,TablasTec!$E$4:$F$6,2,FALSE),"")</f>
        <v/>
      </c>
      <c r="BQ120" s="962" t="str">
        <f>IF(L120="Si",VLOOKUP($D$8,TablasTec!$I$4:$J$6,2,FALSE),"")</f>
        <v/>
      </c>
      <c r="BR120" s="960" t="str">
        <f>IF(O120="Si",VLOOKUP($D$8,TablasTec!$I$7:$J$9,2,FALSE),"")</f>
        <v/>
      </c>
      <c r="BS120" s="963">
        <f>VLOOKUP(D119,TablasTec!$P$6:$R$8,3)</f>
        <v>50</v>
      </c>
      <c r="BT120" s="964">
        <f>VLOOKUP(D119,TablasTec!$P$6:$R$8,3,FALSE)</f>
        <v>50</v>
      </c>
      <c r="BU120" s="965">
        <f>VLOOKUP(D119,TablasTec!$P$6:$R$8,2,FALSE)</f>
        <v>20</v>
      </c>
      <c r="BV120" s="954">
        <f>IF(D119=0,"",VLOOKUP(D119,TablasTec!$L$4:$N$7,2,FALSE))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09"/>
      <c r="D121" s="1436" t="s">
        <v>1766</v>
      </c>
      <c r="E121" s="966"/>
      <c r="F121" s="967" t="str">
        <f>IF(E121=0,"",VLOOKUP(E121,TablasTec!$A$14:$V$771,2,FALSE))</f>
        <v/>
      </c>
      <c r="G121" s="968"/>
      <c r="H121" s="969" t="str">
        <f>IF($E121=0,"",VLOOKUP($E121,TablasTec!$A$14:$V$771,4,FALSE))</f>
        <v/>
      </c>
      <c r="I121" s="970" t="s">
        <v>1690</v>
      </c>
      <c r="J121" s="1395" t="str">
        <f>IF(E121=0,"",VLOOKUP(E121,TablasTec!$A$14:$V$771,5,FALSE))</f>
        <v/>
      </c>
      <c r="K121" s="972" t="str">
        <f>IF(I121="Si",IF(E121=0,"",VLOOKUP(E121,TablasTec!$A$14:$V$771,5,FALSE)),"")</f>
        <v/>
      </c>
      <c r="L121" s="970" t="s">
        <v>1690</v>
      </c>
      <c r="M121" s="1395" t="str">
        <f>IF(E121=0,"",VLOOKUP(E121,TablasTec!$A$14:$V$771,6,FALSE))</f>
        <v/>
      </c>
      <c r="N121" s="973" t="str">
        <f>IF(L121="Si",IF(E121=0,"",VLOOKUP(E121,TablasTec!$A$14:$V$771,6,FALSE)),"")</f>
        <v/>
      </c>
      <c r="O121" s="970" t="s">
        <v>1690</v>
      </c>
      <c r="P121" s="1395" t="str">
        <f>IF(E121=0,"",VLOOKUP(E121,TablasTec!$A$14:$V$771,7,FALSE))</f>
        <v/>
      </c>
      <c r="Q121" s="973" t="str">
        <f>IF(O121="Si",IF(E121=0,"",VLOOKUP(E121,TablasTec!$A$14:$V$771,7,FALSE)),"")</f>
        <v/>
      </c>
      <c r="R121" s="971" t="str">
        <f>IF(E121=0,"",VLOOKUP(E121,TablasTec!$A$14:$V$771,8,FALSE))</f>
        <v/>
      </c>
      <c r="S121" s="969" t="str">
        <f>IF(R121=$D$8,$D$8,IF(R121=2,2,IF(R121=3,3,R121)))</f>
        <v/>
      </c>
      <c r="T121" s="972" t="str">
        <f>IF(E121=0,"",VLOOKUP(E121,TablasTec!$A$14:$V$771,9,FALSE))</f>
        <v/>
      </c>
      <c r="U121" s="972" t="str">
        <f>IF(E121=0,"",VLOOKUP(E121,TablasTec!$A$14:$V$771,10,FALSE))</f>
        <v/>
      </c>
      <c r="V121" s="967" t="str">
        <f>IF(E121=0,"",VLOOKUP(E121,TablasTec!$A$14:$V$771,11,FALSE))</f>
        <v/>
      </c>
      <c r="W121" s="970"/>
      <c r="X121" s="971" t="e">
        <f>VLOOKUP(E121,TablasTec!$A$14:$V$771,12,FALSE)</f>
        <v>#N/A</v>
      </c>
      <c r="Y121" s="971" t="e">
        <f>IF(W121=X121,VLOOKUP(E121,TablasTec!$A$14:$V$771,13,FALSE),0)</f>
        <v>#N/A</v>
      </c>
      <c r="Z121" s="971" t="e">
        <f>VLOOKUP(E121,TablasTec!$A$14:$V$771,14,FALSE)</f>
        <v>#N/A</v>
      </c>
      <c r="AA121" s="971" t="e">
        <f>IF(W121=Z121,VLOOKUP(E121,TablasTec!$A$14:$V$616,15,FALSE),0)</f>
        <v>#N/A</v>
      </c>
      <c r="AB121" s="971" t="e">
        <f>VLOOKUP(E121,TablasTec!$A$14:$V$771,16,FALSE)</f>
        <v>#N/A</v>
      </c>
      <c r="AC121" s="971" t="e">
        <f>IF(W121=AB121,VLOOKUP(E121,TablasTec!$A$14:$V$616,17,FALSE),0)</f>
        <v>#N/A</v>
      </c>
      <c r="AD121" s="971" t="e">
        <f>VLOOKUP(E121,TablasTec!$A$14:$V$771,18,FALSE)</f>
        <v>#N/A</v>
      </c>
      <c r="AE121" s="971" t="e">
        <f>IF(W121=AD121,VLOOKUP(E121,TablasTec!$A$14:$V$771,19,FALSE),0)</f>
        <v>#N/A</v>
      </c>
      <c r="AF121" s="973" t="str">
        <f>IF(E121=0,"",(Y121+AA121+AC121+AE121))</f>
        <v/>
      </c>
      <c r="AG121" s="970"/>
      <c r="AH121" s="971" t="e">
        <f>VLOOKUP(E121,TablasTec!$A$14:$V$771,12,FALSE)</f>
        <v>#N/A</v>
      </c>
      <c r="AI121" s="971" t="e">
        <f>IF(AG121=AH121,VLOOKUP(E121,TablasTec!$A$14:$V$771,13,FALSE),0)</f>
        <v>#N/A</v>
      </c>
      <c r="AJ121" s="971" t="e">
        <f>VLOOKUP(E121,TablasTec!$A$14:$V$771,14,FALSE)</f>
        <v>#N/A</v>
      </c>
      <c r="AK121" s="971" t="e">
        <f>IF(AG121=AJ121,VLOOKUP(E121,TablasTec!$A$14:$V$771,15,FALSE),0)</f>
        <v>#N/A</v>
      </c>
      <c r="AL121" s="971" t="e">
        <f>VLOOKUP(E121,TablasTec!$A$14:$V$771,16,FALSE)</f>
        <v>#N/A</v>
      </c>
      <c r="AM121" s="971" t="e">
        <f>IF(AG121=AL121,VLOOKUP(E121,TablasTec!$A$14:$V$771,17,FALSE),0)</f>
        <v>#N/A</v>
      </c>
      <c r="AN121" s="971" t="e">
        <f>VLOOKUP(E121,TablasTec!$A$14:$V$771,18,FALSE)</f>
        <v>#N/A</v>
      </c>
      <c r="AO121" s="971" t="e">
        <f>IF(AG121=AN121,VLOOKUP(E121,TablasTec!$A$14:$V$771,19,FALSE),0)</f>
        <v>#N/A</v>
      </c>
      <c r="AP121" s="973" t="str">
        <f>IF(E121=0,"",(AI121+AK121+AM121+AO121))</f>
        <v/>
      </c>
      <c r="AQ121" s="970"/>
      <c r="AR121" s="971" t="e">
        <f>VLOOKUP(E121,TablasTec!$A$14:$V$771,12,FALSE)</f>
        <v>#N/A</v>
      </c>
      <c r="AS121" s="971" t="e">
        <f>IF(AQ121=AR121,VLOOKUP(E121,TablasTec!$A$14:$V$771,13,FALSE),0)</f>
        <v>#N/A</v>
      </c>
      <c r="AT121" s="971" t="e">
        <f>VLOOKUP(E121,TablasTec!$A$14:$V$771,14,FALSE)</f>
        <v>#N/A</v>
      </c>
      <c r="AU121" s="971" t="e">
        <f>IF(AQ121=AT121,VLOOKUP(E121,TablasTec!$A$14:$V$771,15,FALSE),0)</f>
        <v>#N/A</v>
      </c>
      <c r="AV121" s="971" t="e">
        <f>VLOOKUP(E121,TablasTec!$A$14:$V$771,16,FALSE)</f>
        <v>#N/A</v>
      </c>
      <c r="AW121" s="971" t="e">
        <f>IF(AQ121=AV121,VLOOKUP(E121,TablasTec!$A$14:$V$771,17,FALSE),0)</f>
        <v>#N/A</v>
      </c>
      <c r="AX121" s="971" t="e">
        <f>VLOOKUP(E121,TablasTec!$A$14:$V$771,18,FALSE)</f>
        <v>#N/A</v>
      </c>
      <c r="AY121" s="971" t="e">
        <f>IF(AQ121=AX121,VLOOKUP(E121,TablasTec!$A$14:$V$771,19,FALSE),0)</f>
        <v>#N/A</v>
      </c>
      <c r="AZ121" s="972" t="str">
        <f>IF(E121=0,"",(AS121+AU121+AW121+AY121))</f>
        <v/>
      </c>
      <c r="BA121" s="970"/>
      <c r="BB121" s="971" t="e">
        <f>VLOOKUP(E121,TablasTec!$A$14:$V$771,12,FALSE)</f>
        <v>#N/A</v>
      </c>
      <c r="BC121" s="971" t="e">
        <f>IF(BA121=BB121,VLOOKUP(E121,TablasTec!$A$14:$V$771,13,FALSE),0)</f>
        <v>#N/A</v>
      </c>
      <c r="BD121" s="971" t="e">
        <f>VLOOKUP(E121,TablasTec!$A$14:$V$771,14,FALSE)</f>
        <v>#N/A</v>
      </c>
      <c r="BE121" s="971" t="e">
        <f>IF(BA121=BD121,VLOOKUP(E121,TablasTec!$A$14:$V$771,15,FALSE),0)</f>
        <v>#N/A</v>
      </c>
      <c r="BF121" s="971" t="e">
        <f>VLOOKUP(E121,TablasTec!$A$14:$V$771,16,FALSE)</f>
        <v>#N/A</v>
      </c>
      <c r="BG121" s="971" t="e">
        <f>IF(BA121=BF121,VLOOKUP(E121,TablasTec!$A$14:$V$771,17,FALSE),0)</f>
        <v>#N/A</v>
      </c>
      <c r="BH121" s="971" t="e">
        <f>VLOOKUP(E121,TablasTec!$A$14:$V$771,18,FALSE)</f>
        <v>#N/A</v>
      </c>
      <c r="BI121" s="971" t="e">
        <f>IF(BA121=BH121,VLOOKUP(E121,TablasTec!$A$14:$V$771,19,FALSE),0)</f>
        <v>#N/A</v>
      </c>
      <c r="BJ121" s="973" t="str">
        <f>IF(E121=0,"",(BC121+BE121+BG121+BI121))</f>
        <v/>
      </c>
      <c r="BK121" s="972" t="str">
        <f>IF(E121=0,"",VLOOKUP(E121,TablasTec!$A$14:$V$771,20,FALSE))</f>
        <v/>
      </c>
      <c r="BL121" s="972" t="str">
        <f>IF(E121=0,"",VLOOKUP(E121,TablasTec!$A$14:$V$771,21,FALSE))</f>
        <v/>
      </c>
      <c r="BM121" s="974" t="str">
        <f>IF(E121=0,"",VLOOKUP(E121,TablasTec!$A$14:$V$771,22,FALSE))</f>
        <v/>
      </c>
      <c r="BN121" s="975"/>
      <c r="BO121" s="976"/>
      <c r="BP121" s="961" t="str">
        <f>IF(I121="Si",VLOOKUP($D$8,TablasTec!$E$4:$F$6,2,FALSE),"")</f>
        <v/>
      </c>
      <c r="BQ121" s="962" t="str">
        <f>IF(L121="Si",VLOOKUP($D$8,TablasTec!$I$4:$J$6,2,FALSE),"")</f>
        <v/>
      </c>
      <c r="BR121" s="960" t="str">
        <f>IF(O121="Si",VLOOKUP($D$8,TablasTec!$I$7:$J$9,2,FALSE),"")</f>
        <v/>
      </c>
      <c r="BS121" s="977"/>
      <c r="BT121" s="4857" t="s">
        <v>4539</v>
      </c>
      <c r="BU121" s="4858"/>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6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c r="A122" s="922"/>
      <c r="B122" s="922"/>
      <c r="C122" s="4909"/>
      <c r="D122" s="1435" t="s">
        <v>1766</v>
      </c>
      <c r="E122" s="978"/>
      <c r="F122" s="979" t="str">
        <f>IF(E122=0,"",VLOOKUP(E122,TablasTec!$A$14:$V$771,2,FALSE))</f>
        <v/>
      </c>
      <c r="G122" s="980"/>
      <c r="H122" s="981" t="str">
        <f>IF($E122=0,"",VLOOKUP($E122,TablasTec!$A$14:$V$771,4,FALSE))</f>
        <v/>
      </c>
      <c r="I122" s="982" t="s">
        <v>1690</v>
      </c>
      <c r="J122" s="1398" t="str">
        <f>IF(E122=0,"",VLOOKUP(E122,TablasTec!$A$14:$V$771,5,FALSE))</f>
        <v/>
      </c>
      <c r="K122" s="984" t="str">
        <f>IF(I122="Si",IF(E122=0,"",VLOOKUP(E122,TablasTec!$A$14:$V$771,5,FALSE)),"")</f>
        <v/>
      </c>
      <c r="L122" s="982" t="s">
        <v>1690</v>
      </c>
      <c r="M122" s="1398" t="str">
        <f>IF(E122=0,"",VLOOKUP(E122,TablasTec!$A$14:$V$771,6,FALSE))</f>
        <v/>
      </c>
      <c r="N122" s="985" t="str">
        <f>IF(L122="Si",IF(E122=0,"",VLOOKUP(E122,TablasTec!$A$14:$V$771,6,FALSE)),"")</f>
        <v/>
      </c>
      <c r="O122" s="982" t="s">
        <v>1690</v>
      </c>
      <c r="P122" s="1398" t="str">
        <f>IF(E122=0,"",VLOOKUP(E122,TablasTec!$A$14:$V$771,7,FALSE))</f>
        <v/>
      </c>
      <c r="Q122" s="985" t="str">
        <f>IF(O122="Si",IF(E122=0,"",VLOOKUP(E122,TablasTec!$A$14:$V$771,7,FALSE)),"")</f>
        <v/>
      </c>
      <c r="R122" s="983" t="str">
        <f>IF(E122=0,"",VLOOKUP(E122,TablasTec!$A$14:$V$771,8,FALSE))</f>
        <v/>
      </c>
      <c r="S122" s="981" t="str">
        <f>IF(R122=$D$8,$D$8,IF(R122=2,2,IF(R122=3,3,R122)))</f>
        <v/>
      </c>
      <c r="T122" s="4883" t="s">
        <v>4540</v>
      </c>
      <c r="U122" s="4884"/>
      <c r="V122" s="4884"/>
      <c r="W122" s="4884"/>
      <c r="X122" s="4884"/>
      <c r="Y122" s="4884"/>
      <c r="Z122" s="4884"/>
      <c r="AA122" s="4884"/>
      <c r="AB122" s="4884"/>
      <c r="AC122" s="4884"/>
      <c r="AD122" s="4884"/>
      <c r="AE122" s="4884"/>
      <c r="AF122" s="4884"/>
      <c r="AG122" s="4884"/>
      <c r="AH122" s="4884"/>
      <c r="AI122" s="4884"/>
      <c r="AJ122" s="4884"/>
      <c r="AK122" s="4884"/>
      <c r="AL122" s="4884"/>
      <c r="AM122" s="4884"/>
      <c r="AN122" s="4884"/>
      <c r="AO122" s="4884"/>
      <c r="AP122" s="4884"/>
      <c r="AQ122" s="4884"/>
      <c r="AR122" s="4884"/>
      <c r="AS122" s="4884"/>
      <c r="AT122" s="4884"/>
      <c r="AU122" s="4884"/>
      <c r="AV122" s="4884"/>
      <c r="AW122" s="4884"/>
      <c r="AX122" s="4884"/>
      <c r="AY122" s="4884"/>
      <c r="AZ122" s="4884"/>
      <c r="BA122" s="4884"/>
      <c r="BB122" s="4884"/>
      <c r="BC122" s="4884"/>
      <c r="BD122" s="4884"/>
      <c r="BE122" s="4884"/>
      <c r="BF122" s="4884"/>
      <c r="BG122" s="4884"/>
      <c r="BH122" s="4884"/>
      <c r="BI122" s="4884"/>
      <c r="BJ122" s="4884"/>
      <c r="BK122" s="4885"/>
      <c r="BL122" s="1420"/>
      <c r="BM122" s="1421"/>
      <c r="BN122" s="975"/>
      <c r="BO122" s="976"/>
      <c r="BP122" s="961" t="str">
        <f>IF(I122="Si",VLOOKUP($D$8,TablasTec!$E$4:$F$6,2,FALSE),"")</f>
        <v/>
      </c>
      <c r="BQ122" s="962" t="str">
        <f>IF(L122="Si",VLOOKUP($D$8,TablasTec!$I$4:$J$6,2,FALSE),"")</f>
        <v/>
      </c>
      <c r="BR122" s="960" t="str">
        <f>IF(O122="Si",VLOOKUP($D$8,TablasTec!$I$7:$J$9,2,FALSE),"")</f>
        <v/>
      </c>
      <c r="BS122" s="977"/>
      <c r="BT122" s="4859">
        <f>MAX(BU120,SUM(H121:H153)+IF(OR(I121="Si",I122="Si",I123="Si",I124="Si",I125="Si",I127="Si",I128="Si",I129="Si",I130="Si",I131="Si",I133="Si",I134="Si",I135="Si",I136="Si",I137="Si",I139="Si",I140="Si",I141="Si",I142="Si",I143="Si",I145="Si",I146="Si",I147="Si",I148="Si",I149="Si"),VLOOKUP($D119,TablasTec!$E$4:$F$6,2,FALSE),0)+IF(OR(L121="Si",L122="Si",L123="Si",L124="Si",L125="Si",L127="Si",L128="Si",L129="Si",L130="Si",L131="Si",L133="Si",L134="Si",L135="Si",L136="Si",L137="Si",L139="Si",L140="Si",L141="Si",L142="Si",L143="Si",L145="Si",L146="Si",L147="Si",L148="Si",L149="Si"),VLOOKUP($D119,TablasTec!$I$4:$J$6,2,FALSE),0)+IF(OR(O121="Si",O122="Si",O123="Si",O124="Si",O125="Si",O127="Si",O128="Si",O129="Si",O130="Si",O131="Si",O133="Si",O134="Si",O135="Si",O136="Si",O137="Si",O139="Si",O140="Si",O141="Si",O142="Si",O143="Si",O145="Si",O146="Si",O147="Si",O148="Si",O149="Si"),VLOOKUP($D119,TablasTec!$I$7:$J$9,2,FALSE),0)+IF(BT125="No",0,IF(D119=0,0,VLOOKUP(D119,TablasTec!$L$4:$N$7,3,FALSE)))+IF(BT127="Bajar coste de CM",0,IF(BT127="-5 CM",-5,IF(BT127="-10 CM",-10,IF(BT127="-15 CM",-15,IF(BT127="-20 CM",-20,0)))))+IF(BT129="Bajar coste de Ki",0,IF(BT129="-1 Ki",10,IF(BT129="-2 Ki",20,IF(BT129="-3 Ki",30,IF(BT129="-4 Ki",40,IF(BT129="-5 Ki",50,0)))))))</f>
        <v>20</v>
      </c>
      <c r="BU122" s="4860"/>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65"/>
      <c r="DY122" s="1307"/>
      <c r="DZ122" s="922"/>
      <c r="EA122" s="1453">
        <f t="shared" si="1"/>
        <v>1</v>
      </c>
    </row>
    <row r="123" spans="1:132">
      <c r="A123" s="922"/>
      <c r="B123" s="922"/>
      <c r="C123" s="4909"/>
      <c r="D123" s="1436" t="s">
        <v>1766</v>
      </c>
      <c r="E123" s="986"/>
      <c r="F123" s="3181" t="str">
        <f>IF(E123=0,"",VLOOKUP(E123,TablasTec!$A$14:$V$771,2,FALSE))</f>
        <v/>
      </c>
      <c r="G123" s="968"/>
      <c r="H123" s="987" t="str">
        <f>IF($E123=0,"",VLOOKUP($E123,TablasTec!$A$14:$V$771,4,FALSE))</f>
        <v/>
      </c>
      <c r="I123" s="970" t="s">
        <v>1690</v>
      </c>
      <c r="J123" s="1394" t="str">
        <f>IF(E123=0,"",VLOOKUP(E123,TablasTec!$A$14:$V$771,5,FALSE))</f>
        <v/>
      </c>
      <c r="K123" s="989" t="str">
        <f>IF(I123="Si",IF(E123=0,"",VLOOKUP(E123,TablasTec!$A$14:$V$771,5,FALSE)),"")</f>
        <v/>
      </c>
      <c r="L123" s="970" t="s">
        <v>1690</v>
      </c>
      <c r="M123" s="1394" t="str">
        <f>IF(E123=0,"",VLOOKUP(E123,TablasTec!$A$14:$V$771,6,FALSE))</f>
        <v/>
      </c>
      <c r="N123" s="973" t="str">
        <f>IF(L123="Si",IF(E123=0,"",VLOOKUP(E123,TablasTec!$A$14:$V$771,6,FALSE)),"")</f>
        <v/>
      </c>
      <c r="O123" s="970" t="s">
        <v>1690</v>
      </c>
      <c r="P123" s="1394" t="str">
        <f>IF(E123=0,"",VLOOKUP(E123,TablasTec!$A$14:$V$771,7,FALSE))</f>
        <v/>
      </c>
      <c r="Q123" s="973" t="str">
        <f>IF(O123="Si",IF(E123=0,"",VLOOKUP(E123,TablasTec!$A$14:$V$771,7,FALSE)),"")</f>
        <v/>
      </c>
      <c r="R123" s="988" t="str">
        <f>IF(E123=0,"",VLOOKUP(E123,TablasTec!$A$14:$V$771,8,FALSE))</f>
        <v/>
      </c>
      <c r="S123" s="3181" t="str">
        <f>IF(R123=$D$8,$D$8,IF(R123=2,2,IF(R123=3,3,R123)))</f>
        <v/>
      </c>
      <c r="T123" s="4896"/>
      <c r="U123" s="4897"/>
      <c r="V123" s="3179" t="str">
        <f>IF(OR(V121=0,V121=""),"N/A",V121)</f>
        <v>N/A</v>
      </c>
      <c r="W123" s="4896" t="str">
        <f xml:space="preserve"> IF(OR(AF121=0,AF121=""),"N/A",W121)</f>
        <v>N/A</v>
      </c>
      <c r="X123" s="4898"/>
      <c r="Y123" s="4898"/>
      <c r="Z123" s="4898"/>
      <c r="AA123" s="4898"/>
      <c r="AB123" s="4898"/>
      <c r="AC123" s="4898"/>
      <c r="AD123" s="4898"/>
      <c r="AE123" s="4898"/>
      <c r="AF123" s="4897"/>
      <c r="AG123" s="4896" t="str">
        <f xml:space="preserve"> IF(OR(AP121="",AP121=0),"N/A",AG121)</f>
        <v>N/A</v>
      </c>
      <c r="AH123" s="4898"/>
      <c r="AI123" s="4898"/>
      <c r="AJ123" s="4898"/>
      <c r="AK123" s="4898"/>
      <c r="AL123" s="4898"/>
      <c r="AM123" s="4898"/>
      <c r="AN123" s="4898"/>
      <c r="AO123" s="4898"/>
      <c r="AP123" s="4897"/>
      <c r="AQ123" s="4896" t="str">
        <f xml:space="preserve"> IF(OR(AZ121="",AZ121=0),"N/A",AQ121)</f>
        <v>N/A</v>
      </c>
      <c r="AR123" s="4898"/>
      <c r="AS123" s="4898"/>
      <c r="AT123" s="4898"/>
      <c r="AU123" s="4898"/>
      <c r="AV123" s="4898"/>
      <c r="AW123" s="4898"/>
      <c r="AX123" s="4898"/>
      <c r="AY123" s="4898"/>
      <c r="AZ123" s="4897"/>
      <c r="BA123" s="4896" t="str">
        <f xml:space="preserve"> IF(OR(BJ121="",BJ121=0),"N/A",BA121)</f>
        <v>N/A</v>
      </c>
      <c r="BB123" s="4898"/>
      <c r="BC123" s="4898"/>
      <c r="BD123" s="4898"/>
      <c r="BE123" s="4898"/>
      <c r="BF123" s="4898"/>
      <c r="BG123" s="4898"/>
      <c r="BH123" s="4898"/>
      <c r="BI123" s="4898"/>
      <c r="BJ123" s="4897"/>
      <c r="BK123" s="990" t="s">
        <v>4541</v>
      </c>
      <c r="BL123" s="972"/>
      <c r="BM123" s="1007"/>
      <c r="BN123" s="991"/>
      <c r="BO123" s="992"/>
      <c r="BP123" s="993" t="str">
        <f>IF(I123="Si",VLOOKUP($D$8,TablasTec!$E$4:$F$6,2,FALSE),"")</f>
        <v/>
      </c>
      <c r="BQ123" s="963" t="str">
        <f>IF(L123="Si",VLOOKUP($D$8,TablasTec!$I$4:$J$6,2,FALSE),"")</f>
        <v/>
      </c>
      <c r="BR123" s="994" t="str">
        <f>IF(O123="Si",VLOOKUP($D$8,TablasTec!$I$7:$J$9,2,FALSE),"")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65"/>
      <c r="DY123" s="1307"/>
      <c r="DZ123" s="922"/>
      <c r="EA123" s="1453">
        <f t="shared" si="1"/>
        <v>1</v>
      </c>
    </row>
    <row r="124" spans="1:132">
      <c r="A124" s="922"/>
      <c r="B124" s="922"/>
      <c r="C124" s="4909"/>
      <c r="D124" s="1435" t="s">
        <v>1766</v>
      </c>
      <c r="E124" s="978"/>
      <c r="F124" s="979" t="str">
        <f>IF(E124=0,"",VLOOKUP(E124,TablasTec!$A$14:$V$771,2,FALSE))</f>
        <v/>
      </c>
      <c r="G124" s="980"/>
      <c r="H124" s="981" t="str">
        <f>IF($E124=0,"",VLOOKUP($E124,TablasTec!$A$14:$V$771,4,FALSE))</f>
        <v/>
      </c>
      <c r="I124" s="982" t="s">
        <v>1690</v>
      </c>
      <c r="J124" s="1398" t="str">
        <f>IF(E124=0,"",VLOOKUP(E124,TablasTec!$A$14:$V$771,5,FALSE))</f>
        <v/>
      </c>
      <c r="K124" s="984" t="str">
        <f>IF(I124="Si",IF(E124=0,"",VLOOKUP(E124,TablasTec!$A$14:$V$771,5,FALSE)),"")</f>
        <v/>
      </c>
      <c r="L124" s="982" t="s">
        <v>1690</v>
      </c>
      <c r="M124" s="1398" t="str">
        <f>IF(E124=0,"",VLOOKUP(E124,TablasTec!$A$14:$V$771,6,FALSE))</f>
        <v/>
      </c>
      <c r="N124" s="985" t="str">
        <f>IF(L124="Si",IF(E124=0,"",VLOOKUP(E124,TablasTec!$A$14:$V$771,6,FALSE)),"")</f>
        <v/>
      </c>
      <c r="O124" s="982" t="s">
        <v>1690</v>
      </c>
      <c r="P124" s="1398" t="str">
        <f>IF(E124=0,"",VLOOKUP(E124,TablasTec!$A$14:$V$771,7,FALSE))</f>
        <v/>
      </c>
      <c r="Q124" s="985" t="str">
        <f>IF(O124="Si",IF(E124=0,"",VLOOKUP(E124,TablasTec!$A$14:$V$771,7,FALSE)),"")</f>
        <v/>
      </c>
      <c r="R124" s="983" t="str">
        <f>IF(E124=0,"",VLOOKUP(E124,TablasTec!$A$14:$V$771,8,FALSE))</f>
        <v/>
      </c>
      <c r="S124" s="981" t="str">
        <f>IF(R124=$D$8,$D$8,IF(R124=2,2,IF(R124=3,3,R124)))</f>
        <v/>
      </c>
      <c r="T124" s="4899" t="s">
        <v>4542</v>
      </c>
      <c r="U124" s="4900"/>
      <c r="V124" s="3180"/>
      <c r="W124" s="4901"/>
      <c r="X124" s="4902"/>
      <c r="Y124" s="4902"/>
      <c r="Z124" s="4902"/>
      <c r="AA124" s="4902"/>
      <c r="AB124" s="4902"/>
      <c r="AC124" s="4902"/>
      <c r="AD124" s="4902"/>
      <c r="AE124" s="4902"/>
      <c r="AF124" s="4903"/>
      <c r="AG124" s="4901"/>
      <c r="AH124" s="4902"/>
      <c r="AI124" s="4902"/>
      <c r="AJ124" s="4902"/>
      <c r="AK124" s="4902"/>
      <c r="AL124" s="4902"/>
      <c r="AM124" s="4902"/>
      <c r="AN124" s="4902"/>
      <c r="AO124" s="4902"/>
      <c r="AP124" s="4903"/>
      <c r="AQ124" s="4901"/>
      <c r="AR124" s="4902"/>
      <c r="AS124" s="4902"/>
      <c r="AT124" s="4902"/>
      <c r="AU124" s="4902"/>
      <c r="AV124" s="4902"/>
      <c r="AW124" s="4902"/>
      <c r="AX124" s="4902"/>
      <c r="AY124" s="4902"/>
      <c r="AZ124" s="4903"/>
      <c r="BA124" s="4901"/>
      <c r="BB124" s="4902"/>
      <c r="BC124" s="4902"/>
      <c r="BD124" s="4902"/>
      <c r="BE124" s="4902"/>
      <c r="BF124" s="4902"/>
      <c r="BG124" s="4902"/>
      <c r="BH124" s="4902"/>
      <c r="BI124" s="4902"/>
      <c r="BJ124" s="4903"/>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IF(I124="Si",VLOOKUP($D$8,TablasTec!$E$4:$F$6,2,FALSE),"")</f>
        <v/>
      </c>
      <c r="BQ124" s="962" t="str">
        <f>IF(L124="Si",VLOOKUP($D$8,TablasTec!$I$4:$J$6,2,FALSE),"")</f>
        <v/>
      </c>
      <c r="BR124" s="960" t="str">
        <f>IF(O124="Si",VLOOKUP($D$8,TablasTec!$I$7:$J$9,2,FALSE),"")</f>
        <v/>
      </c>
      <c r="BS124" s="977"/>
      <c r="BT124" s="4857" t="s">
        <v>4543</v>
      </c>
      <c r="BU124" s="4858"/>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65"/>
      <c r="DY124" s="1307"/>
      <c r="DZ124" s="922"/>
      <c r="EA124" s="1453">
        <f t="shared" si="1"/>
        <v>1</v>
      </c>
    </row>
    <row r="125" spans="1:132" s="996" customFormat="1">
      <c r="A125" s="922"/>
      <c r="B125" s="922"/>
      <c r="C125" s="4909"/>
      <c r="D125" s="1436" t="s">
        <v>1766</v>
      </c>
      <c r="E125" s="986"/>
      <c r="F125" s="3181" t="str">
        <f>IF(E125=0,"",VLOOKUP(E125,TablasTec!$A$14:$V$771,2,FALSE))</f>
        <v/>
      </c>
      <c r="G125" s="968"/>
      <c r="H125" s="987" t="str">
        <f>IF($E125=0,"",VLOOKUP($E125,TablasTec!$A$14:$V$771,4,FALSE))</f>
        <v/>
      </c>
      <c r="I125" s="970" t="s">
        <v>1690</v>
      </c>
      <c r="J125" s="1394" t="str">
        <f>IF(E125=0,"",VLOOKUP(E125,TablasTec!$A$14:$V$771,5,FALSE))</f>
        <v/>
      </c>
      <c r="K125" s="989" t="str">
        <f>IF(I125="Si",IF(E125=0,"",VLOOKUP(E125,TablasTec!$A$14:$V$771,5,FALSE)),"")</f>
        <v/>
      </c>
      <c r="L125" s="970" t="s">
        <v>1690</v>
      </c>
      <c r="M125" s="1394" t="str">
        <f>IF(E125=0,"",VLOOKUP(E125,TablasTec!$A$14:$V$771,6,FALSE))</f>
        <v/>
      </c>
      <c r="N125" s="973" t="str">
        <f>IF(L125="Si",IF(E125=0,"",VLOOKUP(E125,TablasTec!$A$14:$V$771,6,FALSE)),"")</f>
        <v/>
      </c>
      <c r="O125" s="970" t="s">
        <v>1690</v>
      </c>
      <c r="P125" s="1394" t="str">
        <f>IF(E125=0,"",VLOOKUP(E125,TablasTec!$A$14:$V$771,7,FALSE))</f>
        <v/>
      </c>
      <c r="Q125" s="973" t="str">
        <f>IF(O125="Si",IF(E125=0,"",VLOOKUP(E125,TablasTec!$A$14:$V$771,7,FALSE)),"")</f>
        <v/>
      </c>
      <c r="R125" s="988" t="str">
        <f>IF(E125=0,"",VLOOKUP(E125,TablasTec!$A$14:$V$771,8,FALSE))</f>
        <v/>
      </c>
      <c r="S125" s="987" t="str">
        <f>IF(R125=$D$8,$D$8,IF(R125=2,2,IF(R125=3,3,R125)))</f>
        <v/>
      </c>
      <c r="T125" s="4890" t="s">
        <v>4544</v>
      </c>
      <c r="U125" s="4891"/>
      <c r="V125" s="3178"/>
      <c r="W125" s="4892"/>
      <c r="X125" s="4893"/>
      <c r="Y125" s="4893"/>
      <c r="Z125" s="4893"/>
      <c r="AA125" s="4893"/>
      <c r="AB125" s="4893"/>
      <c r="AC125" s="4893"/>
      <c r="AD125" s="4893"/>
      <c r="AE125" s="4893"/>
      <c r="AF125" s="4894"/>
      <c r="AG125" s="4892"/>
      <c r="AH125" s="4893"/>
      <c r="AI125" s="4893"/>
      <c r="AJ125" s="4893"/>
      <c r="AK125" s="4893"/>
      <c r="AL125" s="4893"/>
      <c r="AM125" s="4893"/>
      <c r="AN125" s="4893"/>
      <c r="AO125" s="4893"/>
      <c r="AP125" s="4894"/>
      <c r="AQ125" s="4892"/>
      <c r="AR125" s="4893"/>
      <c r="AS125" s="4893"/>
      <c r="AT125" s="4893"/>
      <c r="AU125" s="4893"/>
      <c r="AV125" s="4893"/>
      <c r="AW125" s="4893"/>
      <c r="AX125" s="4893"/>
      <c r="AY125" s="4893"/>
      <c r="AZ125" s="4894"/>
      <c r="BA125" s="4892"/>
      <c r="BB125" s="4893"/>
      <c r="BC125" s="4893"/>
      <c r="BD125" s="4893"/>
      <c r="BE125" s="4893"/>
      <c r="BF125" s="4893"/>
      <c r="BG125" s="4893"/>
      <c r="BH125" s="4893"/>
      <c r="BI125" s="4893"/>
      <c r="BJ125" s="4894"/>
      <c r="BK125" s="997">
        <f>SUM(K121:K125)-SUM(V125:BA125)</f>
        <v>0</v>
      </c>
      <c r="BL125" s="1422"/>
      <c r="BM125" s="1423"/>
      <c r="BN125" s="991"/>
      <c r="BO125" s="992"/>
      <c r="BP125" s="993" t="str">
        <f>IF(I125="Si",VLOOKUP($D$8,TablasTec!$E$4:$F$6,2,FALSE),"")</f>
        <v/>
      </c>
      <c r="BQ125" s="963" t="str">
        <f>IF(L125="Si",VLOOKUP($D$8,TablasTec!$I$4:$J$6,2,FALSE),"")</f>
        <v/>
      </c>
      <c r="BR125" s="994" t="str">
        <f>IF(O125="Si",VLOOKUP($D$8,TablasTec!$I$7:$J$9,2,FALSE),"")</f>
        <v/>
      </c>
      <c r="BS125" s="995"/>
      <c r="BT125" s="4861" t="s">
        <v>1690</v>
      </c>
      <c r="BU125" s="4862"/>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865"/>
      <c r="DY125" s="1307"/>
      <c r="DZ125" s="922"/>
      <c r="EA125" s="1453">
        <f t="shared" si="1"/>
        <v>1</v>
      </c>
    </row>
    <row r="126" spans="1:13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09"/>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IF(I126="Si",VLOOKUP($D$8,TablasTec!$E$4:$F$6,2,FALSE),"")</f>
        <v/>
      </c>
      <c r="BQ126" s="962" t="str">
        <f>IF(L126="Si",VLOOKUP($D$8,TablasTec!$I$4:$J$6,2,FALSE),"")</f>
        <v/>
      </c>
      <c r="BR126" s="960" t="str">
        <f>IF(O126="Si",VLOOKUP($D$8,TablasTec!$I$7:$J$9,2,FALSE),"")</f>
        <v/>
      </c>
      <c r="BS126" s="977"/>
      <c r="BT126" s="4857" t="s">
        <v>4545</v>
      </c>
      <c r="BU126" s="4858"/>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09"/>
      <c r="D127" s="1436" t="s">
        <v>1766</v>
      </c>
      <c r="E127" s="966"/>
      <c r="F127" s="1002"/>
      <c r="G127" s="972" t="str">
        <f>IF(E127=0,"",VLOOKUP(E127,TablasTec!$A$14:$V$771,3,FALSE))</f>
        <v/>
      </c>
      <c r="H127" s="1004" t="str">
        <f>IF($E127=0,"",VLOOKUP($E127,TablasTec!$A$14:$V$771,4,FALSE))</f>
        <v/>
      </c>
      <c r="I127" s="970" t="s">
        <v>1690</v>
      </c>
      <c r="J127" s="1397" t="str">
        <f>IF(E127=0,"",VLOOKUP(E127,TablasTec!$A$14:$V$771,5,FALSE))</f>
        <v/>
      </c>
      <c r="K127" s="1003" t="str">
        <f>IF(I127="Si",IF(E127=0,"",VLOOKUP(E127,TablasTec!$A$14:$V$771,5,FALSE)),"")</f>
        <v/>
      </c>
      <c r="L127" s="970" t="s">
        <v>1690</v>
      </c>
      <c r="M127" s="1397" t="str">
        <f>IF(E127=0,"",VLOOKUP(E127,TablasTec!$A$14:$V$771,6,FALSE))</f>
        <v/>
      </c>
      <c r="N127" s="973" t="str">
        <f>IF(L127="Si",IF(E127=0,"",VLOOKUP(E127,TablasTec!$A$14:$V$771,6,FALSE)),"")</f>
        <v/>
      </c>
      <c r="O127" s="970" t="s">
        <v>1690</v>
      </c>
      <c r="P127" s="1397" t="str">
        <f>IF(E127=0,"",VLOOKUP(E127,TablasTec!$A$14:$V$771,7,FALSE))</f>
        <v/>
      </c>
      <c r="Q127" s="973" t="str">
        <f>IF(O127="Si",IF(E127=0,"",VLOOKUP(E127,TablasTec!$A$14:$V$771,7,FALSE)),"")</f>
        <v/>
      </c>
      <c r="R127" s="1005" t="str">
        <f>IF(E127=0,"",VLOOKUP(E127,TablasTec!$A$14:$V$771,8,FALSE))</f>
        <v/>
      </c>
      <c r="S127" s="1004" t="str">
        <f>IF(R127=$D$8,$D$8,IF(R127=2,2,IF(R127=3,3,R127)))</f>
        <v/>
      </c>
      <c r="T127" s="972" t="str">
        <f>IF(E127=0,"",VLOOKUP(E127,TablasTec!$A$14:$V$771,9,FALSE))</f>
        <v/>
      </c>
      <c r="U127" s="972" t="str">
        <f>IF(E127=0,"",VLOOKUP(E127,TablasTec!$A$14:$V$771,10,FALSE))</f>
        <v/>
      </c>
      <c r="V127" s="967" t="str">
        <f>IF(E127=0,"",VLOOKUP(E127,TablasTec!$A$14:$V$771,11,FALSE))</f>
        <v/>
      </c>
      <c r="W127" s="970"/>
      <c r="X127" s="971" t="e">
        <f>VLOOKUP(E127,TablasTec!$A$14:$V$771,12,FALSE)</f>
        <v>#N/A</v>
      </c>
      <c r="Y127" s="971" t="e">
        <f>IF(W127=X127,VLOOKUP(E127,TablasTec!$A$14:$V$771,13,FALSE),0)</f>
        <v>#N/A</v>
      </c>
      <c r="Z127" s="971" t="e">
        <f>VLOOKUP(E127,TablasTec!$A$14:$V$771,14,FALSE)</f>
        <v>#N/A</v>
      </c>
      <c r="AA127" s="971" t="e">
        <f>IF(W127=Z127,VLOOKUP(E127,TablasTec!$A$14:$V$616,15,FALSE),0)</f>
        <v>#N/A</v>
      </c>
      <c r="AB127" s="971" t="e">
        <f>VLOOKUP(E127,TablasTec!$A$14:$V$771,16,FALSE)</f>
        <v>#N/A</v>
      </c>
      <c r="AC127" s="971" t="e">
        <f>IF(W127=AB127,VLOOKUP(E127,TablasTec!$A$14:$V$616,17,FALSE),0)</f>
        <v>#N/A</v>
      </c>
      <c r="AD127" s="971" t="e">
        <f>VLOOKUP(E127,TablasTec!$A$14:$V$771,18,FALSE)</f>
        <v>#N/A</v>
      </c>
      <c r="AE127" s="971" t="e">
        <f>IF(W127=AD127,VLOOKUP(E127,TablasTec!$A$14:$V$771,19,FALSE),0)</f>
        <v>#N/A</v>
      </c>
      <c r="AF127" s="972" t="str">
        <f>IF(E127=0,"",(Y127+AA127+AC127+AE127))</f>
        <v/>
      </c>
      <c r="AG127" s="970"/>
      <c r="AH127" s="1005" t="e">
        <f>VLOOKUP(E127,TablasTec!$A$14:$V$771,12,FALSE)</f>
        <v>#N/A</v>
      </c>
      <c r="AI127" s="1005" t="e">
        <f>IF(AG127=AH127,VLOOKUP(E127,TablasTec!$A$14:$V$771,13,FALSE),0)</f>
        <v>#N/A</v>
      </c>
      <c r="AJ127" s="1005" t="e">
        <f>VLOOKUP(E127,TablasTec!$A$14:$V$771,14,FALSE)</f>
        <v>#N/A</v>
      </c>
      <c r="AK127" s="1005" t="e">
        <f>IF(AG127=AJ127,VLOOKUP(E127,TablasTec!$A$14:$V$771,15,FALSE),0)</f>
        <v>#N/A</v>
      </c>
      <c r="AL127" s="1005" t="e">
        <f>VLOOKUP(E127,TablasTec!$A$14:$V$771,16,FALSE)</f>
        <v>#N/A</v>
      </c>
      <c r="AM127" s="1005" t="e">
        <f>IF(AG127=AL127,VLOOKUP(E127,TablasTec!$A$14:$V$771,17,FALSE),0)</f>
        <v>#N/A</v>
      </c>
      <c r="AN127" s="1005" t="e">
        <f>VLOOKUP(E127,TablasTec!$A$14:$V$771,18,FALSE)</f>
        <v>#N/A</v>
      </c>
      <c r="AO127" s="1005" t="e">
        <f>IF(AG127=AN127,VLOOKUP(E127,TablasTec!$A$14:$V$771,19,FALSE),0)</f>
        <v>#N/A</v>
      </c>
      <c r="AP127" s="1006" t="str">
        <f>IF(E127=0,"",(AI127+AK127+AM127+AO127))</f>
        <v/>
      </c>
      <c r="AQ127" s="970"/>
      <c r="AR127" s="971" t="e">
        <f>VLOOKUP(E127,TablasTec!$A$14:$V$771,12,FALSE)</f>
        <v>#N/A</v>
      </c>
      <c r="AS127" s="971" t="e">
        <f>IF(AQ127=AR127,VLOOKUP(E127,TablasTec!$A$14:$V$771,13,FALSE),0)</f>
        <v>#N/A</v>
      </c>
      <c r="AT127" s="971" t="e">
        <f>VLOOKUP(E127,TablasTec!$A$14:$V$771,14,FALSE)</f>
        <v>#N/A</v>
      </c>
      <c r="AU127" s="971" t="e">
        <f>IF(AQ127=AT127,VLOOKUP(E127,TablasTec!$A$14:$V$771,15,FALSE),0)</f>
        <v>#N/A</v>
      </c>
      <c r="AV127" s="971" t="e">
        <f>VLOOKUP(E127,TablasTec!$A$14:$V$771,16,FALSE)</f>
        <v>#N/A</v>
      </c>
      <c r="AW127" s="971" t="e">
        <f>IF(AQ127=AV127,VLOOKUP(E127,TablasTec!$A$14:$V$771,17,FALSE),0)</f>
        <v>#N/A</v>
      </c>
      <c r="AX127" s="971" t="e">
        <f>VLOOKUP(E127,TablasTec!$A$14:$V$771,18,FALSE)</f>
        <v>#N/A</v>
      </c>
      <c r="AY127" s="971" t="e">
        <f>IF(AQ127=AX127,VLOOKUP(E127,TablasTec!$A$14:$V$771,19,FALSE),0)</f>
        <v>#N/A</v>
      </c>
      <c r="AZ127" s="972" t="str">
        <f>IF(E127=0,"",(AS127+AU127+AW127+AY127))</f>
        <v/>
      </c>
      <c r="BA127" s="970"/>
      <c r="BB127" s="971" t="e">
        <f>VLOOKUP(E127,TablasTec!$A$14:$V$771,12,FALSE)</f>
        <v>#N/A</v>
      </c>
      <c r="BC127" s="971" t="e">
        <f>IF(BA127=BB127,VLOOKUP(E127,TablasTec!$A$14:$V$771,13,FALSE),0)</f>
        <v>#N/A</v>
      </c>
      <c r="BD127" s="971" t="e">
        <f>VLOOKUP(E127,TablasTec!$A$14:$V$771,14,FALSE)</f>
        <v>#N/A</v>
      </c>
      <c r="BE127" s="971" t="e">
        <f>IF(BA127=BD127,VLOOKUP(E127,TablasTec!$A$14:$V$771,15,FALSE),0)</f>
        <v>#N/A</v>
      </c>
      <c r="BF127" s="971" t="e">
        <f>VLOOKUP(E127,TablasTec!$A$14:$V$771,16,FALSE)</f>
        <v>#N/A</v>
      </c>
      <c r="BG127" s="971" t="e">
        <f>IF(BA127=BF127,VLOOKUP(E127,TablasTec!$A$14:$V$771,17,FALSE),0)</f>
        <v>#N/A</v>
      </c>
      <c r="BH127" s="971" t="e">
        <f>VLOOKUP(E127,TablasTec!$A$14:$V$771,18,FALSE)</f>
        <v>#N/A</v>
      </c>
      <c r="BI127" s="971" t="e">
        <f>IF(BA127=BH127,VLOOKUP(E127,TablasTec!$A$14:$V$771,19,FALSE),0)</f>
        <v>#N/A</v>
      </c>
      <c r="BJ127" s="973" t="str">
        <f>IF(E127=0,"",(BC127+BE127+BG127+BI127))</f>
        <v/>
      </c>
      <c r="BK127" s="972" t="str">
        <f>IF(E127=0,"",VLOOKUP(E127,TablasTec!$A$14:$V$771,20,FALSE))</f>
        <v/>
      </c>
      <c r="BL127" s="972" t="str">
        <f>IF(E127=0,"",VLOOKUP(E127,TablasTec!$A$14:$V$771,21,FALSE))</f>
        <v/>
      </c>
      <c r="BM127" s="1007" t="str">
        <f>IF(E127=0,"",VLOOKUP(E127,TablasTec!$A$14:$V$771,22,FALSE))</f>
        <v/>
      </c>
      <c r="BN127" s="975"/>
      <c r="BO127" s="976"/>
      <c r="BP127" s="961" t="str">
        <f>IF(I127="Si",VLOOKUP($D$8,TablasTec!$E$4:$F$6,2,FALSE),"")</f>
        <v/>
      </c>
      <c r="BQ127" s="962" t="str">
        <f>IF(L127="Si",VLOOKUP($D$8,TablasTec!$I$4:$J$6,2,FALSE),"")</f>
        <v/>
      </c>
      <c r="BR127" s="960" t="str">
        <f>IF(O127="Si",VLOOKUP($D$8,TablasTec!$I$7:$J$9,2,FALSE),"")</f>
        <v/>
      </c>
      <c r="BS127" s="977"/>
      <c r="BT127" s="4861" t="s">
        <v>4525</v>
      </c>
      <c r="BU127" s="4862"/>
      <c r="BV127" s="954"/>
      <c r="BW127" s="934"/>
      <c r="BX127" s="934"/>
      <c r="BY127" s="1269"/>
      <c r="BZ127" s="1287"/>
      <c r="CA127" s="922"/>
      <c r="DR127" s="922"/>
      <c r="DT127" s="1309"/>
      <c r="DU127" s="1362"/>
      <c r="DV127" s="1359" t="str">
        <f>IF(E127="","",", "&amp;E127)&amp;IF(I127="No",""," (Mant.)")&amp;IF(L127="No",""," (Sme)")&amp;IF(O127="No",""," (SMa)")</f>
        <v/>
      </c>
      <c r="DW127" s="1360"/>
      <c r="DX127" s="1361" t="str">
        <f>IF(ISNUMBER(FIND(TablasTec!A$678,DW145)),BL151&amp;BM151,IF(ISNUMBER(FIND(TablasTec!A$679,DW145)),BL151&amp;" "&amp;BM151,""))</f>
        <v/>
      </c>
      <c r="DY127" s="1310"/>
      <c r="DZ127" s="922"/>
      <c r="EA127" s="1453">
        <f t="shared" si="1"/>
        <v>1</v>
      </c>
    </row>
    <row r="128" spans="1:132" ht="11.25" customHeight="1">
      <c r="A128" s="922"/>
      <c r="B128" s="922"/>
      <c r="C128" s="4909"/>
      <c r="D128" s="1435" t="s">
        <v>1766</v>
      </c>
      <c r="E128" s="978"/>
      <c r="F128" s="1008"/>
      <c r="G128" s="1420" t="str">
        <f>IF(E128=0,"",VLOOKUP(E128,TablasTec!$A$14:$V$771,3,FALSE))</f>
        <v/>
      </c>
      <c r="H128" s="981" t="str">
        <f>IF($E128=0,"",VLOOKUP($E128,TablasTec!$A$14:$V$771,4,FALSE))</f>
        <v/>
      </c>
      <c r="I128" s="982" t="s">
        <v>1690</v>
      </c>
      <c r="J128" s="1398" t="str">
        <f>IF(E128=0,"",VLOOKUP(E128,TablasTec!$A$14:$V$771,5,FALSE))</f>
        <v/>
      </c>
      <c r="K128" s="984" t="str">
        <f>IF(I128="Si",IF(E128=0,"",VLOOKUP(E128,TablasTec!$A$14:$V$771,5,FALSE)),"")</f>
        <v/>
      </c>
      <c r="L128" s="982" t="s">
        <v>1690</v>
      </c>
      <c r="M128" s="1398" t="str">
        <f>IF(E128=0,"",VLOOKUP(E128,TablasTec!$A$14:$V$771,6,FALSE))</f>
        <v/>
      </c>
      <c r="N128" s="985" t="str">
        <f>IF(L128="Si",IF(E128=0,"",VLOOKUP(E128,TablasTec!$A$14:$V$771,6,FALSE)),"")</f>
        <v/>
      </c>
      <c r="O128" s="982" t="s">
        <v>1690</v>
      </c>
      <c r="P128" s="1398" t="str">
        <f>IF(E128=0,"",VLOOKUP(E128,TablasTec!$A$14:$V$771,7,FALSE))</f>
        <v/>
      </c>
      <c r="Q128" s="985" t="str">
        <f>IF(O128="Si",IF(E128=0,"",VLOOKUP(E128,TablasTec!$A$14:$V$771,7,FALSE)),"")</f>
        <v/>
      </c>
      <c r="R128" s="983" t="str">
        <f>IF(E128=0,"",VLOOKUP(E128,TablasTec!$A$14:$V$771,8,FALSE))</f>
        <v/>
      </c>
      <c r="S128" s="981" t="str">
        <f>IF(R128=$D$8,$D$8,IF(R128=2,2,IF(R128=3,3,R128)))</f>
        <v/>
      </c>
      <c r="T128" s="4883" t="s">
        <v>4540</v>
      </c>
      <c r="U128" s="4884"/>
      <c r="V128" s="4884"/>
      <c r="W128" s="4884"/>
      <c r="X128" s="4884"/>
      <c r="Y128" s="4884"/>
      <c r="Z128" s="4884"/>
      <c r="AA128" s="4884"/>
      <c r="AB128" s="4884"/>
      <c r="AC128" s="4884"/>
      <c r="AD128" s="4884"/>
      <c r="AE128" s="4884"/>
      <c r="AF128" s="4884"/>
      <c r="AG128" s="4884"/>
      <c r="AH128" s="4884"/>
      <c r="AI128" s="4884"/>
      <c r="AJ128" s="4884"/>
      <c r="AK128" s="4884"/>
      <c r="AL128" s="4884"/>
      <c r="AM128" s="4884"/>
      <c r="AN128" s="4884"/>
      <c r="AO128" s="4884"/>
      <c r="AP128" s="4884"/>
      <c r="AQ128" s="4884"/>
      <c r="AR128" s="4884"/>
      <c r="AS128" s="4884"/>
      <c r="AT128" s="4884"/>
      <c r="AU128" s="4884"/>
      <c r="AV128" s="4884"/>
      <c r="AW128" s="4884"/>
      <c r="AX128" s="4884"/>
      <c r="AY128" s="4884"/>
      <c r="AZ128" s="4884"/>
      <c r="BA128" s="4884"/>
      <c r="BB128" s="4884"/>
      <c r="BC128" s="4884"/>
      <c r="BD128" s="4884"/>
      <c r="BE128" s="4884"/>
      <c r="BF128" s="4884"/>
      <c r="BG128" s="4884"/>
      <c r="BH128" s="4884"/>
      <c r="BI128" s="4884"/>
      <c r="BJ128" s="4884"/>
      <c r="BK128" s="4885"/>
      <c r="BL128" s="1420"/>
      <c r="BM128" s="1421"/>
      <c r="BN128" s="975"/>
      <c r="BO128" s="976"/>
      <c r="BP128" s="961" t="str">
        <f>IF(I128="Si",VLOOKUP($D$8,TablasTec!$E$4:$F$6,2,FALSE),"")</f>
        <v/>
      </c>
      <c r="BQ128" s="962" t="str">
        <f>IF(L128="Si",VLOOKUP($D$8,TablasTec!$I$4:$J$6,2,FALSE),"")</f>
        <v/>
      </c>
      <c r="BR128" s="960" t="str">
        <f>IF(O128="Si",VLOOKUP($D$8,TablasTec!$I$7:$J$9,2,FALSE),"")</f>
        <v/>
      </c>
      <c r="BS128" s="977"/>
      <c r="BT128" s="4857" t="s">
        <v>4546</v>
      </c>
      <c r="BU128" s="4858"/>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c r="A129" s="922"/>
      <c r="B129" s="922"/>
      <c r="C129" s="4909"/>
      <c r="D129" s="1436" t="s">
        <v>1766</v>
      </c>
      <c r="E129" s="986"/>
      <c r="F129" s="1002"/>
      <c r="G129" s="972" t="str">
        <f>IF(E129=0,"",VLOOKUP(E129,TablasTec!$A$14:$V$771,3,FALSE))</f>
        <v/>
      </c>
      <c r="H129" s="3181" t="str">
        <f>IF($E129=0,"",VLOOKUP($E129,TablasTec!$A$14:$V$771,4,FALSE))</f>
        <v/>
      </c>
      <c r="I129" s="970" t="s">
        <v>1690</v>
      </c>
      <c r="J129" s="1394" t="str">
        <f>IF(E129=0,"",VLOOKUP(E129,TablasTec!$A$14:$V$771,5,FALSE))</f>
        <v/>
      </c>
      <c r="K129" s="989" t="str">
        <f>IF(I129="Si",IF(E129=0,"",VLOOKUP(E129,TablasTec!$A$14:$V$771,5,FALSE)),"")</f>
        <v/>
      </c>
      <c r="L129" s="970" t="s">
        <v>1690</v>
      </c>
      <c r="M129" s="1394" t="str">
        <f>IF(E129=0,"",VLOOKUP(E129,TablasTec!$A$14:$V$771,6,FALSE))</f>
        <v/>
      </c>
      <c r="N129" s="973" t="str">
        <f>IF(L129="Si",IF(E129=0,"",VLOOKUP(E129,TablasTec!$A$14:$V$771,6,FALSE)),"")</f>
        <v/>
      </c>
      <c r="O129" s="970" t="s">
        <v>1690</v>
      </c>
      <c r="P129" s="1394" t="str">
        <f>IF(E129=0,"",VLOOKUP(E129,TablasTec!$A$14:$V$771,7,FALSE))</f>
        <v/>
      </c>
      <c r="Q129" s="973" t="str">
        <f>IF(O129="Si",IF(E129=0,"",VLOOKUP(E129,TablasTec!$A$14:$V$771,7,FALSE)),"")</f>
        <v/>
      </c>
      <c r="R129" s="988" t="str">
        <f>IF(E129=0,"",VLOOKUP(E129,TablasTec!$A$14:$V$771,8,FALSE))</f>
        <v/>
      </c>
      <c r="S129" s="3181" t="str">
        <f>IF(R129=$D$8,$D$8,IF(R129=2,2,IF(R129=3,3,R129)))</f>
        <v/>
      </c>
      <c r="T129" s="4896"/>
      <c r="U129" s="4897"/>
      <c r="V129" s="3179" t="str">
        <f>IF(OR(V127=0,V127=""),"N/A",V127)</f>
        <v>N/A</v>
      </c>
      <c r="W129" s="4896" t="str">
        <f xml:space="preserve"> IF(OR(AF127=0,AF127=""),"N/A",W127)</f>
        <v>N/A</v>
      </c>
      <c r="X129" s="4898"/>
      <c r="Y129" s="4898"/>
      <c r="Z129" s="4898"/>
      <c r="AA129" s="4898"/>
      <c r="AB129" s="4898"/>
      <c r="AC129" s="4898"/>
      <c r="AD129" s="4898"/>
      <c r="AE129" s="4898"/>
      <c r="AF129" s="4897"/>
      <c r="AG129" s="4896" t="str">
        <f xml:space="preserve"> IF(OR(AP127="",AP127=0),"N/A",AG127)</f>
        <v>N/A</v>
      </c>
      <c r="AH129" s="4898"/>
      <c r="AI129" s="4898"/>
      <c r="AJ129" s="4898"/>
      <c r="AK129" s="4898"/>
      <c r="AL129" s="4898"/>
      <c r="AM129" s="4898"/>
      <c r="AN129" s="4898"/>
      <c r="AO129" s="4898"/>
      <c r="AP129" s="4897"/>
      <c r="AQ129" s="4896" t="str">
        <f xml:space="preserve"> IF(OR(AZ127="",AZ127=0),"N/A",AQ127)</f>
        <v>N/A</v>
      </c>
      <c r="AR129" s="4898"/>
      <c r="AS129" s="4898"/>
      <c r="AT129" s="4898"/>
      <c r="AU129" s="4898"/>
      <c r="AV129" s="4898"/>
      <c r="AW129" s="4898"/>
      <c r="AX129" s="4898"/>
      <c r="AY129" s="4898"/>
      <c r="AZ129" s="4897"/>
      <c r="BA129" s="4896" t="str">
        <f xml:space="preserve"> IF(OR(BJ127="",BJ127=0),"N/A",BA127)</f>
        <v>N/A</v>
      </c>
      <c r="BB129" s="4898"/>
      <c r="BC129" s="4898"/>
      <c r="BD129" s="4898"/>
      <c r="BE129" s="4898"/>
      <c r="BF129" s="4898"/>
      <c r="BG129" s="4898"/>
      <c r="BH129" s="4898"/>
      <c r="BI129" s="4898"/>
      <c r="BJ129" s="4897"/>
      <c r="BK129" s="990" t="s">
        <v>4541</v>
      </c>
      <c r="BL129" s="972"/>
      <c r="BM129" s="1007"/>
      <c r="BN129" s="975"/>
      <c r="BO129" s="992"/>
      <c r="BP129" s="961" t="str">
        <f>IF(I129="Si",VLOOKUP($D$8,TablasTec!$E$4:$F$6,2,FALSE),"")</f>
        <v/>
      </c>
      <c r="BQ129" s="962" t="str">
        <f>IF(L129="Si",VLOOKUP($D$8,TablasTec!$I$4:$J$6,2,FALSE),"")</f>
        <v/>
      </c>
      <c r="BR129" s="960" t="str">
        <f>IF(O129="Si",VLOOKUP($D$8,TablasTec!$I$7:$J$9,2,FALSE),"")</f>
        <v/>
      </c>
      <c r="BS129" s="977"/>
      <c r="BT129" s="4861" t="s">
        <v>4519</v>
      </c>
      <c r="BU129" s="4862"/>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c r="A130" s="922"/>
      <c r="B130" s="922"/>
      <c r="C130" s="4909"/>
      <c r="D130" s="1435" t="s">
        <v>1766</v>
      </c>
      <c r="E130" s="978"/>
      <c r="F130" s="1008"/>
      <c r="G130" s="1420" t="str">
        <f>IF(E130=0,"",VLOOKUP(E130,TablasTec!$A$14:$V$771,3,FALSE))</f>
        <v/>
      </c>
      <c r="H130" s="981" t="str">
        <f>IF($E130=0,"",VLOOKUP($E130,TablasTec!$A$14:$V$771,4,FALSE))</f>
        <v/>
      </c>
      <c r="I130" s="982" t="s">
        <v>1690</v>
      </c>
      <c r="J130" s="1398" t="str">
        <f>IF(E130=0,"",VLOOKUP(E130,TablasTec!$A$14:$V$771,5,FALSE))</f>
        <v/>
      </c>
      <c r="K130" s="984" t="str">
        <f>IF(I130="Si",IF(E130=0,"",VLOOKUP(E130,TablasTec!$A$14:$V$771,5,FALSE)),"")</f>
        <v/>
      </c>
      <c r="L130" s="982" t="s">
        <v>1690</v>
      </c>
      <c r="M130" s="1398" t="str">
        <f>IF(E130=0,"",VLOOKUP(E130,TablasTec!$A$14:$V$771,6,FALSE))</f>
        <v/>
      </c>
      <c r="N130" s="985" t="str">
        <f>IF(L130="Si",IF(E130=0,"",VLOOKUP(E130,TablasTec!$A$14:$V$771,6,FALSE)),"")</f>
        <v/>
      </c>
      <c r="O130" s="982" t="s">
        <v>1690</v>
      </c>
      <c r="P130" s="1398" t="str">
        <f>IF(E130=0,"",VLOOKUP(E130,TablasTec!$A$14:$V$771,7,FALSE))</f>
        <v/>
      </c>
      <c r="Q130" s="985" t="str">
        <f>IF(O130="Si",IF(E130=0,"",VLOOKUP(E130,TablasTec!$A$14:$V$771,7,FALSE)),"")</f>
        <v/>
      </c>
      <c r="R130" s="983" t="str">
        <f>IF(E130=0,"",VLOOKUP(E130,TablasTec!$A$14:$V$771,8,FALSE))</f>
        <v/>
      </c>
      <c r="S130" s="981" t="str">
        <f>IF(R130=$D$8,$D$8,IF(R130=2,2,IF(R130=3,3,R130)))</f>
        <v/>
      </c>
      <c r="T130" s="4899" t="s">
        <v>4542</v>
      </c>
      <c r="U130" s="4900"/>
      <c r="V130" s="3180"/>
      <c r="W130" s="4901"/>
      <c r="X130" s="4902"/>
      <c r="Y130" s="4902"/>
      <c r="Z130" s="4902"/>
      <c r="AA130" s="4902"/>
      <c r="AB130" s="4902"/>
      <c r="AC130" s="4902"/>
      <c r="AD130" s="4902"/>
      <c r="AE130" s="4902"/>
      <c r="AF130" s="4903"/>
      <c r="AG130" s="4901"/>
      <c r="AH130" s="4902"/>
      <c r="AI130" s="4902"/>
      <c r="AJ130" s="4902"/>
      <c r="AK130" s="4902"/>
      <c r="AL130" s="4902"/>
      <c r="AM130" s="4902"/>
      <c r="AN130" s="4902"/>
      <c r="AO130" s="4902"/>
      <c r="AP130" s="4903"/>
      <c r="AQ130" s="4901"/>
      <c r="AR130" s="4902"/>
      <c r="AS130" s="4902"/>
      <c r="AT130" s="4902"/>
      <c r="AU130" s="4902"/>
      <c r="AV130" s="4902"/>
      <c r="AW130" s="4902"/>
      <c r="AX130" s="4902"/>
      <c r="AY130" s="4902"/>
      <c r="AZ130" s="4903"/>
      <c r="BA130" s="4901"/>
      <c r="BB130" s="4902"/>
      <c r="BC130" s="4902"/>
      <c r="BD130" s="4902"/>
      <c r="BE130" s="4902"/>
      <c r="BF130" s="4902"/>
      <c r="BG130" s="4902"/>
      <c r="BH130" s="4902"/>
      <c r="BI130" s="4902"/>
      <c r="BJ130" s="4903"/>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IF(I130="Si",VLOOKUP($D$8,TablasTec!$E$4:$F$6,2,FALSE),"")</f>
        <v/>
      </c>
      <c r="BQ130" s="962" t="str">
        <f>IF(L130="Si",VLOOKUP($D$8,TablasTec!$I$4:$J$6,2,FALSE),"")</f>
        <v/>
      </c>
      <c r="BR130" s="960" t="str">
        <f>IF(O130="Si",VLOOKUP($D$8,TablasTec!$I$7:$J$9,2,FALSE),"")</f>
        <v/>
      </c>
      <c r="BS130" s="977"/>
      <c r="BT130" s="4853" t="s">
        <v>4547</v>
      </c>
      <c r="BU130" s="4854"/>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c r="A131" s="922"/>
      <c r="B131" s="922"/>
      <c r="C131" s="4909"/>
      <c r="D131" s="1436" t="s">
        <v>1766</v>
      </c>
      <c r="E131" s="986"/>
      <c r="F131" s="1002"/>
      <c r="G131" s="972" t="str">
        <f>IF(E131=0,"",VLOOKUP(E131,TablasTec!$A$14:$V$771,3,FALSE))</f>
        <v/>
      </c>
      <c r="H131" s="987" t="str">
        <f>IF($E131=0,"",VLOOKUP($E131,TablasTec!$A$14:$V$771,4,FALSE))</f>
        <v/>
      </c>
      <c r="I131" s="970" t="s">
        <v>1690</v>
      </c>
      <c r="J131" s="1394" t="str">
        <f>IF(E131=0,"",VLOOKUP(E131,TablasTec!$A$14:$V$771,5,FALSE))</f>
        <v/>
      </c>
      <c r="K131" s="989" t="str">
        <f>IF(I131="Si",IF(E131=0,"",VLOOKUP(E131,TablasTec!$A$14:$V$771,5,FALSE)),"")</f>
        <v/>
      </c>
      <c r="L131" s="970" t="s">
        <v>1690</v>
      </c>
      <c r="M131" s="1394" t="str">
        <f>IF(E131=0,"",VLOOKUP(E131,TablasTec!$A$14:$V$771,6,FALSE))</f>
        <v/>
      </c>
      <c r="N131" s="973" t="str">
        <f>IF(L131="Si",IF(E131=0,"",VLOOKUP(E131,TablasTec!$A$14:$V$771,6,FALSE)),"")</f>
        <v/>
      </c>
      <c r="O131" s="970" t="s">
        <v>1690</v>
      </c>
      <c r="P131" s="1394" t="str">
        <f>IF(E131=0,"",VLOOKUP(E131,TablasTec!$A$14:$V$771,7,FALSE))</f>
        <v/>
      </c>
      <c r="Q131" s="973" t="str">
        <f>IF(O131="Si",IF(E131=0,"",VLOOKUP(E131,TablasTec!$A$14:$V$771,7,FALSE)),"")</f>
        <v/>
      </c>
      <c r="R131" s="988" t="str">
        <f>IF(E131=0,"",VLOOKUP(E131,TablasTec!$A$14:$V$771,8,FALSE))</f>
        <v/>
      </c>
      <c r="S131" s="987" t="str">
        <f>IF(R131=$D$8,$D$8,IF(R131=2,2,IF(R131=3,3,R131)))</f>
        <v/>
      </c>
      <c r="T131" s="4890" t="s">
        <v>4544</v>
      </c>
      <c r="U131" s="4891"/>
      <c r="V131" s="3178"/>
      <c r="W131" s="4892"/>
      <c r="X131" s="4893"/>
      <c r="Y131" s="4893"/>
      <c r="Z131" s="4893"/>
      <c r="AA131" s="4893"/>
      <c r="AB131" s="4893"/>
      <c r="AC131" s="4893"/>
      <c r="AD131" s="4893"/>
      <c r="AE131" s="4893"/>
      <c r="AF131" s="4894"/>
      <c r="AG131" s="4892"/>
      <c r="AH131" s="4893"/>
      <c r="AI131" s="4893"/>
      <c r="AJ131" s="4893"/>
      <c r="AK131" s="4893"/>
      <c r="AL131" s="4893"/>
      <c r="AM131" s="4893"/>
      <c r="AN131" s="4893"/>
      <c r="AO131" s="4893"/>
      <c r="AP131" s="4894"/>
      <c r="AQ131" s="4892"/>
      <c r="AR131" s="4893"/>
      <c r="AS131" s="4893"/>
      <c r="AT131" s="4893"/>
      <c r="AU131" s="4893"/>
      <c r="AV131" s="4893"/>
      <c r="AW131" s="4893"/>
      <c r="AX131" s="4893"/>
      <c r="AY131" s="4893"/>
      <c r="AZ131" s="4894"/>
      <c r="BA131" s="4892"/>
      <c r="BB131" s="4893"/>
      <c r="BC131" s="4893"/>
      <c r="BD131" s="4893"/>
      <c r="BE131" s="4893"/>
      <c r="BF131" s="4893"/>
      <c r="BG131" s="4893"/>
      <c r="BH131" s="4893"/>
      <c r="BI131" s="4893"/>
      <c r="BJ131" s="4894"/>
      <c r="BK131" s="997">
        <f>SUM(K127:K131)-SUM(V131:BA131)</f>
        <v>0</v>
      </c>
      <c r="BL131" s="1422"/>
      <c r="BM131" s="1423"/>
      <c r="BN131" s="975"/>
      <c r="BO131" s="992"/>
      <c r="BP131" s="961" t="str">
        <f>IF(I131="Si",VLOOKUP($D$8,TablasTec!$E$4:$F$6,2,FALSE),"")</f>
        <v/>
      </c>
      <c r="BQ131" s="962" t="str">
        <f>IF(L131="Si",VLOOKUP($D$8,TablasTec!$I$4:$J$6,2,FALSE),"")</f>
        <v/>
      </c>
      <c r="BR131" s="960" t="str">
        <f>IF(O131="Si",VLOOKUP($D$8,TablasTec!$I$7:$J$9,2,FALSE),"")</f>
        <v/>
      </c>
      <c r="BS131" s="977"/>
      <c r="BT131" s="2293">
        <f>IF(BT125="No",0,IF(D119=0,0,VLOOKUP(D119,TablasTec!$L$4:$N$7,2,FALSE)))+IF(BT127="Bajar coste de CM",0,IF(BT127="-5 CM",2,IF(BT127="-10 CM",4,IF(BT127="-15 CM",6,IF(BT127="-20 CM",8,0)))))+IF(BT129="Bajar coste de Ki",0,IF(BT129="-1 Ki",-1,IF(BT129="-2 Ki",-2,IF(BT129="-3 Ki",-3,IF(BT129="-4 Ki",-4,IF(BT129="-5 Ki",-5,0))))))-BU134-BU136-BU138-BU140-BU142-BU144</f>
        <v>0</v>
      </c>
      <c r="BU131" s="2294">
        <f>IF(BT125="No",0,IF(D119=0,0,VLOOKUP(D119,TablasTec!$L$4:$N$7,2,FALSE)))+IF(BT127="Bajar coste de CM",0,IF(BT127="-5 CM",2,IF(BT127="-10 CM",4,IF(BT127="-15 CM",6,IF(BT127="-20 CM",8,0)))))+IF(BT129="Bajar coste de Ki",0,IF(BT129="-1 Ki",-1,IF(BT129="-2 Ki",-2,IF(BT129="-3 Ki",-3,IF(BT129="-4 Ki",-4,IF(BT129="-5 Ki",-5,0))))))</f>
        <v>0</v>
      </c>
      <c r="BV131" s="954"/>
      <c r="BW131" s="934"/>
      <c r="BX131" s="934"/>
      <c r="BY131" s="1269"/>
      <c r="BZ131" s="4895"/>
      <c r="CA131" s="922"/>
      <c r="DR131" s="922"/>
      <c r="DT131" s="1308"/>
      <c r="DU131" s="1362"/>
      <c r="DV131" s="1359" t="str">
        <f>IF(E131="","",E131)&amp;IF(I131="No",""," (Mant.)")&amp;IF(L131="No",""," (Sme)")&amp;IF(O131="No",""," (SMa)")</f>
        <v/>
      </c>
      <c r="DW131" s="1360"/>
      <c r="DX131" s="1361"/>
      <c r="DY131" s="1307"/>
      <c r="DZ131" s="922"/>
      <c r="EA131" s="1453">
        <f t="shared" si="1"/>
        <v>1</v>
      </c>
    </row>
    <row r="132" spans="1:131">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09"/>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IF(I132="Si",VLOOKUP($D$8,TablasTec!$E$4:$F$6,2,FALSE),"")</f>
        <v/>
      </c>
      <c r="BQ132" s="1013" t="str">
        <f>IF(L132="Si",VLOOKUP($D$8,TablasTec!$I$4:$J$6,2,FALSE),"")</f>
        <v/>
      </c>
      <c r="BR132" s="1011" t="str">
        <f>IF(O132="Si",VLOOKUP($D$8,TablasTec!$I$7:$J$9,2,FALSE),"")</f>
        <v/>
      </c>
      <c r="BS132" s="977"/>
      <c r="BU132" s="3174"/>
      <c r="BV132" s="954"/>
      <c r="BW132" s="934"/>
      <c r="BX132" s="934"/>
      <c r="BY132" s="1269"/>
      <c r="BZ132" s="4895"/>
      <c r="CA132" s="922"/>
      <c r="DR132" s="922"/>
      <c r="DT132" s="1308"/>
      <c r="DU132" s="1362"/>
      <c r="DV132" s="1363"/>
      <c r="DW132" s="1360"/>
      <c r="DX132" s="1361"/>
      <c r="DY132" s="1307"/>
      <c r="DZ132" s="922"/>
      <c r="EA132" s="1453">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09"/>
      <c r="D133" s="1436" t="s">
        <v>1766</v>
      </c>
      <c r="E133" s="966"/>
      <c r="F133" s="1002"/>
      <c r="G133" s="972" t="str">
        <f>IF(E133=0,"",VLOOKUP(E133,TablasTec!$A$14:$V$771,3,FALSE))</f>
        <v/>
      </c>
      <c r="H133" s="1014" t="str">
        <f>IF($E133=0,"",VLOOKUP($E133,TablasTec!$A$14:$V$771,4,FALSE))</f>
        <v/>
      </c>
      <c r="I133" s="970" t="s">
        <v>1690</v>
      </c>
      <c r="J133" s="1400" t="str">
        <f>IF(E133=0,"",VLOOKUP(E133,TablasTec!$A$14:$V$771,5,FALSE))</f>
        <v/>
      </c>
      <c r="K133" s="1016" t="str">
        <f>IF(I133="Si",IF(E133=0,"",VLOOKUP(E133,TablasTec!$A$14:$V$771,5,FALSE)),"")</f>
        <v/>
      </c>
      <c r="L133" s="970" t="s">
        <v>1690</v>
      </c>
      <c r="M133" s="1400" t="str">
        <f>IF(E133=0,"",VLOOKUP(E133,TablasTec!$A$14:$V$771,6,FALSE))</f>
        <v/>
      </c>
      <c r="N133" s="973" t="str">
        <f>IF(L133="Si",IF(E133=0,"",VLOOKUP(E133,TablasTec!$A$14:$V$771,6,FALSE)),"")</f>
        <v/>
      </c>
      <c r="O133" s="970" t="s">
        <v>1690</v>
      </c>
      <c r="P133" s="1400" t="str">
        <f>IF(E133=0,"",VLOOKUP(E133,TablasTec!$A$14:$V$771,7,FALSE))</f>
        <v/>
      </c>
      <c r="Q133" s="973" t="str">
        <f>IF(O133="Si",IF(E133=0,"",VLOOKUP(E133,TablasTec!$A$14:$V$771,7,FALSE)),"")</f>
        <v/>
      </c>
      <c r="R133" s="1015" t="str">
        <f>IF(E133=0,"",VLOOKUP(E133,TablasTec!$A$14:$V$771,8,FALSE))</f>
        <v/>
      </c>
      <c r="S133" s="987" t="str">
        <f>IF(R133=$D$8,$D$8,IF(R133=2,2,IF(R133=3,3,R133)))</f>
        <v/>
      </c>
      <c r="T133" s="1016" t="str">
        <f>IF(E133=0,"",VLOOKUP(E133,TablasTec!$A$14:$V$771,9,FALSE))</f>
        <v/>
      </c>
      <c r="U133" s="1016" t="str">
        <f>IF(E133=0,"",VLOOKUP(E133,TablasTec!$A$14:$V$771,10,FALSE))</f>
        <v/>
      </c>
      <c r="V133" s="1017" t="str">
        <f>IF(E133=0,"",VLOOKUP(E133,TablasTec!$A$14:$V$771,11,FALSE))</f>
        <v/>
      </c>
      <c r="W133" s="970"/>
      <c r="X133" s="971" t="e">
        <f>VLOOKUP(E133,TablasTec!$A$14:$V$771,12,FALSE)</f>
        <v>#N/A</v>
      </c>
      <c r="Y133" s="971" t="e">
        <f>IF(W133=X133,VLOOKUP(E133,TablasTec!$A$14:$V$771,13,FALSE),0)</f>
        <v>#N/A</v>
      </c>
      <c r="Z133" s="971" t="e">
        <f>VLOOKUP(E133,TablasTec!$A$14:$V$771,14,FALSE)</f>
        <v>#N/A</v>
      </c>
      <c r="AA133" s="971" t="e">
        <f>IF(W133=Z133,VLOOKUP(E133,TablasTec!$A$14:$V$616,15,FALSE),0)</f>
        <v>#N/A</v>
      </c>
      <c r="AB133" s="971" t="e">
        <f>VLOOKUP(E133,TablasTec!$A$14:$V$771,16,FALSE)</f>
        <v>#N/A</v>
      </c>
      <c r="AC133" s="971" t="e">
        <f>IF(W133=AB133,VLOOKUP(E133,TablasTec!$A$14:$V$616,17,FALSE),0)</f>
        <v>#N/A</v>
      </c>
      <c r="AD133" s="971" t="e">
        <f>VLOOKUP(E133,TablasTec!$A$14:$V$771,18,FALSE)</f>
        <v>#N/A</v>
      </c>
      <c r="AE133" s="971" t="e">
        <f>IF(W133=AD133,VLOOKUP(E133,TablasTec!$A$14:$V$771,19,FALSE),0)</f>
        <v>#N/A</v>
      </c>
      <c r="AF133" s="989" t="str">
        <f>IF(E133=0,"",(Y133+AA133+AC133+AE133))</f>
        <v/>
      </c>
      <c r="AG133" s="970"/>
      <c r="AH133" s="988" t="e">
        <f>VLOOKUP(E133,TablasTec!$A$14:$V$771,12,FALSE)</f>
        <v>#N/A</v>
      </c>
      <c r="AI133" s="988" t="e">
        <f>IF(AG133=AH133,VLOOKUP(E133,TablasTec!$A$14:$V$771,13,FALSE),0)</f>
        <v>#N/A</v>
      </c>
      <c r="AJ133" s="988" t="e">
        <f>VLOOKUP(E133,TablasTec!$A$14:$V$771,14,FALSE)</f>
        <v>#N/A</v>
      </c>
      <c r="AK133" s="988" t="e">
        <f>IF(AG133=AJ133,VLOOKUP(E133,TablasTec!$A$14:$V$771,15,FALSE),0)</f>
        <v>#N/A</v>
      </c>
      <c r="AL133" s="988" t="e">
        <f>VLOOKUP(E133,TablasTec!$A$14:$V$771,16,FALSE)</f>
        <v>#N/A</v>
      </c>
      <c r="AM133" s="988" t="e">
        <f>IF(AG133=AL133,VLOOKUP(E133,TablasTec!$A$14:$V$771,17,FALSE),0)</f>
        <v>#N/A</v>
      </c>
      <c r="AN133" s="988" t="e">
        <f>VLOOKUP(E133,TablasTec!$A$14:$V$771,18,FALSE)</f>
        <v>#N/A</v>
      </c>
      <c r="AO133" s="988" t="e">
        <f>IF(AG133=AN133,VLOOKUP(E133,TablasTec!$A$14:$V$771,19,FALSE),0)</f>
        <v>#N/A</v>
      </c>
      <c r="AP133" s="3182" t="str">
        <f>IF(E133=0,"",(AI133+AK133+AM133+AO133))</f>
        <v/>
      </c>
      <c r="AQ133" s="970"/>
      <c r="AR133" s="988" t="e">
        <f>VLOOKUP(E133,TablasTec!$A$14:$V$771,12,FALSE)</f>
        <v>#N/A</v>
      </c>
      <c r="AS133" s="988" t="e">
        <f>IF(AQ133=AR133,VLOOKUP(E133,TablasTec!$A$14:$V$771,13,FALSE),0)</f>
        <v>#N/A</v>
      </c>
      <c r="AT133" s="988" t="e">
        <f>VLOOKUP(E133,TablasTec!$A$14:$V$771,14,FALSE)</f>
        <v>#N/A</v>
      </c>
      <c r="AU133" s="988" t="e">
        <f>IF(AQ133=AT133,VLOOKUP(E133,TablasTec!$A$14:$V$771,15,FALSE),0)</f>
        <v>#N/A</v>
      </c>
      <c r="AV133" s="988" t="e">
        <f>VLOOKUP(E133,TablasTec!$A$14:$V$771,16,FALSE)</f>
        <v>#N/A</v>
      </c>
      <c r="AW133" s="988" t="e">
        <f>IF(AQ133=AV133,VLOOKUP(E133,TablasTec!$A$14:$V$771,17,FALSE),0)</f>
        <v>#N/A</v>
      </c>
      <c r="AX133" s="988" t="e">
        <f>VLOOKUP(E133,TablasTec!$A$14:$V$771,18,FALSE)</f>
        <v>#N/A</v>
      </c>
      <c r="AY133" s="988" t="e">
        <f>IF(AQ133=AX133,VLOOKUP(E133,TablasTec!$A$14:$V$771,19,FALSE),0)</f>
        <v>#N/A</v>
      </c>
      <c r="AZ133" s="989" t="str">
        <f>IF(E133=0,"",(AS133+AU133+AW133+AY133))</f>
        <v/>
      </c>
      <c r="BA133" s="970"/>
      <c r="BB133" s="988" t="e">
        <f>VLOOKUP(E133,TablasTec!$A$14:$V$771,12,FALSE)</f>
        <v>#N/A</v>
      </c>
      <c r="BC133" s="988" t="e">
        <f>IF(BA133=BB133,VLOOKUP(E133,TablasTec!$A$14:$V$771,13,FALSE),0)</f>
        <v>#N/A</v>
      </c>
      <c r="BD133" s="988" t="e">
        <f>VLOOKUP(E133,TablasTec!$A$14:$V$771,14,FALSE)</f>
        <v>#N/A</v>
      </c>
      <c r="BE133" s="988" t="e">
        <f>IF(BA133=BD133,VLOOKUP(E133,TablasTec!$A$14:$V$771,15,FALSE),0)</f>
        <v>#N/A</v>
      </c>
      <c r="BF133" s="988" t="e">
        <f>VLOOKUP(E133,TablasTec!$A$14:$V$771,16,FALSE)</f>
        <v>#N/A</v>
      </c>
      <c r="BG133" s="988" t="e">
        <f>IF(BA133=BF133,VLOOKUP(E133,TablasTec!$A$14:$V$771,17,FALSE),0)</f>
        <v>#N/A</v>
      </c>
      <c r="BH133" s="988" t="e">
        <f>VLOOKUP(E133,TablasTec!$A$14:$V$771,18,FALSE)</f>
        <v>#N/A</v>
      </c>
      <c r="BI133" s="988" t="e">
        <f>IF(BA133=BH133,VLOOKUP(E133,TablasTec!$A$14:$V$771,19,FALSE),0)</f>
        <v>#N/A</v>
      </c>
      <c r="BJ133" s="3182" t="str">
        <f>IF(E133=0,"",(BC133+BE133+BG133+BI133))</f>
        <v/>
      </c>
      <c r="BK133" s="1016" t="str">
        <f>IF(E133=0,"",VLOOKUP(E133,TablasTec!$A$14:$V$771,20,FALSE))</f>
        <v/>
      </c>
      <c r="BL133" s="1003" t="str">
        <f>IF(E133=0,"",VLOOKUP(E133,TablasTec!$A$14:$V$771,21,FALSE))</f>
        <v/>
      </c>
      <c r="BM133" s="974" t="str">
        <f>IF(E133=0,"",VLOOKUP(E133,TablasTec!$A$14:$V$771,22,FALSE))</f>
        <v/>
      </c>
      <c r="BN133" s="975"/>
      <c r="BO133" s="976"/>
      <c r="BP133" s="961" t="str">
        <f>IF(I133="Si",VLOOKUP($D$8,TablasTec!$E$4:$F$6,2,FALSE),"")</f>
        <v/>
      </c>
      <c r="BQ133" s="962" t="str">
        <f>IF(L133="Si",VLOOKUP($D$8,TablasTec!$I$4:$J$6,2,FALSE),"")</f>
        <v/>
      </c>
      <c r="BR133" s="960" t="str">
        <f>IF(O133="Si",VLOOKUP($D$8,TablasTec!$I$7:$J$9,2,FALSE),"")</f>
        <v/>
      </c>
      <c r="BS133" s="977"/>
      <c r="BT133" s="3171" t="s">
        <v>1682</v>
      </c>
      <c r="BU133" s="3172" t="s">
        <v>4548</v>
      </c>
      <c r="BV133" s="954"/>
      <c r="BW133" s="3172" t="s">
        <v>4549</v>
      </c>
      <c r="BX133" s="3171" t="s">
        <v>4550</v>
      </c>
      <c r="BY133" s="1283" t="s">
        <v>4550</v>
      </c>
      <c r="BZ133" s="4895"/>
      <c r="CA133" s="922"/>
      <c r="DR133" s="922"/>
      <c r="DT133" s="1308"/>
      <c r="DU133" s="1362"/>
      <c r="DV133" s="1359" t="str">
        <f>IF(E133="","",", "&amp;E133)&amp;IF(I133="No",""," (Mant.)")&amp;IF(L133="No",""," (Sme)")&amp;IF(O133="No",""," (SMa)")</f>
        <v/>
      </c>
      <c r="DW133" s="1360"/>
      <c r="DX133" s="1361"/>
      <c r="DY133" s="1307"/>
      <c r="DZ133" s="922"/>
      <c r="EA133" s="1453">
        <f t="shared" si="1"/>
        <v>1</v>
      </c>
    </row>
    <row r="134" spans="1:131">
      <c r="A134" s="922"/>
      <c r="B134" s="922"/>
      <c r="C134" s="4909"/>
      <c r="D134" s="1435" t="s">
        <v>1766</v>
      </c>
      <c r="E134" s="978"/>
      <c r="F134" s="1008"/>
      <c r="G134" s="1420" t="str">
        <f>IF(E134=0,"",VLOOKUP(E134,TablasTec!$A$14:$V$771,3,FALSE))</f>
        <v/>
      </c>
      <c r="H134" s="981" t="str">
        <f>IF($E134=0,"",VLOOKUP($E134,TablasTec!$A$14:$V$771,4,FALSE))</f>
        <v/>
      </c>
      <c r="I134" s="982" t="s">
        <v>1690</v>
      </c>
      <c r="J134" s="1398" t="str">
        <f>IF(E134=0,"",VLOOKUP(E134,TablasTec!$A$14:$V$771,5,FALSE))</f>
        <v/>
      </c>
      <c r="K134" s="984" t="str">
        <f>IF(I134="Si",IF(E134=0,"",VLOOKUP(E134,TablasTec!$A$14:$V$771,5,FALSE)),"")</f>
        <v/>
      </c>
      <c r="L134" s="982" t="s">
        <v>1690</v>
      </c>
      <c r="M134" s="1398" t="str">
        <f>IF(E134=0,"",VLOOKUP(E134,TablasTec!$A$14:$V$771,6,FALSE))</f>
        <v/>
      </c>
      <c r="N134" s="985" t="str">
        <f>IF(L134="Si",IF(E134=0,"",VLOOKUP(E134,TablasTec!$A$14:$V$771,6,FALSE)),"")</f>
        <v/>
      </c>
      <c r="O134" s="982" t="s">
        <v>1690</v>
      </c>
      <c r="P134" s="1398" t="str">
        <f>IF(E134=0,"",VLOOKUP(E134,TablasTec!$A$14:$V$771,7,FALSE))</f>
        <v/>
      </c>
      <c r="Q134" s="985" t="str">
        <f>IF(O134="Si",IF(E134=0,"",VLOOKUP(E134,TablasTec!$A$14:$V$771,7,FALSE)),"")</f>
        <v/>
      </c>
      <c r="R134" s="983" t="str">
        <f>IF(E134=0,"",VLOOKUP(E134,TablasTec!$A$14:$V$771,8,FALSE))</f>
        <v/>
      </c>
      <c r="S134" s="981" t="str">
        <f>IF(R134=$D$8,$D$8,IF(R134=2,2,IF(R134=3,3,R134)))</f>
        <v/>
      </c>
      <c r="T134" s="4883" t="s">
        <v>4540</v>
      </c>
      <c r="U134" s="4884"/>
      <c r="V134" s="4884"/>
      <c r="W134" s="4884"/>
      <c r="X134" s="4884"/>
      <c r="Y134" s="4884"/>
      <c r="Z134" s="4884"/>
      <c r="AA134" s="4884"/>
      <c r="AB134" s="4884"/>
      <c r="AC134" s="4884"/>
      <c r="AD134" s="4884"/>
      <c r="AE134" s="4884"/>
      <c r="AF134" s="4884"/>
      <c r="AG134" s="4884"/>
      <c r="AH134" s="4884"/>
      <c r="AI134" s="4884"/>
      <c r="AJ134" s="4884"/>
      <c r="AK134" s="4884"/>
      <c r="AL134" s="4884"/>
      <c r="AM134" s="4884"/>
      <c r="AN134" s="4884"/>
      <c r="AO134" s="4884"/>
      <c r="AP134" s="4884"/>
      <c r="AQ134" s="4884"/>
      <c r="AR134" s="4884"/>
      <c r="AS134" s="4884"/>
      <c r="AT134" s="4884"/>
      <c r="AU134" s="4884"/>
      <c r="AV134" s="4884"/>
      <c r="AW134" s="4884"/>
      <c r="AX134" s="4884"/>
      <c r="AY134" s="4884"/>
      <c r="AZ134" s="4884"/>
      <c r="BA134" s="4884"/>
      <c r="BB134" s="4884"/>
      <c r="BC134" s="4884"/>
      <c r="BD134" s="4884"/>
      <c r="BE134" s="4884"/>
      <c r="BF134" s="4884"/>
      <c r="BG134" s="4884"/>
      <c r="BH134" s="4884"/>
      <c r="BI134" s="4884"/>
      <c r="BJ134" s="4884"/>
      <c r="BK134" s="4885"/>
      <c r="BL134" s="1420"/>
      <c r="BM134" s="1421"/>
      <c r="BN134" s="975"/>
      <c r="BO134" s="976"/>
      <c r="BP134" s="961" t="str">
        <f>IF(I134="Si",VLOOKUP($D$8,TablasTec!$E$4:$F$6,2,FALSE),"")</f>
        <v/>
      </c>
      <c r="BQ134" s="962" t="str">
        <f>IF(L134="Si",VLOOKUP($D$8,TablasTec!$I$4:$J$6,2,FALSE),"")</f>
        <v/>
      </c>
      <c r="BR134" s="960" t="str">
        <f>IF(O134="Si",VLOOKUP($D$8,TablasTec!$I$7:$J$9,2,FALSE),"")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c r="A135" s="922"/>
      <c r="B135" s="922"/>
      <c r="C135" s="4909"/>
      <c r="D135" s="1436" t="s">
        <v>1766</v>
      </c>
      <c r="E135" s="986"/>
      <c r="F135" s="1002"/>
      <c r="G135" s="972" t="str">
        <f>IF(E135=0,"",VLOOKUP(E135,TablasTec!$A$14:$V$771,3,FALSE))</f>
        <v/>
      </c>
      <c r="H135" s="3181" t="str">
        <f>IF($E135=0,"",VLOOKUP($E135,TablasTec!$A$14:$V$771,4,FALSE))</f>
        <v/>
      </c>
      <c r="I135" s="970" t="s">
        <v>1690</v>
      </c>
      <c r="J135" s="1394" t="str">
        <f>IF(E135=0,"",VLOOKUP(E135,TablasTec!$A$14:$V$771,5,FALSE))</f>
        <v/>
      </c>
      <c r="K135" s="989" t="str">
        <f>IF(I135="Si",IF(E135=0,"",VLOOKUP(E135,TablasTec!$A$14:$V$771,5,FALSE)),"")</f>
        <v/>
      </c>
      <c r="L135" s="970" t="s">
        <v>1690</v>
      </c>
      <c r="M135" s="1394" t="str">
        <f>IF(E135=0,"",VLOOKUP(E135,TablasTec!$A$14:$V$771,6,FALSE))</f>
        <v/>
      </c>
      <c r="N135" s="973" t="str">
        <f>IF(L135="Si",IF(E135=0,"",VLOOKUP(E135,TablasTec!$A$14:$V$771,6,FALSE)),"")</f>
        <v/>
      </c>
      <c r="O135" s="970" t="s">
        <v>1690</v>
      </c>
      <c r="P135" s="1394" t="str">
        <f>IF(E135=0,"",VLOOKUP(E135,TablasTec!$A$14:$V$771,7,FALSE))</f>
        <v/>
      </c>
      <c r="Q135" s="973" t="str">
        <f>IF(O135="Si",IF(E135=0,"",VLOOKUP(E135,TablasTec!$A$14:$V$771,7,FALSE)),"")</f>
        <v/>
      </c>
      <c r="R135" s="988" t="str">
        <f>IF(E135=0,"",VLOOKUP(E135,TablasTec!$A$14:$V$771,8,FALSE))</f>
        <v/>
      </c>
      <c r="S135" s="3181" t="str">
        <f>IF(R135=$D$8,$D$8,IF(R135=2,2,IF(R135=3,3,R135)))</f>
        <v/>
      </c>
      <c r="T135" s="4896"/>
      <c r="U135" s="4897"/>
      <c r="V135" s="3179" t="str">
        <f>IF(OR(V133=0,V133=""),"N/A",V133)</f>
        <v>N/A</v>
      </c>
      <c r="W135" s="4896" t="str">
        <f xml:space="preserve"> IF(OR(AF133=0,AF133=""),"N/A",W133)</f>
        <v>N/A</v>
      </c>
      <c r="X135" s="4898"/>
      <c r="Y135" s="4898"/>
      <c r="Z135" s="4898"/>
      <c r="AA135" s="4898"/>
      <c r="AB135" s="4898"/>
      <c r="AC135" s="4898"/>
      <c r="AD135" s="4898"/>
      <c r="AE135" s="4898"/>
      <c r="AF135" s="4897"/>
      <c r="AG135" s="4896" t="str">
        <f xml:space="preserve"> IF(OR(AP133="",AP133=0),"N/A",AG133)</f>
        <v>N/A</v>
      </c>
      <c r="AH135" s="4898"/>
      <c r="AI135" s="4898"/>
      <c r="AJ135" s="4898"/>
      <c r="AK135" s="4898"/>
      <c r="AL135" s="4898"/>
      <c r="AM135" s="4898"/>
      <c r="AN135" s="4898"/>
      <c r="AO135" s="4898"/>
      <c r="AP135" s="4897"/>
      <c r="AQ135" s="4896" t="str">
        <f xml:space="preserve"> IF(OR(AZ133="",AZ133=0),"N/A",AQ133)</f>
        <v>N/A</v>
      </c>
      <c r="AR135" s="4898"/>
      <c r="AS135" s="4898"/>
      <c r="AT135" s="4898"/>
      <c r="AU135" s="4898"/>
      <c r="AV135" s="4898"/>
      <c r="AW135" s="4898"/>
      <c r="AX135" s="4898"/>
      <c r="AY135" s="4898"/>
      <c r="AZ135" s="4897"/>
      <c r="BA135" s="4896" t="str">
        <f xml:space="preserve"> IF(OR(BJ133="",BJ133=0),"N/A",BA133)</f>
        <v>N/A</v>
      </c>
      <c r="BB135" s="4898"/>
      <c r="BC135" s="4898"/>
      <c r="BD135" s="4898"/>
      <c r="BE135" s="4898"/>
      <c r="BF135" s="4898"/>
      <c r="BG135" s="4898"/>
      <c r="BH135" s="4898"/>
      <c r="BI135" s="4898"/>
      <c r="BJ135" s="4897"/>
      <c r="BK135" s="990" t="s">
        <v>4541</v>
      </c>
      <c r="BL135" s="972"/>
      <c r="BM135" s="1007"/>
      <c r="BN135" s="991"/>
      <c r="BO135" s="992"/>
      <c r="BP135" s="993" t="str">
        <f>IF(I135="Si",VLOOKUP($D$8,TablasTec!$E$4:$F$6,2,FALSE),"")</f>
        <v/>
      </c>
      <c r="BQ135" s="963" t="str">
        <f>IF(L135="Si",VLOOKUP($D$8,TablasTec!$I$4:$J$6,2,FALSE),"")</f>
        <v/>
      </c>
      <c r="BR135" s="994" t="str">
        <f>IF(O135="Si",VLOOKUP($D$8,TablasTec!$I$7:$J$9,2,FALSE),"")</f>
        <v/>
      </c>
      <c r="BS135" s="977"/>
      <c r="BT135" s="3171" t="s">
        <v>1809</v>
      </c>
      <c r="BU135" s="3172" t="s">
        <v>4548</v>
      </c>
      <c r="BV135" s="954"/>
      <c r="BW135" s="3172" t="s">
        <v>4549</v>
      </c>
      <c r="BX135" s="3171" t="s">
        <v>4550</v>
      </c>
      <c r="BY135" s="1284" t="s">
        <v>4550</v>
      </c>
      <c r="BZ135" s="2869"/>
      <c r="CA135" s="922"/>
      <c r="DR135" s="922"/>
      <c r="DT135" s="1308"/>
      <c r="DU135" s="1362"/>
      <c r="DV135" s="1359" t="str">
        <f>IF(E135="","",E135)&amp;IF(I135="No",""," (Mant.)")&amp;IF(L135="No",""," (Sme)")&amp;IF(O135="No",""," (SMa)")</f>
        <v/>
      </c>
      <c r="DW135" s="1359"/>
      <c r="DX135" s="1361"/>
      <c r="DY135" s="1307"/>
      <c r="DZ135" s="922"/>
      <c r="EA135" s="1453">
        <f t="shared" si="1"/>
        <v>1</v>
      </c>
    </row>
    <row r="136" spans="1:131">
      <c r="A136" s="922"/>
      <c r="B136" s="922"/>
      <c r="C136" s="4909"/>
      <c r="D136" s="1435" t="s">
        <v>1766</v>
      </c>
      <c r="E136" s="978"/>
      <c r="F136" s="1008"/>
      <c r="G136" s="1420" t="str">
        <f>IF(E136=0,"",VLOOKUP(E136,TablasTec!$A$14:$V$771,3,FALSE))</f>
        <v/>
      </c>
      <c r="H136" s="981" t="str">
        <f>IF($E136=0,"",VLOOKUP($E136,TablasTec!$A$14:$V$771,4,FALSE))</f>
        <v/>
      </c>
      <c r="I136" s="982" t="s">
        <v>1690</v>
      </c>
      <c r="J136" s="1398" t="str">
        <f>IF(E136=0,"",VLOOKUP(E136,TablasTec!$A$14:$V$771,5,FALSE))</f>
        <v/>
      </c>
      <c r="K136" s="984" t="str">
        <f>IF(I136="Si",IF(E136=0,"",VLOOKUP(E136,TablasTec!$A$14:$V$771,5,FALSE)),"")</f>
        <v/>
      </c>
      <c r="L136" s="982" t="s">
        <v>1690</v>
      </c>
      <c r="M136" s="1398" t="str">
        <f>IF(E136=0,"",VLOOKUP(E136,TablasTec!$A$14:$V$771,6,FALSE))</f>
        <v/>
      </c>
      <c r="N136" s="985" t="str">
        <f>IF(L136="Si",IF(E136=0,"",VLOOKUP(E136,TablasTec!$A$14:$V$771,6,FALSE)),"")</f>
        <v/>
      </c>
      <c r="O136" s="982" t="s">
        <v>1690</v>
      </c>
      <c r="P136" s="1398" t="str">
        <f>IF(E136=0,"",VLOOKUP(E136,TablasTec!$A$14:$V$771,7,FALSE))</f>
        <v/>
      </c>
      <c r="Q136" s="985" t="str">
        <f>IF(O136="Si",IF(E136=0,"",VLOOKUP(E136,TablasTec!$A$14:$V$771,7,FALSE)),"")</f>
        <v/>
      </c>
      <c r="R136" s="983" t="str">
        <f>IF(E136=0,"",VLOOKUP(E136,TablasTec!$A$14:$V$771,8,FALSE))</f>
        <v/>
      </c>
      <c r="S136" s="981" t="str">
        <f>IF(R136=$D$8,$D$8,IF(R136=2,2,IF(R136=3,3,R136)))</f>
        <v/>
      </c>
      <c r="T136" s="4899" t="s">
        <v>4542</v>
      </c>
      <c r="U136" s="4900"/>
      <c r="V136" s="3180"/>
      <c r="W136" s="4901"/>
      <c r="X136" s="4902"/>
      <c r="Y136" s="4902"/>
      <c r="Z136" s="4902"/>
      <c r="AA136" s="4902"/>
      <c r="AB136" s="4902"/>
      <c r="AC136" s="4902"/>
      <c r="AD136" s="4902"/>
      <c r="AE136" s="4902"/>
      <c r="AF136" s="4903"/>
      <c r="AG136" s="4901"/>
      <c r="AH136" s="4902"/>
      <c r="AI136" s="4902"/>
      <c r="AJ136" s="4902"/>
      <c r="AK136" s="4902"/>
      <c r="AL136" s="4902"/>
      <c r="AM136" s="4902"/>
      <c r="AN136" s="4902"/>
      <c r="AO136" s="4902"/>
      <c r="AP136" s="4903"/>
      <c r="AQ136" s="4901"/>
      <c r="AR136" s="4902"/>
      <c r="AS136" s="4902"/>
      <c r="AT136" s="4902"/>
      <c r="AU136" s="4902"/>
      <c r="AV136" s="4902"/>
      <c r="AW136" s="4902"/>
      <c r="AX136" s="4902"/>
      <c r="AY136" s="4902"/>
      <c r="AZ136" s="4903"/>
      <c r="BA136" s="4901"/>
      <c r="BB136" s="4902"/>
      <c r="BC136" s="4902"/>
      <c r="BD136" s="4902"/>
      <c r="BE136" s="4902"/>
      <c r="BF136" s="4902"/>
      <c r="BG136" s="4902"/>
      <c r="BH136" s="4902"/>
      <c r="BI136" s="4902"/>
      <c r="BJ136" s="4903"/>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IF(I136="Si",VLOOKUP($D$8,TablasTec!$E$4:$F$6,2,FALSE),"")</f>
        <v/>
      </c>
      <c r="BQ136" s="962" t="str">
        <f>IF(L136="Si",VLOOKUP($D$8,TablasTec!$I$4:$J$6,2,FALSE),"")</f>
        <v/>
      </c>
      <c r="BR136" s="960" t="str">
        <f>IF(O136="Si",VLOOKUP($D$8,TablasTec!$I$7:$J$9,2,FALSE),"")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c r="A137" s="922"/>
      <c r="B137" s="922"/>
      <c r="C137" s="4909"/>
      <c r="D137" s="1436" t="s">
        <v>1766</v>
      </c>
      <c r="E137" s="986"/>
      <c r="F137" s="1002"/>
      <c r="G137" s="972" t="str">
        <f>IF(E137=0,"",VLOOKUP(E137,TablasTec!$A$14:$V$771,3,FALSE))</f>
        <v/>
      </c>
      <c r="H137" s="997" t="str">
        <f>IF($E137=0,"",VLOOKUP($E137,TablasTec!$A$14:$V$771,4,FALSE))</f>
        <v/>
      </c>
      <c r="I137" s="970" t="s">
        <v>1690</v>
      </c>
      <c r="J137" s="1401" t="str">
        <f>IF(E137=0,"",VLOOKUP(E137,TablasTec!$A$14:$V$771,5,FALSE))</f>
        <v/>
      </c>
      <c r="K137" s="998" t="str">
        <f>IF(I137="Si",IF(E137=0,"",VLOOKUP(E137,TablasTec!$A$14:$V$771,5,FALSE)),"")</f>
        <v/>
      </c>
      <c r="L137" s="970" t="s">
        <v>1690</v>
      </c>
      <c r="M137" s="1401" t="str">
        <f>IF(E137=0,"",VLOOKUP(E137,TablasTec!$A$14:$V$771,6,FALSE))</f>
        <v/>
      </c>
      <c r="N137" s="973" t="str">
        <f>IF(L137="Si",IF(E137=0,"",VLOOKUP(E137,TablasTec!$A$14:$V$771,6,FALSE)),"")</f>
        <v/>
      </c>
      <c r="O137" s="970" t="s">
        <v>1690</v>
      </c>
      <c r="P137" s="1401" t="str">
        <f>IF(E137=0,"",VLOOKUP(E137,TablasTec!$A$14:$V$771,7,FALSE))</f>
        <v/>
      </c>
      <c r="Q137" s="973" t="str">
        <f>IF(O137="Si",IF(E137=0,"",VLOOKUP(E137,TablasTec!$A$14:$V$771,7,FALSE)),"")</f>
        <v/>
      </c>
      <c r="R137" s="1018" t="str">
        <f>IF(E137=0,"",VLOOKUP(E137,TablasTec!$A$14:$V$771,8,FALSE))</f>
        <v/>
      </c>
      <c r="S137" s="987" t="str">
        <f>IF(R137=$D$8,$D$8,IF(R137=2,2,IF(R137=3,3,R137)))</f>
        <v/>
      </c>
      <c r="T137" s="4890" t="s">
        <v>4544</v>
      </c>
      <c r="U137" s="4891"/>
      <c r="V137" s="3178"/>
      <c r="W137" s="4892"/>
      <c r="X137" s="4893"/>
      <c r="Y137" s="4893"/>
      <c r="Z137" s="4893"/>
      <c r="AA137" s="4893"/>
      <c r="AB137" s="4893"/>
      <c r="AC137" s="4893"/>
      <c r="AD137" s="4893"/>
      <c r="AE137" s="4893"/>
      <c r="AF137" s="4894"/>
      <c r="AG137" s="4892"/>
      <c r="AH137" s="4893"/>
      <c r="AI137" s="4893"/>
      <c r="AJ137" s="4893"/>
      <c r="AK137" s="4893"/>
      <c r="AL137" s="4893"/>
      <c r="AM137" s="4893"/>
      <c r="AN137" s="4893"/>
      <c r="AO137" s="4893"/>
      <c r="AP137" s="4894"/>
      <c r="AQ137" s="4892"/>
      <c r="AR137" s="4893"/>
      <c r="AS137" s="4893"/>
      <c r="AT137" s="4893"/>
      <c r="AU137" s="4893"/>
      <c r="AV137" s="4893"/>
      <c r="AW137" s="4893"/>
      <c r="AX137" s="4893"/>
      <c r="AY137" s="4893"/>
      <c r="AZ137" s="4894"/>
      <c r="BA137" s="4892"/>
      <c r="BB137" s="4893"/>
      <c r="BC137" s="4893"/>
      <c r="BD137" s="4893"/>
      <c r="BE137" s="4893"/>
      <c r="BF137" s="4893"/>
      <c r="BG137" s="4893"/>
      <c r="BH137" s="4893"/>
      <c r="BI137" s="4893"/>
      <c r="BJ137" s="4894"/>
      <c r="BK137" s="997">
        <f>SUM(K133:K137)-SUM(V137:BA137)</f>
        <v>0</v>
      </c>
      <c r="BL137" s="1422"/>
      <c r="BM137" s="1423"/>
      <c r="BN137" s="991"/>
      <c r="BO137" s="992"/>
      <c r="BP137" s="993" t="str">
        <f>IF(I137="Si",VLOOKUP($D$8,TablasTec!$E$4:$F$6,2,FALSE),"")</f>
        <v/>
      </c>
      <c r="BQ137" s="963" t="str">
        <f>IF(L137="Si",VLOOKUP($D$8,TablasTec!$I$4:$J$6,2,FALSE),"")</f>
        <v/>
      </c>
      <c r="BR137" s="994" t="str">
        <f>IF(O137="Si",VLOOKUP($D$8,TablasTec!$I$7:$J$9,2,FALSE),"")</f>
        <v/>
      </c>
      <c r="BS137" s="977"/>
      <c r="BT137" s="3171" t="s">
        <v>1687</v>
      </c>
      <c r="BU137" s="3172" t="s">
        <v>4548</v>
      </c>
      <c r="BV137" s="954"/>
      <c r="BW137" s="3172" t="s">
        <v>4549</v>
      </c>
      <c r="BX137" s="3171" t="s">
        <v>4550</v>
      </c>
      <c r="BY137" s="1284" t="s">
        <v>4550</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09"/>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IF(I138="Si",VLOOKUP($D$8,TablasTec!$E$4:$F$6,2,FALSE),"")</f>
        <v/>
      </c>
      <c r="BQ138" s="1013" t="str">
        <f>IF(L138="Si",VLOOKUP($D$8,TablasTec!$I$4:$J$6,2,FALSE),"")</f>
        <v/>
      </c>
      <c r="BR138" s="1011" t="str">
        <f>IF(O138="Si",VLOOKUP($D$8,TablasTec!$I$7:$J$9,2,FALSE),"")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09"/>
      <c r="D139" s="1436" t="s">
        <v>1766</v>
      </c>
      <c r="E139" s="966"/>
      <c r="F139" s="1002"/>
      <c r="G139" s="972" t="str">
        <f>IF(E139=0,"",VLOOKUP(E139,TablasTec!$A$14:$V$771,3,FALSE))</f>
        <v/>
      </c>
      <c r="H139" s="1014" t="str">
        <f>IF($E139=0,"",VLOOKUP($E139,TablasTec!$A$14:$V$771,4,FALSE))</f>
        <v/>
      </c>
      <c r="I139" s="970" t="s">
        <v>1690</v>
      </c>
      <c r="J139" s="1400" t="str">
        <f>IF(E139=0,"",VLOOKUP(E139,TablasTec!$A$14:$V$771,5,FALSE))</f>
        <v/>
      </c>
      <c r="K139" s="1016" t="str">
        <f>IF(I139="Si",IF(E139=0,"",VLOOKUP(E139,TablasTec!$A$14:$V$771,5,FALSE)),"")</f>
        <v/>
      </c>
      <c r="L139" s="970" t="s">
        <v>1690</v>
      </c>
      <c r="M139" s="1400" t="str">
        <f>IF(E139=0,"",VLOOKUP(E139,TablasTec!$A$14:$V$771,6,FALSE))</f>
        <v/>
      </c>
      <c r="N139" s="973" t="str">
        <f>IF(L139="Si",IF(E139=0,"",VLOOKUP(E139,TablasTec!$A$14:$V$771,6,FALSE)),"")</f>
        <v/>
      </c>
      <c r="O139" s="970" t="s">
        <v>1690</v>
      </c>
      <c r="P139" s="1400" t="str">
        <f>IF(E139=0,"",VLOOKUP(E139,TablasTec!$A$14:$V$771,7,FALSE))</f>
        <v/>
      </c>
      <c r="Q139" s="973" t="str">
        <f>IF(O139="Si",IF(E139=0,"",VLOOKUP(E139,TablasTec!$A$14:$V$771,7,FALSE)),"")</f>
        <v/>
      </c>
      <c r="R139" s="1015" t="str">
        <f>IF(E139=0,"",VLOOKUP(E139,TablasTec!$A$14:$V$771,8,FALSE))</f>
        <v/>
      </c>
      <c r="S139" s="987" t="str">
        <f>IF(R139=$D$8,$D$8,IF(R139=2,2,IF(R139=3,3,R139)))</f>
        <v/>
      </c>
      <c r="T139" s="1016" t="str">
        <f>IF(E139=0,"",VLOOKUP(E139,TablasTec!$A$14:$V$771,9,FALSE))</f>
        <v/>
      </c>
      <c r="U139" s="1016" t="str">
        <f>IF(E139=0,"",VLOOKUP(E139,TablasTec!$A$14:$V$771,10,FALSE))</f>
        <v/>
      </c>
      <c r="V139" s="1017" t="str">
        <f>IF(E139=0,"",VLOOKUP(E139,TablasTec!$A$14:$V$771,11,FALSE))</f>
        <v/>
      </c>
      <c r="W139" s="970"/>
      <c r="X139" s="971" t="e">
        <f>VLOOKUP(E139,TablasTec!$A$14:$V$771,12,FALSE)</f>
        <v>#N/A</v>
      </c>
      <c r="Y139" s="971" t="e">
        <f>IF(W139=X139,VLOOKUP(E139,TablasTec!$A$14:$V$771,13,FALSE),0)</f>
        <v>#N/A</v>
      </c>
      <c r="Z139" s="971" t="e">
        <f>VLOOKUP(E139,TablasTec!$A$14:$V$771,14,FALSE)</f>
        <v>#N/A</v>
      </c>
      <c r="AA139" s="971" t="e">
        <f>IF(W139=Z139,VLOOKUP(E139,TablasTec!$A$14:$V$616,15,FALSE),0)</f>
        <v>#N/A</v>
      </c>
      <c r="AB139" s="971" t="e">
        <f>VLOOKUP(E139,TablasTec!$A$14:$V$771,16,FALSE)</f>
        <v>#N/A</v>
      </c>
      <c r="AC139" s="971" t="e">
        <f>IF(W139=AB139,VLOOKUP(E139,TablasTec!$A$14:$V$616,17,FALSE),0)</f>
        <v>#N/A</v>
      </c>
      <c r="AD139" s="971" t="e">
        <f>VLOOKUP(E139,TablasTec!$A$14:$V$771,18,FALSE)</f>
        <v>#N/A</v>
      </c>
      <c r="AE139" s="971" t="e">
        <f>IF(W139=AD139,VLOOKUP(E139,TablasTec!$A$14:$V$771,19,FALSE),0)</f>
        <v>#N/A</v>
      </c>
      <c r="AF139" s="989" t="str">
        <f>IF(E139=0,"",(Y139+AA139+AC139+AE139))</f>
        <v/>
      </c>
      <c r="AG139" s="970"/>
      <c r="AH139" s="988" t="e">
        <f>VLOOKUP(E139,TablasTec!$A$14:$V$771,12,FALSE)</f>
        <v>#N/A</v>
      </c>
      <c r="AI139" s="988" t="e">
        <f>IF(AG139=AH139,VLOOKUP(E139,TablasTec!$A$14:$V$771,13,FALSE),0)</f>
        <v>#N/A</v>
      </c>
      <c r="AJ139" s="988" t="e">
        <f>VLOOKUP(E139,TablasTec!$A$14:$V$771,14,FALSE)</f>
        <v>#N/A</v>
      </c>
      <c r="AK139" s="988" t="e">
        <f>IF(AG139=AJ139,VLOOKUP(E139,TablasTec!$A$14:$V$771,15,FALSE),0)</f>
        <v>#N/A</v>
      </c>
      <c r="AL139" s="988" t="e">
        <f>VLOOKUP(E139,TablasTec!$A$14:$V$771,16,FALSE)</f>
        <v>#N/A</v>
      </c>
      <c r="AM139" s="988" t="e">
        <f>IF(AG139=AL139,VLOOKUP(E139,TablasTec!$A$14:$V$771,17,FALSE),0)</f>
        <v>#N/A</v>
      </c>
      <c r="AN139" s="988" t="e">
        <f>VLOOKUP(E139,TablasTec!$A$14:$V$771,18,FALSE)</f>
        <v>#N/A</v>
      </c>
      <c r="AO139" s="988" t="e">
        <f>IF(AG139=AN139,VLOOKUP(E139,TablasTec!$A$14:$V$771,19,FALSE),0)</f>
        <v>#N/A</v>
      </c>
      <c r="AP139" s="3182" t="str">
        <f>IF(E139=0,"",(AI139+AK139+AM139+AO139))</f>
        <v/>
      </c>
      <c r="AQ139" s="970"/>
      <c r="AR139" s="988" t="e">
        <f>VLOOKUP(E139,TablasTec!$A$14:$V$771,12,FALSE)</f>
        <v>#N/A</v>
      </c>
      <c r="AS139" s="988" t="e">
        <f>IF(AQ139=AR139,VLOOKUP(E139,TablasTec!$A$14:$V$771,13,FALSE),0)</f>
        <v>#N/A</v>
      </c>
      <c r="AT139" s="988" t="e">
        <f>VLOOKUP(E139,TablasTec!$A$14:$V$771,14,FALSE)</f>
        <v>#N/A</v>
      </c>
      <c r="AU139" s="988" t="e">
        <f>IF(AQ139=AT139,VLOOKUP(E139,TablasTec!$A$14:$V$771,15,FALSE),0)</f>
        <v>#N/A</v>
      </c>
      <c r="AV139" s="988" t="e">
        <f>VLOOKUP(E139,TablasTec!$A$14:$V$771,16,FALSE)</f>
        <v>#N/A</v>
      </c>
      <c r="AW139" s="988" t="e">
        <f>IF(AQ139=AV139,VLOOKUP(E139,TablasTec!$A$14:$V$771,17,FALSE),0)</f>
        <v>#N/A</v>
      </c>
      <c r="AX139" s="988" t="e">
        <f>VLOOKUP(E139,TablasTec!$A$14:$V$771,18,FALSE)</f>
        <v>#N/A</v>
      </c>
      <c r="AY139" s="988" t="e">
        <f>IF(AQ139=AX139,VLOOKUP(E139,TablasTec!$A$14:$V$771,19,FALSE),0)</f>
        <v>#N/A</v>
      </c>
      <c r="AZ139" s="989" t="str">
        <f>IF(E139=0,"",(AS139+AU139+AW139+AY139))</f>
        <v/>
      </c>
      <c r="BA139" s="970"/>
      <c r="BB139" s="988" t="e">
        <f>VLOOKUP(E139,TablasTec!$A$14:$V$771,12,FALSE)</f>
        <v>#N/A</v>
      </c>
      <c r="BC139" s="988" t="e">
        <f>IF(BA139=BB139,VLOOKUP(E139,TablasTec!$A$14:$V$771,13,FALSE),0)</f>
        <v>#N/A</v>
      </c>
      <c r="BD139" s="988" t="e">
        <f>VLOOKUP(E139,TablasTec!$A$14:$V$771,14,FALSE)</f>
        <v>#N/A</v>
      </c>
      <c r="BE139" s="988" t="e">
        <f>IF(BA139=BD139,VLOOKUP(E139,TablasTec!$A$14:$V$771,15,FALSE),0)</f>
        <v>#N/A</v>
      </c>
      <c r="BF139" s="988" t="e">
        <f>VLOOKUP(E139,TablasTec!$A$14:$V$771,16,FALSE)</f>
        <v>#N/A</v>
      </c>
      <c r="BG139" s="988" t="e">
        <f>IF(BA139=BF139,VLOOKUP(E139,TablasTec!$A$14:$V$771,17,FALSE),0)</f>
        <v>#N/A</v>
      </c>
      <c r="BH139" s="988" t="e">
        <f>VLOOKUP(E139,TablasTec!$A$14:$V$771,18,FALSE)</f>
        <v>#N/A</v>
      </c>
      <c r="BI139" s="988" t="e">
        <f>IF(BA139=BH139,VLOOKUP(E139,TablasTec!$A$14:$V$771,19,FALSE),0)</f>
        <v>#N/A</v>
      </c>
      <c r="BJ139" s="3182" t="str">
        <f>IF(E139=0,"",(BC139+BE139+BG139+BI139))</f>
        <v/>
      </c>
      <c r="BK139" s="1016" t="str">
        <f>IF(E139=0,"",VLOOKUP(E139,TablasTec!$A$14:$V$771,20,FALSE))</f>
        <v/>
      </c>
      <c r="BL139" s="1003" t="str">
        <f>IF(E139=0,"",VLOOKUP(E139,TablasTec!$A$14:$V$771,21,FALSE))</f>
        <v/>
      </c>
      <c r="BM139" s="974" t="str">
        <f>IF(E139=0,"",VLOOKUP(E139,TablasTec!$A$14:$V$771,22,FALSE))</f>
        <v/>
      </c>
      <c r="BN139" s="975"/>
      <c r="BO139" s="976"/>
      <c r="BP139" s="961" t="str">
        <f>IF(I139="Si",VLOOKUP($D$8,TablasTec!$E$4:$F$6,2,FALSE),"")</f>
        <v/>
      </c>
      <c r="BQ139" s="962" t="str">
        <f>IF(L139="Si",VLOOKUP($D$8,TablasTec!$I$4:$J$6,2,FALSE),"")</f>
        <v/>
      </c>
      <c r="BR139" s="960" t="str">
        <f>IF(O139="Si",VLOOKUP($D$8,TablasTec!$I$7:$J$9,2,FALSE),"")</f>
        <v/>
      </c>
      <c r="BS139" s="977"/>
      <c r="BT139" s="3171" t="s">
        <v>1692</v>
      </c>
      <c r="BU139" s="3172" t="s">
        <v>4548</v>
      </c>
      <c r="BV139" s="954"/>
      <c r="BW139" s="3172" t="s">
        <v>4549</v>
      </c>
      <c r="BX139" s="3171" t="s">
        <v>4550</v>
      </c>
      <c r="BY139" s="1284" t="s">
        <v>4550</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c r="A140" s="922"/>
      <c r="B140" s="922"/>
      <c r="C140" s="4909"/>
      <c r="D140" s="1435" t="s">
        <v>1766</v>
      </c>
      <c r="E140" s="978"/>
      <c r="F140" s="1008"/>
      <c r="G140" s="1420" t="str">
        <f>IF(E140=0,"",VLOOKUP(E140,TablasTec!$A$14:$V$771,3,FALSE))</f>
        <v/>
      </c>
      <c r="H140" s="981" t="str">
        <f>IF($E140=0,"",VLOOKUP($E140,TablasTec!$A$14:$V$771,4,FALSE))</f>
        <v/>
      </c>
      <c r="I140" s="982" t="s">
        <v>1690</v>
      </c>
      <c r="J140" s="1398" t="str">
        <f>IF(E140=0,"",VLOOKUP(E140,TablasTec!$A$14:$V$771,5,FALSE))</f>
        <v/>
      </c>
      <c r="K140" s="984" t="str">
        <f>IF(I140="Si",IF(E140=0,"",VLOOKUP(E140,TablasTec!$A$14:$V$771,5,FALSE)),"")</f>
        <v/>
      </c>
      <c r="L140" s="982" t="s">
        <v>1690</v>
      </c>
      <c r="M140" s="1398" t="str">
        <f>IF(E140=0,"",VLOOKUP(E140,TablasTec!$A$14:$V$771,6,FALSE))</f>
        <v/>
      </c>
      <c r="N140" s="985" t="str">
        <f>IF(L140="Si",IF(E140=0,"",VLOOKUP(E140,TablasTec!$A$14:$V$771,6,FALSE)),"")</f>
        <v/>
      </c>
      <c r="O140" s="982" t="s">
        <v>1690</v>
      </c>
      <c r="P140" s="1398" t="str">
        <f>IF(E140=0,"",VLOOKUP(E140,TablasTec!$A$14:$V$771,7,FALSE))</f>
        <v/>
      </c>
      <c r="Q140" s="985" t="str">
        <f>IF(O140="Si",IF(E140=0,"",VLOOKUP(E140,TablasTec!$A$14:$V$771,7,FALSE)),"")</f>
        <v/>
      </c>
      <c r="R140" s="983" t="str">
        <f>IF(E140=0,"",VLOOKUP(E140,TablasTec!$A$14:$V$771,8,FALSE))</f>
        <v/>
      </c>
      <c r="S140" s="981" t="str">
        <f>IF(R140=$D$8,$D$8,IF(R140=2,2,IF(R140=3,3,R140)))</f>
        <v/>
      </c>
      <c r="T140" s="4883" t="s">
        <v>4540</v>
      </c>
      <c r="U140" s="4884"/>
      <c r="V140" s="4884"/>
      <c r="W140" s="4884"/>
      <c r="X140" s="4884"/>
      <c r="Y140" s="4884"/>
      <c r="Z140" s="4884"/>
      <c r="AA140" s="4884"/>
      <c r="AB140" s="4884"/>
      <c r="AC140" s="4884"/>
      <c r="AD140" s="4884"/>
      <c r="AE140" s="4884"/>
      <c r="AF140" s="4884"/>
      <c r="AG140" s="4884"/>
      <c r="AH140" s="4884"/>
      <c r="AI140" s="4884"/>
      <c r="AJ140" s="4884"/>
      <c r="AK140" s="4884"/>
      <c r="AL140" s="4884"/>
      <c r="AM140" s="4884"/>
      <c r="AN140" s="4884"/>
      <c r="AO140" s="4884"/>
      <c r="AP140" s="4884"/>
      <c r="AQ140" s="4884"/>
      <c r="AR140" s="4884"/>
      <c r="AS140" s="4884"/>
      <c r="AT140" s="4884"/>
      <c r="AU140" s="4884"/>
      <c r="AV140" s="4884"/>
      <c r="AW140" s="4884"/>
      <c r="AX140" s="4884"/>
      <c r="AY140" s="4884"/>
      <c r="AZ140" s="4884"/>
      <c r="BA140" s="4884"/>
      <c r="BB140" s="4884"/>
      <c r="BC140" s="4884"/>
      <c r="BD140" s="4884"/>
      <c r="BE140" s="4884"/>
      <c r="BF140" s="4884"/>
      <c r="BG140" s="4884"/>
      <c r="BH140" s="4884"/>
      <c r="BI140" s="4884"/>
      <c r="BJ140" s="4884"/>
      <c r="BK140" s="4885"/>
      <c r="BL140" s="1420"/>
      <c r="BM140" s="1421"/>
      <c r="BN140" s="975"/>
      <c r="BO140" s="976"/>
      <c r="BP140" s="961" t="str">
        <f>IF(I140="Si",VLOOKUP($D$8,TablasTec!$E$4:$F$6,2,FALSE),"")</f>
        <v/>
      </c>
      <c r="BQ140" s="962" t="str">
        <f>IF(L140="Si",VLOOKUP($D$8,TablasTec!$I$4:$J$6,2,FALSE),"")</f>
        <v/>
      </c>
      <c r="BR140" s="960" t="str">
        <f>IF(O140="Si",VLOOKUP($D$8,TablasTec!$I$7:$J$9,2,FALSE),"")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c r="A141" s="922"/>
      <c r="B141" s="922"/>
      <c r="C141" s="4909"/>
      <c r="D141" s="1436" t="s">
        <v>1766</v>
      </c>
      <c r="E141" s="986"/>
      <c r="F141" s="1002"/>
      <c r="G141" s="972" t="str">
        <f>IF(E141=0,"",VLOOKUP(E141,TablasTec!$A$14:$V$771,3,FALSE))</f>
        <v/>
      </c>
      <c r="H141" s="3181" t="str">
        <f>IF($E141=0,"",VLOOKUP($E141,TablasTec!$A$14:$V$771,4,FALSE))</f>
        <v/>
      </c>
      <c r="I141" s="970" t="s">
        <v>1690</v>
      </c>
      <c r="J141" s="1394" t="str">
        <f>IF(E141=0,"",VLOOKUP(E141,TablasTec!$A$14:$V$771,5,FALSE))</f>
        <v/>
      </c>
      <c r="K141" s="989" t="str">
        <f>IF(I141="Si",IF(E141=0,"",VLOOKUP(E141,TablasTec!$A$14:$V$771,5,FALSE)),"")</f>
        <v/>
      </c>
      <c r="L141" s="970" t="s">
        <v>1690</v>
      </c>
      <c r="M141" s="1394" t="str">
        <f>IF(E141=0,"",VLOOKUP(E141,TablasTec!$A$14:$V$771,6,FALSE))</f>
        <v/>
      </c>
      <c r="N141" s="973" t="str">
        <f>IF(L141="Si",IF(E141=0,"",VLOOKUP(E141,TablasTec!$A$14:$V$771,6,FALSE)),"")</f>
        <v/>
      </c>
      <c r="O141" s="970" t="s">
        <v>1690</v>
      </c>
      <c r="P141" s="1394" t="str">
        <f>IF(E141=0,"",VLOOKUP(E141,TablasTec!$A$14:$V$771,7,FALSE))</f>
        <v/>
      </c>
      <c r="Q141" s="973" t="str">
        <f>IF(O141="Si",IF(E141=0,"",VLOOKUP(E141,TablasTec!$A$14:$V$771,7,FALSE)),"")</f>
        <v/>
      </c>
      <c r="R141" s="988" t="str">
        <f>IF(E141=0,"",VLOOKUP(E141,TablasTec!$A$14:$V$771,8,FALSE))</f>
        <v/>
      </c>
      <c r="S141" s="3181" t="str">
        <f>IF(R141=$D$8,$D$8,IF(R141=2,2,IF(R141=3,3,R141)))</f>
        <v/>
      </c>
      <c r="T141" s="4896"/>
      <c r="U141" s="4897"/>
      <c r="V141" s="3179" t="str">
        <f>IF(OR(V139=0,V139=""),"N/A",V139)</f>
        <v>N/A</v>
      </c>
      <c r="W141" s="4896" t="str">
        <f xml:space="preserve"> IF(OR(AF139=0,AF139=""),"N/A",W139)</f>
        <v>N/A</v>
      </c>
      <c r="X141" s="4898"/>
      <c r="Y141" s="4898"/>
      <c r="Z141" s="4898"/>
      <c r="AA141" s="4898"/>
      <c r="AB141" s="4898"/>
      <c r="AC141" s="4898"/>
      <c r="AD141" s="4898"/>
      <c r="AE141" s="4898"/>
      <c r="AF141" s="4897"/>
      <c r="AG141" s="4896" t="str">
        <f xml:space="preserve"> IF(OR(AP139="",AP139=0),"N/A",AG139)</f>
        <v>N/A</v>
      </c>
      <c r="AH141" s="4898"/>
      <c r="AI141" s="4898"/>
      <c r="AJ141" s="4898"/>
      <c r="AK141" s="4898"/>
      <c r="AL141" s="4898"/>
      <c r="AM141" s="4898"/>
      <c r="AN141" s="4898"/>
      <c r="AO141" s="4898"/>
      <c r="AP141" s="4897"/>
      <c r="AQ141" s="4896" t="str">
        <f xml:space="preserve"> IF(OR(AZ139="",AZ139=0),"N/A",AQ139)</f>
        <v>N/A</v>
      </c>
      <c r="AR141" s="4898"/>
      <c r="AS141" s="4898"/>
      <c r="AT141" s="4898"/>
      <c r="AU141" s="4898"/>
      <c r="AV141" s="4898"/>
      <c r="AW141" s="4898"/>
      <c r="AX141" s="4898"/>
      <c r="AY141" s="4898"/>
      <c r="AZ141" s="4897"/>
      <c r="BA141" s="4896" t="str">
        <f xml:space="preserve"> IF(OR(BJ139="",BJ139=0),"N/A",BA139)</f>
        <v>N/A</v>
      </c>
      <c r="BB141" s="4898"/>
      <c r="BC141" s="4898"/>
      <c r="BD141" s="4898"/>
      <c r="BE141" s="4898"/>
      <c r="BF141" s="4898"/>
      <c r="BG141" s="4898"/>
      <c r="BH141" s="4898"/>
      <c r="BI141" s="4898"/>
      <c r="BJ141" s="4897"/>
      <c r="BK141" s="990" t="s">
        <v>4541</v>
      </c>
      <c r="BL141" s="972"/>
      <c r="BM141" s="1007"/>
      <c r="BN141" s="991"/>
      <c r="BO141" s="992"/>
      <c r="BP141" s="993" t="str">
        <f>IF(I141="Si",VLOOKUP($D$8,TablasTec!$E$4:$F$6,2,FALSE),"")</f>
        <v/>
      </c>
      <c r="BQ141" s="963" t="str">
        <f>IF(L141="Si",VLOOKUP($D$8,TablasTec!$I$4:$J$6,2,FALSE),"")</f>
        <v/>
      </c>
      <c r="BR141" s="994" t="str">
        <f>IF(O141="Si",VLOOKUP($D$8,TablasTec!$I$7:$J$9,2,FALSE),"")</f>
        <v/>
      </c>
      <c r="BS141" s="977"/>
      <c r="BT141" s="3171" t="s">
        <v>1700</v>
      </c>
      <c r="BU141" s="3172" t="s">
        <v>4548</v>
      </c>
      <c r="BV141" s="954"/>
      <c r="BW141" s="3172" t="s">
        <v>4549</v>
      </c>
      <c r="BX141" s="3171" t="s">
        <v>4550</v>
      </c>
      <c r="BY141" s="1284" t="s">
        <v>4550</v>
      </c>
      <c r="BZ141" s="2869"/>
      <c r="CA141" s="922"/>
      <c r="DR141" s="922"/>
      <c r="DT141" s="1308"/>
      <c r="DU141" s="1362"/>
      <c r="DV141" s="1359" t="str">
        <f>IF(E141="","",E141)&amp;IF(I141="No",""," (Mant.)")&amp;IF(L141="No",""," (Sme)")&amp;IF(O141="No",""," (SMa)")</f>
        <v/>
      </c>
      <c r="DW141" s="1360"/>
      <c r="DX141" s="1361"/>
      <c r="DY141" s="1307"/>
      <c r="DZ141" s="922"/>
      <c r="EA141" s="1453">
        <f t="shared" si="2"/>
        <v>1</v>
      </c>
    </row>
    <row r="142" spans="1:131">
      <c r="A142" s="922"/>
      <c r="B142" s="922"/>
      <c r="C142" s="4909"/>
      <c r="D142" s="1435" t="s">
        <v>1766</v>
      </c>
      <c r="E142" s="978"/>
      <c r="F142" s="1008"/>
      <c r="G142" s="1420" t="str">
        <f>IF(E142=0,"",VLOOKUP(E142,TablasTec!$A$14:$V$771,3,FALSE))</f>
        <v/>
      </c>
      <c r="H142" s="981" t="str">
        <f>IF($E142=0,"",VLOOKUP($E142,TablasTec!$A$14:$V$771,4,FALSE))</f>
        <v/>
      </c>
      <c r="I142" s="982" t="s">
        <v>1690</v>
      </c>
      <c r="J142" s="1398" t="str">
        <f>IF(E142=0,"",VLOOKUP(E142,TablasTec!$A$14:$V$771,5,FALSE))</f>
        <v/>
      </c>
      <c r="K142" s="984" t="str">
        <f>IF(I142="Si",IF(E142=0,"",VLOOKUP(E142,TablasTec!$A$14:$V$771,5,FALSE)),"")</f>
        <v/>
      </c>
      <c r="L142" s="982" t="s">
        <v>1690</v>
      </c>
      <c r="M142" s="1398" t="str">
        <f>IF(E142=0,"",VLOOKUP(E142,TablasTec!$A$14:$V$771,6,FALSE))</f>
        <v/>
      </c>
      <c r="N142" s="985" t="str">
        <f>IF(L142="Si",IF(E142=0,"",VLOOKUP(E142,TablasTec!$A$14:$V$771,6,FALSE)),"")</f>
        <v/>
      </c>
      <c r="O142" s="982" t="s">
        <v>1690</v>
      </c>
      <c r="P142" s="1398" t="str">
        <f>IF(E142=0,"",VLOOKUP(E142,TablasTec!$A$14:$V$771,7,FALSE))</f>
        <v/>
      </c>
      <c r="Q142" s="985" t="str">
        <f>IF(O142="Si",IF(E142=0,"",VLOOKUP(E142,TablasTec!$A$14:$V$771,7,FALSE)),"")</f>
        <v/>
      </c>
      <c r="R142" s="983" t="str">
        <f>IF(E142=0,"",VLOOKUP(E142,TablasTec!$A$14:$V$771,8,FALSE))</f>
        <v/>
      </c>
      <c r="S142" s="981" t="str">
        <f>IF(R142=$D$8,$D$8,IF(R142=2,2,IF(R142=3,3,R142)))</f>
        <v/>
      </c>
      <c r="T142" s="4899" t="s">
        <v>4542</v>
      </c>
      <c r="U142" s="4900"/>
      <c r="V142" s="3180"/>
      <c r="W142" s="4901"/>
      <c r="X142" s="4902"/>
      <c r="Y142" s="4902"/>
      <c r="Z142" s="4902"/>
      <c r="AA142" s="4902"/>
      <c r="AB142" s="4902"/>
      <c r="AC142" s="4902"/>
      <c r="AD142" s="4902"/>
      <c r="AE142" s="4902"/>
      <c r="AF142" s="4903"/>
      <c r="AG142" s="4901"/>
      <c r="AH142" s="4902"/>
      <c r="AI142" s="4902"/>
      <c r="AJ142" s="4902"/>
      <c r="AK142" s="4902"/>
      <c r="AL142" s="4902"/>
      <c r="AM142" s="4902"/>
      <c r="AN142" s="4902"/>
      <c r="AO142" s="4902"/>
      <c r="AP142" s="4903"/>
      <c r="AQ142" s="4901"/>
      <c r="AR142" s="4902"/>
      <c r="AS142" s="4902"/>
      <c r="AT142" s="4902"/>
      <c r="AU142" s="4902"/>
      <c r="AV142" s="4902"/>
      <c r="AW142" s="4902"/>
      <c r="AX142" s="4902"/>
      <c r="AY142" s="4902"/>
      <c r="AZ142" s="4903"/>
      <c r="BA142" s="4901"/>
      <c r="BB142" s="4902"/>
      <c r="BC142" s="4902"/>
      <c r="BD142" s="4902"/>
      <c r="BE142" s="4902"/>
      <c r="BF142" s="4902"/>
      <c r="BG142" s="4902"/>
      <c r="BH142" s="4902"/>
      <c r="BI142" s="4902"/>
      <c r="BJ142" s="4903"/>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IF(I142="Si",VLOOKUP($D$8,TablasTec!$E$4:$F$6,2,FALSE),"")</f>
        <v/>
      </c>
      <c r="BQ142" s="962" t="str">
        <f>IF(L142="Si",VLOOKUP($D$8,TablasTec!$I$4:$J$6,2,FALSE),"")</f>
        <v/>
      </c>
      <c r="BR142" s="960" t="str">
        <f>IF(O142="Si",VLOOKUP($D$8,TablasTec!$I$7:$J$9,2,FALSE),"")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c r="A143" s="922"/>
      <c r="B143" s="922"/>
      <c r="C143" s="4909"/>
      <c r="D143" s="1436" t="s">
        <v>1766</v>
      </c>
      <c r="E143" s="986"/>
      <c r="F143" s="1002"/>
      <c r="G143" s="972" t="str">
        <f>IF(E143=0,"",VLOOKUP(E143,TablasTec!$A$14:$V$771,3,FALSE))</f>
        <v/>
      </c>
      <c r="H143" s="997" t="str">
        <f>IF($E143=0,"",VLOOKUP($E143,TablasTec!$A$14:$V$771,4,FALSE))</f>
        <v/>
      </c>
      <c r="I143" s="970" t="s">
        <v>1690</v>
      </c>
      <c r="J143" s="1401" t="str">
        <f>IF(E143=0,"",VLOOKUP(E143,TablasTec!$A$14:$V$771,5,FALSE))</f>
        <v/>
      </c>
      <c r="K143" s="998" t="str">
        <f>IF(I143="Si",IF(E143=0,"",VLOOKUP(E143,TablasTec!$A$14:$V$771,5,FALSE)),"")</f>
        <v/>
      </c>
      <c r="L143" s="970" t="s">
        <v>1690</v>
      </c>
      <c r="M143" s="1401" t="str">
        <f>IF(E143=0,"",VLOOKUP(E143,TablasTec!$A$14:$V$771,6,FALSE))</f>
        <v/>
      </c>
      <c r="N143" s="973" t="str">
        <f>IF(L143="Si",IF(E143=0,"",VLOOKUP(E143,TablasTec!$A$14:$V$771,6,FALSE)),"")</f>
        <v/>
      </c>
      <c r="O143" s="970" t="s">
        <v>1690</v>
      </c>
      <c r="P143" s="1401" t="str">
        <f>IF(E143=0,"",VLOOKUP(E143,TablasTec!$A$14:$V$771,7,FALSE))</f>
        <v/>
      </c>
      <c r="Q143" s="973" t="str">
        <f>IF(O143="Si",IF(E143=0,"",VLOOKUP(E143,TablasTec!$A$14:$V$771,7,FALSE)),"")</f>
        <v/>
      </c>
      <c r="R143" s="1018" t="str">
        <f>IF(E143=0,"",VLOOKUP(E143,TablasTec!$A$14:$V$771,8,FALSE))</f>
        <v/>
      </c>
      <c r="S143" s="987" t="str">
        <f>IF(R143=$D$8,$D$8,IF(R143=2,2,IF(R143=3,3,R143)))</f>
        <v/>
      </c>
      <c r="T143" s="4890" t="s">
        <v>4544</v>
      </c>
      <c r="U143" s="4891"/>
      <c r="V143" s="3178"/>
      <c r="W143" s="4892"/>
      <c r="X143" s="4893"/>
      <c r="Y143" s="4893"/>
      <c r="Z143" s="4893"/>
      <c r="AA143" s="4893"/>
      <c r="AB143" s="4893"/>
      <c r="AC143" s="4893"/>
      <c r="AD143" s="4893"/>
      <c r="AE143" s="4893"/>
      <c r="AF143" s="4894"/>
      <c r="AG143" s="4892"/>
      <c r="AH143" s="4893"/>
      <c r="AI143" s="4893"/>
      <c r="AJ143" s="4893"/>
      <c r="AK143" s="4893"/>
      <c r="AL143" s="4893"/>
      <c r="AM143" s="4893"/>
      <c r="AN143" s="4893"/>
      <c r="AO143" s="4893"/>
      <c r="AP143" s="4894"/>
      <c r="AQ143" s="4892"/>
      <c r="AR143" s="4893"/>
      <c r="AS143" s="4893"/>
      <c r="AT143" s="4893"/>
      <c r="AU143" s="4893"/>
      <c r="AV143" s="4893"/>
      <c r="AW143" s="4893"/>
      <c r="AX143" s="4893"/>
      <c r="AY143" s="4893"/>
      <c r="AZ143" s="4894"/>
      <c r="BA143" s="4892"/>
      <c r="BB143" s="4893"/>
      <c r="BC143" s="4893"/>
      <c r="BD143" s="4893"/>
      <c r="BE143" s="4893"/>
      <c r="BF143" s="4893"/>
      <c r="BG143" s="4893"/>
      <c r="BH143" s="4893"/>
      <c r="BI143" s="4893"/>
      <c r="BJ143" s="4894"/>
      <c r="BK143" s="997">
        <f>SUM(K139:K143)-SUM(V143:BA143)</f>
        <v>0</v>
      </c>
      <c r="BL143" s="1422"/>
      <c r="BM143" s="1423"/>
      <c r="BN143" s="991"/>
      <c r="BO143" s="992"/>
      <c r="BP143" s="993" t="str">
        <f>IF(I143="Si",VLOOKUP($D$8,TablasTec!$E$4:$F$6,2,FALSE),"")</f>
        <v/>
      </c>
      <c r="BQ143" s="963" t="str">
        <f>IF(L143="Si",VLOOKUP($D$8,TablasTec!$I$4:$J$6,2,FALSE),"")</f>
        <v/>
      </c>
      <c r="BR143" s="994" t="str">
        <f>IF(O143="Si",VLOOKUP($D$8,TablasTec!$I$7:$J$9,2,FALSE),"")</f>
        <v/>
      </c>
      <c r="BS143" s="977"/>
      <c r="BT143" s="3171" t="s">
        <v>1701</v>
      </c>
      <c r="BU143" s="3172" t="s">
        <v>4548</v>
      </c>
      <c r="BV143" s="954"/>
      <c r="BW143" s="3172" t="s">
        <v>4549</v>
      </c>
      <c r="BX143" s="3171" t="s">
        <v>4550</v>
      </c>
      <c r="BY143" s="1284" t="s">
        <v>4550</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09"/>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IF(I144="Si",VLOOKUP($D$8,TablasTec!$E$4:$F$6,2,FALSE),"")</f>
        <v/>
      </c>
      <c r="BQ144" s="1013" t="str">
        <f>IF(L144="Si",VLOOKUP($D$8,TablasTec!$I$4:$J$6,2,FALSE),"")</f>
        <v/>
      </c>
      <c r="BR144" s="1011" t="str">
        <f>IF(O144="Si",VLOOKUP($D$8,TablasTec!$I$7:$J$9,2,FALSE),"")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09"/>
      <c r="D145" s="1436" t="s">
        <v>1766</v>
      </c>
      <c r="E145" s="966"/>
      <c r="F145" s="1002"/>
      <c r="G145" s="972" t="str">
        <f>IF(E145=0,"",VLOOKUP(E145,TablasTec!$A$14:$V$771,3,FALSE))</f>
        <v/>
      </c>
      <c r="H145" s="1014" t="str">
        <f>IF($E145=0,"",VLOOKUP($E145,TablasTec!$A$14:$V$771,4,FALSE))</f>
        <v/>
      </c>
      <c r="I145" s="970" t="s">
        <v>1690</v>
      </c>
      <c r="J145" s="1400" t="str">
        <f>IF(E145=0,"",VLOOKUP(E145,TablasTec!$A$14:$V$771,5,FALSE))</f>
        <v/>
      </c>
      <c r="K145" s="1016" t="str">
        <f>IF(I145="Si",IF(E145=0,"",VLOOKUP(E145,TablasTec!$A$14:$V$771,5,FALSE)),"")</f>
        <v/>
      </c>
      <c r="L145" s="970" t="s">
        <v>1690</v>
      </c>
      <c r="M145" s="1400" t="str">
        <f>IF(E145=0,"",VLOOKUP(E145,TablasTec!$A$14:$V$771,6,FALSE))</f>
        <v/>
      </c>
      <c r="N145" s="973" t="str">
        <f>IF(L145="Si",IF(E145=0,"",VLOOKUP(E145,TablasTec!$A$14:$V$771,6,FALSE)),"")</f>
        <v/>
      </c>
      <c r="O145" s="970" t="s">
        <v>1690</v>
      </c>
      <c r="P145" s="1400" t="str">
        <f>IF(E145=0,"",VLOOKUP(E145,TablasTec!$A$14:$V$771,7,FALSE))</f>
        <v/>
      </c>
      <c r="Q145" s="973" t="str">
        <f>IF(O145="Si",IF(E145=0,"",VLOOKUP(E145,TablasTec!$A$14:$V$771,7,FALSE)),"")</f>
        <v/>
      </c>
      <c r="R145" s="1015" t="str">
        <f>IF(E145=0,"",VLOOKUP(E145,TablasTec!$A$14:$V$771,8,FALSE))</f>
        <v/>
      </c>
      <c r="S145" s="987" t="str">
        <f>IF(R145=$D$8,$D$8,IF(R145=2,2,IF(R145=3,3,R145)))</f>
        <v/>
      </c>
      <c r="T145" s="1016" t="str">
        <f>IF(E145=0,"",VLOOKUP(E145,TablasTec!$A$14:$V$771,9,FALSE))</f>
        <v/>
      </c>
      <c r="U145" s="1016" t="str">
        <f>IF(E145=0,"",VLOOKUP(E145,TablasTec!$A$14:$V$771,10,FALSE))</f>
        <v/>
      </c>
      <c r="V145" s="1017" t="str">
        <f>IF(E145=0,"",VLOOKUP(E145,TablasTec!$A$14:$V$771,11,FALSE))</f>
        <v/>
      </c>
      <c r="W145" s="970"/>
      <c r="X145" s="971" t="e">
        <f>VLOOKUP(E145,TablasTec!$A$14:$V$771,12,FALSE)</f>
        <v>#N/A</v>
      </c>
      <c r="Y145" s="971" t="e">
        <f>IF(W145=X145,VLOOKUP(E145,TablasTec!$A$14:$V$771,13,FALSE),0)</f>
        <v>#N/A</v>
      </c>
      <c r="Z145" s="971" t="e">
        <f>VLOOKUP(E145,TablasTec!$A$14:$V$771,14,FALSE)</f>
        <v>#N/A</v>
      </c>
      <c r="AA145" s="971" t="e">
        <f>IF(W145=Z145,VLOOKUP(E145,TablasTec!$A$14:$V$616,15,FALSE),0)</f>
        <v>#N/A</v>
      </c>
      <c r="AB145" s="971" t="e">
        <f>VLOOKUP(E145,TablasTec!$A$14:$V$771,16,FALSE)</f>
        <v>#N/A</v>
      </c>
      <c r="AC145" s="971" t="e">
        <f>IF(W145=AB145,VLOOKUP(E145,TablasTec!$A$14:$V$616,17,FALSE),0)</f>
        <v>#N/A</v>
      </c>
      <c r="AD145" s="971" t="e">
        <f>VLOOKUP(E145,TablasTec!$A$14:$V$771,18,FALSE)</f>
        <v>#N/A</v>
      </c>
      <c r="AE145" s="971" t="e">
        <f>IF(W145=AD145,VLOOKUP(E145,TablasTec!$A$14:$V$771,19,FALSE),0)</f>
        <v>#N/A</v>
      </c>
      <c r="AF145" s="989" t="str">
        <f>IF(E145=0,"",(Y145+AA145+AC145+AE145))</f>
        <v/>
      </c>
      <c r="AG145" s="970"/>
      <c r="AH145" s="988" t="e">
        <f>VLOOKUP(E145,TablasTec!$A$14:$V$771,12,FALSE)</f>
        <v>#N/A</v>
      </c>
      <c r="AI145" s="988" t="e">
        <f>IF(AG145=AH145,VLOOKUP(E145,TablasTec!$A$14:$V$771,13,FALSE),0)</f>
        <v>#N/A</v>
      </c>
      <c r="AJ145" s="988" t="e">
        <f>VLOOKUP(E145,TablasTec!$A$14:$V$771,14,FALSE)</f>
        <v>#N/A</v>
      </c>
      <c r="AK145" s="988" t="e">
        <f>IF(AG145=AJ145,VLOOKUP(E145,TablasTec!$A$14:$V$771,15,FALSE),0)</f>
        <v>#N/A</v>
      </c>
      <c r="AL145" s="988" t="e">
        <f>VLOOKUP(E145,TablasTec!$A$14:$V$771,16,FALSE)</f>
        <v>#N/A</v>
      </c>
      <c r="AM145" s="988" t="e">
        <f>IF(AG145=AL145,VLOOKUP(E145,TablasTec!$A$14:$V$771,17,FALSE),0)</f>
        <v>#N/A</v>
      </c>
      <c r="AN145" s="988" t="e">
        <f>VLOOKUP(E145,TablasTec!$A$14:$V$771,18,FALSE)</f>
        <v>#N/A</v>
      </c>
      <c r="AO145" s="988" t="e">
        <f>IF(AG145=AN145,VLOOKUP(E145,TablasTec!$A$14:$V$771,19,FALSE),0)</f>
        <v>#N/A</v>
      </c>
      <c r="AP145" s="3182" t="str">
        <f>IF(E145=0,"",(AI145+AK145+AM145+AO145))</f>
        <v/>
      </c>
      <c r="AQ145" s="970"/>
      <c r="AR145" s="988" t="e">
        <f>VLOOKUP(E145,TablasTec!$A$14:$V$771,12,FALSE)</f>
        <v>#N/A</v>
      </c>
      <c r="AS145" s="988" t="e">
        <f>IF(AQ145=AR145,VLOOKUP(E145,TablasTec!$A$14:$V$771,13,FALSE),0)</f>
        <v>#N/A</v>
      </c>
      <c r="AT145" s="988" t="e">
        <f>VLOOKUP(E145,TablasTec!$A$14:$V$771,14,FALSE)</f>
        <v>#N/A</v>
      </c>
      <c r="AU145" s="988" t="e">
        <f>IF(AQ145=AT145,VLOOKUP(E145,TablasTec!$A$14:$V$771,15,FALSE),0)</f>
        <v>#N/A</v>
      </c>
      <c r="AV145" s="988" t="e">
        <f>VLOOKUP(E145,TablasTec!$A$14:$V$771,16,FALSE)</f>
        <v>#N/A</v>
      </c>
      <c r="AW145" s="988" t="e">
        <f>IF(AQ145=AV145,VLOOKUP(E145,TablasTec!$A$14:$V$771,17,FALSE),0)</f>
        <v>#N/A</v>
      </c>
      <c r="AX145" s="988" t="e">
        <f>VLOOKUP(E145,TablasTec!$A$14:$V$771,18,FALSE)</f>
        <v>#N/A</v>
      </c>
      <c r="AY145" s="988" t="e">
        <f>IF(AQ145=AX145,VLOOKUP(E145,TablasTec!$A$14:$V$771,19,FALSE),0)</f>
        <v>#N/A</v>
      </c>
      <c r="AZ145" s="989" t="str">
        <f>IF(E145=0,"",(AS145+AU145+AW145+AY145))</f>
        <v/>
      </c>
      <c r="BA145" s="970"/>
      <c r="BB145" s="988" t="e">
        <f>VLOOKUP(E145,TablasTec!$A$14:$V$771,12,FALSE)</f>
        <v>#N/A</v>
      </c>
      <c r="BC145" s="988" t="e">
        <f>IF(BA145=BB145,VLOOKUP(E145,TablasTec!$A$14:$V$771,13,FALSE),0)</f>
        <v>#N/A</v>
      </c>
      <c r="BD145" s="988" t="e">
        <f>VLOOKUP(E145,TablasTec!$A$14:$V$771,14,FALSE)</f>
        <v>#N/A</v>
      </c>
      <c r="BE145" s="988" t="e">
        <f>IF(BA145=BD145,VLOOKUP(E145,TablasTec!$A$14:$V$771,15,FALSE),0)</f>
        <v>#N/A</v>
      </c>
      <c r="BF145" s="988" t="e">
        <f>VLOOKUP(E145,TablasTec!$A$14:$V$771,16,FALSE)</f>
        <v>#N/A</v>
      </c>
      <c r="BG145" s="988" t="e">
        <f>IF(BA145=BF145,VLOOKUP(E145,TablasTec!$A$14:$V$771,17,FALSE),0)</f>
        <v>#N/A</v>
      </c>
      <c r="BH145" s="988" t="e">
        <f>VLOOKUP(E145,TablasTec!$A$14:$V$771,18,FALSE)</f>
        <v>#N/A</v>
      </c>
      <c r="BI145" s="988" t="e">
        <f>IF(BA145=BH145,VLOOKUP(E145,TablasTec!$A$14:$V$771,19,FALSE),0)</f>
        <v>#N/A</v>
      </c>
      <c r="BJ145" s="3182" t="str">
        <f>IF(E145=0,"",(BC145+BE145+BG145+BI145))</f>
        <v/>
      </c>
      <c r="BK145" s="1016" t="str">
        <f>IF(E145=0,"",VLOOKUP(E145,TablasTec!$A$14:$V$771,20,FALSE))</f>
        <v/>
      </c>
      <c r="BL145" s="1003" t="str">
        <f>IF(E145=0,"",VLOOKUP(E145,TablasTec!$A$14:$V$771,21,FALSE))</f>
        <v/>
      </c>
      <c r="BM145" s="974" t="str">
        <f>IF(E145=0,"",VLOOKUP(E145,TablasTec!$A$14:$V$771,22,FALSE))</f>
        <v/>
      </c>
      <c r="BN145" s="975"/>
      <c r="BO145" s="976"/>
      <c r="BP145" s="961" t="str">
        <f>IF(I145="Si",VLOOKUP($D$8,TablasTec!$E$4:$F$6,2,FALSE),"")</f>
        <v/>
      </c>
      <c r="BQ145" s="962" t="str">
        <f>IF(L145="Si",VLOOKUP($D$8,TablasTec!$I$4:$J$6,2,FALSE),"")</f>
        <v/>
      </c>
      <c r="BR145" s="960" t="str">
        <f>IF(O145="Si",VLOOKUP($D$8,TablasTec!$I$7:$J$9,2,FALSE),"")</f>
        <v/>
      </c>
      <c r="BS145" s="977"/>
      <c r="BU145" s="4864"/>
      <c r="BV145" s="4864"/>
      <c r="BW145" s="4864"/>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c r="A146" s="922"/>
      <c r="B146" s="922"/>
      <c r="C146" s="4909"/>
      <c r="D146" s="1435" t="s">
        <v>1766</v>
      </c>
      <c r="E146" s="978"/>
      <c r="F146" s="1008"/>
      <c r="G146" s="1420" t="str">
        <f>IF(E146=0,"",VLOOKUP(E146,TablasTec!$A$14:$V$771,3,FALSE))</f>
        <v/>
      </c>
      <c r="H146" s="981" t="str">
        <f>IF($E146=0,"",VLOOKUP($E146,TablasTec!$A$14:$V$771,4,FALSE))</f>
        <v/>
      </c>
      <c r="I146" s="982" t="s">
        <v>1690</v>
      </c>
      <c r="J146" s="1398" t="str">
        <f>IF(E146=0,"",VLOOKUP(E146,TablasTec!$A$14:$V$771,5,FALSE))</f>
        <v/>
      </c>
      <c r="K146" s="984" t="str">
        <f>IF(I146="Si",IF(E146=0,"",VLOOKUP(E146,TablasTec!$A$14:$V$771,5,FALSE)),"")</f>
        <v/>
      </c>
      <c r="L146" s="982" t="s">
        <v>1690</v>
      </c>
      <c r="M146" s="1398" t="str">
        <f>IF(E146=0,"",VLOOKUP(E146,TablasTec!$A$14:$V$771,6,FALSE))</f>
        <v/>
      </c>
      <c r="N146" s="985" t="str">
        <f>IF(L146="Si",IF(E146=0,"",VLOOKUP(E146,TablasTec!$A$14:$V$771,6,FALSE)),"")</f>
        <v/>
      </c>
      <c r="O146" s="982" t="s">
        <v>1690</v>
      </c>
      <c r="P146" s="1398" t="str">
        <f>IF(E146=0,"",VLOOKUP(E146,TablasTec!$A$14:$V$771,7,FALSE))</f>
        <v/>
      </c>
      <c r="Q146" s="985" t="str">
        <f>IF(O146="Si",IF(E146=0,"",VLOOKUP(E146,TablasTec!$A$14:$V$771,7,FALSE)),"")</f>
        <v/>
      </c>
      <c r="R146" s="983" t="str">
        <f>IF(E146=0,"",VLOOKUP(E146,TablasTec!$A$14:$V$771,8,FALSE))</f>
        <v/>
      </c>
      <c r="S146" s="981" t="str">
        <f>IF(R146=$D$8,$D$8,IF(R146=2,2,IF(R146=3,3,R146)))</f>
        <v/>
      </c>
      <c r="T146" s="4883" t="s">
        <v>4540</v>
      </c>
      <c r="U146" s="4884"/>
      <c r="V146" s="4884"/>
      <c r="W146" s="4884"/>
      <c r="X146" s="4884"/>
      <c r="Y146" s="4884"/>
      <c r="Z146" s="4884"/>
      <c r="AA146" s="4884"/>
      <c r="AB146" s="4884"/>
      <c r="AC146" s="4884"/>
      <c r="AD146" s="4884"/>
      <c r="AE146" s="4884"/>
      <c r="AF146" s="4884"/>
      <c r="AG146" s="4884"/>
      <c r="AH146" s="4884"/>
      <c r="AI146" s="4884"/>
      <c r="AJ146" s="4884"/>
      <c r="AK146" s="4884"/>
      <c r="AL146" s="4884"/>
      <c r="AM146" s="4884"/>
      <c r="AN146" s="4884"/>
      <c r="AO146" s="4884"/>
      <c r="AP146" s="4884"/>
      <c r="AQ146" s="4884"/>
      <c r="AR146" s="4884"/>
      <c r="AS146" s="4884"/>
      <c r="AT146" s="4884"/>
      <c r="AU146" s="4884"/>
      <c r="AV146" s="4884"/>
      <c r="AW146" s="4884"/>
      <c r="AX146" s="4884"/>
      <c r="AY146" s="4884"/>
      <c r="AZ146" s="4884"/>
      <c r="BA146" s="4884"/>
      <c r="BB146" s="4884"/>
      <c r="BC146" s="4884"/>
      <c r="BD146" s="4884"/>
      <c r="BE146" s="4884"/>
      <c r="BF146" s="4884"/>
      <c r="BG146" s="4884"/>
      <c r="BH146" s="4884"/>
      <c r="BI146" s="4884"/>
      <c r="BJ146" s="4884"/>
      <c r="BK146" s="4885"/>
      <c r="BL146" s="1420"/>
      <c r="BM146" s="1421"/>
      <c r="BN146" s="975"/>
      <c r="BO146" s="976"/>
      <c r="BP146" s="961" t="str">
        <f>IF(I146="Si",VLOOKUP($D$8,TablasTec!$E$4:$F$6,2,FALSE),"")</f>
        <v/>
      </c>
      <c r="BQ146" s="962" t="str">
        <f>IF(L146="Si",VLOOKUP($D$8,TablasTec!$I$4:$J$6,2,FALSE),"")</f>
        <v/>
      </c>
      <c r="BR146" s="960" t="str">
        <f>IF(O146="Si",VLOOKUP($D$8,TablasTec!$I$7:$J$9,2,FALSE),"")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c r="A147" s="922"/>
      <c r="B147" s="922"/>
      <c r="C147" s="4909"/>
      <c r="D147" s="1436" t="s">
        <v>1766</v>
      </c>
      <c r="E147" s="986"/>
      <c r="F147" s="1002"/>
      <c r="G147" s="972" t="str">
        <f>IF(E147=0,"",VLOOKUP(E147,TablasTec!$A$14:$V$771,3,FALSE))</f>
        <v/>
      </c>
      <c r="H147" s="3181" t="str">
        <f>IF($E147=0,"",VLOOKUP($E147,TablasTec!$A$14:$V$771,4,FALSE))</f>
        <v/>
      </c>
      <c r="I147" s="970" t="s">
        <v>1690</v>
      </c>
      <c r="J147" s="1394" t="str">
        <f>IF(E147=0,"",VLOOKUP(E147,TablasTec!$A$14:$V$771,5,FALSE))</f>
        <v/>
      </c>
      <c r="K147" s="989" t="str">
        <f>IF(I147="Si",IF(E147=0,"",VLOOKUP(E147,TablasTec!$A$14:$V$771,5,FALSE)),"")</f>
        <v/>
      </c>
      <c r="L147" s="970" t="s">
        <v>1690</v>
      </c>
      <c r="M147" s="1394" t="str">
        <f>IF(E147=0,"",VLOOKUP(E147,TablasTec!$A$14:$V$771,6,FALSE))</f>
        <v/>
      </c>
      <c r="N147" s="973" t="str">
        <f>IF(L147="Si",IF(E147=0,"",VLOOKUP(E147,TablasTec!$A$14:$V$771,6,FALSE)),"")</f>
        <v/>
      </c>
      <c r="O147" s="970" t="s">
        <v>1690</v>
      </c>
      <c r="P147" s="1394" t="str">
        <f>IF(E147=0,"",VLOOKUP(E147,TablasTec!$A$14:$V$771,7,FALSE))</f>
        <v/>
      </c>
      <c r="Q147" s="973" t="str">
        <f>IF(O147="Si",IF(E147=0,"",VLOOKUP(E147,TablasTec!$A$14:$V$771,7,FALSE)),"")</f>
        <v/>
      </c>
      <c r="R147" s="988" t="str">
        <f>IF(E147=0,"",VLOOKUP(E147,TablasTec!$A$14:$V$771,8,FALSE))</f>
        <v/>
      </c>
      <c r="S147" s="3181" t="str">
        <f>IF(R147=$D$8,$D$8,IF(R147=2,2,IF(R147=3,3,R147)))</f>
        <v/>
      </c>
      <c r="T147" s="4896"/>
      <c r="U147" s="4897"/>
      <c r="V147" s="3179" t="str">
        <f>IF(OR(V145=0,V145=""),"N/A",V145)</f>
        <v>N/A</v>
      </c>
      <c r="W147" s="4896" t="str">
        <f xml:space="preserve"> IF(OR(AF145=0,AF145=""),"N/A",W145)</f>
        <v>N/A</v>
      </c>
      <c r="X147" s="4898"/>
      <c r="Y147" s="4898"/>
      <c r="Z147" s="4898"/>
      <c r="AA147" s="4898"/>
      <c r="AB147" s="4898"/>
      <c r="AC147" s="4898"/>
      <c r="AD147" s="4898"/>
      <c r="AE147" s="4898"/>
      <c r="AF147" s="4897"/>
      <c r="AG147" s="4896" t="str">
        <f xml:space="preserve"> IF(OR(AP145="",AP145=0),"N/A",AG145)</f>
        <v>N/A</v>
      </c>
      <c r="AH147" s="4898"/>
      <c r="AI147" s="4898"/>
      <c r="AJ147" s="4898"/>
      <c r="AK147" s="4898"/>
      <c r="AL147" s="4898"/>
      <c r="AM147" s="4898"/>
      <c r="AN147" s="4898"/>
      <c r="AO147" s="4898"/>
      <c r="AP147" s="4897"/>
      <c r="AQ147" s="4896" t="str">
        <f xml:space="preserve"> IF(OR(AZ145="",AZ145=0),"N/A",AQ145)</f>
        <v>N/A</v>
      </c>
      <c r="AR147" s="4898"/>
      <c r="AS147" s="4898"/>
      <c r="AT147" s="4898"/>
      <c r="AU147" s="4898"/>
      <c r="AV147" s="4898"/>
      <c r="AW147" s="4898"/>
      <c r="AX147" s="4898"/>
      <c r="AY147" s="4898"/>
      <c r="AZ147" s="4897"/>
      <c r="BA147" s="4896" t="str">
        <f xml:space="preserve"> IF(OR(BJ145="",BJ145=0),"N/A",BA145)</f>
        <v>N/A</v>
      </c>
      <c r="BB147" s="4898"/>
      <c r="BC147" s="4898"/>
      <c r="BD147" s="4898"/>
      <c r="BE147" s="4898"/>
      <c r="BF147" s="4898"/>
      <c r="BG147" s="4898"/>
      <c r="BH147" s="4898"/>
      <c r="BI147" s="4898"/>
      <c r="BJ147" s="4897"/>
      <c r="BK147" s="990" t="s">
        <v>4541</v>
      </c>
      <c r="BL147" s="972"/>
      <c r="BM147" s="1007"/>
      <c r="BN147" s="991"/>
      <c r="BO147" s="992"/>
      <c r="BP147" s="993" t="str">
        <f>IF(I147="Si",VLOOKUP($D$8,TablasTec!$E$4:$F$6,2,FALSE),"")</f>
        <v/>
      </c>
      <c r="BQ147" s="963" t="str">
        <f>IF(L147="Si",VLOOKUP($D$8,TablasTec!$I$4:$J$6,2,FALSE),"")</f>
        <v/>
      </c>
      <c r="BR147" s="994" t="str">
        <f>IF(O147="Si",VLOOKUP($D$8,TablasTec!$I$7:$J$9,2,FALSE),"")</f>
        <v/>
      </c>
      <c r="BS147" s="977"/>
      <c r="BU147" s="4863"/>
      <c r="BV147" s="4863"/>
      <c r="BW147" s="4863"/>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c r="A148" s="922"/>
      <c r="B148" s="922"/>
      <c r="C148" s="4909"/>
      <c r="D148" s="1435" t="s">
        <v>1766</v>
      </c>
      <c r="E148" s="978"/>
      <c r="F148" s="1008"/>
      <c r="G148" s="1420" t="str">
        <f>IF(E148=0,"",VLOOKUP(E148,TablasTec!$A$14:$V$771,3,FALSE))</f>
        <v/>
      </c>
      <c r="H148" s="981" t="str">
        <f>IF($E148=0,"",VLOOKUP($E148,TablasTec!$A$14:$V$771,4,FALSE))</f>
        <v/>
      </c>
      <c r="I148" s="982" t="s">
        <v>1690</v>
      </c>
      <c r="J148" s="1398" t="str">
        <f>IF(E148=0,"",VLOOKUP(E148,TablasTec!$A$14:$V$771,5,FALSE))</f>
        <v/>
      </c>
      <c r="K148" s="984" t="str">
        <f>IF(I148="Si",IF(E148=0,"",VLOOKUP(E148,TablasTec!$A$14:$V$771,5,FALSE)),"")</f>
        <v/>
      </c>
      <c r="L148" s="982" t="s">
        <v>1690</v>
      </c>
      <c r="M148" s="1398" t="str">
        <f>IF(E148=0,"",VLOOKUP(E148,TablasTec!$A$14:$V$771,6,FALSE))</f>
        <v/>
      </c>
      <c r="N148" s="985" t="str">
        <f>IF(L148="Si",IF(E148=0,"",VLOOKUP(E148,TablasTec!$A$14:$V$771,6,FALSE)),"")</f>
        <v/>
      </c>
      <c r="O148" s="982" t="s">
        <v>1690</v>
      </c>
      <c r="P148" s="1398" t="str">
        <f>IF(E148=0,"",VLOOKUP(E148,TablasTec!$A$14:$V$771,7,FALSE))</f>
        <v/>
      </c>
      <c r="Q148" s="985" t="str">
        <f>IF(O148="Si",IF(E148=0,"",VLOOKUP(E148,TablasTec!$A$14:$V$771,7,FALSE)),"")</f>
        <v/>
      </c>
      <c r="R148" s="983" t="str">
        <f>IF(E148=0,"",VLOOKUP(E148,TablasTec!$A$14:$V$771,8,FALSE))</f>
        <v/>
      </c>
      <c r="S148" s="981" t="str">
        <f>IF(R148=$D$8,$D$8,IF(R148=2,2,IF(R148=3,3,R148)))</f>
        <v/>
      </c>
      <c r="T148" s="4899" t="s">
        <v>4542</v>
      </c>
      <c r="U148" s="4900"/>
      <c r="V148" s="3180"/>
      <c r="W148" s="4901"/>
      <c r="X148" s="4902"/>
      <c r="Y148" s="4902"/>
      <c r="Z148" s="4902"/>
      <c r="AA148" s="4902"/>
      <c r="AB148" s="4902"/>
      <c r="AC148" s="4902"/>
      <c r="AD148" s="4902"/>
      <c r="AE148" s="4902"/>
      <c r="AF148" s="4903"/>
      <c r="AG148" s="4901"/>
      <c r="AH148" s="4902"/>
      <c r="AI148" s="4902"/>
      <c r="AJ148" s="4902"/>
      <c r="AK148" s="4902"/>
      <c r="AL148" s="4902"/>
      <c r="AM148" s="4902"/>
      <c r="AN148" s="4902"/>
      <c r="AO148" s="4902"/>
      <c r="AP148" s="4903"/>
      <c r="AQ148" s="4901"/>
      <c r="AR148" s="4902"/>
      <c r="AS148" s="4902"/>
      <c r="AT148" s="4902"/>
      <c r="AU148" s="4902"/>
      <c r="AV148" s="4902"/>
      <c r="AW148" s="4902"/>
      <c r="AX148" s="4902"/>
      <c r="AY148" s="4902"/>
      <c r="AZ148" s="4903"/>
      <c r="BA148" s="4901"/>
      <c r="BB148" s="4902"/>
      <c r="BC148" s="4902"/>
      <c r="BD148" s="4902"/>
      <c r="BE148" s="4902"/>
      <c r="BF148" s="4902"/>
      <c r="BG148" s="4902"/>
      <c r="BH148" s="4902"/>
      <c r="BI148" s="4902"/>
      <c r="BJ148" s="4903"/>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IF(I148="Si",VLOOKUP($D$8,TablasTec!$E$4:$F$6,2,FALSE),"")</f>
        <v/>
      </c>
      <c r="BQ148" s="962" t="str">
        <f>IF(L148="Si",VLOOKUP($D$8,TablasTec!$I$4:$J$6,2,FALSE),"")</f>
        <v/>
      </c>
      <c r="BR148" s="960" t="str">
        <f>IF(O148="Si",VLOOKUP($D$8,TablasTec!$I$7:$J$9,2,FALSE),"")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c r="A149" s="922"/>
      <c r="B149" s="922"/>
      <c r="C149" s="4909"/>
      <c r="D149" s="1436" t="s">
        <v>1766</v>
      </c>
      <c r="E149" s="986"/>
      <c r="F149" s="1002"/>
      <c r="G149" s="972" t="str">
        <f>IF(E149=0,"",VLOOKUP(E149,TablasTec!$A$14:$V$771,3,FALSE))</f>
        <v/>
      </c>
      <c r="H149" s="987" t="str">
        <f>IF($E149=0,"",VLOOKUP($E149,TablasTec!$A$14:$V$771,4,FALSE))</f>
        <v/>
      </c>
      <c r="I149" s="970" t="s">
        <v>1690</v>
      </c>
      <c r="J149" s="1394" t="str">
        <f>IF(E149=0,"",VLOOKUP(E149,TablasTec!$A$14:$V$771,5,FALSE))</f>
        <v/>
      </c>
      <c r="K149" s="989" t="str">
        <f>IF(I149="Si",IF(E149=0,"",VLOOKUP(E149,TablasTec!$A$14:$V$771,5,FALSE)),"")</f>
        <v/>
      </c>
      <c r="L149" s="970" t="s">
        <v>1690</v>
      </c>
      <c r="M149" s="1394" t="str">
        <f>IF(E149=0,"",VLOOKUP(E149,TablasTec!$A$14:$V$771,6,FALSE))</f>
        <v/>
      </c>
      <c r="N149" s="973" t="str">
        <f>IF(L149="Si",IF(E149=0,"",VLOOKUP(E149,TablasTec!$A$14:$V$771,6,FALSE)),"")</f>
        <v/>
      </c>
      <c r="O149" s="970" t="s">
        <v>1690</v>
      </c>
      <c r="P149" s="1394" t="str">
        <f>IF(E149=0,"",VLOOKUP(E149,TablasTec!$A$14:$V$771,7,FALSE))</f>
        <v/>
      </c>
      <c r="Q149" s="973" t="str">
        <f>IF(O149="Si",IF(E149=0,"",VLOOKUP(E149,TablasTec!$A$14:$V$771,7,FALSE)),"")</f>
        <v/>
      </c>
      <c r="R149" s="988" t="str">
        <f>IF(E149=0,"",VLOOKUP(E149,TablasTec!$A$14:$V$771,8,FALSE))</f>
        <v/>
      </c>
      <c r="S149" s="987" t="str">
        <f>IF(R149=$D$8,$D$8,IF(R149=2,2,IF(R149=3,3,R149)))</f>
        <v/>
      </c>
      <c r="T149" s="4904" t="s">
        <v>4544</v>
      </c>
      <c r="U149" s="4905"/>
      <c r="V149" s="3183"/>
      <c r="W149" s="4906"/>
      <c r="X149" s="4907"/>
      <c r="Y149" s="4907"/>
      <c r="Z149" s="4907"/>
      <c r="AA149" s="4907"/>
      <c r="AB149" s="4907"/>
      <c r="AC149" s="4907"/>
      <c r="AD149" s="4907"/>
      <c r="AE149" s="4907"/>
      <c r="AF149" s="4908"/>
      <c r="AG149" s="4906"/>
      <c r="AH149" s="4907"/>
      <c r="AI149" s="4907"/>
      <c r="AJ149" s="4907"/>
      <c r="AK149" s="4907"/>
      <c r="AL149" s="4907"/>
      <c r="AM149" s="4907"/>
      <c r="AN149" s="4907"/>
      <c r="AO149" s="4907"/>
      <c r="AP149" s="4908"/>
      <c r="AQ149" s="4906"/>
      <c r="AR149" s="4907"/>
      <c r="AS149" s="4907"/>
      <c r="AT149" s="4907"/>
      <c r="AU149" s="4907"/>
      <c r="AV149" s="4907"/>
      <c r="AW149" s="4907"/>
      <c r="AX149" s="4907"/>
      <c r="AY149" s="4907"/>
      <c r="AZ149" s="4908"/>
      <c r="BA149" s="4906"/>
      <c r="BB149" s="4907"/>
      <c r="BC149" s="4907"/>
      <c r="BD149" s="4907"/>
      <c r="BE149" s="4907"/>
      <c r="BF149" s="4907"/>
      <c r="BG149" s="4907"/>
      <c r="BH149" s="4907"/>
      <c r="BI149" s="4907"/>
      <c r="BJ149" s="4908"/>
      <c r="BK149" s="987">
        <f>SUM(K145:K149)-SUM(V149:BA149)</f>
        <v>0</v>
      </c>
      <c r="BL149" s="972"/>
      <c r="BM149" s="1007"/>
      <c r="BN149" s="991"/>
      <c r="BO149" s="992"/>
      <c r="BP149" s="993" t="str">
        <f>IF(I149="Si",VLOOKUP($D$8,TablasTec!$E$4:$F$6,2,FALSE),"")</f>
        <v/>
      </c>
      <c r="BQ149" s="963" t="str">
        <f>IF(L149="Si",VLOOKUP($D$8,TablasTec!$I$4:$J$6,2,FALSE),"")</f>
        <v/>
      </c>
      <c r="BR149" s="994" t="str">
        <f>IF(O149="Si",VLOOKUP($D$8,TablasTec!$I$7:$J$9,2,FALSE),"")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c r="A150" s="922"/>
      <c r="B150" s="922"/>
      <c r="C150" s="4909"/>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89"/>
      <c r="BL150" s="4889"/>
      <c r="BM150" s="4854"/>
      <c r="BN150" s="960">
        <f>SUM(K150:K153)</f>
        <v>0</v>
      </c>
      <c r="BO150" s="954">
        <f>IF(E150=0,"",(AF150+AP150+AZ150+BJ150))</f>
        <v>0</v>
      </c>
      <c r="BP150" s="961" t="str">
        <f>IF(I150="Si",VLOOKUP($D$8,TablasTec!$E$4:$F$6,2,FALSE),"")</f>
        <v/>
      </c>
      <c r="BQ150" s="962" t="str">
        <f>IF(L150="Si",VLOOKUP($D$8,TablasTec!$I$4:$J$6,2,FALSE),"")</f>
        <v/>
      </c>
      <c r="BR150" s="960" t="str">
        <f>IF(O150="Si",VLOOKUP($D$8,TablasTec!$I$7:$J$9,2,FALSE),"")</f>
        <v/>
      </c>
      <c r="BS150" s="977"/>
      <c r="BT150" s="4853" t="s">
        <v>4553</v>
      </c>
      <c r="BU150" s="4854"/>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c r="A151" s="922"/>
      <c r="B151" s="922"/>
      <c r="C151" s="4909"/>
      <c r="D151" s="1439" t="s">
        <v>4552</v>
      </c>
      <c r="E151" s="966"/>
      <c r="F151" s="989"/>
      <c r="G151" s="989"/>
      <c r="H151" s="987" t="str">
        <f>IF(D119=0,"",IF(E151=0,"",VLOOKUP(E151,TablasTec!$A$14:$V$771,4,FALSE)))</f>
        <v/>
      </c>
      <c r="I151" s="989"/>
      <c r="J151" s="989"/>
      <c r="K151" s="1021"/>
      <c r="L151" s="989"/>
      <c r="M151" s="989"/>
      <c r="N151" s="1021"/>
      <c r="O151" s="989"/>
      <c r="P151" s="989"/>
      <c r="Q151" s="989"/>
      <c r="R151" s="988" t="str">
        <f>IF(E151=0,"",VLOOKUP(E151,TablasTec!$A$14:$V$771,8,FALSE))</f>
        <v/>
      </c>
      <c r="S151" s="1014" t="str">
        <f>IF(R151=$D$8,$D$8,IF(R151=2,2,IF(R151=3,3,R151)))</f>
        <v/>
      </c>
      <c r="T151" s="989" t="str">
        <f>IF(E151=0,"",VLOOKUP(E151,TablasTec!$A$14:$V$771,9,FALSE))</f>
        <v/>
      </c>
      <c r="U151" s="1016" t="str">
        <f>IF(E151=0,"",VLOOKUP(E151,TablasTec!$A$14:$V$771,10,FALSE))</f>
        <v/>
      </c>
      <c r="V151" s="1017"/>
      <c r="W151" s="1017"/>
      <c r="X151" s="1016"/>
      <c r="Y151" s="1016"/>
      <c r="Z151" s="1016"/>
      <c r="AA151" s="1016"/>
      <c r="AB151" s="1016"/>
      <c r="AC151" s="1016"/>
      <c r="AD151" s="1016"/>
      <c r="AE151" s="1016"/>
      <c r="AF151" s="1016"/>
      <c r="AG151" s="4886" t="str">
        <f>IF(OR(E151=TablasTec!A$678,E151=TablasTec!A$679,E152=TablasTec!A$678,E152=TablasTec!A$679,E153=TablasTec!A$678,E153=TablasTec!A$679),"Selecciona la atadura elemental:","")</f>
        <v/>
      </c>
      <c r="AH151" s="4887"/>
      <c r="AI151" s="4887"/>
      <c r="AJ151" s="4887"/>
      <c r="AK151" s="4887"/>
      <c r="AL151" s="4887"/>
      <c r="AM151" s="4887"/>
      <c r="AN151" s="4887"/>
      <c r="AO151" s="4887"/>
      <c r="AP151" s="4887"/>
      <c r="AQ151" s="4887"/>
      <c r="AR151" s="4887"/>
      <c r="AS151" s="4887"/>
      <c r="AT151" s="4887"/>
      <c r="AU151" s="4887"/>
      <c r="AV151" s="4887"/>
      <c r="AW151" s="4887"/>
      <c r="AX151" s="4887"/>
      <c r="AY151" s="4887"/>
      <c r="AZ151" s="4887"/>
      <c r="BA151" s="4887"/>
      <c r="BB151" s="4887"/>
      <c r="BC151" s="4887"/>
      <c r="BD151" s="4887"/>
      <c r="BE151" s="4887"/>
      <c r="BF151" s="4887"/>
      <c r="BG151" s="4887"/>
      <c r="BH151" s="4887"/>
      <c r="BI151" s="4887"/>
      <c r="BJ151" s="4887"/>
      <c r="BK151" s="4888"/>
      <c r="BL151" s="1424"/>
      <c r="BM151" s="1424"/>
      <c r="BN151" s="989"/>
      <c r="BO151" s="989"/>
      <c r="BP151" s="1021"/>
      <c r="BQ151" s="989"/>
      <c r="BR151" s="989"/>
      <c r="BS151" s="989"/>
      <c r="BT151" s="4855">
        <f>D119</f>
        <v>1</v>
      </c>
      <c r="BU151" s="4856"/>
      <c r="BV151" s="954">
        <f>IF(BV150=0,0,VLOOKUP(BV150,TablasTec!$M$4:$N$7,2,FALSE))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c r="A152" s="922"/>
      <c r="B152" s="922"/>
      <c r="C152" s="4909"/>
      <c r="D152" s="1435" t="s">
        <v>4554</v>
      </c>
      <c r="E152" s="1022"/>
      <c r="F152" s="1388"/>
      <c r="G152" s="1389"/>
      <c r="H152" s="979" t="str">
        <f>IF(VALUE(D119)&gt;1,IF(E152=0,"",VLOOKUP(E152,TablasTec!$A$14:$V$771,4,FALSE)),"")</f>
        <v/>
      </c>
      <c r="I152" s="1388"/>
      <c r="J152" s="1389"/>
      <c r="K152" s="1389"/>
      <c r="L152" s="1388"/>
      <c r="M152" s="1389"/>
      <c r="N152" s="1390"/>
      <c r="O152" s="1389"/>
      <c r="P152" s="1389"/>
      <c r="Q152" s="1389"/>
      <c r="R152" s="983" t="str">
        <f>IF(E152=0,"",VLOOKUP(E152,TablasTec!$A$14:$V$771,8,FALSE))</f>
        <v/>
      </c>
      <c r="S152" s="981" t="str">
        <f>IF(R152=$D$8,$D$8,IF(R152=2,2,IF(R152=3,3,R152)))</f>
        <v/>
      </c>
      <c r="T152" s="984" t="str">
        <f>IF(E152=0,"",VLOOKUP(E152,TablasTec!$A$14:$V$771,9,FALSE))</f>
        <v/>
      </c>
      <c r="U152" s="984" t="str">
        <f>IF(E152=0,"",VLOOKUP(E152,TablasTec!$A$14:$V$771,10,FALSE))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c r="A153" s="922"/>
      <c r="B153" s="922"/>
      <c r="C153" s="4909"/>
      <c r="D153" s="1440" t="s">
        <v>4555</v>
      </c>
      <c r="E153" s="1023"/>
      <c r="F153" s="3176"/>
      <c r="G153" s="998"/>
      <c r="H153" s="997" t="str">
        <f>IF(VALUE(D119)=3,IF(E153=0,"",VLOOKUP(E153,TablasTec!$A$14:$V$771,4,FALSE)),"")</f>
        <v/>
      </c>
      <c r="I153" s="998"/>
      <c r="J153" s="998"/>
      <c r="K153" s="998"/>
      <c r="L153" s="3176"/>
      <c r="M153" s="998"/>
      <c r="N153" s="998"/>
      <c r="O153" s="3176"/>
      <c r="P153" s="998"/>
      <c r="Q153" s="998"/>
      <c r="R153" s="1018" t="str">
        <f>IF(E153=0,"",VLOOKUP(E153,TablasTec!$A$14:$V$771,8,FALSE))</f>
        <v/>
      </c>
      <c r="S153" s="997" t="str">
        <f>IF(R153=$D$8,$D$8,IF(R153=2,2,IF(R153=3,3,R153)))</f>
        <v/>
      </c>
      <c r="T153" s="998" t="str">
        <f>IF(E153=0,"",VLOOKUP(E153,TablasTec!$A$14:$V$771,9,FALSE))</f>
        <v/>
      </c>
      <c r="U153" s="998" t="str">
        <f>IF(E153=0,"",VLOOKUP(E153,TablasTec!$A$14:$V$771,10,FALSE))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IF(BV152=0,0,VLOOKUP(BV152,TablasTec!$M$4:$N$7,2,FALSE))</f>
        <v>0</v>
      </c>
      <c r="BW153" s="934"/>
      <c r="BX153" s="934"/>
      <c r="BY153" s="1269"/>
      <c r="BZ153" s="1287"/>
      <c r="CA153" s="926"/>
      <c r="DR153" s="926"/>
      <c r="DT153" s="1311"/>
      <c r="DU153" s="1416"/>
      <c r="DV153" s="1416"/>
      <c r="DW153" s="1416"/>
      <c r="DX153" s="1416"/>
      <c r="DY153" s="1312"/>
      <c r="DZ153" s="926"/>
      <c r="EA153" s="1453">
        <f t="shared" si="2"/>
        <v>1</v>
      </c>
    </row>
    <row r="154" spans="1:132">
      <c r="A154" s="926"/>
      <c r="B154" s="926"/>
      <c r="C154" s="4909"/>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c r="A155" s="922"/>
      <c r="B155" s="922"/>
      <c r="C155" s="4909"/>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c r="A156" s="922"/>
      <c r="B156" s="922"/>
      <c r="C156" s="4909"/>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3175" t="s">
        <v>1708</v>
      </c>
      <c r="U156" s="3175" t="s">
        <v>1679</v>
      </c>
      <c r="V156" s="3175" t="s">
        <v>3335</v>
      </c>
      <c r="W156" s="4881" t="s">
        <v>3336</v>
      </c>
      <c r="X156" s="4881"/>
      <c r="Y156" s="4881"/>
      <c r="Z156" s="4881"/>
      <c r="AA156" s="4881"/>
      <c r="AB156" s="4881"/>
      <c r="AC156" s="4881"/>
      <c r="AD156" s="4881"/>
      <c r="AE156" s="4881"/>
      <c r="AF156" s="4881"/>
      <c r="AG156" s="4881"/>
      <c r="AH156" s="4881"/>
      <c r="AI156" s="4881"/>
      <c r="AJ156" s="4881"/>
      <c r="AK156" s="4881"/>
      <c r="AL156" s="4881"/>
      <c r="AM156" s="4881"/>
      <c r="AN156" s="4881"/>
      <c r="AO156" s="4881"/>
      <c r="AP156" s="4881"/>
      <c r="AQ156" s="4881"/>
      <c r="AR156" s="4881"/>
      <c r="AS156" s="4881"/>
      <c r="AT156" s="4881"/>
      <c r="AU156" s="4881"/>
      <c r="AV156" s="4881"/>
      <c r="AW156" s="4881"/>
      <c r="AX156" s="4881"/>
      <c r="AY156" s="4881"/>
      <c r="AZ156" s="4881"/>
      <c r="BA156" s="4881"/>
      <c r="BB156" s="4881"/>
      <c r="BC156" s="4881"/>
      <c r="BD156" s="4881"/>
      <c r="BE156" s="4881"/>
      <c r="BF156" s="4881"/>
      <c r="BG156" s="4881"/>
      <c r="BH156" s="4881"/>
      <c r="BI156" s="4881"/>
      <c r="BJ156" s="4881"/>
      <c r="BK156" s="4881" t="s">
        <v>3337</v>
      </c>
      <c r="BL156" s="4881"/>
      <c r="BM156" s="4882"/>
      <c r="BN156" s="952" t="s">
        <v>4532</v>
      </c>
      <c r="BO156" s="952" t="s">
        <v>4533</v>
      </c>
      <c r="BP156" s="952" t="s">
        <v>4534</v>
      </c>
      <c r="BQ156" s="952" t="s">
        <v>4535</v>
      </c>
      <c r="BR156" s="952" t="s">
        <v>4536</v>
      </c>
      <c r="BS156" s="953" t="s">
        <v>4537</v>
      </c>
      <c r="BT156" s="4857" t="s">
        <v>4538</v>
      </c>
      <c r="BU156" s="4858"/>
      <c r="BV156" s="954"/>
      <c r="BW156" s="934"/>
      <c r="BX156" s="934"/>
      <c r="BY156" s="1269"/>
      <c r="BZ156" s="1287"/>
      <c r="CA156" s="922"/>
      <c r="DR156" s="922"/>
      <c r="DT156" s="1308"/>
      <c r="DU156" s="1360"/>
      <c r="DV156" s="1360"/>
      <c r="DW156" s="1360"/>
      <c r="DX156" s="1360"/>
      <c r="DY156" s="1307"/>
      <c r="DZ156" s="922"/>
      <c r="EB156" s="2127">
        <f>D156</f>
        <v>1</v>
      </c>
    </row>
    <row r="157" spans="1:132" ht="11.25" customHeight="1">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09"/>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IF(I157="Si",VLOOKUP($D$8,TablasTec!$E$4:$F$6,2,FALSE),"")</f>
        <v/>
      </c>
      <c r="BQ157" s="962" t="str">
        <f>IF(L157="Si",VLOOKUP($D$8,TablasTec!$I$4:$J$6,2,FALSE),"")</f>
        <v/>
      </c>
      <c r="BR157" s="960" t="str">
        <f>IF(O157="Si",VLOOKUP($D$8,TablasTec!$I$7:$J$9,2,FALSE),"")</f>
        <v/>
      </c>
      <c r="BS157" s="963">
        <f>VLOOKUP(D156,TablasTec!$P$6:$R$8,3)</f>
        <v>50</v>
      </c>
      <c r="BT157" s="964">
        <f>VLOOKUP(D156,TablasTec!$P$6:$R$8,3,FALSE)</f>
        <v>50</v>
      </c>
      <c r="BU157" s="965">
        <f>VLOOKUP(D156,TablasTec!$P$6:$R$8,2,FALSE)</f>
        <v>20</v>
      </c>
      <c r="BV157" s="954">
        <f>IF(D156=0,"",VLOOKUP(D156,TablasTec!$L$4:$N$7,2,FALSE))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09"/>
      <c r="D158" s="1436" t="s">
        <v>1766</v>
      </c>
      <c r="E158" s="966"/>
      <c r="F158" s="967" t="str">
        <f>IF(E158=0,"",VLOOKUP(E158,TablasTec!$A$14:$V$771,2,FALSE))</f>
        <v/>
      </c>
      <c r="G158" s="968"/>
      <c r="H158" s="969" t="str">
        <f>IF($E158=0,"",VLOOKUP($E158,TablasTec!$A$14:$V$771,4,FALSE))</f>
        <v/>
      </c>
      <c r="I158" s="970" t="s">
        <v>1690</v>
      </c>
      <c r="J158" s="1395" t="str">
        <f>IF(E158=0,"",VLOOKUP(E158,TablasTec!$A$14:$V$771,5,FALSE))</f>
        <v/>
      </c>
      <c r="K158" s="972" t="str">
        <f>IF(I158="Si",IF(E158=0,"",VLOOKUP(E158,TablasTec!$A$14:$V$771,5,FALSE)),"")</f>
        <v/>
      </c>
      <c r="L158" s="970" t="s">
        <v>1690</v>
      </c>
      <c r="M158" s="1395" t="str">
        <f>IF(E158=0,"",VLOOKUP(E158,TablasTec!$A$14:$V$771,6,FALSE))</f>
        <v/>
      </c>
      <c r="N158" s="973" t="str">
        <f>IF(L158="Si",IF(E158=0,"",VLOOKUP(E158,TablasTec!$A$14:$V$771,6,FALSE)),"")</f>
        <v/>
      </c>
      <c r="O158" s="970" t="s">
        <v>1690</v>
      </c>
      <c r="P158" s="1395" t="str">
        <f>IF(E158=0,"",VLOOKUP(E158,TablasTec!$A$14:$V$771,7,FALSE))</f>
        <v/>
      </c>
      <c r="Q158" s="973" t="str">
        <f>IF(O158="Si",IF(E158=0,"",VLOOKUP(E158,TablasTec!$A$14:$V$771,7,FALSE)),"")</f>
        <v/>
      </c>
      <c r="R158" s="971" t="str">
        <f>IF(E158=0,"",VLOOKUP(E158,TablasTec!$A$14:$V$771,8,FALSE))</f>
        <v/>
      </c>
      <c r="S158" s="969" t="str">
        <f>IF(R158=$D$8,$D$8,IF(R158=2,2,IF(R158=3,3,R158)))</f>
        <v/>
      </c>
      <c r="T158" s="972" t="str">
        <f>IF(E158=0,"",VLOOKUP(E158,TablasTec!$A$14:$V$771,9,FALSE))</f>
        <v/>
      </c>
      <c r="U158" s="972" t="str">
        <f>IF(E158=0,"",VLOOKUP(E158,TablasTec!$A$14:$V$771,10,FALSE))</f>
        <v/>
      </c>
      <c r="V158" s="967" t="str">
        <f>IF(E158=0,"",VLOOKUP(E158,TablasTec!$A$14:$V$771,11,FALSE))</f>
        <v/>
      </c>
      <c r="W158" s="970"/>
      <c r="X158" s="971" t="e">
        <f>VLOOKUP(E158,TablasTec!$A$14:$V$771,12,FALSE)</f>
        <v>#N/A</v>
      </c>
      <c r="Y158" s="971" t="e">
        <f>IF(W158=X158,VLOOKUP(E158,TablasTec!$A$14:$V$771,13,FALSE),0)</f>
        <v>#N/A</v>
      </c>
      <c r="Z158" s="971" t="e">
        <f>VLOOKUP(E158,TablasTec!$A$14:$V$771,14,FALSE)</f>
        <v>#N/A</v>
      </c>
      <c r="AA158" s="971" t="e">
        <f>IF(W158=Z158,VLOOKUP(E158,TablasTec!$A$14:$V$616,15,FALSE),0)</f>
        <v>#N/A</v>
      </c>
      <c r="AB158" s="971" t="e">
        <f>VLOOKUP(E158,TablasTec!$A$14:$V$771,16,FALSE)</f>
        <v>#N/A</v>
      </c>
      <c r="AC158" s="971" t="e">
        <f>IF(W158=AB158,VLOOKUP(E158,TablasTec!$A$14:$V$616,17,FALSE),0)</f>
        <v>#N/A</v>
      </c>
      <c r="AD158" s="971" t="e">
        <f>VLOOKUP(E158,TablasTec!$A$14:$V$771,18,FALSE)</f>
        <v>#N/A</v>
      </c>
      <c r="AE158" s="971" t="e">
        <f>IF(W158=AD158,VLOOKUP(E158,TablasTec!$A$14:$V$771,19,FALSE),0)</f>
        <v>#N/A</v>
      </c>
      <c r="AF158" s="973" t="str">
        <f>IF(E158=0,"",(Y158+AA158+AC158+AE158))</f>
        <v/>
      </c>
      <c r="AG158" s="970"/>
      <c r="AH158" s="971" t="e">
        <f>VLOOKUP(E158,TablasTec!$A$14:$V$771,12,FALSE)</f>
        <v>#N/A</v>
      </c>
      <c r="AI158" s="971" t="e">
        <f>IF(AG158=AH158,VLOOKUP(E158,TablasTec!$A$14:$V$771,13,FALSE),0)</f>
        <v>#N/A</v>
      </c>
      <c r="AJ158" s="971" t="e">
        <f>VLOOKUP(E158,TablasTec!$A$14:$V$771,14,FALSE)</f>
        <v>#N/A</v>
      </c>
      <c r="AK158" s="971" t="e">
        <f>IF(AG158=AJ158,VLOOKUP(E158,TablasTec!$A$14:$V$771,15,FALSE),0)</f>
        <v>#N/A</v>
      </c>
      <c r="AL158" s="971" t="e">
        <f>VLOOKUP(E158,TablasTec!$A$14:$V$771,16,FALSE)</f>
        <v>#N/A</v>
      </c>
      <c r="AM158" s="971" t="e">
        <f>IF(AG158=AL158,VLOOKUP(E158,TablasTec!$A$14:$V$771,17,FALSE),0)</f>
        <v>#N/A</v>
      </c>
      <c r="AN158" s="971" t="e">
        <f>VLOOKUP(E158,TablasTec!$A$14:$V$771,18,FALSE)</f>
        <v>#N/A</v>
      </c>
      <c r="AO158" s="971" t="e">
        <f>IF(AG158=AN158,VLOOKUP(E158,TablasTec!$A$14:$V$771,19,FALSE),0)</f>
        <v>#N/A</v>
      </c>
      <c r="AP158" s="973" t="str">
        <f>IF(E158=0,"",(AI158+AK158+AM158+AO158))</f>
        <v/>
      </c>
      <c r="AQ158" s="970"/>
      <c r="AR158" s="971" t="e">
        <f>VLOOKUP(E158,TablasTec!$A$14:$V$771,12,FALSE)</f>
        <v>#N/A</v>
      </c>
      <c r="AS158" s="971" t="e">
        <f>IF(AQ158=AR158,VLOOKUP(E158,TablasTec!$A$14:$V$771,13,FALSE),0)</f>
        <v>#N/A</v>
      </c>
      <c r="AT158" s="971" t="e">
        <f>VLOOKUP(E158,TablasTec!$A$14:$V$771,14,FALSE)</f>
        <v>#N/A</v>
      </c>
      <c r="AU158" s="971" t="e">
        <f>IF(AQ158=AT158,VLOOKUP(E158,TablasTec!$A$14:$V$771,15,FALSE),0)</f>
        <v>#N/A</v>
      </c>
      <c r="AV158" s="971" t="e">
        <f>VLOOKUP(E158,TablasTec!$A$14:$V$771,16,FALSE)</f>
        <v>#N/A</v>
      </c>
      <c r="AW158" s="971" t="e">
        <f>IF(AQ158=AV158,VLOOKUP(E158,TablasTec!$A$14:$V$771,17,FALSE),0)</f>
        <v>#N/A</v>
      </c>
      <c r="AX158" s="971" t="e">
        <f>VLOOKUP(E158,TablasTec!$A$14:$V$771,18,FALSE)</f>
        <v>#N/A</v>
      </c>
      <c r="AY158" s="971" t="e">
        <f>IF(AQ158=AX158,VLOOKUP(E158,TablasTec!$A$14:$V$771,19,FALSE),0)</f>
        <v>#N/A</v>
      </c>
      <c r="AZ158" s="972" t="str">
        <f>IF(E158=0,"",(AS158+AU158+AW158+AY158))</f>
        <v/>
      </c>
      <c r="BA158" s="970"/>
      <c r="BB158" s="971" t="e">
        <f>VLOOKUP(E158,TablasTec!$A$14:$V$771,12,FALSE)</f>
        <v>#N/A</v>
      </c>
      <c r="BC158" s="971" t="e">
        <f>IF(BA158=BB158,VLOOKUP(E158,TablasTec!$A$14:$V$771,13,FALSE),0)</f>
        <v>#N/A</v>
      </c>
      <c r="BD158" s="971" t="e">
        <f>VLOOKUP(E158,TablasTec!$A$14:$V$771,14,FALSE)</f>
        <v>#N/A</v>
      </c>
      <c r="BE158" s="971" t="e">
        <f>IF(BA158=BD158,VLOOKUP(E158,TablasTec!$A$14:$V$771,15,FALSE),0)</f>
        <v>#N/A</v>
      </c>
      <c r="BF158" s="971" t="e">
        <f>VLOOKUP(E158,TablasTec!$A$14:$V$771,16,FALSE)</f>
        <v>#N/A</v>
      </c>
      <c r="BG158" s="971" t="e">
        <f>IF(BA158=BF158,VLOOKUP(E158,TablasTec!$A$14:$V$771,17,FALSE),0)</f>
        <v>#N/A</v>
      </c>
      <c r="BH158" s="971" t="e">
        <f>VLOOKUP(E158,TablasTec!$A$14:$V$771,18,FALSE)</f>
        <v>#N/A</v>
      </c>
      <c r="BI158" s="971" t="e">
        <f>IF(BA158=BH158,VLOOKUP(E158,TablasTec!$A$14:$V$771,19,FALSE),0)</f>
        <v>#N/A</v>
      </c>
      <c r="BJ158" s="973" t="str">
        <f>IF(E158=0,"",(BC158+BE158+BG158+BI158))</f>
        <v/>
      </c>
      <c r="BK158" s="972" t="str">
        <f>IF(E158=0,"",VLOOKUP(E158,TablasTec!$A$14:$V$771,20,FALSE))</f>
        <v/>
      </c>
      <c r="BL158" s="972" t="str">
        <f>IF(E158=0,"",VLOOKUP(E158,TablasTec!$A$14:$V$771,21,FALSE))</f>
        <v/>
      </c>
      <c r="BM158" s="974" t="str">
        <f>IF(E158=0,"",VLOOKUP(E158,TablasTec!$A$14:$V$771,22,FALSE))</f>
        <v/>
      </c>
      <c r="BN158" s="975"/>
      <c r="BO158" s="976"/>
      <c r="BP158" s="961" t="str">
        <f>IF(I158="Si",VLOOKUP($D$8,TablasTec!$E$4:$F$6,2,FALSE),"")</f>
        <v/>
      </c>
      <c r="BQ158" s="962" t="str">
        <f>IF(L158="Si",VLOOKUP($D$8,TablasTec!$I$4:$J$6,2,FALSE),"")</f>
        <v/>
      </c>
      <c r="BR158" s="960" t="str">
        <f>IF(O158="Si",VLOOKUP($D$8,TablasTec!$I$7:$J$9,2,FALSE),"")</f>
        <v/>
      </c>
      <c r="BS158" s="977"/>
      <c r="BT158" s="4857" t="s">
        <v>4539</v>
      </c>
      <c r="BU158" s="4858"/>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6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c r="A159" s="922"/>
      <c r="B159" s="922"/>
      <c r="C159" s="4909"/>
      <c r="D159" s="1435" t="s">
        <v>1766</v>
      </c>
      <c r="E159" s="978"/>
      <c r="F159" s="979" t="str">
        <f>IF(E159=0,"",VLOOKUP(E159,TablasTec!$A$14:$V$771,2,FALSE))</f>
        <v/>
      </c>
      <c r="G159" s="980"/>
      <c r="H159" s="981" t="str">
        <f>IF($E159=0,"",VLOOKUP($E159,TablasTec!$A$14:$V$771,4,FALSE))</f>
        <v/>
      </c>
      <c r="I159" s="982" t="s">
        <v>1690</v>
      </c>
      <c r="J159" s="1398" t="str">
        <f>IF(E159=0,"",VLOOKUP(E159,TablasTec!$A$14:$V$771,5,FALSE))</f>
        <v/>
      </c>
      <c r="K159" s="984" t="str">
        <f>IF(I159="Si",IF(E159=0,"",VLOOKUP(E159,TablasTec!$A$14:$V$771,5,FALSE)),"")</f>
        <v/>
      </c>
      <c r="L159" s="982" t="s">
        <v>1690</v>
      </c>
      <c r="M159" s="1398" t="str">
        <f>IF(E159=0,"",VLOOKUP(E159,TablasTec!$A$14:$V$771,6,FALSE))</f>
        <v/>
      </c>
      <c r="N159" s="985" t="str">
        <f>IF(L159="Si",IF(E159=0,"",VLOOKUP(E159,TablasTec!$A$14:$V$771,6,FALSE)),"")</f>
        <v/>
      </c>
      <c r="O159" s="982" t="s">
        <v>1690</v>
      </c>
      <c r="P159" s="1398" t="str">
        <f>IF(E159=0,"",VLOOKUP(E159,TablasTec!$A$14:$V$771,7,FALSE))</f>
        <v/>
      </c>
      <c r="Q159" s="985" t="str">
        <f>IF(O159="Si",IF(E159=0,"",VLOOKUP(E159,TablasTec!$A$14:$V$771,7,FALSE)),"")</f>
        <v/>
      </c>
      <c r="R159" s="983" t="str">
        <f>IF(E159=0,"",VLOOKUP(E159,TablasTec!$A$14:$V$771,8,FALSE))</f>
        <v/>
      </c>
      <c r="S159" s="981" t="str">
        <f>IF(R159=$D$8,$D$8,IF(R159=2,2,IF(R159=3,3,R159)))</f>
        <v/>
      </c>
      <c r="T159" s="4883" t="s">
        <v>4540</v>
      </c>
      <c r="U159" s="4884"/>
      <c r="V159" s="4884"/>
      <c r="W159" s="4884"/>
      <c r="X159" s="4884"/>
      <c r="Y159" s="4884"/>
      <c r="Z159" s="4884"/>
      <c r="AA159" s="4884"/>
      <c r="AB159" s="4884"/>
      <c r="AC159" s="4884"/>
      <c r="AD159" s="4884"/>
      <c r="AE159" s="4884"/>
      <c r="AF159" s="4884"/>
      <c r="AG159" s="4884"/>
      <c r="AH159" s="4884"/>
      <c r="AI159" s="4884"/>
      <c r="AJ159" s="4884"/>
      <c r="AK159" s="4884"/>
      <c r="AL159" s="4884"/>
      <c r="AM159" s="4884"/>
      <c r="AN159" s="4884"/>
      <c r="AO159" s="4884"/>
      <c r="AP159" s="4884"/>
      <c r="AQ159" s="4884"/>
      <c r="AR159" s="4884"/>
      <c r="AS159" s="4884"/>
      <c r="AT159" s="4884"/>
      <c r="AU159" s="4884"/>
      <c r="AV159" s="4884"/>
      <c r="AW159" s="4884"/>
      <c r="AX159" s="4884"/>
      <c r="AY159" s="4884"/>
      <c r="AZ159" s="4884"/>
      <c r="BA159" s="4884"/>
      <c r="BB159" s="4884"/>
      <c r="BC159" s="4884"/>
      <c r="BD159" s="4884"/>
      <c r="BE159" s="4884"/>
      <c r="BF159" s="4884"/>
      <c r="BG159" s="4884"/>
      <c r="BH159" s="4884"/>
      <c r="BI159" s="4884"/>
      <c r="BJ159" s="4884"/>
      <c r="BK159" s="4885"/>
      <c r="BL159" s="1420"/>
      <c r="BM159" s="1421"/>
      <c r="BN159" s="975"/>
      <c r="BO159" s="976"/>
      <c r="BP159" s="961" t="str">
        <f>IF(I159="Si",VLOOKUP($D$8,TablasTec!$E$4:$F$6,2,FALSE),"")</f>
        <v/>
      </c>
      <c r="BQ159" s="962" t="str">
        <f>IF(L159="Si",VLOOKUP($D$8,TablasTec!$I$4:$J$6,2,FALSE),"")</f>
        <v/>
      </c>
      <c r="BR159" s="960" t="str">
        <f>IF(O159="Si",VLOOKUP($D$8,TablasTec!$I$7:$J$9,2,FALSE),"")</f>
        <v/>
      </c>
      <c r="BS159" s="977"/>
      <c r="BT159" s="4859">
        <f>MAX(BU157,SUM(H158:H190)+IF(OR(I158="Si",I159="Si",I160="Si",I161="Si",I162="Si",I164="Si",I165="Si",I166="Si",I167="Si",I168="Si",I170="Si",I171="Si",I172="Si",I173="Si",I174="Si",I176="Si",I177="Si",I178="Si",I179="Si",I180="Si",I182="Si",I183="Si",I184="Si",I185="Si",I186="Si"),VLOOKUP($D156,TablasTec!$E$4:$F$6,2,FALSE),0)+IF(OR(L158="Si",L159="Si",L160="Si",L161="Si",L162="Si",L164="Si",L165="Si",L166="Si",L167="Si",L168="Si",L170="Si",L171="Si",L172="Si",L173="Si",L174="Si",L176="Si",L177="Si",L178="Si",L179="Si",L180="Si",L182="Si",L183="Si",L184="Si",L185="Si",L186="Si"),VLOOKUP($D156,TablasTec!$I$4:$J$6,2,FALSE),0)+IF(OR(O158="Si",O159="Si",O160="Si",O161="Si",O162="Si",O164="Si",O165="Si",O166="Si",O167="Si",O168="Si",O170="Si",O171="Si",O172="Si",O173="Si",O174="Si",O176="Si",O177="Si",O178="Si",O179="Si",O180="Si",O182="Si",O183="Si",O184="Si",O185="Si",O186="Si"),VLOOKUP($D156,TablasTec!$I$7:$J$9,2,FALSE),0)+IF(BT162="No",0,IF(D156=0,0,VLOOKUP(D156,TablasTec!$L$4:$N$7,3,FALSE)))+IF(BT164="Bajar coste de CM",0,IF(BT164="-5 CM",-5,IF(BT164="-10 CM",-10,IF(BT164="-15 CM",-15,IF(BT164="-20 CM",-20,0)))))+IF(BT166="Bajar coste de Ki",0,IF(BT166="-1 Ki",10,IF(BT166="-2 Ki",20,IF(BT166="-3 Ki",30,IF(BT166="-4 Ki",40,IF(BT166="-5 Ki",50,0)))))))</f>
        <v>20</v>
      </c>
      <c r="BU159" s="4860"/>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65"/>
      <c r="DY159" s="1307"/>
      <c r="DZ159" s="922"/>
      <c r="EA159" s="1453">
        <f t="shared" si="2"/>
        <v>1</v>
      </c>
    </row>
    <row r="160" spans="1:132">
      <c r="A160" s="922"/>
      <c r="B160" s="922"/>
      <c r="C160" s="4909"/>
      <c r="D160" s="1436" t="s">
        <v>1766</v>
      </c>
      <c r="E160" s="986"/>
      <c r="F160" s="3181" t="str">
        <f>IF(E160=0,"",VLOOKUP(E160,TablasTec!$A$14:$V$771,2,FALSE))</f>
        <v/>
      </c>
      <c r="G160" s="968"/>
      <c r="H160" s="987" t="str">
        <f>IF($E160=0,"",VLOOKUP($E160,TablasTec!$A$14:$V$771,4,FALSE))</f>
        <v/>
      </c>
      <c r="I160" s="970" t="s">
        <v>1690</v>
      </c>
      <c r="J160" s="1394" t="str">
        <f>IF(E160=0,"",VLOOKUP(E160,TablasTec!$A$14:$V$771,5,FALSE))</f>
        <v/>
      </c>
      <c r="K160" s="989" t="str">
        <f>IF(I160="Si",IF(E160=0,"",VLOOKUP(E160,TablasTec!$A$14:$V$771,5,FALSE)),"")</f>
        <v/>
      </c>
      <c r="L160" s="970" t="s">
        <v>1690</v>
      </c>
      <c r="M160" s="1394" t="str">
        <f>IF(E160=0,"",VLOOKUP(E160,TablasTec!$A$14:$V$771,6,FALSE))</f>
        <v/>
      </c>
      <c r="N160" s="973" t="str">
        <f>IF(L160="Si",IF(E160=0,"",VLOOKUP(E160,TablasTec!$A$14:$V$771,6,FALSE)),"")</f>
        <v/>
      </c>
      <c r="O160" s="970" t="s">
        <v>1690</v>
      </c>
      <c r="P160" s="1394" t="str">
        <f>IF(E160=0,"",VLOOKUP(E160,TablasTec!$A$14:$V$771,7,FALSE))</f>
        <v/>
      </c>
      <c r="Q160" s="973" t="str">
        <f>IF(O160="Si",IF(E160=0,"",VLOOKUP(E160,TablasTec!$A$14:$V$771,7,FALSE)),"")</f>
        <v/>
      </c>
      <c r="R160" s="988" t="str">
        <f>IF(E160=0,"",VLOOKUP(E160,TablasTec!$A$14:$V$771,8,FALSE))</f>
        <v/>
      </c>
      <c r="S160" s="3181" t="str">
        <f>IF(R160=$D$8,$D$8,IF(R160=2,2,IF(R160=3,3,R160)))</f>
        <v/>
      </c>
      <c r="T160" s="4896"/>
      <c r="U160" s="4897"/>
      <c r="V160" s="3179" t="str">
        <f>IF(OR(V158=0,V158=""),"N/A",V158)</f>
        <v>N/A</v>
      </c>
      <c r="W160" s="4896" t="str">
        <f xml:space="preserve"> IF(OR(AF158=0,AF158=""),"N/A",W158)</f>
        <v>N/A</v>
      </c>
      <c r="X160" s="4898"/>
      <c r="Y160" s="4898"/>
      <c r="Z160" s="4898"/>
      <c r="AA160" s="4898"/>
      <c r="AB160" s="4898"/>
      <c r="AC160" s="4898"/>
      <c r="AD160" s="4898"/>
      <c r="AE160" s="4898"/>
      <c r="AF160" s="4897"/>
      <c r="AG160" s="4896" t="str">
        <f xml:space="preserve"> IF(OR(AP158="",AP158=0),"N/A",AG158)</f>
        <v>N/A</v>
      </c>
      <c r="AH160" s="4898"/>
      <c r="AI160" s="4898"/>
      <c r="AJ160" s="4898"/>
      <c r="AK160" s="4898"/>
      <c r="AL160" s="4898"/>
      <c r="AM160" s="4898"/>
      <c r="AN160" s="4898"/>
      <c r="AO160" s="4898"/>
      <c r="AP160" s="4897"/>
      <c r="AQ160" s="4896" t="str">
        <f xml:space="preserve"> IF(OR(AZ158="",AZ158=0),"N/A",AQ158)</f>
        <v>N/A</v>
      </c>
      <c r="AR160" s="4898"/>
      <c r="AS160" s="4898"/>
      <c r="AT160" s="4898"/>
      <c r="AU160" s="4898"/>
      <c r="AV160" s="4898"/>
      <c r="AW160" s="4898"/>
      <c r="AX160" s="4898"/>
      <c r="AY160" s="4898"/>
      <c r="AZ160" s="4897"/>
      <c r="BA160" s="4896" t="str">
        <f xml:space="preserve"> IF(OR(BJ158="",BJ158=0),"N/A",BA158)</f>
        <v>N/A</v>
      </c>
      <c r="BB160" s="4898"/>
      <c r="BC160" s="4898"/>
      <c r="BD160" s="4898"/>
      <c r="BE160" s="4898"/>
      <c r="BF160" s="4898"/>
      <c r="BG160" s="4898"/>
      <c r="BH160" s="4898"/>
      <c r="BI160" s="4898"/>
      <c r="BJ160" s="4897"/>
      <c r="BK160" s="990" t="s">
        <v>4541</v>
      </c>
      <c r="BL160" s="972"/>
      <c r="BM160" s="1007"/>
      <c r="BN160" s="991"/>
      <c r="BO160" s="992"/>
      <c r="BP160" s="993" t="str">
        <f>IF(I160="Si",VLOOKUP($D$8,TablasTec!$E$4:$F$6,2,FALSE),"")</f>
        <v/>
      </c>
      <c r="BQ160" s="963" t="str">
        <f>IF(L160="Si",VLOOKUP($D$8,TablasTec!$I$4:$J$6,2,FALSE),"")</f>
        <v/>
      </c>
      <c r="BR160" s="994" t="str">
        <f>IF(O160="Si",VLOOKUP($D$8,TablasTec!$I$7:$J$9,2,FALSE),"")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65"/>
      <c r="DY160" s="1307"/>
      <c r="DZ160" s="922"/>
      <c r="EA160" s="1453">
        <f t="shared" si="2"/>
        <v>1</v>
      </c>
    </row>
    <row r="161" spans="1:131" s="996" customFormat="1">
      <c r="A161" s="922"/>
      <c r="B161" s="922"/>
      <c r="C161" s="4909"/>
      <c r="D161" s="1435" t="s">
        <v>1766</v>
      </c>
      <c r="E161" s="978"/>
      <c r="F161" s="979" t="str">
        <f>IF(E161=0,"",VLOOKUP(E161,TablasTec!$A$14:$V$771,2,FALSE))</f>
        <v/>
      </c>
      <c r="G161" s="980"/>
      <c r="H161" s="981" t="str">
        <f>IF($E161=0,"",VLOOKUP($E161,TablasTec!$A$14:$V$771,4,FALSE))</f>
        <v/>
      </c>
      <c r="I161" s="982" t="s">
        <v>1690</v>
      </c>
      <c r="J161" s="1398" t="str">
        <f>IF(E161=0,"",VLOOKUP(E161,TablasTec!$A$14:$V$771,5,FALSE))</f>
        <v/>
      </c>
      <c r="K161" s="984" t="str">
        <f>IF(I161="Si",IF(E161=0,"",VLOOKUP(E161,TablasTec!$A$14:$V$771,5,FALSE)),"")</f>
        <v/>
      </c>
      <c r="L161" s="982" t="s">
        <v>1690</v>
      </c>
      <c r="M161" s="1398" t="str">
        <f>IF(E161=0,"",VLOOKUP(E161,TablasTec!$A$14:$V$771,6,FALSE))</f>
        <v/>
      </c>
      <c r="N161" s="985" t="str">
        <f>IF(L161="Si",IF(E161=0,"",VLOOKUP(E161,TablasTec!$A$14:$V$771,6,FALSE)),"")</f>
        <v/>
      </c>
      <c r="O161" s="982" t="s">
        <v>1690</v>
      </c>
      <c r="P161" s="1398" t="str">
        <f>IF(E161=0,"",VLOOKUP(E161,TablasTec!$A$14:$V$771,7,FALSE))</f>
        <v/>
      </c>
      <c r="Q161" s="985" t="str">
        <f>IF(O161="Si",IF(E161=0,"",VLOOKUP(E161,TablasTec!$A$14:$V$771,7,FALSE)),"")</f>
        <v/>
      </c>
      <c r="R161" s="983" t="str">
        <f>IF(E161=0,"",VLOOKUP(E161,TablasTec!$A$14:$V$771,8,FALSE))</f>
        <v/>
      </c>
      <c r="S161" s="981" t="str">
        <f>IF(R161=$D$8,$D$8,IF(R161=2,2,IF(R161=3,3,R161)))</f>
        <v/>
      </c>
      <c r="T161" s="4899" t="s">
        <v>4542</v>
      </c>
      <c r="U161" s="4900"/>
      <c r="V161" s="3180"/>
      <c r="W161" s="4901"/>
      <c r="X161" s="4902"/>
      <c r="Y161" s="4902"/>
      <c r="Z161" s="4902"/>
      <c r="AA161" s="4902"/>
      <c r="AB161" s="4902"/>
      <c r="AC161" s="4902"/>
      <c r="AD161" s="4902"/>
      <c r="AE161" s="4902"/>
      <c r="AF161" s="4903"/>
      <c r="AG161" s="4901"/>
      <c r="AH161" s="4902"/>
      <c r="AI161" s="4902"/>
      <c r="AJ161" s="4902"/>
      <c r="AK161" s="4902"/>
      <c r="AL161" s="4902"/>
      <c r="AM161" s="4902"/>
      <c r="AN161" s="4902"/>
      <c r="AO161" s="4902"/>
      <c r="AP161" s="4903"/>
      <c r="AQ161" s="4901"/>
      <c r="AR161" s="4902"/>
      <c r="AS161" s="4902"/>
      <c r="AT161" s="4902"/>
      <c r="AU161" s="4902"/>
      <c r="AV161" s="4902"/>
      <c r="AW161" s="4902"/>
      <c r="AX161" s="4902"/>
      <c r="AY161" s="4902"/>
      <c r="AZ161" s="4903"/>
      <c r="BA161" s="4901"/>
      <c r="BB161" s="4902"/>
      <c r="BC161" s="4902"/>
      <c r="BD161" s="4902"/>
      <c r="BE161" s="4902"/>
      <c r="BF161" s="4902"/>
      <c r="BG161" s="4902"/>
      <c r="BH161" s="4902"/>
      <c r="BI161" s="4902"/>
      <c r="BJ161" s="4903"/>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IF(I161="Si",VLOOKUP($D$8,TablasTec!$E$4:$F$6,2,FALSE),"")</f>
        <v/>
      </c>
      <c r="BQ161" s="962" t="str">
        <f>IF(L161="Si",VLOOKUP($D$8,TablasTec!$I$4:$J$6,2,FALSE),"")</f>
        <v/>
      </c>
      <c r="BR161" s="960" t="str">
        <f>IF(O161="Si",VLOOKUP($D$8,TablasTec!$I$7:$J$9,2,FALSE),"")</f>
        <v/>
      </c>
      <c r="BS161" s="977"/>
      <c r="BT161" s="4857" t="s">
        <v>4543</v>
      </c>
      <c r="BU161" s="4858"/>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865"/>
      <c r="DY161" s="1307"/>
      <c r="DZ161" s="922"/>
      <c r="EA161" s="1453">
        <f t="shared" si="2"/>
        <v>1</v>
      </c>
    </row>
    <row r="162" spans="1:131">
      <c r="A162" s="922"/>
      <c r="B162" s="922"/>
      <c r="C162" s="4909"/>
      <c r="D162" s="1436" t="s">
        <v>1766</v>
      </c>
      <c r="E162" s="986"/>
      <c r="F162" s="3181" t="str">
        <f>IF(E162=0,"",VLOOKUP(E162,TablasTec!$A$14:$V$771,2,FALSE))</f>
        <v/>
      </c>
      <c r="G162" s="968"/>
      <c r="H162" s="987" t="str">
        <f>IF($E162=0,"",VLOOKUP($E162,TablasTec!$A$14:$V$771,4,FALSE))</f>
        <v/>
      </c>
      <c r="I162" s="970" t="s">
        <v>1690</v>
      </c>
      <c r="J162" s="1394" t="str">
        <f>IF(E162=0,"",VLOOKUP(E162,TablasTec!$A$14:$V$771,5,FALSE))</f>
        <v/>
      </c>
      <c r="K162" s="989" t="str">
        <f>IF(I162="Si",IF(E162=0,"",VLOOKUP(E162,TablasTec!$A$14:$V$771,5,FALSE)),"")</f>
        <v/>
      </c>
      <c r="L162" s="970" t="s">
        <v>1690</v>
      </c>
      <c r="M162" s="1394" t="str">
        <f>IF(E162=0,"",VLOOKUP(E162,TablasTec!$A$14:$V$771,6,FALSE))</f>
        <v/>
      </c>
      <c r="N162" s="973" t="str">
        <f>IF(L162="Si",IF(E162=0,"",VLOOKUP(E162,TablasTec!$A$14:$V$771,6,FALSE)),"")</f>
        <v/>
      </c>
      <c r="O162" s="970" t="s">
        <v>1690</v>
      </c>
      <c r="P162" s="1394" t="str">
        <f>IF(E162=0,"",VLOOKUP(E162,TablasTec!$A$14:$V$771,7,FALSE))</f>
        <v/>
      </c>
      <c r="Q162" s="973" t="str">
        <f>IF(O162="Si",IF(E162=0,"",VLOOKUP(E162,TablasTec!$A$14:$V$771,7,FALSE)),"")</f>
        <v/>
      </c>
      <c r="R162" s="988" t="str">
        <f>IF(E162=0,"",VLOOKUP(E162,TablasTec!$A$14:$V$771,8,FALSE))</f>
        <v/>
      </c>
      <c r="S162" s="987" t="str">
        <f>IF(R162=$D$8,$D$8,IF(R162=2,2,IF(R162=3,3,R162)))</f>
        <v/>
      </c>
      <c r="T162" s="4890" t="s">
        <v>4544</v>
      </c>
      <c r="U162" s="4891"/>
      <c r="V162" s="3178"/>
      <c r="W162" s="4892"/>
      <c r="X162" s="4893"/>
      <c r="Y162" s="4893"/>
      <c r="Z162" s="4893"/>
      <c r="AA162" s="4893"/>
      <c r="AB162" s="4893"/>
      <c r="AC162" s="4893"/>
      <c r="AD162" s="4893"/>
      <c r="AE162" s="4893"/>
      <c r="AF162" s="4894"/>
      <c r="AG162" s="4892"/>
      <c r="AH162" s="4893"/>
      <c r="AI162" s="4893"/>
      <c r="AJ162" s="4893"/>
      <c r="AK162" s="4893"/>
      <c r="AL162" s="4893"/>
      <c r="AM162" s="4893"/>
      <c r="AN162" s="4893"/>
      <c r="AO162" s="4893"/>
      <c r="AP162" s="4894"/>
      <c r="AQ162" s="4892"/>
      <c r="AR162" s="4893"/>
      <c r="AS162" s="4893"/>
      <c r="AT162" s="4893"/>
      <c r="AU162" s="4893"/>
      <c r="AV162" s="4893"/>
      <c r="AW162" s="4893"/>
      <c r="AX162" s="4893"/>
      <c r="AY162" s="4893"/>
      <c r="AZ162" s="4894"/>
      <c r="BA162" s="4892"/>
      <c r="BB162" s="4893"/>
      <c r="BC162" s="4893"/>
      <c r="BD162" s="4893"/>
      <c r="BE162" s="4893"/>
      <c r="BF162" s="4893"/>
      <c r="BG162" s="4893"/>
      <c r="BH162" s="4893"/>
      <c r="BI162" s="4893"/>
      <c r="BJ162" s="4894"/>
      <c r="BK162" s="997">
        <f>SUM(K158:K162)-SUM(V162:BA162)</f>
        <v>0</v>
      </c>
      <c r="BL162" s="1422"/>
      <c r="BM162" s="1423"/>
      <c r="BN162" s="991"/>
      <c r="BO162" s="992"/>
      <c r="BP162" s="993" t="str">
        <f>IF(I162="Si",VLOOKUP($D$8,TablasTec!$E$4:$F$6,2,FALSE),"")</f>
        <v/>
      </c>
      <c r="BQ162" s="963" t="str">
        <f>IF(L162="Si",VLOOKUP($D$8,TablasTec!$I$4:$J$6,2,FALSE),"")</f>
        <v/>
      </c>
      <c r="BR162" s="994" t="str">
        <f>IF(O162="Si",VLOOKUP($D$8,TablasTec!$I$7:$J$9,2,FALSE),"")</f>
        <v/>
      </c>
      <c r="BS162" s="995"/>
      <c r="BT162" s="4861" t="s">
        <v>1690</v>
      </c>
      <c r="BU162" s="4862"/>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65"/>
      <c r="DY162" s="1307"/>
      <c r="DZ162" s="922"/>
      <c r="EA162" s="1453">
        <f t="shared" si="2"/>
        <v>1</v>
      </c>
    </row>
    <row r="163" spans="1:131" ht="11.25" customHeight="1">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09"/>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IF(I163="Si",VLOOKUP($D$8,TablasTec!$E$4:$F$6,2,FALSE),"")</f>
        <v/>
      </c>
      <c r="BQ163" s="962" t="str">
        <f>IF(L163="Si",VLOOKUP($D$8,TablasTec!$I$4:$J$6,2,FALSE),"")</f>
        <v/>
      </c>
      <c r="BR163" s="960" t="str">
        <f>IF(O163="Si",VLOOKUP($D$8,TablasTec!$I$7:$J$9,2,FALSE),"")</f>
        <v/>
      </c>
      <c r="BS163" s="977"/>
      <c r="BT163" s="4857" t="s">
        <v>4545</v>
      </c>
      <c r="BU163" s="4858"/>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09"/>
      <c r="D164" s="1436" t="s">
        <v>1766</v>
      </c>
      <c r="E164" s="966"/>
      <c r="F164" s="1002"/>
      <c r="G164" s="972" t="str">
        <f>IF(E164=0,"",VLOOKUP(E164,TablasTec!$A$14:$V$771,3,FALSE))</f>
        <v/>
      </c>
      <c r="H164" s="1004" t="str">
        <f>IF($E164=0,"",VLOOKUP($E164,TablasTec!$A$14:$V$771,4,FALSE))</f>
        <v/>
      </c>
      <c r="I164" s="970" t="s">
        <v>1690</v>
      </c>
      <c r="J164" s="1397" t="str">
        <f>IF(E164=0,"",VLOOKUP(E164,TablasTec!$A$14:$V$771,5,FALSE))</f>
        <v/>
      </c>
      <c r="K164" s="1003" t="str">
        <f>IF(I164="Si",IF(E164=0,"",VLOOKUP(E164,TablasTec!$A$14:$V$771,5,FALSE)),"")</f>
        <v/>
      </c>
      <c r="L164" s="970" t="s">
        <v>1690</v>
      </c>
      <c r="M164" s="1397" t="str">
        <f>IF(E164=0,"",VLOOKUP(E164,TablasTec!$A$14:$V$771,6,FALSE))</f>
        <v/>
      </c>
      <c r="N164" s="973" t="str">
        <f>IF(L164="Si",IF(E164=0,"",VLOOKUP(E164,TablasTec!$A$14:$V$771,6,FALSE)),"")</f>
        <v/>
      </c>
      <c r="O164" s="970" t="s">
        <v>1690</v>
      </c>
      <c r="P164" s="1397" t="str">
        <f>IF(E164=0,"",VLOOKUP(E164,TablasTec!$A$14:$V$771,7,FALSE))</f>
        <v/>
      </c>
      <c r="Q164" s="973" t="str">
        <f>IF(O164="Si",IF(E164=0,"",VLOOKUP(E164,TablasTec!$A$14:$V$771,7,FALSE)),"")</f>
        <v/>
      </c>
      <c r="R164" s="1005" t="str">
        <f>IF(E164=0,"",VLOOKUP(E164,TablasTec!$A$14:$V$771,8,FALSE))</f>
        <v/>
      </c>
      <c r="S164" s="1004" t="str">
        <f>IF(R164=$D$8,$D$8,IF(R164=2,2,IF(R164=3,3,R164)))</f>
        <v/>
      </c>
      <c r="T164" s="972" t="str">
        <f>IF(E164=0,"",VLOOKUP(E164,TablasTec!$A$14:$V$771,9,FALSE))</f>
        <v/>
      </c>
      <c r="U164" s="972" t="str">
        <f>IF(E164=0,"",VLOOKUP(E164,TablasTec!$A$14:$V$771,10,FALSE))</f>
        <v/>
      </c>
      <c r="V164" s="967" t="str">
        <f>IF(E164=0,"",VLOOKUP(E164,TablasTec!$A$14:$V$771,11,FALSE))</f>
        <v/>
      </c>
      <c r="W164" s="970"/>
      <c r="X164" s="971" t="e">
        <f>VLOOKUP(E164,TablasTec!$A$14:$V$771,12,FALSE)</f>
        <v>#N/A</v>
      </c>
      <c r="Y164" s="971" t="e">
        <f>IF(W164=X164,VLOOKUP(E164,TablasTec!$A$14:$V$771,13,FALSE),0)</f>
        <v>#N/A</v>
      </c>
      <c r="Z164" s="971" t="e">
        <f>VLOOKUP(E164,TablasTec!$A$14:$V$771,14,FALSE)</f>
        <v>#N/A</v>
      </c>
      <c r="AA164" s="971" t="e">
        <f>IF(W164=Z164,VLOOKUP(E164,TablasTec!$A$14:$V$616,15,FALSE),0)</f>
        <v>#N/A</v>
      </c>
      <c r="AB164" s="971" t="e">
        <f>VLOOKUP(E164,TablasTec!$A$14:$V$771,16,FALSE)</f>
        <v>#N/A</v>
      </c>
      <c r="AC164" s="971" t="e">
        <f>IF(W164=AB164,VLOOKUP(E164,TablasTec!$A$14:$V$616,17,FALSE),0)</f>
        <v>#N/A</v>
      </c>
      <c r="AD164" s="971" t="e">
        <f>VLOOKUP(E164,TablasTec!$A$14:$V$771,18,FALSE)</f>
        <v>#N/A</v>
      </c>
      <c r="AE164" s="971" t="e">
        <f>IF(W164=AD164,VLOOKUP(E164,TablasTec!$A$14:$V$771,19,FALSE),0)</f>
        <v>#N/A</v>
      </c>
      <c r="AF164" s="972" t="str">
        <f>IF(E164=0,"",(Y164+AA164+AC164+AE164))</f>
        <v/>
      </c>
      <c r="AG164" s="970"/>
      <c r="AH164" s="1005" t="e">
        <f>VLOOKUP(E164,TablasTec!$A$14:$V$771,12,FALSE)</f>
        <v>#N/A</v>
      </c>
      <c r="AI164" s="1005" t="e">
        <f>IF(AG164=AH164,VLOOKUP(E164,TablasTec!$A$14:$V$771,13,FALSE),0)</f>
        <v>#N/A</v>
      </c>
      <c r="AJ164" s="1005" t="e">
        <f>VLOOKUP(E164,TablasTec!$A$14:$V$771,14,FALSE)</f>
        <v>#N/A</v>
      </c>
      <c r="AK164" s="1005" t="e">
        <f>IF(AG164=AJ164,VLOOKUP(E164,TablasTec!$A$14:$V$771,15,FALSE),0)</f>
        <v>#N/A</v>
      </c>
      <c r="AL164" s="1005" t="e">
        <f>VLOOKUP(E164,TablasTec!$A$14:$V$771,16,FALSE)</f>
        <v>#N/A</v>
      </c>
      <c r="AM164" s="1005" t="e">
        <f>IF(AG164=AL164,VLOOKUP(E164,TablasTec!$A$14:$V$771,17,FALSE),0)</f>
        <v>#N/A</v>
      </c>
      <c r="AN164" s="1005" t="e">
        <f>VLOOKUP(E164,TablasTec!$A$14:$V$771,18,FALSE)</f>
        <v>#N/A</v>
      </c>
      <c r="AO164" s="1005" t="e">
        <f>IF(AG164=AN164,VLOOKUP(E164,TablasTec!$A$14:$V$771,19,FALSE),0)</f>
        <v>#N/A</v>
      </c>
      <c r="AP164" s="1006" t="str">
        <f>IF(E164=0,"",(AI164+AK164+AM164+AO164))</f>
        <v/>
      </c>
      <c r="AQ164" s="970"/>
      <c r="AR164" s="971" t="e">
        <f>VLOOKUP(E164,TablasTec!$A$14:$V$771,12,FALSE)</f>
        <v>#N/A</v>
      </c>
      <c r="AS164" s="971" t="e">
        <f>IF(AQ164=AR164,VLOOKUP(E164,TablasTec!$A$14:$V$771,13,FALSE),0)</f>
        <v>#N/A</v>
      </c>
      <c r="AT164" s="971" t="e">
        <f>VLOOKUP(E164,TablasTec!$A$14:$V$771,14,FALSE)</f>
        <v>#N/A</v>
      </c>
      <c r="AU164" s="971" t="e">
        <f>IF(AQ164=AT164,VLOOKUP(E164,TablasTec!$A$14:$V$771,15,FALSE),0)</f>
        <v>#N/A</v>
      </c>
      <c r="AV164" s="971" t="e">
        <f>VLOOKUP(E164,TablasTec!$A$14:$V$771,16,FALSE)</f>
        <v>#N/A</v>
      </c>
      <c r="AW164" s="971" t="e">
        <f>IF(AQ164=AV164,VLOOKUP(E164,TablasTec!$A$14:$V$771,17,FALSE),0)</f>
        <v>#N/A</v>
      </c>
      <c r="AX164" s="971" t="e">
        <f>VLOOKUP(E164,TablasTec!$A$14:$V$771,18,FALSE)</f>
        <v>#N/A</v>
      </c>
      <c r="AY164" s="971" t="e">
        <f>IF(AQ164=AX164,VLOOKUP(E164,TablasTec!$A$14:$V$771,19,FALSE),0)</f>
        <v>#N/A</v>
      </c>
      <c r="AZ164" s="972" t="str">
        <f>IF(E164=0,"",(AS164+AU164+AW164+AY164))</f>
        <v/>
      </c>
      <c r="BA164" s="970"/>
      <c r="BB164" s="971" t="e">
        <f>VLOOKUP(E164,TablasTec!$A$14:$V$771,12,FALSE)</f>
        <v>#N/A</v>
      </c>
      <c r="BC164" s="971" t="e">
        <f>IF(BA164=BB164,VLOOKUP(E164,TablasTec!$A$14:$V$771,13,FALSE),0)</f>
        <v>#N/A</v>
      </c>
      <c r="BD164" s="971" t="e">
        <f>VLOOKUP(E164,TablasTec!$A$14:$V$771,14,FALSE)</f>
        <v>#N/A</v>
      </c>
      <c r="BE164" s="971" t="e">
        <f>IF(BA164=BD164,VLOOKUP(E164,TablasTec!$A$14:$V$771,15,FALSE),0)</f>
        <v>#N/A</v>
      </c>
      <c r="BF164" s="971" t="e">
        <f>VLOOKUP(E164,TablasTec!$A$14:$V$771,16,FALSE)</f>
        <v>#N/A</v>
      </c>
      <c r="BG164" s="971" t="e">
        <f>IF(BA164=BF164,VLOOKUP(E164,TablasTec!$A$14:$V$771,17,FALSE),0)</f>
        <v>#N/A</v>
      </c>
      <c r="BH164" s="971" t="e">
        <f>VLOOKUP(E164,TablasTec!$A$14:$V$771,18,FALSE)</f>
        <v>#N/A</v>
      </c>
      <c r="BI164" s="971" t="e">
        <f>IF(BA164=BH164,VLOOKUP(E164,TablasTec!$A$14:$V$771,19,FALSE),0)</f>
        <v>#N/A</v>
      </c>
      <c r="BJ164" s="973" t="str">
        <f>IF(E164=0,"",(BC164+BE164+BG164+BI164))</f>
        <v/>
      </c>
      <c r="BK164" s="972" t="str">
        <f>IF(E164=0,"",VLOOKUP(E164,TablasTec!$A$14:$V$771,20,FALSE))</f>
        <v/>
      </c>
      <c r="BL164" s="972" t="str">
        <f>IF(E164=0,"",VLOOKUP(E164,TablasTec!$A$14:$V$771,21,FALSE))</f>
        <v/>
      </c>
      <c r="BM164" s="1007" t="str">
        <f>IF(E164=0,"",VLOOKUP(E164,TablasTec!$A$14:$V$771,22,FALSE))</f>
        <v/>
      </c>
      <c r="BN164" s="975"/>
      <c r="BO164" s="976"/>
      <c r="BP164" s="961" t="str">
        <f>IF(I164="Si",VLOOKUP($D$8,TablasTec!$E$4:$F$6,2,FALSE),"")</f>
        <v/>
      </c>
      <c r="BQ164" s="962" t="str">
        <f>IF(L164="Si",VLOOKUP($D$8,TablasTec!$I$4:$J$6,2,FALSE),"")</f>
        <v/>
      </c>
      <c r="BR164" s="960" t="str">
        <f>IF(O164="Si",VLOOKUP($D$8,TablasTec!$I$7:$J$9,2,FALSE),"")</f>
        <v/>
      </c>
      <c r="BS164" s="977"/>
      <c r="BT164" s="4861" t="s">
        <v>4525</v>
      </c>
      <c r="BU164" s="4862"/>
      <c r="BV164" s="954"/>
      <c r="BW164" s="934"/>
      <c r="BX164" s="934"/>
      <c r="BY164" s="1269"/>
      <c r="BZ164" s="1287"/>
      <c r="CA164" s="922"/>
      <c r="DR164" s="922"/>
      <c r="DT164" s="1309"/>
      <c r="DU164" s="1362"/>
      <c r="DV164" s="1359" t="str">
        <f>IF(E164="","",", "&amp;E164)&amp;IF(I164="No",""," (Mant.)")&amp;IF(L164="No",""," (Sme)")&amp;IF(O164="No",""," (SMa)")</f>
        <v/>
      </c>
      <c r="DW164" s="1360"/>
      <c r="DX164" s="1361" t="str">
        <f>IF(ISNUMBER(FIND(TablasTec!A$678,DW182)),BL188&amp;BM188,IF(ISNUMBER(FIND(TablasTec!A$679,DW182)),BL188&amp;" "&amp;BM188,""))</f>
        <v/>
      </c>
      <c r="DY164" s="1310"/>
      <c r="DZ164" s="922"/>
      <c r="EA164" s="1453">
        <f t="shared" si="2"/>
        <v>1</v>
      </c>
    </row>
    <row r="165" spans="1:131">
      <c r="A165" s="922"/>
      <c r="B165" s="922"/>
      <c r="C165" s="4909"/>
      <c r="D165" s="1435" t="s">
        <v>1766</v>
      </c>
      <c r="E165" s="978"/>
      <c r="F165" s="1008"/>
      <c r="G165" s="1420" t="str">
        <f>IF(E165=0,"",VLOOKUP(E165,TablasTec!$A$14:$V$771,3,FALSE))</f>
        <v/>
      </c>
      <c r="H165" s="981" t="str">
        <f>IF($E165=0,"",VLOOKUP($E165,TablasTec!$A$14:$V$771,4,FALSE))</f>
        <v/>
      </c>
      <c r="I165" s="982" t="s">
        <v>1690</v>
      </c>
      <c r="J165" s="1398" t="str">
        <f>IF(E165=0,"",VLOOKUP(E165,TablasTec!$A$14:$V$771,5,FALSE))</f>
        <v/>
      </c>
      <c r="K165" s="984" t="str">
        <f>IF(I165="Si",IF(E165=0,"",VLOOKUP(E165,TablasTec!$A$14:$V$771,5,FALSE)),"")</f>
        <v/>
      </c>
      <c r="L165" s="982" t="s">
        <v>1690</v>
      </c>
      <c r="M165" s="1398" t="str">
        <f>IF(E165=0,"",VLOOKUP(E165,TablasTec!$A$14:$V$771,6,FALSE))</f>
        <v/>
      </c>
      <c r="N165" s="985" t="str">
        <f>IF(L165="Si",IF(E165=0,"",VLOOKUP(E165,TablasTec!$A$14:$V$771,6,FALSE)),"")</f>
        <v/>
      </c>
      <c r="O165" s="982" t="s">
        <v>1690</v>
      </c>
      <c r="P165" s="1398" t="str">
        <f>IF(E165=0,"",VLOOKUP(E165,TablasTec!$A$14:$V$771,7,FALSE))</f>
        <v/>
      </c>
      <c r="Q165" s="985" t="str">
        <f>IF(O165="Si",IF(E165=0,"",VLOOKUP(E165,TablasTec!$A$14:$V$771,7,FALSE)),"")</f>
        <v/>
      </c>
      <c r="R165" s="983" t="str">
        <f>IF(E165=0,"",VLOOKUP(E165,TablasTec!$A$14:$V$771,8,FALSE))</f>
        <v/>
      </c>
      <c r="S165" s="981" t="str">
        <f>IF(R165=$D$8,$D$8,IF(R165=2,2,IF(R165=3,3,R165)))</f>
        <v/>
      </c>
      <c r="T165" s="4883" t="s">
        <v>4540</v>
      </c>
      <c r="U165" s="4884"/>
      <c r="V165" s="4884"/>
      <c r="W165" s="4884"/>
      <c r="X165" s="4884"/>
      <c r="Y165" s="4884"/>
      <c r="Z165" s="4884"/>
      <c r="AA165" s="4884"/>
      <c r="AB165" s="4884"/>
      <c r="AC165" s="4884"/>
      <c r="AD165" s="4884"/>
      <c r="AE165" s="4884"/>
      <c r="AF165" s="4884"/>
      <c r="AG165" s="4884"/>
      <c r="AH165" s="4884"/>
      <c r="AI165" s="4884"/>
      <c r="AJ165" s="4884"/>
      <c r="AK165" s="4884"/>
      <c r="AL165" s="4884"/>
      <c r="AM165" s="4884"/>
      <c r="AN165" s="4884"/>
      <c r="AO165" s="4884"/>
      <c r="AP165" s="4884"/>
      <c r="AQ165" s="4884"/>
      <c r="AR165" s="4884"/>
      <c r="AS165" s="4884"/>
      <c r="AT165" s="4884"/>
      <c r="AU165" s="4884"/>
      <c r="AV165" s="4884"/>
      <c r="AW165" s="4884"/>
      <c r="AX165" s="4884"/>
      <c r="AY165" s="4884"/>
      <c r="AZ165" s="4884"/>
      <c r="BA165" s="4884"/>
      <c r="BB165" s="4884"/>
      <c r="BC165" s="4884"/>
      <c r="BD165" s="4884"/>
      <c r="BE165" s="4884"/>
      <c r="BF165" s="4884"/>
      <c r="BG165" s="4884"/>
      <c r="BH165" s="4884"/>
      <c r="BI165" s="4884"/>
      <c r="BJ165" s="4884"/>
      <c r="BK165" s="4885"/>
      <c r="BL165" s="1420"/>
      <c r="BM165" s="1421"/>
      <c r="BN165" s="975"/>
      <c r="BO165" s="976"/>
      <c r="BP165" s="961" t="str">
        <f>IF(I165="Si",VLOOKUP($D$8,TablasTec!$E$4:$F$6,2,FALSE),"")</f>
        <v/>
      </c>
      <c r="BQ165" s="962" t="str">
        <f>IF(L165="Si",VLOOKUP($D$8,TablasTec!$I$4:$J$6,2,FALSE),"")</f>
        <v/>
      </c>
      <c r="BR165" s="960" t="str">
        <f>IF(O165="Si",VLOOKUP($D$8,TablasTec!$I$7:$J$9,2,FALSE),"")</f>
        <v/>
      </c>
      <c r="BS165" s="977"/>
      <c r="BT165" s="4857" t="s">
        <v>4546</v>
      </c>
      <c r="BU165" s="4858"/>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c r="A166" s="922"/>
      <c r="B166" s="922"/>
      <c r="C166" s="4909"/>
      <c r="D166" s="1436" t="s">
        <v>1766</v>
      </c>
      <c r="E166" s="986"/>
      <c r="F166" s="1002"/>
      <c r="G166" s="972" t="str">
        <f>IF(E166=0,"",VLOOKUP(E166,TablasTec!$A$14:$V$771,3,FALSE))</f>
        <v/>
      </c>
      <c r="H166" s="3181" t="str">
        <f>IF($E166=0,"",VLOOKUP($E166,TablasTec!$A$14:$V$771,4,FALSE))</f>
        <v/>
      </c>
      <c r="I166" s="970" t="s">
        <v>1690</v>
      </c>
      <c r="J166" s="1394" t="str">
        <f>IF(E166=0,"",VLOOKUP(E166,TablasTec!$A$14:$V$771,5,FALSE))</f>
        <v/>
      </c>
      <c r="K166" s="989" t="str">
        <f>IF(I166="Si",IF(E166=0,"",VLOOKUP(E166,TablasTec!$A$14:$V$771,5,FALSE)),"")</f>
        <v/>
      </c>
      <c r="L166" s="970" t="s">
        <v>1690</v>
      </c>
      <c r="M166" s="1394" t="str">
        <f>IF(E166=0,"",VLOOKUP(E166,TablasTec!$A$14:$V$771,6,FALSE))</f>
        <v/>
      </c>
      <c r="N166" s="973" t="str">
        <f>IF(L166="Si",IF(E166=0,"",VLOOKUP(E166,TablasTec!$A$14:$V$771,6,FALSE)),"")</f>
        <v/>
      </c>
      <c r="O166" s="970" t="s">
        <v>1690</v>
      </c>
      <c r="P166" s="1394" t="str">
        <f>IF(E166=0,"",VLOOKUP(E166,TablasTec!$A$14:$V$771,7,FALSE))</f>
        <v/>
      </c>
      <c r="Q166" s="973" t="str">
        <f>IF(O166="Si",IF(E166=0,"",VLOOKUP(E166,TablasTec!$A$14:$V$771,7,FALSE)),"")</f>
        <v/>
      </c>
      <c r="R166" s="988" t="str">
        <f>IF(E166=0,"",VLOOKUP(E166,TablasTec!$A$14:$V$771,8,FALSE))</f>
        <v/>
      </c>
      <c r="S166" s="3181" t="str">
        <f>IF(R166=$D$8,$D$8,IF(R166=2,2,IF(R166=3,3,R166)))</f>
        <v/>
      </c>
      <c r="T166" s="4896"/>
      <c r="U166" s="4897"/>
      <c r="V166" s="3179" t="str">
        <f>IF(OR(V164=0,V164=""),"N/A",V164)</f>
        <v>N/A</v>
      </c>
      <c r="W166" s="4896" t="str">
        <f xml:space="preserve"> IF(OR(AF164=0,AF164=""),"N/A",W164)</f>
        <v>N/A</v>
      </c>
      <c r="X166" s="4898"/>
      <c r="Y166" s="4898"/>
      <c r="Z166" s="4898"/>
      <c r="AA166" s="4898"/>
      <c r="AB166" s="4898"/>
      <c r="AC166" s="4898"/>
      <c r="AD166" s="4898"/>
      <c r="AE166" s="4898"/>
      <c r="AF166" s="4897"/>
      <c r="AG166" s="4896" t="str">
        <f xml:space="preserve"> IF(OR(AP164="",AP164=0),"N/A",AG164)</f>
        <v>N/A</v>
      </c>
      <c r="AH166" s="4898"/>
      <c r="AI166" s="4898"/>
      <c r="AJ166" s="4898"/>
      <c r="AK166" s="4898"/>
      <c r="AL166" s="4898"/>
      <c r="AM166" s="4898"/>
      <c r="AN166" s="4898"/>
      <c r="AO166" s="4898"/>
      <c r="AP166" s="4897"/>
      <c r="AQ166" s="4896" t="str">
        <f xml:space="preserve"> IF(OR(AZ164="",AZ164=0),"N/A",AQ164)</f>
        <v>N/A</v>
      </c>
      <c r="AR166" s="4898"/>
      <c r="AS166" s="4898"/>
      <c r="AT166" s="4898"/>
      <c r="AU166" s="4898"/>
      <c r="AV166" s="4898"/>
      <c r="AW166" s="4898"/>
      <c r="AX166" s="4898"/>
      <c r="AY166" s="4898"/>
      <c r="AZ166" s="4897"/>
      <c r="BA166" s="4896" t="str">
        <f xml:space="preserve"> IF(OR(BJ164="",BJ164=0),"N/A",BA164)</f>
        <v>N/A</v>
      </c>
      <c r="BB166" s="4898"/>
      <c r="BC166" s="4898"/>
      <c r="BD166" s="4898"/>
      <c r="BE166" s="4898"/>
      <c r="BF166" s="4898"/>
      <c r="BG166" s="4898"/>
      <c r="BH166" s="4898"/>
      <c r="BI166" s="4898"/>
      <c r="BJ166" s="4897"/>
      <c r="BK166" s="990" t="s">
        <v>4541</v>
      </c>
      <c r="BL166" s="972"/>
      <c r="BM166" s="1007"/>
      <c r="BN166" s="975"/>
      <c r="BO166" s="992"/>
      <c r="BP166" s="961" t="str">
        <f>IF(I166="Si",VLOOKUP($D$8,TablasTec!$E$4:$F$6,2,FALSE),"")</f>
        <v/>
      </c>
      <c r="BQ166" s="962" t="str">
        <f>IF(L166="Si",VLOOKUP($D$8,TablasTec!$I$4:$J$6,2,FALSE),"")</f>
        <v/>
      </c>
      <c r="BR166" s="960" t="str">
        <f>IF(O166="Si",VLOOKUP($D$8,TablasTec!$I$7:$J$9,2,FALSE),"")</f>
        <v/>
      </c>
      <c r="BS166" s="977"/>
      <c r="BT166" s="4861" t="s">
        <v>4519</v>
      </c>
      <c r="BU166" s="4862"/>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c r="A167" s="922"/>
      <c r="B167" s="922"/>
      <c r="C167" s="4909"/>
      <c r="D167" s="1435" t="s">
        <v>1766</v>
      </c>
      <c r="E167" s="978"/>
      <c r="F167" s="1008"/>
      <c r="G167" s="1420" t="str">
        <f>IF(E167=0,"",VLOOKUP(E167,TablasTec!$A$14:$V$771,3,FALSE))</f>
        <v/>
      </c>
      <c r="H167" s="981" t="str">
        <f>IF($E167=0,"",VLOOKUP($E167,TablasTec!$A$14:$V$771,4,FALSE))</f>
        <v/>
      </c>
      <c r="I167" s="982" t="s">
        <v>1690</v>
      </c>
      <c r="J167" s="1398" t="str">
        <f>IF(E167=0,"",VLOOKUP(E167,TablasTec!$A$14:$V$771,5,FALSE))</f>
        <v/>
      </c>
      <c r="K167" s="984" t="str">
        <f>IF(I167="Si",IF(E167=0,"",VLOOKUP(E167,TablasTec!$A$14:$V$771,5,FALSE)),"")</f>
        <v/>
      </c>
      <c r="L167" s="982" t="s">
        <v>1690</v>
      </c>
      <c r="M167" s="1398" t="str">
        <f>IF(E167=0,"",VLOOKUP(E167,TablasTec!$A$14:$V$771,6,FALSE))</f>
        <v/>
      </c>
      <c r="N167" s="985" t="str">
        <f>IF(L167="Si",IF(E167=0,"",VLOOKUP(E167,TablasTec!$A$14:$V$771,6,FALSE)),"")</f>
        <v/>
      </c>
      <c r="O167" s="982" t="s">
        <v>1690</v>
      </c>
      <c r="P167" s="1398" t="str">
        <f>IF(E167=0,"",VLOOKUP(E167,TablasTec!$A$14:$V$771,7,FALSE))</f>
        <v/>
      </c>
      <c r="Q167" s="985" t="str">
        <f>IF(O167="Si",IF(E167=0,"",VLOOKUP(E167,TablasTec!$A$14:$V$771,7,FALSE)),"")</f>
        <v/>
      </c>
      <c r="R167" s="983" t="str">
        <f>IF(E167=0,"",VLOOKUP(E167,TablasTec!$A$14:$V$771,8,FALSE))</f>
        <v/>
      </c>
      <c r="S167" s="981" t="str">
        <f>IF(R167=$D$8,$D$8,IF(R167=2,2,IF(R167=3,3,R167)))</f>
        <v/>
      </c>
      <c r="T167" s="4899" t="s">
        <v>4542</v>
      </c>
      <c r="U167" s="4900"/>
      <c r="V167" s="3180"/>
      <c r="W167" s="4901"/>
      <c r="X167" s="4902"/>
      <c r="Y167" s="4902"/>
      <c r="Z167" s="4902"/>
      <c r="AA167" s="4902"/>
      <c r="AB167" s="4902"/>
      <c r="AC167" s="4902"/>
      <c r="AD167" s="4902"/>
      <c r="AE167" s="4902"/>
      <c r="AF167" s="4903"/>
      <c r="AG167" s="4901"/>
      <c r="AH167" s="4902"/>
      <c r="AI167" s="4902"/>
      <c r="AJ167" s="4902"/>
      <c r="AK167" s="4902"/>
      <c r="AL167" s="4902"/>
      <c r="AM167" s="4902"/>
      <c r="AN167" s="4902"/>
      <c r="AO167" s="4902"/>
      <c r="AP167" s="4903"/>
      <c r="AQ167" s="4901"/>
      <c r="AR167" s="4902"/>
      <c r="AS167" s="4902"/>
      <c r="AT167" s="4902"/>
      <c r="AU167" s="4902"/>
      <c r="AV167" s="4902"/>
      <c r="AW167" s="4902"/>
      <c r="AX167" s="4902"/>
      <c r="AY167" s="4902"/>
      <c r="AZ167" s="4903"/>
      <c r="BA167" s="4901"/>
      <c r="BB167" s="4902"/>
      <c r="BC167" s="4902"/>
      <c r="BD167" s="4902"/>
      <c r="BE167" s="4902"/>
      <c r="BF167" s="4902"/>
      <c r="BG167" s="4902"/>
      <c r="BH167" s="4902"/>
      <c r="BI167" s="4902"/>
      <c r="BJ167" s="4903"/>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IF(I167="Si",VLOOKUP($D$8,TablasTec!$E$4:$F$6,2,FALSE),"")</f>
        <v/>
      </c>
      <c r="BQ167" s="962" t="str">
        <f>IF(L167="Si",VLOOKUP($D$8,TablasTec!$I$4:$J$6,2,FALSE),"")</f>
        <v/>
      </c>
      <c r="BR167" s="960" t="str">
        <f>IF(O167="Si",VLOOKUP($D$8,TablasTec!$I$7:$J$9,2,FALSE),"")</f>
        <v/>
      </c>
      <c r="BS167" s="977"/>
      <c r="BT167" s="4853" t="s">
        <v>4547</v>
      </c>
      <c r="BU167" s="4854"/>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c r="A168" s="922"/>
      <c r="B168" s="922"/>
      <c r="C168" s="4909"/>
      <c r="D168" s="1436" t="s">
        <v>1766</v>
      </c>
      <c r="E168" s="986"/>
      <c r="F168" s="1002"/>
      <c r="G168" s="972" t="str">
        <f>IF(E168=0,"",VLOOKUP(E168,TablasTec!$A$14:$V$771,3,FALSE))</f>
        <v/>
      </c>
      <c r="H168" s="987" t="str">
        <f>IF($E168=0,"",VLOOKUP($E168,TablasTec!$A$14:$V$771,4,FALSE))</f>
        <v/>
      </c>
      <c r="I168" s="970" t="s">
        <v>1690</v>
      </c>
      <c r="J168" s="1394" t="str">
        <f>IF(E168=0,"",VLOOKUP(E168,TablasTec!$A$14:$V$771,5,FALSE))</f>
        <v/>
      </c>
      <c r="K168" s="989" t="str">
        <f>IF(I168="Si",IF(E168=0,"",VLOOKUP(E168,TablasTec!$A$14:$V$771,5,FALSE)),"")</f>
        <v/>
      </c>
      <c r="L168" s="970" t="s">
        <v>1690</v>
      </c>
      <c r="M168" s="1394" t="str">
        <f>IF(E168=0,"",VLOOKUP(E168,TablasTec!$A$14:$V$771,6,FALSE))</f>
        <v/>
      </c>
      <c r="N168" s="973" t="str">
        <f>IF(L168="Si",IF(E168=0,"",VLOOKUP(E168,TablasTec!$A$14:$V$771,6,FALSE)),"")</f>
        <v/>
      </c>
      <c r="O168" s="970" t="s">
        <v>1690</v>
      </c>
      <c r="P168" s="1394" t="str">
        <f>IF(E168=0,"",VLOOKUP(E168,TablasTec!$A$14:$V$771,7,FALSE))</f>
        <v/>
      </c>
      <c r="Q168" s="973" t="str">
        <f>IF(O168="Si",IF(E168=0,"",VLOOKUP(E168,TablasTec!$A$14:$V$771,7,FALSE)),"")</f>
        <v/>
      </c>
      <c r="R168" s="988" t="str">
        <f>IF(E168=0,"",VLOOKUP(E168,TablasTec!$A$14:$V$771,8,FALSE))</f>
        <v/>
      </c>
      <c r="S168" s="987" t="str">
        <f>IF(R168=$D$8,$D$8,IF(R168=2,2,IF(R168=3,3,R168)))</f>
        <v/>
      </c>
      <c r="T168" s="4890" t="s">
        <v>4544</v>
      </c>
      <c r="U168" s="4891"/>
      <c r="V168" s="3178"/>
      <c r="W168" s="4892"/>
      <c r="X168" s="4893"/>
      <c r="Y168" s="4893"/>
      <c r="Z168" s="4893"/>
      <c r="AA168" s="4893"/>
      <c r="AB168" s="4893"/>
      <c r="AC168" s="4893"/>
      <c r="AD168" s="4893"/>
      <c r="AE168" s="4893"/>
      <c r="AF168" s="4894"/>
      <c r="AG168" s="4892"/>
      <c r="AH168" s="4893"/>
      <c r="AI168" s="4893"/>
      <c r="AJ168" s="4893"/>
      <c r="AK168" s="4893"/>
      <c r="AL168" s="4893"/>
      <c r="AM168" s="4893"/>
      <c r="AN168" s="4893"/>
      <c r="AO168" s="4893"/>
      <c r="AP168" s="4894"/>
      <c r="AQ168" s="4892"/>
      <c r="AR168" s="4893"/>
      <c r="AS168" s="4893"/>
      <c r="AT168" s="4893"/>
      <c r="AU168" s="4893"/>
      <c r="AV168" s="4893"/>
      <c r="AW168" s="4893"/>
      <c r="AX168" s="4893"/>
      <c r="AY168" s="4893"/>
      <c r="AZ168" s="4894"/>
      <c r="BA168" s="4892"/>
      <c r="BB168" s="4893"/>
      <c r="BC168" s="4893"/>
      <c r="BD168" s="4893"/>
      <c r="BE168" s="4893"/>
      <c r="BF168" s="4893"/>
      <c r="BG168" s="4893"/>
      <c r="BH168" s="4893"/>
      <c r="BI168" s="4893"/>
      <c r="BJ168" s="4894"/>
      <c r="BK168" s="997">
        <f>SUM(K164:K168)-SUM(V168:BA168)</f>
        <v>0</v>
      </c>
      <c r="BL168" s="1422"/>
      <c r="BM168" s="1423"/>
      <c r="BN168" s="975"/>
      <c r="BO168" s="992"/>
      <c r="BP168" s="961" t="str">
        <f>IF(I168="Si",VLOOKUP($D$8,TablasTec!$E$4:$F$6,2,FALSE),"")</f>
        <v/>
      </c>
      <c r="BQ168" s="962" t="str">
        <f>IF(L168="Si",VLOOKUP($D$8,TablasTec!$I$4:$J$6,2,FALSE),"")</f>
        <v/>
      </c>
      <c r="BR168" s="960" t="str">
        <f>IF(O168="Si",VLOOKUP($D$8,TablasTec!$I$7:$J$9,2,FALSE),"")</f>
        <v/>
      </c>
      <c r="BS168" s="977"/>
      <c r="BT168" s="2293">
        <f>IF(BT162="No",0,IF(D156=0,0,VLOOKUP(D156,TablasTec!$L$4:$N$7,2,FALSE)))+IF(BT164="Bajar coste de CM",0,IF(BT164="-5 CM",2,IF(BT164="-10 CM",4,IF(BT164="-15 CM",6,IF(BT164="-20 CM",8,0)))))+IF(BT166="Bajar coste de Ki",0,IF(BT166="-1 Ki",-1,IF(BT166="-2 Ki",-2,IF(BT166="-3 Ki",-3,IF(BT166="-4 Ki",-4,IF(BT166="-5 Ki",-5,0))))))-BU171-BU173-BU175-BU177-BU179-BU181</f>
        <v>0</v>
      </c>
      <c r="BU168" s="2294">
        <f>IF(BT162="No",0,IF(D156=0,0,VLOOKUP(D156,TablasTec!$L$4:$N$7,2,FALSE)))+IF(BT164="Bajar coste de CM",0,IF(BT164="-5 CM",2,IF(BT164="-10 CM",4,IF(BT164="-15 CM",6,IF(BT164="-20 CM",8,0)))))+IF(BT166="Bajar coste de Ki",0,IF(BT166="-1 Ki",-1,IF(BT166="-2 Ki",-2,IF(BT166="-3 Ki",-3,IF(BT166="-4 Ki",-4,IF(BT166="-5 Ki",-5,0))))))</f>
        <v>0</v>
      </c>
      <c r="BV168" s="954"/>
      <c r="BW168" s="934"/>
      <c r="BX168" s="934"/>
      <c r="BY168" s="1269"/>
      <c r="BZ168" s="4895"/>
      <c r="CA168" s="922"/>
      <c r="DR168" s="922"/>
      <c r="DT168" s="1308"/>
      <c r="DU168" s="1362"/>
      <c r="DV168" s="1359" t="str">
        <f>IF(E168="","",E168)&amp;IF(I168="No",""," (Mant.)")&amp;IF(L168="No",""," (Sme)")&amp;IF(O168="No",""," (SMa)")</f>
        <v/>
      </c>
      <c r="DW168" s="1360"/>
      <c r="DX168" s="1361"/>
      <c r="DY168" s="1307"/>
      <c r="DZ168" s="922"/>
      <c r="EA168" s="1453">
        <f t="shared" si="2"/>
        <v>1</v>
      </c>
    </row>
    <row r="169" spans="1:131">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09"/>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IF(I169="Si",VLOOKUP($D$8,TablasTec!$E$4:$F$6,2,FALSE),"")</f>
        <v/>
      </c>
      <c r="BQ169" s="1013" t="str">
        <f>IF(L169="Si",VLOOKUP($D$8,TablasTec!$I$4:$J$6,2,FALSE),"")</f>
        <v/>
      </c>
      <c r="BR169" s="1011" t="str">
        <f>IF(O169="Si",VLOOKUP($D$8,TablasTec!$I$7:$J$9,2,FALSE),"")</f>
        <v/>
      </c>
      <c r="BS169" s="977"/>
      <c r="BU169" s="3174"/>
      <c r="BV169" s="954"/>
      <c r="BW169" s="934"/>
      <c r="BX169" s="934"/>
      <c r="BY169" s="1269"/>
      <c r="BZ169" s="4895"/>
      <c r="CA169" s="922"/>
      <c r="DR169" s="922"/>
      <c r="DT169" s="1308"/>
      <c r="DU169" s="1362"/>
      <c r="DV169" s="1363"/>
      <c r="DW169" s="1360"/>
      <c r="DX169" s="1361"/>
      <c r="DY169" s="1307"/>
      <c r="DZ169" s="922"/>
      <c r="EA169" s="1453">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09"/>
      <c r="D170" s="1436" t="s">
        <v>1766</v>
      </c>
      <c r="E170" s="966"/>
      <c r="F170" s="1002"/>
      <c r="G170" s="972" t="str">
        <f>IF(E170=0,"",VLOOKUP(E170,TablasTec!$A$14:$V$771,3,FALSE))</f>
        <v/>
      </c>
      <c r="H170" s="1014" t="str">
        <f>IF($E170=0,"",VLOOKUP($E170,TablasTec!$A$14:$V$771,4,FALSE))</f>
        <v/>
      </c>
      <c r="I170" s="970" t="s">
        <v>1690</v>
      </c>
      <c r="J170" s="1400" t="str">
        <f>IF(E170=0,"",VLOOKUP(E170,TablasTec!$A$14:$V$771,5,FALSE))</f>
        <v/>
      </c>
      <c r="K170" s="1016" t="str">
        <f>IF(I170="Si",IF(E170=0,"",VLOOKUP(E170,TablasTec!$A$14:$V$771,5,FALSE)),"")</f>
        <v/>
      </c>
      <c r="L170" s="970" t="s">
        <v>1690</v>
      </c>
      <c r="M170" s="1400" t="str">
        <f>IF(E170=0,"",VLOOKUP(E170,TablasTec!$A$14:$V$771,6,FALSE))</f>
        <v/>
      </c>
      <c r="N170" s="973" t="str">
        <f>IF(L170="Si",IF(E170=0,"",VLOOKUP(E170,TablasTec!$A$14:$V$771,6,FALSE)),"")</f>
        <v/>
      </c>
      <c r="O170" s="970" t="s">
        <v>1690</v>
      </c>
      <c r="P170" s="1400" t="str">
        <f>IF(E170=0,"",VLOOKUP(E170,TablasTec!$A$14:$V$771,7,FALSE))</f>
        <v/>
      </c>
      <c r="Q170" s="973" t="str">
        <f>IF(O170="Si",IF(E170=0,"",VLOOKUP(E170,TablasTec!$A$14:$V$771,7,FALSE)),"")</f>
        <v/>
      </c>
      <c r="R170" s="1015" t="str">
        <f>IF(E170=0,"",VLOOKUP(E170,TablasTec!$A$14:$V$771,8,FALSE))</f>
        <v/>
      </c>
      <c r="S170" s="987" t="str">
        <f>IF(R170=$D$8,$D$8,IF(R170=2,2,IF(R170=3,3,R170)))</f>
        <v/>
      </c>
      <c r="T170" s="1016" t="str">
        <f>IF(E170=0,"",VLOOKUP(E170,TablasTec!$A$14:$V$771,9,FALSE))</f>
        <v/>
      </c>
      <c r="U170" s="1016" t="str">
        <f>IF(E170=0,"",VLOOKUP(E170,TablasTec!$A$14:$V$771,10,FALSE))</f>
        <v/>
      </c>
      <c r="V170" s="1017" t="str">
        <f>IF(E170=0,"",VLOOKUP(E170,TablasTec!$A$14:$V$771,11,FALSE))</f>
        <v/>
      </c>
      <c r="W170" s="970"/>
      <c r="X170" s="971" t="e">
        <f>VLOOKUP(E170,TablasTec!$A$14:$V$771,12,FALSE)</f>
        <v>#N/A</v>
      </c>
      <c r="Y170" s="971" t="e">
        <f>IF(W170=X170,VLOOKUP(E170,TablasTec!$A$14:$V$771,13,FALSE),0)</f>
        <v>#N/A</v>
      </c>
      <c r="Z170" s="971" t="e">
        <f>VLOOKUP(E170,TablasTec!$A$14:$V$771,14,FALSE)</f>
        <v>#N/A</v>
      </c>
      <c r="AA170" s="971" t="e">
        <f>IF(W170=Z170,VLOOKUP(E170,TablasTec!$A$14:$V$616,15,FALSE),0)</f>
        <v>#N/A</v>
      </c>
      <c r="AB170" s="971" t="e">
        <f>VLOOKUP(E170,TablasTec!$A$14:$V$771,16,FALSE)</f>
        <v>#N/A</v>
      </c>
      <c r="AC170" s="971" t="e">
        <f>IF(W170=AB170,VLOOKUP(E170,TablasTec!$A$14:$V$616,17,FALSE),0)</f>
        <v>#N/A</v>
      </c>
      <c r="AD170" s="971" t="e">
        <f>VLOOKUP(E170,TablasTec!$A$14:$V$771,18,FALSE)</f>
        <v>#N/A</v>
      </c>
      <c r="AE170" s="971" t="e">
        <f>IF(W170=AD170,VLOOKUP(E170,TablasTec!$A$14:$V$771,19,FALSE),0)</f>
        <v>#N/A</v>
      </c>
      <c r="AF170" s="989" t="str">
        <f>IF(E170=0,"",(Y170+AA170+AC170+AE170))</f>
        <v/>
      </c>
      <c r="AG170" s="970"/>
      <c r="AH170" s="988" t="e">
        <f>VLOOKUP(E170,TablasTec!$A$14:$V$771,12,FALSE)</f>
        <v>#N/A</v>
      </c>
      <c r="AI170" s="988" t="e">
        <f>IF(AG170=AH170,VLOOKUP(E170,TablasTec!$A$14:$V$771,13,FALSE),0)</f>
        <v>#N/A</v>
      </c>
      <c r="AJ170" s="988" t="e">
        <f>VLOOKUP(E170,TablasTec!$A$14:$V$771,14,FALSE)</f>
        <v>#N/A</v>
      </c>
      <c r="AK170" s="988" t="e">
        <f>IF(AG170=AJ170,VLOOKUP(E170,TablasTec!$A$14:$V$771,15,FALSE),0)</f>
        <v>#N/A</v>
      </c>
      <c r="AL170" s="988" t="e">
        <f>VLOOKUP(E170,TablasTec!$A$14:$V$771,16,FALSE)</f>
        <v>#N/A</v>
      </c>
      <c r="AM170" s="988" t="e">
        <f>IF(AG170=AL170,VLOOKUP(E170,TablasTec!$A$14:$V$771,17,FALSE),0)</f>
        <v>#N/A</v>
      </c>
      <c r="AN170" s="988" t="e">
        <f>VLOOKUP(E170,TablasTec!$A$14:$V$771,18,FALSE)</f>
        <v>#N/A</v>
      </c>
      <c r="AO170" s="988" t="e">
        <f>IF(AG170=AN170,VLOOKUP(E170,TablasTec!$A$14:$V$771,19,FALSE),0)</f>
        <v>#N/A</v>
      </c>
      <c r="AP170" s="3182" t="str">
        <f>IF(E170=0,"",(AI170+AK170+AM170+AO170))</f>
        <v/>
      </c>
      <c r="AQ170" s="970"/>
      <c r="AR170" s="988" t="e">
        <f>VLOOKUP(E170,TablasTec!$A$14:$V$771,12,FALSE)</f>
        <v>#N/A</v>
      </c>
      <c r="AS170" s="988" t="e">
        <f>IF(AQ170=AR170,VLOOKUP(E170,TablasTec!$A$14:$V$771,13,FALSE),0)</f>
        <v>#N/A</v>
      </c>
      <c r="AT170" s="988" t="e">
        <f>VLOOKUP(E170,TablasTec!$A$14:$V$771,14,FALSE)</f>
        <v>#N/A</v>
      </c>
      <c r="AU170" s="988" t="e">
        <f>IF(AQ170=AT170,VLOOKUP(E170,TablasTec!$A$14:$V$771,15,FALSE),0)</f>
        <v>#N/A</v>
      </c>
      <c r="AV170" s="988" t="e">
        <f>VLOOKUP(E170,TablasTec!$A$14:$V$771,16,FALSE)</f>
        <v>#N/A</v>
      </c>
      <c r="AW170" s="988" t="e">
        <f>IF(AQ170=AV170,VLOOKUP(E170,TablasTec!$A$14:$V$771,17,FALSE),0)</f>
        <v>#N/A</v>
      </c>
      <c r="AX170" s="988" t="e">
        <f>VLOOKUP(E170,TablasTec!$A$14:$V$771,18,FALSE)</f>
        <v>#N/A</v>
      </c>
      <c r="AY170" s="988" t="e">
        <f>IF(AQ170=AX170,VLOOKUP(E170,TablasTec!$A$14:$V$771,19,FALSE),0)</f>
        <v>#N/A</v>
      </c>
      <c r="AZ170" s="989" t="str">
        <f>IF(E170=0,"",(AS170+AU170+AW170+AY170))</f>
        <v/>
      </c>
      <c r="BA170" s="970"/>
      <c r="BB170" s="988" t="e">
        <f>VLOOKUP(E170,TablasTec!$A$14:$V$771,12,FALSE)</f>
        <v>#N/A</v>
      </c>
      <c r="BC170" s="988" t="e">
        <f>IF(BA170=BB170,VLOOKUP(E170,TablasTec!$A$14:$V$771,13,FALSE),0)</f>
        <v>#N/A</v>
      </c>
      <c r="BD170" s="988" t="e">
        <f>VLOOKUP(E170,TablasTec!$A$14:$V$771,14,FALSE)</f>
        <v>#N/A</v>
      </c>
      <c r="BE170" s="988" t="e">
        <f>IF(BA170=BD170,VLOOKUP(E170,TablasTec!$A$14:$V$771,15,FALSE),0)</f>
        <v>#N/A</v>
      </c>
      <c r="BF170" s="988" t="e">
        <f>VLOOKUP(E170,TablasTec!$A$14:$V$771,16,FALSE)</f>
        <v>#N/A</v>
      </c>
      <c r="BG170" s="988" t="e">
        <f>IF(BA170=BF170,VLOOKUP(E170,TablasTec!$A$14:$V$771,17,FALSE),0)</f>
        <v>#N/A</v>
      </c>
      <c r="BH170" s="988" t="e">
        <f>VLOOKUP(E170,TablasTec!$A$14:$V$771,18,FALSE)</f>
        <v>#N/A</v>
      </c>
      <c r="BI170" s="988" t="e">
        <f>IF(BA170=BH170,VLOOKUP(E170,TablasTec!$A$14:$V$771,19,FALSE),0)</f>
        <v>#N/A</v>
      </c>
      <c r="BJ170" s="3182" t="str">
        <f>IF(E170=0,"",(BC170+BE170+BG170+BI170))</f>
        <v/>
      </c>
      <c r="BK170" s="1016" t="str">
        <f>IF(E170=0,"",VLOOKUP(E170,TablasTec!$A$14:$V$771,20,FALSE))</f>
        <v/>
      </c>
      <c r="BL170" s="1003" t="str">
        <f>IF(E170=0,"",VLOOKUP(E170,TablasTec!$A$14:$V$771,21,FALSE))</f>
        <v/>
      </c>
      <c r="BM170" s="974" t="str">
        <f>IF(E170=0,"",VLOOKUP(E170,TablasTec!$A$14:$V$771,22,FALSE))</f>
        <v/>
      </c>
      <c r="BN170" s="975"/>
      <c r="BO170" s="976"/>
      <c r="BP170" s="961" t="str">
        <f>IF(I170="Si",VLOOKUP($D$8,TablasTec!$E$4:$F$6,2,FALSE),"")</f>
        <v/>
      </c>
      <c r="BQ170" s="962" t="str">
        <f>IF(L170="Si",VLOOKUP($D$8,TablasTec!$I$4:$J$6,2,FALSE),"")</f>
        <v/>
      </c>
      <c r="BR170" s="960" t="str">
        <f>IF(O170="Si",VLOOKUP($D$8,TablasTec!$I$7:$J$9,2,FALSE),"")</f>
        <v/>
      </c>
      <c r="BS170" s="977"/>
      <c r="BT170" s="3171" t="s">
        <v>1682</v>
      </c>
      <c r="BU170" s="3172" t="s">
        <v>4548</v>
      </c>
      <c r="BV170" s="954"/>
      <c r="BW170" s="3172" t="s">
        <v>4549</v>
      </c>
      <c r="BX170" s="3171" t="s">
        <v>4550</v>
      </c>
      <c r="BY170" s="1283" t="s">
        <v>4550</v>
      </c>
      <c r="BZ170" s="4895"/>
      <c r="CA170" s="922"/>
      <c r="DR170" s="922"/>
      <c r="DT170" s="1308"/>
      <c r="DU170" s="1362"/>
      <c r="DV170" s="1359" t="str">
        <f>IF(E170="","",", "&amp;E170)&amp;IF(I170="No",""," (Mant.)")&amp;IF(L170="No",""," (Sme)")&amp;IF(O170="No",""," (SMa)")</f>
        <v/>
      </c>
      <c r="DW170" s="1360"/>
      <c r="DX170" s="1361"/>
      <c r="DY170" s="1307"/>
      <c r="DZ170" s="922"/>
      <c r="EA170" s="1453">
        <f t="shared" si="2"/>
        <v>1</v>
      </c>
    </row>
    <row r="171" spans="1:131">
      <c r="A171" s="922"/>
      <c r="B171" s="922"/>
      <c r="C171" s="4909"/>
      <c r="D171" s="1435" t="s">
        <v>1766</v>
      </c>
      <c r="E171" s="978"/>
      <c r="F171" s="1008"/>
      <c r="G171" s="1420" t="str">
        <f>IF(E171=0,"",VLOOKUP(E171,TablasTec!$A$14:$V$771,3,FALSE))</f>
        <v/>
      </c>
      <c r="H171" s="981" t="str">
        <f>IF($E171=0,"",VLOOKUP($E171,TablasTec!$A$14:$V$771,4,FALSE))</f>
        <v/>
      </c>
      <c r="I171" s="982" t="s">
        <v>1690</v>
      </c>
      <c r="J171" s="1398" t="str">
        <f>IF(E171=0,"",VLOOKUP(E171,TablasTec!$A$14:$V$771,5,FALSE))</f>
        <v/>
      </c>
      <c r="K171" s="984" t="str">
        <f>IF(I171="Si",IF(E171=0,"",VLOOKUP(E171,TablasTec!$A$14:$V$771,5,FALSE)),"")</f>
        <v/>
      </c>
      <c r="L171" s="982" t="s">
        <v>1690</v>
      </c>
      <c r="M171" s="1398" t="str">
        <f>IF(E171=0,"",VLOOKUP(E171,TablasTec!$A$14:$V$771,6,FALSE))</f>
        <v/>
      </c>
      <c r="N171" s="985" t="str">
        <f>IF(L171="Si",IF(E171=0,"",VLOOKUP(E171,TablasTec!$A$14:$V$771,6,FALSE)),"")</f>
        <v/>
      </c>
      <c r="O171" s="982" t="s">
        <v>1690</v>
      </c>
      <c r="P171" s="1398" t="str">
        <f>IF(E171=0,"",VLOOKUP(E171,TablasTec!$A$14:$V$771,7,FALSE))</f>
        <v/>
      </c>
      <c r="Q171" s="985" t="str">
        <f>IF(O171="Si",IF(E171=0,"",VLOOKUP(E171,TablasTec!$A$14:$V$771,7,FALSE)),"")</f>
        <v/>
      </c>
      <c r="R171" s="983" t="str">
        <f>IF(E171=0,"",VLOOKUP(E171,TablasTec!$A$14:$V$771,8,FALSE))</f>
        <v/>
      </c>
      <c r="S171" s="981" t="str">
        <f>IF(R171=$D$8,$D$8,IF(R171=2,2,IF(R171=3,3,R171)))</f>
        <v/>
      </c>
      <c r="T171" s="4883" t="s">
        <v>4540</v>
      </c>
      <c r="U171" s="4884"/>
      <c r="V171" s="4884"/>
      <c r="W171" s="4884"/>
      <c r="X171" s="4884"/>
      <c r="Y171" s="4884"/>
      <c r="Z171" s="4884"/>
      <c r="AA171" s="4884"/>
      <c r="AB171" s="4884"/>
      <c r="AC171" s="4884"/>
      <c r="AD171" s="4884"/>
      <c r="AE171" s="4884"/>
      <c r="AF171" s="4884"/>
      <c r="AG171" s="4884"/>
      <c r="AH171" s="4884"/>
      <c r="AI171" s="4884"/>
      <c r="AJ171" s="4884"/>
      <c r="AK171" s="4884"/>
      <c r="AL171" s="4884"/>
      <c r="AM171" s="4884"/>
      <c r="AN171" s="4884"/>
      <c r="AO171" s="4884"/>
      <c r="AP171" s="4884"/>
      <c r="AQ171" s="4884"/>
      <c r="AR171" s="4884"/>
      <c r="AS171" s="4884"/>
      <c r="AT171" s="4884"/>
      <c r="AU171" s="4884"/>
      <c r="AV171" s="4884"/>
      <c r="AW171" s="4884"/>
      <c r="AX171" s="4884"/>
      <c r="AY171" s="4884"/>
      <c r="AZ171" s="4884"/>
      <c r="BA171" s="4884"/>
      <c r="BB171" s="4884"/>
      <c r="BC171" s="4884"/>
      <c r="BD171" s="4884"/>
      <c r="BE171" s="4884"/>
      <c r="BF171" s="4884"/>
      <c r="BG171" s="4884"/>
      <c r="BH171" s="4884"/>
      <c r="BI171" s="4884"/>
      <c r="BJ171" s="4884"/>
      <c r="BK171" s="4885"/>
      <c r="BL171" s="1420"/>
      <c r="BM171" s="1421"/>
      <c r="BN171" s="975"/>
      <c r="BO171" s="976"/>
      <c r="BP171" s="961" t="str">
        <f>IF(I171="Si",VLOOKUP($D$8,TablasTec!$E$4:$F$6,2,FALSE),"")</f>
        <v/>
      </c>
      <c r="BQ171" s="962" t="str">
        <f>IF(L171="Si",VLOOKUP($D$8,TablasTec!$I$4:$J$6,2,FALSE),"")</f>
        <v/>
      </c>
      <c r="BR171" s="960" t="str">
        <f>IF(O171="Si",VLOOKUP($D$8,TablasTec!$I$7:$J$9,2,FALSE),"")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c r="A172" s="922"/>
      <c r="B172" s="922"/>
      <c r="C172" s="4909"/>
      <c r="D172" s="1436" t="s">
        <v>1766</v>
      </c>
      <c r="E172" s="986"/>
      <c r="F172" s="1002"/>
      <c r="G172" s="972" t="str">
        <f>IF(E172=0,"",VLOOKUP(E172,TablasTec!$A$14:$V$771,3,FALSE))</f>
        <v/>
      </c>
      <c r="H172" s="3181" t="str">
        <f>IF($E172=0,"",VLOOKUP($E172,TablasTec!$A$14:$V$771,4,FALSE))</f>
        <v/>
      </c>
      <c r="I172" s="970" t="s">
        <v>1690</v>
      </c>
      <c r="J172" s="1394" t="str">
        <f>IF(E172=0,"",VLOOKUP(E172,TablasTec!$A$14:$V$771,5,FALSE))</f>
        <v/>
      </c>
      <c r="K172" s="989" t="str">
        <f>IF(I172="Si",IF(E172=0,"",VLOOKUP(E172,TablasTec!$A$14:$V$771,5,FALSE)),"")</f>
        <v/>
      </c>
      <c r="L172" s="970" t="s">
        <v>1690</v>
      </c>
      <c r="M172" s="1394" t="str">
        <f>IF(E172=0,"",VLOOKUP(E172,TablasTec!$A$14:$V$771,6,FALSE))</f>
        <v/>
      </c>
      <c r="N172" s="973" t="str">
        <f>IF(L172="Si",IF(E172=0,"",VLOOKUP(E172,TablasTec!$A$14:$V$771,6,FALSE)),"")</f>
        <v/>
      </c>
      <c r="O172" s="970" t="s">
        <v>1690</v>
      </c>
      <c r="P172" s="1394" t="str">
        <f>IF(E172=0,"",VLOOKUP(E172,TablasTec!$A$14:$V$771,7,FALSE))</f>
        <v/>
      </c>
      <c r="Q172" s="973" t="str">
        <f>IF(O172="Si",IF(E172=0,"",VLOOKUP(E172,TablasTec!$A$14:$V$771,7,FALSE)),"")</f>
        <v/>
      </c>
      <c r="R172" s="988" t="str">
        <f>IF(E172=0,"",VLOOKUP(E172,TablasTec!$A$14:$V$771,8,FALSE))</f>
        <v/>
      </c>
      <c r="S172" s="3181" t="str">
        <f>IF(R172=$D$8,$D$8,IF(R172=2,2,IF(R172=3,3,R172)))</f>
        <v/>
      </c>
      <c r="T172" s="4896"/>
      <c r="U172" s="4897"/>
      <c r="V172" s="3179" t="str">
        <f>IF(OR(V170=0,V170=""),"N/A",V170)</f>
        <v>N/A</v>
      </c>
      <c r="W172" s="4896" t="str">
        <f xml:space="preserve"> IF(OR(AF170=0,AF170=""),"N/A",W170)</f>
        <v>N/A</v>
      </c>
      <c r="X172" s="4898"/>
      <c r="Y172" s="4898"/>
      <c r="Z172" s="4898"/>
      <c r="AA172" s="4898"/>
      <c r="AB172" s="4898"/>
      <c r="AC172" s="4898"/>
      <c r="AD172" s="4898"/>
      <c r="AE172" s="4898"/>
      <c r="AF172" s="4897"/>
      <c r="AG172" s="4896" t="str">
        <f xml:space="preserve"> IF(OR(AP170="",AP170=0),"N/A",AG170)</f>
        <v>N/A</v>
      </c>
      <c r="AH172" s="4898"/>
      <c r="AI172" s="4898"/>
      <c r="AJ172" s="4898"/>
      <c r="AK172" s="4898"/>
      <c r="AL172" s="4898"/>
      <c r="AM172" s="4898"/>
      <c r="AN172" s="4898"/>
      <c r="AO172" s="4898"/>
      <c r="AP172" s="4897"/>
      <c r="AQ172" s="4896" t="str">
        <f xml:space="preserve"> IF(OR(AZ170="",AZ170=0),"N/A",AQ170)</f>
        <v>N/A</v>
      </c>
      <c r="AR172" s="4898"/>
      <c r="AS172" s="4898"/>
      <c r="AT172" s="4898"/>
      <c r="AU172" s="4898"/>
      <c r="AV172" s="4898"/>
      <c r="AW172" s="4898"/>
      <c r="AX172" s="4898"/>
      <c r="AY172" s="4898"/>
      <c r="AZ172" s="4897"/>
      <c r="BA172" s="4896" t="str">
        <f xml:space="preserve"> IF(OR(BJ170="",BJ170=0),"N/A",BA170)</f>
        <v>N/A</v>
      </c>
      <c r="BB172" s="4898"/>
      <c r="BC172" s="4898"/>
      <c r="BD172" s="4898"/>
      <c r="BE172" s="4898"/>
      <c r="BF172" s="4898"/>
      <c r="BG172" s="4898"/>
      <c r="BH172" s="4898"/>
      <c r="BI172" s="4898"/>
      <c r="BJ172" s="4897"/>
      <c r="BK172" s="990" t="s">
        <v>4541</v>
      </c>
      <c r="BL172" s="972"/>
      <c r="BM172" s="1007"/>
      <c r="BN172" s="991"/>
      <c r="BO172" s="992"/>
      <c r="BP172" s="993" t="str">
        <f>IF(I172="Si",VLOOKUP($D$8,TablasTec!$E$4:$F$6,2,FALSE),"")</f>
        <v/>
      </c>
      <c r="BQ172" s="963" t="str">
        <f>IF(L172="Si",VLOOKUP($D$8,TablasTec!$I$4:$J$6,2,FALSE),"")</f>
        <v/>
      </c>
      <c r="BR172" s="994" t="str">
        <f>IF(O172="Si",VLOOKUP($D$8,TablasTec!$I$7:$J$9,2,FALSE),"")</f>
        <v/>
      </c>
      <c r="BS172" s="977"/>
      <c r="BT172" s="3171" t="s">
        <v>1809</v>
      </c>
      <c r="BU172" s="3172" t="s">
        <v>4548</v>
      </c>
      <c r="BV172" s="954"/>
      <c r="BW172" s="3172" t="s">
        <v>4549</v>
      </c>
      <c r="BX172" s="3171" t="s">
        <v>4550</v>
      </c>
      <c r="BY172" s="1284" t="s">
        <v>4550</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c r="A173" s="922"/>
      <c r="B173" s="922"/>
      <c r="C173" s="4909"/>
      <c r="D173" s="1435" t="s">
        <v>1766</v>
      </c>
      <c r="E173" s="978"/>
      <c r="F173" s="1008"/>
      <c r="G173" s="1420" t="str">
        <f>IF(E173=0,"",VLOOKUP(E173,TablasTec!$A$14:$V$771,3,FALSE))</f>
        <v/>
      </c>
      <c r="H173" s="981" t="str">
        <f>IF($E173=0,"",VLOOKUP($E173,TablasTec!$A$14:$V$771,4,FALSE))</f>
        <v/>
      </c>
      <c r="I173" s="982" t="s">
        <v>1690</v>
      </c>
      <c r="J173" s="1398" t="str">
        <f>IF(E173=0,"",VLOOKUP(E173,TablasTec!$A$14:$V$771,5,FALSE))</f>
        <v/>
      </c>
      <c r="K173" s="984" t="str">
        <f>IF(I173="Si",IF(E173=0,"",VLOOKUP(E173,TablasTec!$A$14:$V$771,5,FALSE)),"")</f>
        <v/>
      </c>
      <c r="L173" s="982" t="s">
        <v>1690</v>
      </c>
      <c r="M173" s="1398" t="str">
        <f>IF(E173=0,"",VLOOKUP(E173,TablasTec!$A$14:$V$771,6,FALSE))</f>
        <v/>
      </c>
      <c r="N173" s="985" t="str">
        <f>IF(L173="Si",IF(E173=0,"",VLOOKUP(E173,TablasTec!$A$14:$V$771,6,FALSE)),"")</f>
        <v/>
      </c>
      <c r="O173" s="982" t="s">
        <v>1690</v>
      </c>
      <c r="P173" s="1398" t="str">
        <f>IF(E173=0,"",VLOOKUP(E173,TablasTec!$A$14:$V$771,7,FALSE))</f>
        <v/>
      </c>
      <c r="Q173" s="985" t="str">
        <f>IF(O173="Si",IF(E173=0,"",VLOOKUP(E173,TablasTec!$A$14:$V$771,7,FALSE)),"")</f>
        <v/>
      </c>
      <c r="R173" s="983" t="str">
        <f>IF(E173=0,"",VLOOKUP(E173,TablasTec!$A$14:$V$771,8,FALSE))</f>
        <v/>
      </c>
      <c r="S173" s="981" t="str">
        <f>IF(R173=$D$8,$D$8,IF(R173=2,2,IF(R173=3,3,R173)))</f>
        <v/>
      </c>
      <c r="T173" s="4899" t="s">
        <v>4542</v>
      </c>
      <c r="U173" s="4900"/>
      <c r="V173" s="3180"/>
      <c r="W173" s="4901"/>
      <c r="X173" s="4902"/>
      <c r="Y173" s="4902"/>
      <c r="Z173" s="4902"/>
      <c r="AA173" s="4902"/>
      <c r="AB173" s="4902"/>
      <c r="AC173" s="4902"/>
      <c r="AD173" s="4902"/>
      <c r="AE173" s="4902"/>
      <c r="AF173" s="4903"/>
      <c r="AG173" s="4901"/>
      <c r="AH173" s="4902"/>
      <c r="AI173" s="4902"/>
      <c r="AJ173" s="4902"/>
      <c r="AK173" s="4902"/>
      <c r="AL173" s="4902"/>
      <c r="AM173" s="4902"/>
      <c r="AN173" s="4902"/>
      <c r="AO173" s="4902"/>
      <c r="AP173" s="4903"/>
      <c r="AQ173" s="4901"/>
      <c r="AR173" s="4902"/>
      <c r="AS173" s="4902"/>
      <c r="AT173" s="4902"/>
      <c r="AU173" s="4902"/>
      <c r="AV173" s="4902"/>
      <c r="AW173" s="4902"/>
      <c r="AX173" s="4902"/>
      <c r="AY173" s="4902"/>
      <c r="AZ173" s="4903"/>
      <c r="BA173" s="4901"/>
      <c r="BB173" s="4902"/>
      <c r="BC173" s="4902"/>
      <c r="BD173" s="4902"/>
      <c r="BE173" s="4902"/>
      <c r="BF173" s="4902"/>
      <c r="BG173" s="4902"/>
      <c r="BH173" s="4902"/>
      <c r="BI173" s="4902"/>
      <c r="BJ173" s="4903"/>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IF(I173="Si",VLOOKUP($D$8,TablasTec!$E$4:$F$6,2,FALSE),"")</f>
        <v/>
      </c>
      <c r="BQ173" s="962" t="str">
        <f>IF(L173="Si",VLOOKUP($D$8,TablasTec!$I$4:$J$6,2,FALSE),"")</f>
        <v/>
      </c>
      <c r="BR173" s="960" t="str">
        <f>IF(O173="Si",VLOOKUP($D$8,TablasTec!$I$7:$J$9,2,FALSE),"")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c r="A174" s="922"/>
      <c r="B174" s="922"/>
      <c r="C174" s="4909"/>
      <c r="D174" s="1436" t="s">
        <v>1766</v>
      </c>
      <c r="E174" s="986"/>
      <c r="F174" s="1002"/>
      <c r="G174" s="972" t="str">
        <f>IF(E174=0,"",VLOOKUP(E174,TablasTec!$A$14:$V$771,3,FALSE))</f>
        <v/>
      </c>
      <c r="H174" s="997" t="str">
        <f>IF($E174=0,"",VLOOKUP($E174,TablasTec!$A$14:$V$771,4,FALSE))</f>
        <v/>
      </c>
      <c r="I174" s="970" t="s">
        <v>1690</v>
      </c>
      <c r="J174" s="1401" t="str">
        <f>IF(E174=0,"",VLOOKUP(E174,TablasTec!$A$14:$V$771,5,FALSE))</f>
        <v/>
      </c>
      <c r="K174" s="998" t="str">
        <f>IF(I174="Si",IF(E174=0,"",VLOOKUP(E174,TablasTec!$A$14:$V$771,5,FALSE)),"")</f>
        <v/>
      </c>
      <c r="L174" s="970" t="s">
        <v>1690</v>
      </c>
      <c r="M174" s="1401" t="str">
        <f>IF(E174=0,"",VLOOKUP(E174,TablasTec!$A$14:$V$771,6,FALSE))</f>
        <v/>
      </c>
      <c r="N174" s="973" t="str">
        <f>IF(L174="Si",IF(E174=0,"",VLOOKUP(E174,TablasTec!$A$14:$V$771,6,FALSE)),"")</f>
        <v/>
      </c>
      <c r="O174" s="970" t="s">
        <v>1690</v>
      </c>
      <c r="P174" s="1401" t="str">
        <f>IF(E174=0,"",VLOOKUP(E174,TablasTec!$A$14:$V$771,7,FALSE))</f>
        <v/>
      </c>
      <c r="Q174" s="973" t="str">
        <f>IF(O174="Si",IF(E174=0,"",VLOOKUP(E174,TablasTec!$A$14:$V$771,7,FALSE)),"")</f>
        <v/>
      </c>
      <c r="R174" s="1018" t="str">
        <f>IF(E174=0,"",VLOOKUP(E174,TablasTec!$A$14:$V$771,8,FALSE))</f>
        <v/>
      </c>
      <c r="S174" s="987" t="str">
        <f>IF(R174=$D$8,$D$8,IF(R174=2,2,IF(R174=3,3,R174)))</f>
        <v/>
      </c>
      <c r="T174" s="4890" t="s">
        <v>4544</v>
      </c>
      <c r="U174" s="4891"/>
      <c r="V174" s="3178"/>
      <c r="W174" s="4892"/>
      <c r="X174" s="4893"/>
      <c r="Y174" s="4893"/>
      <c r="Z174" s="4893"/>
      <c r="AA174" s="4893"/>
      <c r="AB174" s="4893"/>
      <c r="AC174" s="4893"/>
      <c r="AD174" s="4893"/>
      <c r="AE174" s="4893"/>
      <c r="AF174" s="4894"/>
      <c r="AG174" s="4892"/>
      <c r="AH174" s="4893"/>
      <c r="AI174" s="4893"/>
      <c r="AJ174" s="4893"/>
      <c r="AK174" s="4893"/>
      <c r="AL174" s="4893"/>
      <c r="AM174" s="4893"/>
      <c r="AN174" s="4893"/>
      <c r="AO174" s="4893"/>
      <c r="AP174" s="4894"/>
      <c r="AQ174" s="4892"/>
      <c r="AR174" s="4893"/>
      <c r="AS174" s="4893"/>
      <c r="AT174" s="4893"/>
      <c r="AU174" s="4893"/>
      <c r="AV174" s="4893"/>
      <c r="AW174" s="4893"/>
      <c r="AX174" s="4893"/>
      <c r="AY174" s="4893"/>
      <c r="AZ174" s="4894"/>
      <c r="BA174" s="4892"/>
      <c r="BB174" s="4893"/>
      <c r="BC174" s="4893"/>
      <c r="BD174" s="4893"/>
      <c r="BE174" s="4893"/>
      <c r="BF174" s="4893"/>
      <c r="BG174" s="4893"/>
      <c r="BH174" s="4893"/>
      <c r="BI174" s="4893"/>
      <c r="BJ174" s="4894"/>
      <c r="BK174" s="997">
        <f>SUM(K170:K174)-SUM(V174:BA174)</f>
        <v>0</v>
      </c>
      <c r="BL174" s="1422"/>
      <c r="BM174" s="1423"/>
      <c r="BN174" s="991"/>
      <c r="BO174" s="992"/>
      <c r="BP174" s="993" t="str">
        <f>IF(I174="Si",VLOOKUP($D$8,TablasTec!$E$4:$F$6,2,FALSE),"")</f>
        <v/>
      </c>
      <c r="BQ174" s="963" t="str">
        <f>IF(L174="Si",VLOOKUP($D$8,TablasTec!$I$4:$J$6,2,FALSE),"")</f>
        <v/>
      </c>
      <c r="BR174" s="994" t="str">
        <f>IF(O174="Si",VLOOKUP($D$8,TablasTec!$I$7:$J$9,2,FALSE),"")</f>
        <v/>
      </c>
      <c r="BS174" s="977"/>
      <c r="BT174" s="3171" t="s">
        <v>1687</v>
      </c>
      <c r="BU174" s="3172" t="s">
        <v>4548</v>
      </c>
      <c r="BV174" s="954"/>
      <c r="BW174" s="3172" t="s">
        <v>4549</v>
      </c>
      <c r="BX174" s="3171" t="s">
        <v>4550</v>
      </c>
      <c r="BY174" s="1284" t="s">
        <v>4550</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09"/>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IF(I175="Si",VLOOKUP($D$8,TablasTec!$E$4:$F$6,2,FALSE),"")</f>
        <v/>
      </c>
      <c r="BQ175" s="1013" t="str">
        <f>IF(L175="Si",VLOOKUP($D$8,TablasTec!$I$4:$J$6,2,FALSE),"")</f>
        <v/>
      </c>
      <c r="BR175" s="1011" t="str">
        <f>IF(O175="Si",VLOOKUP($D$8,TablasTec!$I$7:$J$9,2,FALSE),"")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09"/>
      <c r="D176" s="1436" t="s">
        <v>1766</v>
      </c>
      <c r="E176" s="966"/>
      <c r="F176" s="1002"/>
      <c r="G176" s="972" t="str">
        <f>IF(E176=0,"",VLOOKUP(E176,TablasTec!$A$14:$V$771,3,FALSE))</f>
        <v/>
      </c>
      <c r="H176" s="1014" t="str">
        <f>IF($E176=0,"",VLOOKUP($E176,TablasTec!$A$14:$V$771,4,FALSE))</f>
        <v/>
      </c>
      <c r="I176" s="970" t="s">
        <v>1690</v>
      </c>
      <c r="J176" s="1400" t="str">
        <f>IF(E176=0,"",VLOOKUP(E176,TablasTec!$A$14:$V$771,5,FALSE))</f>
        <v/>
      </c>
      <c r="K176" s="1016" t="str">
        <f>IF(I176="Si",IF(E176=0,"",VLOOKUP(E176,TablasTec!$A$14:$V$771,5,FALSE)),"")</f>
        <v/>
      </c>
      <c r="L176" s="970" t="s">
        <v>1690</v>
      </c>
      <c r="M176" s="1400" t="str">
        <f>IF(E176=0,"",VLOOKUP(E176,TablasTec!$A$14:$V$771,6,FALSE))</f>
        <v/>
      </c>
      <c r="N176" s="973" t="str">
        <f>IF(L176="Si",IF(E176=0,"",VLOOKUP(E176,TablasTec!$A$14:$V$771,6,FALSE)),"")</f>
        <v/>
      </c>
      <c r="O176" s="970" t="s">
        <v>1690</v>
      </c>
      <c r="P176" s="1400" t="str">
        <f>IF(E176=0,"",VLOOKUP(E176,TablasTec!$A$14:$V$771,7,FALSE))</f>
        <v/>
      </c>
      <c r="Q176" s="973" t="str">
        <f>IF(O176="Si",IF(E176=0,"",VLOOKUP(E176,TablasTec!$A$14:$V$771,7,FALSE)),"")</f>
        <v/>
      </c>
      <c r="R176" s="1015" t="str">
        <f>IF(E176=0,"",VLOOKUP(E176,TablasTec!$A$14:$V$771,8,FALSE))</f>
        <v/>
      </c>
      <c r="S176" s="987" t="str">
        <f>IF(R176=$D$8,$D$8,IF(R176=2,2,IF(R176=3,3,R176)))</f>
        <v/>
      </c>
      <c r="T176" s="1016" t="str">
        <f>IF(E176=0,"",VLOOKUP(E176,TablasTec!$A$14:$V$771,9,FALSE))</f>
        <v/>
      </c>
      <c r="U176" s="1016" t="str">
        <f>IF(E176=0,"",VLOOKUP(E176,TablasTec!$A$14:$V$771,10,FALSE))</f>
        <v/>
      </c>
      <c r="V176" s="1017" t="str">
        <f>IF(E176=0,"",VLOOKUP(E176,TablasTec!$A$14:$V$771,11,FALSE))</f>
        <v/>
      </c>
      <c r="W176" s="970"/>
      <c r="X176" s="971" t="e">
        <f>VLOOKUP(E176,TablasTec!$A$14:$V$771,12,FALSE)</f>
        <v>#N/A</v>
      </c>
      <c r="Y176" s="971" t="e">
        <f>IF(W176=X176,VLOOKUP(E176,TablasTec!$A$14:$V$771,13,FALSE),0)</f>
        <v>#N/A</v>
      </c>
      <c r="Z176" s="971" t="e">
        <f>VLOOKUP(E176,TablasTec!$A$14:$V$771,14,FALSE)</f>
        <v>#N/A</v>
      </c>
      <c r="AA176" s="971" t="e">
        <f>IF(W176=Z176,VLOOKUP(E176,TablasTec!$A$14:$V$616,15,FALSE),0)</f>
        <v>#N/A</v>
      </c>
      <c r="AB176" s="971" t="e">
        <f>VLOOKUP(E176,TablasTec!$A$14:$V$771,16,FALSE)</f>
        <v>#N/A</v>
      </c>
      <c r="AC176" s="971" t="e">
        <f>IF(W176=AB176,VLOOKUP(E176,TablasTec!$A$14:$V$616,17,FALSE),0)</f>
        <v>#N/A</v>
      </c>
      <c r="AD176" s="971" t="e">
        <f>VLOOKUP(E176,TablasTec!$A$14:$V$771,18,FALSE)</f>
        <v>#N/A</v>
      </c>
      <c r="AE176" s="971" t="e">
        <f>IF(W176=AD176,VLOOKUP(E176,TablasTec!$A$14:$V$771,19,FALSE),0)</f>
        <v>#N/A</v>
      </c>
      <c r="AF176" s="989" t="str">
        <f>IF(E176=0,"",(Y176+AA176+AC176+AE176))</f>
        <v/>
      </c>
      <c r="AG176" s="970"/>
      <c r="AH176" s="988" t="e">
        <f>VLOOKUP(E176,TablasTec!$A$14:$V$771,12,FALSE)</f>
        <v>#N/A</v>
      </c>
      <c r="AI176" s="988" t="e">
        <f>IF(AG176=AH176,VLOOKUP(E176,TablasTec!$A$14:$V$771,13,FALSE),0)</f>
        <v>#N/A</v>
      </c>
      <c r="AJ176" s="988" t="e">
        <f>VLOOKUP(E176,TablasTec!$A$14:$V$771,14,FALSE)</f>
        <v>#N/A</v>
      </c>
      <c r="AK176" s="988" t="e">
        <f>IF(AG176=AJ176,VLOOKUP(E176,TablasTec!$A$14:$V$771,15,FALSE),0)</f>
        <v>#N/A</v>
      </c>
      <c r="AL176" s="988" t="e">
        <f>VLOOKUP(E176,TablasTec!$A$14:$V$771,16,FALSE)</f>
        <v>#N/A</v>
      </c>
      <c r="AM176" s="988" t="e">
        <f>IF(AG176=AL176,VLOOKUP(E176,TablasTec!$A$14:$V$771,17,FALSE),0)</f>
        <v>#N/A</v>
      </c>
      <c r="AN176" s="988" t="e">
        <f>VLOOKUP(E176,TablasTec!$A$14:$V$771,18,FALSE)</f>
        <v>#N/A</v>
      </c>
      <c r="AO176" s="988" t="e">
        <f>IF(AG176=AN176,VLOOKUP(E176,TablasTec!$A$14:$V$771,19,FALSE),0)</f>
        <v>#N/A</v>
      </c>
      <c r="AP176" s="3182" t="str">
        <f>IF(E176=0,"",(AI176+AK176+AM176+AO176))</f>
        <v/>
      </c>
      <c r="AQ176" s="970"/>
      <c r="AR176" s="988" t="e">
        <f>VLOOKUP(E176,TablasTec!$A$14:$V$771,12,FALSE)</f>
        <v>#N/A</v>
      </c>
      <c r="AS176" s="988" t="e">
        <f>IF(AQ176=AR176,VLOOKUP(E176,TablasTec!$A$14:$V$771,13,FALSE),0)</f>
        <v>#N/A</v>
      </c>
      <c r="AT176" s="988" t="e">
        <f>VLOOKUP(E176,TablasTec!$A$14:$V$771,14,FALSE)</f>
        <v>#N/A</v>
      </c>
      <c r="AU176" s="988" t="e">
        <f>IF(AQ176=AT176,VLOOKUP(E176,TablasTec!$A$14:$V$771,15,FALSE),0)</f>
        <v>#N/A</v>
      </c>
      <c r="AV176" s="988" t="e">
        <f>VLOOKUP(E176,TablasTec!$A$14:$V$771,16,FALSE)</f>
        <v>#N/A</v>
      </c>
      <c r="AW176" s="988" t="e">
        <f>IF(AQ176=AV176,VLOOKUP(E176,TablasTec!$A$14:$V$771,17,FALSE),0)</f>
        <v>#N/A</v>
      </c>
      <c r="AX176" s="988" t="e">
        <f>VLOOKUP(E176,TablasTec!$A$14:$V$771,18,FALSE)</f>
        <v>#N/A</v>
      </c>
      <c r="AY176" s="988" t="e">
        <f>IF(AQ176=AX176,VLOOKUP(E176,TablasTec!$A$14:$V$771,19,FALSE),0)</f>
        <v>#N/A</v>
      </c>
      <c r="AZ176" s="989" t="str">
        <f>IF(E176=0,"",(AS176+AU176+AW176+AY176))</f>
        <v/>
      </c>
      <c r="BA176" s="970"/>
      <c r="BB176" s="988" t="e">
        <f>VLOOKUP(E176,TablasTec!$A$14:$V$771,12,FALSE)</f>
        <v>#N/A</v>
      </c>
      <c r="BC176" s="988" t="e">
        <f>IF(BA176=BB176,VLOOKUP(E176,TablasTec!$A$14:$V$771,13,FALSE),0)</f>
        <v>#N/A</v>
      </c>
      <c r="BD176" s="988" t="e">
        <f>VLOOKUP(E176,TablasTec!$A$14:$V$771,14,FALSE)</f>
        <v>#N/A</v>
      </c>
      <c r="BE176" s="988" t="e">
        <f>IF(BA176=BD176,VLOOKUP(E176,TablasTec!$A$14:$V$771,15,FALSE),0)</f>
        <v>#N/A</v>
      </c>
      <c r="BF176" s="988" t="e">
        <f>VLOOKUP(E176,TablasTec!$A$14:$V$771,16,FALSE)</f>
        <v>#N/A</v>
      </c>
      <c r="BG176" s="988" t="e">
        <f>IF(BA176=BF176,VLOOKUP(E176,TablasTec!$A$14:$V$771,17,FALSE),0)</f>
        <v>#N/A</v>
      </c>
      <c r="BH176" s="988" t="e">
        <f>VLOOKUP(E176,TablasTec!$A$14:$V$771,18,FALSE)</f>
        <v>#N/A</v>
      </c>
      <c r="BI176" s="988" t="e">
        <f>IF(BA176=BH176,VLOOKUP(E176,TablasTec!$A$14:$V$771,19,FALSE),0)</f>
        <v>#N/A</v>
      </c>
      <c r="BJ176" s="3182" t="str">
        <f>IF(E176=0,"",(BC176+BE176+BG176+BI176))</f>
        <v/>
      </c>
      <c r="BK176" s="1016" t="str">
        <f>IF(E176=0,"",VLOOKUP(E176,TablasTec!$A$14:$V$771,20,FALSE))</f>
        <v/>
      </c>
      <c r="BL176" s="1003" t="str">
        <f>IF(E176=0,"",VLOOKUP(E176,TablasTec!$A$14:$V$771,21,FALSE))</f>
        <v/>
      </c>
      <c r="BM176" s="974" t="str">
        <f>IF(E176=0,"",VLOOKUP(E176,TablasTec!$A$14:$V$771,22,FALSE))</f>
        <v/>
      </c>
      <c r="BN176" s="975"/>
      <c r="BO176" s="976"/>
      <c r="BP176" s="961" t="str">
        <f>IF(I176="Si",VLOOKUP($D$8,TablasTec!$E$4:$F$6,2,FALSE),"")</f>
        <v/>
      </c>
      <c r="BQ176" s="962" t="str">
        <f>IF(L176="Si",VLOOKUP($D$8,TablasTec!$I$4:$J$6,2,FALSE),"")</f>
        <v/>
      </c>
      <c r="BR176" s="960" t="str">
        <f>IF(O176="Si",VLOOKUP($D$8,TablasTec!$I$7:$J$9,2,FALSE),"")</f>
        <v/>
      </c>
      <c r="BS176" s="977"/>
      <c r="BT176" s="3171" t="s">
        <v>1692</v>
      </c>
      <c r="BU176" s="3172" t="s">
        <v>4548</v>
      </c>
      <c r="BV176" s="954"/>
      <c r="BW176" s="3172" t="s">
        <v>4549</v>
      </c>
      <c r="BX176" s="3171" t="s">
        <v>4550</v>
      </c>
      <c r="BY176" s="1284" t="s">
        <v>4550</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c r="A177" s="922"/>
      <c r="B177" s="922"/>
      <c r="C177" s="4909"/>
      <c r="D177" s="1435" t="s">
        <v>1766</v>
      </c>
      <c r="E177" s="978"/>
      <c r="F177" s="1008"/>
      <c r="G177" s="1420" t="str">
        <f>IF(E177=0,"",VLOOKUP(E177,TablasTec!$A$14:$V$771,3,FALSE))</f>
        <v/>
      </c>
      <c r="H177" s="981" t="str">
        <f>IF($E177=0,"",VLOOKUP($E177,TablasTec!$A$14:$V$771,4,FALSE))</f>
        <v/>
      </c>
      <c r="I177" s="982" t="s">
        <v>1690</v>
      </c>
      <c r="J177" s="1398" t="str">
        <f>IF(E177=0,"",VLOOKUP(E177,TablasTec!$A$14:$V$771,5,FALSE))</f>
        <v/>
      </c>
      <c r="K177" s="984" t="str">
        <f>IF(I177="Si",IF(E177=0,"",VLOOKUP(E177,TablasTec!$A$14:$V$771,5,FALSE)),"")</f>
        <v/>
      </c>
      <c r="L177" s="982" t="s">
        <v>1690</v>
      </c>
      <c r="M177" s="1398" t="str">
        <f>IF(E177=0,"",VLOOKUP(E177,TablasTec!$A$14:$V$771,6,FALSE))</f>
        <v/>
      </c>
      <c r="N177" s="985" t="str">
        <f>IF(L177="Si",IF(E177=0,"",VLOOKUP(E177,TablasTec!$A$14:$V$771,6,FALSE)),"")</f>
        <v/>
      </c>
      <c r="O177" s="982" t="s">
        <v>1690</v>
      </c>
      <c r="P177" s="1398" t="str">
        <f>IF(E177=0,"",VLOOKUP(E177,TablasTec!$A$14:$V$771,7,FALSE))</f>
        <v/>
      </c>
      <c r="Q177" s="985" t="str">
        <f>IF(O177="Si",IF(E177=0,"",VLOOKUP(E177,TablasTec!$A$14:$V$771,7,FALSE)),"")</f>
        <v/>
      </c>
      <c r="R177" s="983" t="str">
        <f>IF(E177=0,"",VLOOKUP(E177,TablasTec!$A$14:$V$771,8,FALSE))</f>
        <v/>
      </c>
      <c r="S177" s="981" t="str">
        <f>IF(R177=$D$8,$D$8,IF(R177=2,2,IF(R177=3,3,R177)))</f>
        <v/>
      </c>
      <c r="T177" s="4883" t="s">
        <v>4540</v>
      </c>
      <c r="U177" s="4884"/>
      <c r="V177" s="4884"/>
      <c r="W177" s="4884"/>
      <c r="X177" s="4884"/>
      <c r="Y177" s="4884"/>
      <c r="Z177" s="4884"/>
      <c r="AA177" s="4884"/>
      <c r="AB177" s="4884"/>
      <c r="AC177" s="4884"/>
      <c r="AD177" s="4884"/>
      <c r="AE177" s="4884"/>
      <c r="AF177" s="4884"/>
      <c r="AG177" s="4884"/>
      <c r="AH177" s="4884"/>
      <c r="AI177" s="4884"/>
      <c r="AJ177" s="4884"/>
      <c r="AK177" s="4884"/>
      <c r="AL177" s="4884"/>
      <c r="AM177" s="4884"/>
      <c r="AN177" s="4884"/>
      <c r="AO177" s="4884"/>
      <c r="AP177" s="4884"/>
      <c r="AQ177" s="4884"/>
      <c r="AR177" s="4884"/>
      <c r="AS177" s="4884"/>
      <c r="AT177" s="4884"/>
      <c r="AU177" s="4884"/>
      <c r="AV177" s="4884"/>
      <c r="AW177" s="4884"/>
      <c r="AX177" s="4884"/>
      <c r="AY177" s="4884"/>
      <c r="AZ177" s="4884"/>
      <c r="BA177" s="4884"/>
      <c r="BB177" s="4884"/>
      <c r="BC177" s="4884"/>
      <c r="BD177" s="4884"/>
      <c r="BE177" s="4884"/>
      <c r="BF177" s="4884"/>
      <c r="BG177" s="4884"/>
      <c r="BH177" s="4884"/>
      <c r="BI177" s="4884"/>
      <c r="BJ177" s="4884"/>
      <c r="BK177" s="4885"/>
      <c r="BL177" s="1420"/>
      <c r="BM177" s="1421"/>
      <c r="BN177" s="975"/>
      <c r="BO177" s="976"/>
      <c r="BP177" s="961" t="str">
        <f>IF(I177="Si",VLOOKUP($D$8,TablasTec!$E$4:$F$6,2,FALSE),"")</f>
        <v/>
      </c>
      <c r="BQ177" s="962" t="str">
        <f>IF(L177="Si",VLOOKUP($D$8,TablasTec!$I$4:$J$6,2,FALSE),"")</f>
        <v/>
      </c>
      <c r="BR177" s="960" t="str">
        <f>IF(O177="Si",VLOOKUP($D$8,TablasTec!$I$7:$J$9,2,FALSE),"")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c r="A178" s="922"/>
      <c r="B178" s="922"/>
      <c r="C178" s="4909"/>
      <c r="D178" s="1436" t="s">
        <v>1766</v>
      </c>
      <c r="E178" s="986"/>
      <c r="F178" s="1002"/>
      <c r="G178" s="972" t="str">
        <f>IF(E178=0,"",VLOOKUP(E178,TablasTec!$A$14:$V$771,3,FALSE))</f>
        <v/>
      </c>
      <c r="H178" s="3181" t="str">
        <f>IF($E178=0,"",VLOOKUP($E178,TablasTec!$A$14:$V$771,4,FALSE))</f>
        <v/>
      </c>
      <c r="I178" s="970" t="s">
        <v>1690</v>
      </c>
      <c r="J178" s="1394" t="str">
        <f>IF(E178=0,"",VLOOKUP(E178,TablasTec!$A$14:$V$771,5,FALSE))</f>
        <v/>
      </c>
      <c r="K178" s="989" t="str">
        <f>IF(I178="Si",IF(E178=0,"",VLOOKUP(E178,TablasTec!$A$14:$V$771,5,FALSE)),"")</f>
        <v/>
      </c>
      <c r="L178" s="970" t="s">
        <v>1690</v>
      </c>
      <c r="M178" s="1394" t="str">
        <f>IF(E178=0,"",VLOOKUP(E178,TablasTec!$A$14:$V$771,6,FALSE))</f>
        <v/>
      </c>
      <c r="N178" s="973" t="str">
        <f>IF(L178="Si",IF(E178=0,"",VLOOKUP(E178,TablasTec!$A$14:$V$771,6,FALSE)),"")</f>
        <v/>
      </c>
      <c r="O178" s="970" t="s">
        <v>1690</v>
      </c>
      <c r="P178" s="1394" t="str">
        <f>IF(E178=0,"",VLOOKUP(E178,TablasTec!$A$14:$V$771,7,FALSE))</f>
        <v/>
      </c>
      <c r="Q178" s="973" t="str">
        <f>IF(O178="Si",IF(E178=0,"",VLOOKUP(E178,TablasTec!$A$14:$V$771,7,FALSE)),"")</f>
        <v/>
      </c>
      <c r="R178" s="988" t="str">
        <f>IF(E178=0,"",VLOOKUP(E178,TablasTec!$A$14:$V$771,8,FALSE))</f>
        <v/>
      </c>
      <c r="S178" s="3181" t="str">
        <f>IF(R178=$D$8,$D$8,IF(R178=2,2,IF(R178=3,3,R178)))</f>
        <v/>
      </c>
      <c r="T178" s="4896"/>
      <c r="U178" s="4897"/>
      <c r="V178" s="3179" t="str">
        <f>IF(OR(V176=0,V176=""),"N/A",V176)</f>
        <v>N/A</v>
      </c>
      <c r="W178" s="4896" t="str">
        <f xml:space="preserve"> IF(OR(AF176=0,AF176=""),"N/A",W176)</f>
        <v>N/A</v>
      </c>
      <c r="X178" s="4898"/>
      <c r="Y178" s="4898"/>
      <c r="Z178" s="4898"/>
      <c r="AA178" s="4898"/>
      <c r="AB178" s="4898"/>
      <c r="AC178" s="4898"/>
      <c r="AD178" s="4898"/>
      <c r="AE178" s="4898"/>
      <c r="AF178" s="4897"/>
      <c r="AG178" s="4896" t="str">
        <f xml:space="preserve"> IF(OR(AP176="",AP176=0),"N/A",AG176)</f>
        <v>N/A</v>
      </c>
      <c r="AH178" s="4898"/>
      <c r="AI178" s="4898"/>
      <c r="AJ178" s="4898"/>
      <c r="AK178" s="4898"/>
      <c r="AL178" s="4898"/>
      <c r="AM178" s="4898"/>
      <c r="AN178" s="4898"/>
      <c r="AO178" s="4898"/>
      <c r="AP178" s="4897"/>
      <c r="AQ178" s="4896" t="str">
        <f xml:space="preserve"> IF(OR(AZ176="",AZ176=0),"N/A",AQ176)</f>
        <v>N/A</v>
      </c>
      <c r="AR178" s="4898"/>
      <c r="AS178" s="4898"/>
      <c r="AT178" s="4898"/>
      <c r="AU178" s="4898"/>
      <c r="AV178" s="4898"/>
      <c r="AW178" s="4898"/>
      <c r="AX178" s="4898"/>
      <c r="AY178" s="4898"/>
      <c r="AZ178" s="4897"/>
      <c r="BA178" s="4896" t="str">
        <f xml:space="preserve"> IF(OR(BJ176="",BJ176=0),"N/A",BA176)</f>
        <v>N/A</v>
      </c>
      <c r="BB178" s="4898"/>
      <c r="BC178" s="4898"/>
      <c r="BD178" s="4898"/>
      <c r="BE178" s="4898"/>
      <c r="BF178" s="4898"/>
      <c r="BG178" s="4898"/>
      <c r="BH178" s="4898"/>
      <c r="BI178" s="4898"/>
      <c r="BJ178" s="4897"/>
      <c r="BK178" s="990" t="s">
        <v>4541</v>
      </c>
      <c r="BL178" s="972"/>
      <c r="BM178" s="1007"/>
      <c r="BN178" s="991"/>
      <c r="BO178" s="992"/>
      <c r="BP178" s="993" t="str">
        <f>IF(I178="Si",VLOOKUP($D$8,TablasTec!$E$4:$F$6,2,FALSE),"")</f>
        <v/>
      </c>
      <c r="BQ178" s="963" t="str">
        <f>IF(L178="Si",VLOOKUP($D$8,TablasTec!$I$4:$J$6,2,FALSE),"")</f>
        <v/>
      </c>
      <c r="BR178" s="994" t="str">
        <f>IF(O178="Si",VLOOKUP($D$8,TablasTec!$I$7:$J$9,2,FALSE),"")</f>
        <v/>
      </c>
      <c r="BS178" s="977"/>
      <c r="BT178" s="3171" t="s">
        <v>1700</v>
      </c>
      <c r="BU178" s="3172" t="s">
        <v>4548</v>
      </c>
      <c r="BV178" s="954"/>
      <c r="BW178" s="3172" t="s">
        <v>4549</v>
      </c>
      <c r="BX178" s="3171" t="s">
        <v>4550</v>
      </c>
      <c r="BY178" s="1284" t="s">
        <v>4550</v>
      </c>
      <c r="BZ178" s="2869"/>
      <c r="CA178" s="922"/>
      <c r="DR178" s="922"/>
      <c r="DT178" s="1308"/>
      <c r="DU178" s="1362"/>
      <c r="DV178" s="1359" t="str">
        <f>IF(E178="","",E178)&amp;IF(I178="No",""," (Mant.)")&amp;IF(L178="No",""," (Sme)")&amp;IF(O178="No",""," (SMa)")</f>
        <v/>
      </c>
      <c r="DW178" s="1360"/>
      <c r="DX178" s="1361"/>
      <c r="DY178" s="1307"/>
      <c r="DZ178" s="922"/>
      <c r="EA178" s="1453">
        <f t="shared" si="2"/>
        <v>1</v>
      </c>
    </row>
    <row r="179" spans="1:131">
      <c r="A179" s="922"/>
      <c r="B179" s="922"/>
      <c r="C179" s="4909"/>
      <c r="D179" s="1435" t="s">
        <v>1766</v>
      </c>
      <c r="E179" s="978"/>
      <c r="F179" s="1008"/>
      <c r="G179" s="1420" t="str">
        <f>IF(E179=0,"",VLOOKUP(E179,TablasTec!$A$14:$V$771,3,FALSE))</f>
        <v/>
      </c>
      <c r="H179" s="981" t="str">
        <f>IF($E179=0,"",VLOOKUP($E179,TablasTec!$A$14:$V$771,4,FALSE))</f>
        <v/>
      </c>
      <c r="I179" s="982" t="s">
        <v>1690</v>
      </c>
      <c r="J179" s="1398" t="str">
        <f>IF(E179=0,"",VLOOKUP(E179,TablasTec!$A$14:$V$771,5,FALSE))</f>
        <v/>
      </c>
      <c r="K179" s="984" t="str">
        <f>IF(I179="Si",IF(E179=0,"",VLOOKUP(E179,TablasTec!$A$14:$V$771,5,FALSE)),"")</f>
        <v/>
      </c>
      <c r="L179" s="982" t="s">
        <v>1690</v>
      </c>
      <c r="M179" s="1398" t="str">
        <f>IF(E179=0,"",VLOOKUP(E179,TablasTec!$A$14:$V$771,6,FALSE))</f>
        <v/>
      </c>
      <c r="N179" s="985" t="str">
        <f>IF(L179="Si",IF(E179=0,"",VLOOKUP(E179,TablasTec!$A$14:$V$771,6,FALSE)),"")</f>
        <v/>
      </c>
      <c r="O179" s="982" t="s">
        <v>1690</v>
      </c>
      <c r="P179" s="1398" t="str">
        <f>IF(E179=0,"",VLOOKUP(E179,TablasTec!$A$14:$V$771,7,FALSE))</f>
        <v/>
      </c>
      <c r="Q179" s="985" t="str">
        <f>IF(O179="Si",IF(E179=0,"",VLOOKUP(E179,TablasTec!$A$14:$V$771,7,FALSE)),"")</f>
        <v/>
      </c>
      <c r="R179" s="983" t="str">
        <f>IF(E179=0,"",VLOOKUP(E179,TablasTec!$A$14:$V$771,8,FALSE))</f>
        <v/>
      </c>
      <c r="S179" s="981" t="str">
        <f>IF(R179=$D$8,$D$8,IF(R179=2,2,IF(R179=3,3,R179)))</f>
        <v/>
      </c>
      <c r="T179" s="4899" t="s">
        <v>4542</v>
      </c>
      <c r="U179" s="4900"/>
      <c r="V179" s="3180"/>
      <c r="W179" s="4901"/>
      <c r="X179" s="4902"/>
      <c r="Y179" s="4902"/>
      <c r="Z179" s="4902"/>
      <c r="AA179" s="4902"/>
      <c r="AB179" s="4902"/>
      <c r="AC179" s="4902"/>
      <c r="AD179" s="4902"/>
      <c r="AE179" s="4902"/>
      <c r="AF179" s="4903"/>
      <c r="AG179" s="4901"/>
      <c r="AH179" s="4902"/>
      <c r="AI179" s="4902"/>
      <c r="AJ179" s="4902"/>
      <c r="AK179" s="4902"/>
      <c r="AL179" s="4902"/>
      <c r="AM179" s="4902"/>
      <c r="AN179" s="4902"/>
      <c r="AO179" s="4902"/>
      <c r="AP179" s="4903"/>
      <c r="AQ179" s="4901"/>
      <c r="AR179" s="4902"/>
      <c r="AS179" s="4902"/>
      <c r="AT179" s="4902"/>
      <c r="AU179" s="4902"/>
      <c r="AV179" s="4902"/>
      <c r="AW179" s="4902"/>
      <c r="AX179" s="4902"/>
      <c r="AY179" s="4902"/>
      <c r="AZ179" s="4903"/>
      <c r="BA179" s="4901"/>
      <c r="BB179" s="4902"/>
      <c r="BC179" s="4902"/>
      <c r="BD179" s="4902"/>
      <c r="BE179" s="4902"/>
      <c r="BF179" s="4902"/>
      <c r="BG179" s="4902"/>
      <c r="BH179" s="4902"/>
      <c r="BI179" s="4902"/>
      <c r="BJ179" s="4903"/>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IF(I179="Si",VLOOKUP($D$8,TablasTec!$E$4:$F$6,2,FALSE),"")</f>
        <v/>
      </c>
      <c r="BQ179" s="962" t="str">
        <f>IF(L179="Si",VLOOKUP($D$8,TablasTec!$I$4:$J$6,2,FALSE),"")</f>
        <v/>
      </c>
      <c r="BR179" s="960" t="str">
        <f>IF(O179="Si",VLOOKUP($D$8,TablasTec!$I$7:$J$9,2,FALSE),"")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c r="A180" s="922"/>
      <c r="B180" s="922"/>
      <c r="C180" s="4909"/>
      <c r="D180" s="1436" t="s">
        <v>1766</v>
      </c>
      <c r="E180" s="986"/>
      <c r="F180" s="1002"/>
      <c r="G180" s="972" t="str">
        <f>IF(E180=0,"",VLOOKUP(E180,TablasTec!$A$14:$V$771,3,FALSE))</f>
        <v/>
      </c>
      <c r="H180" s="997" t="str">
        <f>IF($E180=0,"",VLOOKUP($E180,TablasTec!$A$14:$V$771,4,FALSE))</f>
        <v/>
      </c>
      <c r="I180" s="970" t="s">
        <v>1690</v>
      </c>
      <c r="J180" s="1401" t="str">
        <f>IF(E180=0,"",VLOOKUP(E180,TablasTec!$A$14:$V$771,5,FALSE))</f>
        <v/>
      </c>
      <c r="K180" s="998" t="str">
        <f>IF(I180="Si",IF(E180=0,"",VLOOKUP(E180,TablasTec!$A$14:$V$771,5,FALSE)),"")</f>
        <v/>
      </c>
      <c r="L180" s="970" t="s">
        <v>1690</v>
      </c>
      <c r="M180" s="1401" t="str">
        <f>IF(E180=0,"",VLOOKUP(E180,TablasTec!$A$14:$V$771,6,FALSE))</f>
        <v/>
      </c>
      <c r="N180" s="973" t="str">
        <f>IF(L180="Si",IF(E180=0,"",VLOOKUP(E180,TablasTec!$A$14:$V$771,6,FALSE)),"")</f>
        <v/>
      </c>
      <c r="O180" s="970" t="s">
        <v>1690</v>
      </c>
      <c r="P180" s="1401" t="str">
        <f>IF(E180=0,"",VLOOKUP(E180,TablasTec!$A$14:$V$771,7,FALSE))</f>
        <v/>
      </c>
      <c r="Q180" s="973" t="str">
        <f>IF(O180="Si",IF(E180=0,"",VLOOKUP(E180,TablasTec!$A$14:$V$771,7,FALSE)),"")</f>
        <v/>
      </c>
      <c r="R180" s="1018" t="str">
        <f>IF(E180=0,"",VLOOKUP(E180,TablasTec!$A$14:$V$771,8,FALSE))</f>
        <v/>
      </c>
      <c r="S180" s="987" t="str">
        <f>IF(R180=$D$8,$D$8,IF(R180=2,2,IF(R180=3,3,R180)))</f>
        <v/>
      </c>
      <c r="T180" s="4890" t="s">
        <v>4544</v>
      </c>
      <c r="U180" s="4891"/>
      <c r="V180" s="3178"/>
      <c r="W180" s="4892"/>
      <c r="X180" s="4893"/>
      <c r="Y180" s="4893"/>
      <c r="Z180" s="4893"/>
      <c r="AA180" s="4893"/>
      <c r="AB180" s="4893"/>
      <c r="AC180" s="4893"/>
      <c r="AD180" s="4893"/>
      <c r="AE180" s="4893"/>
      <c r="AF180" s="4894"/>
      <c r="AG180" s="4892"/>
      <c r="AH180" s="4893"/>
      <c r="AI180" s="4893"/>
      <c r="AJ180" s="4893"/>
      <c r="AK180" s="4893"/>
      <c r="AL180" s="4893"/>
      <c r="AM180" s="4893"/>
      <c r="AN180" s="4893"/>
      <c r="AO180" s="4893"/>
      <c r="AP180" s="4894"/>
      <c r="AQ180" s="4892"/>
      <c r="AR180" s="4893"/>
      <c r="AS180" s="4893"/>
      <c r="AT180" s="4893"/>
      <c r="AU180" s="4893"/>
      <c r="AV180" s="4893"/>
      <c r="AW180" s="4893"/>
      <c r="AX180" s="4893"/>
      <c r="AY180" s="4893"/>
      <c r="AZ180" s="4894"/>
      <c r="BA180" s="4892"/>
      <c r="BB180" s="4893"/>
      <c r="BC180" s="4893"/>
      <c r="BD180" s="4893"/>
      <c r="BE180" s="4893"/>
      <c r="BF180" s="4893"/>
      <c r="BG180" s="4893"/>
      <c r="BH180" s="4893"/>
      <c r="BI180" s="4893"/>
      <c r="BJ180" s="4894"/>
      <c r="BK180" s="997">
        <f>SUM(K176:K180)-SUM(V180:BA180)</f>
        <v>0</v>
      </c>
      <c r="BL180" s="1422"/>
      <c r="BM180" s="1423"/>
      <c r="BN180" s="991"/>
      <c r="BO180" s="992"/>
      <c r="BP180" s="993" t="str">
        <f>IF(I180="Si",VLOOKUP($D$8,TablasTec!$E$4:$F$6,2,FALSE),"")</f>
        <v/>
      </c>
      <c r="BQ180" s="963" t="str">
        <f>IF(L180="Si",VLOOKUP($D$8,TablasTec!$I$4:$J$6,2,FALSE),"")</f>
        <v/>
      </c>
      <c r="BR180" s="994" t="str">
        <f>IF(O180="Si",VLOOKUP($D$8,TablasTec!$I$7:$J$9,2,FALSE),"")</f>
        <v/>
      </c>
      <c r="BS180" s="977"/>
      <c r="BT180" s="3171" t="s">
        <v>1701</v>
      </c>
      <c r="BU180" s="3172" t="s">
        <v>4548</v>
      </c>
      <c r="BV180" s="954"/>
      <c r="BW180" s="3172" t="s">
        <v>4549</v>
      </c>
      <c r="BX180" s="3171" t="s">
        <v>4550</v>
      </c>
      <c r="BY180" s="1284" t="s">
        <v>4550</v>
      </c>
      <c r="BZ180" s="2869"/>
      <c r="CA180" s="922"/>
      <c r="DR180" s="922"/>
      <c r="DT180" s="1308"/>
      <c r="DU180" s="1362"/>
      <c r="DV180" s="1359" t="str">
        <f>IF(E180="","",E180)&amp;IF(I180="No",""," (Mant.)")&amp;IF(L180="No",""," (Sme)")&amp;IF(O180="No",""," (SMa)")</f>
        <v/>
      </c>
      <c r="DW180" s="1360"/>
      <c r="DX180" s="1361"/>
      <c r="DY180" s="1307"/>
      <c r="DZ180" s="922"/>
      <c r="EA180" s="1453">
        <f t="shared" si="2"/>
        <v>1</v>
      </c>
    </row>
    <row r="181" spans="1:131">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09"/>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IF(I181="Si",VLOOKUP($D$8,TablasTec!$E$4:$F$6,2,FALSE),"")</f>
        <v/>
      </c>
      <c r="BQ181" s="1013" t="str">
        <f>IF(L181="Si",VLOOKUP($D$8,TablasTec!$I$4:$J$6,2,FALSE),"")</f>
        <v/>
      </c>
      <c r="BR181" s="1011" t="str">
        <f>IF(O181="Si",VLOOKUP($D$8,TablasTec!$I$7:$J$9,2,FALSE),"")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09"/>
      <c r="D182" s="1436" t="s">
        <v>1766</v>
      </c>
      <c r="E182" s="966"/>
      <c r="F182" s="1002"/>
      <c r="G182" s="972" t="str">
        <f>IF(E182=0,"",VLOOKUP(E182,TablasTec!$A$14:$V$771,3,FALSE))</f>
        <v/>
      </c>
      <c r="H182" s="1014" t="str">
        <f>IF($E182=0,"",VLOOKUP($E182,TablasTec!$A$14:$V$771,4,FALSE))</f>
        <v/>
      </c>
      <c r="I182" s="970" t="s">
        <v>1690</v>
      </c>
      <c r="J182" s="1400" t="str">
        <f>IF(E182=0,"",VLOOKUP(E182,TablasTec!$A$14:$V$771,5,FALSE))</f>
        <v/>
      </c>
      <c r="K182" s="1016" t="str">
        <f>IF(I182="Si",IF(E182=0,"",VLOOKUP(E182,TablasTec!$A$14:$V$771,5,FALSE)),"")</f>
        <v/>
      </c>
      <c r="L182" s="970" t="s">
        <v>1690</v>
      </c>
      <c r="M182" s="1400" t="str">
        <f>IF(E182=0,"",VLOOKUP(E182,TablasTec!$A$14:$V$771,6,FALSE))</f>
        <v/>
      </c>
      <c r="N182" s="973" t="str">
        <f>IF(L182="Si",IF(E182=0,"",VLOOKUP(E182,TablasTec!$A$14:$V$771,6,FALSE)),"")</f>
        <v/>
      </c>
      <c r="O182" s="970" t="s">
        <v>1690</v>
      </c>
      <c r="P182" s="1400" t="str">
        <f>IF(E182=0,"",VLOOKUP(E182,TablasTec!$A$14:$V$771,7,FALSE))</f>
        <v/>
      </c>
      <c r="Q182" s="973" t="str">
        <f>IF(O182="Si",IF(E182=0,"",VLOOKUP(E182,TablasTec!$A$14:$V$771,7,FALSE)),"")</f>
        <v/>
      </c>
      <c r="R182" s="1015" t="str">
        <f>IF(E182=0,"",VLOOKUP(E182,TablasTec!$A$14:$V$771,8,FALSE))</f>
        <v/>
      </c>
      <c r="S182" s="987" t="str">
        <f>IF(R182=$D$8,$D$8,IF(R182=2,2,IF(R182=3,3,R182)))</f>
        <v/>
      </c>
      <c r="T182" s="1016" t="str">
        <f>IF(E182=0,"",VLOOKUP(E182,TablasTec!$A$14:$V$771,9,FALSE))</f>
        <v/>
      </c>
      <c r="U182" s="1016" t="str">
        <f>IF(E182=0,"",VLOOKUP(E182,TablasTec!$A$14:$V$771,10,FALSE))</f>
        <v/>
      </c>
      <c r="V182" s="1017" t="str">
        <f>IF(E182=0,"",VLOOKUP(E182,TablasTec!$A$14:$V$771,11,FALSE))</f>
        <v/>
      </c>
      <c r="W182" s="970"/>
      <c r="X182" s="971" t="e">
        <f>VLOOKUP(E182,TablasTec!$A$14:$V$771,12,FALSE)</f>
        <v>#N/A</v>
      </c>
      <c r="Y182" s="971" t="e">
        <f>IF(W182=X182,VLOOKUP(E182,TablasTec!$A$14:$V$771,13,FALSE),0)</f>
        <v>#N/A</v>
      </c>
      <c r="Z182" s="971" t="e">
        <f>VLOOKUP(E182,TablasTec!$A$14:$V$771,14,FALSE)</f>
        <v>#N/A</v>
      </c>
      <c r="AA182" s="971" t="e">
        <f>IF(W182=Z182,VLOOKUP(E182,TablasTec!$A$14:$V$616,15,FALSE),0)</f>
        <v>#N/A</v>
      </c>
      <c r="AB182" s="971" t="e">
        <f>VLOOKUP(E182,TablasTec!$A$14:$V$771,16,FALSE)</f>
        <v>#N/A</v>
      </c>
      <c r="AC182" s="971" t="e">
        <f>IF(W182=AB182,VLOOKUP(E182,TablasTec!$A$14:$V$616,17,FALSE),0)</f>
        <v>#N/A</v>
      </c>
      <c r="AD182" s="971" t="e">
        <f>VLOOKUP(E182,TablasTec!$A$14:$V$771,18,FALSE)</f>
        <v>#N/A</v>
      </c>
      <c r="AE182" s="971" t="e">
        <f>IF(W182=AD182,VLOOKUP(E182,TablasTec!$A$14:$V$771,19,FALSE),0)</f>
        <v>#N/A</v>
      </c>
      <c r="AF182" s="989" t="str">
        <f>IF(E182=0,"",(Y182+AA182+AC182+AE182))</f>
        <v/>
      </c>
      <c r="AG182" s="970"/>
      <c r="AH182" s="988" t="e">
        <f>VLOOKUP(E182,TablasTec!$A$14:$V$771,12,FALSE)</f>
        <v>#N/A</v>
      </c>
      <c r="AI182" s="988" t="e">
        <f>IF(AG182=AH182,VLOOKUP(E182,TablasTec!$A$14:$V$771,13,FALSE),0)</f>
        <v>#N/A</v>
      </c>
      <c r="AJ182" s="988" t="e">
        <f>VLOOKUP(E182,TablasTec!$A$14:$V$771,14,FALSE)</f>
        <v>#N/A</v>
      </c>
      <c r="AK182" s="988" t="e">
        <f>IF(AG182=AJ182,VLOOKUP(E182,TablasTec!$A$14:$V$771,15,FALSE),0)</f>
        <v>#N/A</v>
      </c>
      <c r="AL182" s="988" t="e">
        <f>VLOOKUP(E182,TablasTec!$A$14:$V$771,16,FALSE)</f>
        <v>#N/A</v>
      </c>
      <c r="AM182" s="988" t="e">
        <f>IF(AG182=AL182,VLOOKUP(E182,TablasTec!$A$14:$V$771,17,FALSE),0)</f>
        <v>#N/A</v>
      </c>
      <c r="AN182" s="988" t="e">
        <f>VLOOKUP(E182,TablasTec!$A$14:$V$771,18,FALSE)</f>
        <v>#N/A</v>
      </c>
      <c r="AO182" s="988" t="e">
        <f>IF(AG182=AN182,VLOOKUP(E182,TablasTec!$A$14:$V$771,19,FALSE),0)</f>
        <v>#N/A</v>
      </c>
      <c r="AP182" s="3182" t="str">
        <f>IF(E182=0,"",(AI182+AK182+AM182+AO182))</f>
        <v/>
      </c>
      <c r="AQ182" s="970"/>
      <c r="AR182" s="988" t="e">
        <f>VLOOKUP(E182,TablasTec!$A$14:$V$771,12,FALSE)</f>
        <v>#N/A</v>
      </c>
      <c r="AS182" s="988" t="e">
        <f>IF(AQ182=AR182,VLOOKUP(E182,TablasTec!$A$14:$V$771,13,FALSE),0)</f>
        <v>#N/A</v>
      </c>
      <c r="AT182" s="988" t="e">
        <f>VLOOKUP(E182,TablasTec!$A$14:$V$771,14,FALSE)</f>
        <v>#N/A</v>
      </c>
      <c r="AU182" s="988" t="e">
        <f>IF(AQ182=AT182,VLOOKUP(E182,TablasTec!$A$14:$V$771,15,FALSE),0)</f>
        <v>#N/A</v>
      </c>
      <c r="AV182" s="988" t="e">
        <f>VLOOKUP(E182,TablasTec!$A$14:$V$771,16,FALSE)</f>
        <v>#N/A</v>
      </c>
      <c r="AW182" s="988" t="e">
        <f>IF(AQ182=AV182,VLOOKUP(E182,TablasTec!$A$14:$V$771,17,FALSE),0)</f>
        <v>#N/A</v>
      </c>
      <c r="AX182" s="988" t="e">
        <f>VLOOKUP(E182,TablasTec!$A$14:$V$771,18,FALSE)</f>
        <v>#N/A</v>
      </c>
      <c r="AY182" s="988" t="e">
        <f>IF(AQ182=AX182,VLOOKUP(E182,TablasTec!$A$14:$V$771,19,FALSE),0)</f>
        <v>#N/A</v>
      </c>
      <c r="AZ182" s="989" t="str">
        <f>IF(E182=0,"",(AS182+AU182+AW182+AY182))</f>
        <v/>
      </c>
      <c r="BA182" s="970"/>
      <c r="BB182" s="988" t="e">
        <f>VLOOKUP(E182,TablasTec!$A$14:$V$771,12,FALSE)</f>
        <v>#N/A</v>
      </c>
      <c r="BC182" s="988" t="e">
        <f>IF(BA182=BB182,VLOOKUP(E182,TablasTec!$A$14:$V$771,13,FALSE),0)</f>
        <v>#N/A</v>
      </c>
      <c r="BD182" s="988" t="e">
        <f>VLOOKUP(E182,TablasTec!$A$14:$V$771,14,FALSE)</f>
        <v>#N/A</v>
      </c>
      <c r="BE182" s="988" t="e">
        <f>IF(BA182=BD182,VLOOKUP(E182,TablasTec!$A$14:$V$771,15,FALSE),0)</f>
        <v>#N/A</v>
      </c>
      <c r="BF182" s="988" t="e">
        <f>VLOOKUP(E182,TablasTec!$A$14:$V$771,16,FALSE)</f>
        <v>#N/A</v>
      </c>
      <c r="BG182" s="988" t="e">
        <f>IF(BA182=BF182,VLOOKUP(E182,TablasTec!$A$14:$V$771,17,FALSE),0)</f>
        <v>#N/A</v>
      </c>
      <c r="BH182" s="988" t="e">
        <f>VLOOKUP(E182,TablasTec!$A$14:$V$771,18,FALSE)</f>
        <v>#N/A</v>
      </c>
      <c r="BI182" s="988" t="e">
        <f>IF(BA182=BH182,VLOOKUP(E182,TablasTec!$A$14:$V$771,19,FALSE),0)</f>
        <v>#N/A</v>
      </c>
      <c r="BJ182" s="3182" t="str">
        <f>IF(E182=0,"",(BC182+BE182+BG182+BI182))</f>
        <v/>
      </c>
      <c r="BK182" s="1016" t="str">
        <f>IF(E182=0,"",VLOOKUP(E182,TablasTec!$A$14:$V$771,20,FALSE))</f>
        <v/>
      </c>
      <c r="BL182" s="1003" t="str">
        <f>IF(E182=0,"",VLOOKUP(E182,TablasTec!$A$14:$V$771,21,FALSE))</f>
        <v/>
      </c>
      <c r="BM182" s="974" t="str">
        <f>IF(E182=0,"",VLOOKUP(E182,TablasTec!$A$14:$V$771,22,FALSE))</f>
        <v/>
      </c>
      <c r="BN182" s="975"/>
      <c r="BO182" s="976"/>
      <c r="BP182" s="961" t="str">
        <f>IF(I182="Si",VLOOKUP($D$8,TablasTec!$E$4:$F$6,2,FALSE),"")</f>
        <v/>
      </c>
      <c r="BQ182" s="962" t="str">
        <f>IF(L182="Si",VLOOKUP($D$8,TablasTec!$I$4:$J$6,2,FALSE),"")</f>
        <v/>
      </c>
      <c r="BR182" s="960" t="str">
        <f>IF(O182="Si",VLOOKUP($D$8,TablasTec!$I$7:$J$9,2,FALSE),"")</f>
        <v/>
      </c>
      <c r="BS182" s="977"/>
      <c r="BU182" s="4864"/>
      <c r="BV182" s="4864"/>
      <c r="BW182" s="4864"/>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c r="A183" s="922"/>
      <c r="B183" s="922"/>
      <c r="C183" s="4909"/>
      <c r="D183" s="1435" t="s">
        <v>1766</v>
      </c>
      <c r="E183" s="978"/>
      <c r="F183" s="1008"/>
      <c r="G183" s="1420" t="str">
        <f>IF(E183=0,"",VLOOKUP(E183,TablasTec!$A$14:$V$771,3,FALSE))</f>
        <v/>
      </c>
      <c r="H183" s="981" t="str">
        <f>IF($E183=0,"",VLOOKUP($E183,TablasTec!$A$14:$V$771,4,FALSE))</f>
        <v/>
      </c>
      <c r="I183" s="982" t="s">
        <v>1690</v>
      </c>
      <c r="J183" s="1398" t="str">
        <f>IF(E183=0,"",VLOOKUP(E183,TablasTec!$A$14:$V$771,5,FALSE))</f>
        <v/>
      </c>
      <c r="K183" s="984" t="str">
        <f>IF(I183="Si",IF(E183=0,"",VLOOKUP(E183,TablasTec!$A$14:$V$771,5,FALSE)),"")</f>
        <v/>
      </c>
      <c r="L183" s="982" t="s">
        <v>1690</v>
      </c>
      <c r="M183" s="1398" t="str">
        <f>IF(E183=0,"",VLOOKUP(E183,TablasTec!$A$14:$V$771,6,FALSE))</f>
        <v/>
      </c>
      <c r="N183" s="985" t="str">
        <f>IF(L183="Si",IF(E183=0,"",VLOOKUP(E183,TablasTec!$A$14:$V$771,6,FALSE)),"")</f>
        <v/>
      </c>
      <c r="O183" s="982" t="s">
        <v>1690</v>
      </c>
      <c r="P183" s="1398" t="str">
        <f>IF(E183=0,"",VLOOKUP(E183,TablasTec!$A$14:$V$771,7,FALSE))</f>
        <v/>
      </c>
      <c r="Q183" s="985" t="str">
        <f>IF(O183="Si",IF(E183=0,"",VLOOKUP(E183,TablasTec!$A$14:$V$771,7,FALSE)),"")</f>
        <v/>
      </c>
      <c r="R183" s="983" t="str">
        <f>IF(E183=0,"",VLOOKUP(E183,TablasTec!$A$14:$V$771,8,FALSE))</f>
        <v/>
      </c>
      <c r="S183" s="981" t="str">
        <f>IF(R183=$D$8,$D$8,IF(R183=2,2,IF(R183=3,3,R183)))</f>
        <v/>
      </c>
      <c r="T183" s="4883" t="s">
        <v>4540</v>
      </c>
      <c r="U183" s="4884"/>
      <c r="V183" s="4884"/>
      <c r="W183" s="4884"/>
      <c r="X183" s="4884"/>
      <c r="Y183" s="4884"/>
      <c r="Z183" s="4884"/>
      <c r="AA183" s="4884"/>
      <c r="AB183" s="4884"/>
      <c r="AC183" s="4884"/>
      <c r="AD183" s="4884"/>
      <c r="AE183" s="4884"/>
      <c r="AF183" s="4884"/>
      <c r="AG183" s="4884"/>
      <c r="AH183" s="4884"/>
      <c r="AI183" s="4884"/>
      <c r="AJ183" s="4884"/>
      <c r="AK183" s="4884"/>
      <c r="AL183" s="4884"/>
      <c r="AM183" s="4884"/>
      <c r="AN183" s="4884"/>
      <c r="AO183" s="4884"/>
      <c r="AP183" s="4884"/>
      <c r="AQ183" s="4884"/>
      <c r="AR183" s="4884"/>
      <c r="AS183" s="4884"/>
      <c r="AT183" s="4884"/>
      <c r="AU183" s="4884"/>
      <c r="AV183" s="4884"/>
      <c r="AW183" s="4884"/>
      <c r="AX183" s="4884"/>
      <c r="AY183" s="4884"/>
      <c r="AZ183" s="4884"/>
      <c r="BA183" s="4884"/>
      <c r="BB183" s="4884"/>
      <c r="BC183" s="4884"/>
      <c r="BD183" s="4884"/>
      <c r="BE183" s="4884"/>
      <c r="BF183" s="4884"/>
      <c r="BG183" s="4884"/>
      <c r="BH183" s="4884"/>
      <c r="BI183" s="4884"/>
      <c r="BJ183" s="4884"/>
      <c r="BK183" s="4885"/>
      <c r="BL183" s="1420"/>
      <c r="BM183" s="1421"/>
      <c r="BN183" s="975"/>
      <c r="BO183" s="976"/>
      <c r="BP183" s="961" t="str">
        <f>IF(I183="Si",VLOOKUP($D$8,TablasTec!$E$4:$F$6,2,FALSE),"")</f>
        <v/>
      </c>
      <c r="BQ183" s="962" t="str">
        <f>IF(L183="Si",VLOOKUP($D$8,TablasTec!$I$4:$J$6,2,FALSE),"")</f>
        <v/>
      </c>
      <c r="BR183" s="960" t="str">
        <f>IF(O183="Si",VLOOKUP($D$8,TablasTec!$I$7:$J$9,2,FALSE),"")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c r="A184" s="922"/>
      <c r="B184" s="922"/>
      <c r="C184" s="4909"/>
      <c r="D184" s="1436" t="s">
        <v>1766</v>
      </c>
      <c r="E184" s="986"/>
      <c r="F184" s="1002"/>
      <c r="G184" s="972" t="str">
        <f>IF(E184=0,"",VLOOKUP(E184,TablasTec!$A$14:$V$771,3,FALSE))</f>
        <v/>
      </c>
      <c r="H184" s="3181" t="str">
        <f>IF($E184=0,"",VLOOKUP($E184,TablasTec!$A$14:$V$771,4,FALSE))</f>
        <v/>
      </c>
      <c r="I184" s="970" t="s">
        <v>1690</v>
      </c>
      <c r="J184" s="1394" t="str">
        <f>IF(E184=0,"",VLOOKUP(E184,TablasTec!$A$14:$V$771,5,FALSE))</f>
        <v/>
      </c>
      <c r="K184" s="989" t="str">
        <f>IF(I184="Si",IF(E184=0,"",VLOOKUP(E184,TablasTec!$A$14:$V$771,5,FALSE)),"")</f>
        <v/>
      </c>
      <c r="L184" s="970" t="s">
        <v>1690</v>
      </c>
      <c r="M184" s="1394" t="str">
        <f>IF(E184=0,"",VLOOKUP(E184,TablasTec!$A$14:$V$771,6,FALSE))</f>
        <v/>
      </c>
      <c r="N184" s="973" t="str">
        <f>IF(L184="Si",IF(E184=0,"",VLOOKUP(E184,TablasTec!$A$14:$V$771,6,FALSE)),"")</f>
        <v/>
      </c>
      <c r="O184" s="970" t="s">
        <v>1690</v>
      </c>
      <c r="P184" s="1394" t="str">
        <f>IF(E184=0,"",VLOOKUP(E184,TablasTec!$A$14:$V$771,7,FALSE))</f>
        <v/>
      </c>
      <c r="Q184" s="973" t="str">
        <f>IF(O184="Si",IF(E184=0,"",VLOOKUP(E184,TablasTec!$A$14:$V$771,7,FALSE)),"")</f>
        <v/>
      </c>
      <c r="R184" s="988" t="str">
        <f>IF(E184=0,"",VLOOKUP(E184,TablasTec!$A$14:$V$771,8,FALSE))</f>
        <v/>
      </c>
      <c r="S184" s="3181" t="str">
        <f>IF(R184=$D$8,$D$8,IF(R184=2,2,IF(R184=3,3,R184)))</f>
        <v/>
      </c>
      <c r="T184" s="4896"/>
      <c r="U184" s="4897"/>
      <c r="V184" s="3179" t="str">
        <f>IF(OR(V182=0,V182=""),"N/A",V182)</f>
        <v>N/A</v>
      </c>
      <c r="W184" s="4896" t="str">
        <f xml:space="preserve"> IF(OR(AF182=0,AF182=""),"N/A",W182)</f>
        <v>N/A</v>
      </c>
      <c r="X184" s="4898"/>
      <c r="Y184" s="4898"/>
      <c r="Z184" s="4898"/>
      <c r="AA184" s="4898"/>
      <c r="AB184" s="4898"/>
      <c r="AC184" s="4898"/>
      <c r="AD184" s="4898"/>
      <c r="AE184" s="4898"/>
      <c r="AF184" s="4897"/>
      <c r="AG184" s="4896" t="str">
        <f xml:space="preserve"> IF(OR(AP182="",AP182=0),"N/A",AG182)</f>
        <v>N/A</v>
      </c>
      <c r="AH184" s="4898"/>
      <c r="AI184" s="4898"/>
      <c r="AJ184" s="4898"/>
      <c r="AK184" s="4898"/>
      <c r="AL184" s="4898"/>
      <c r="AM184" s="4898"/>
      <c r="AN184" s="4898"/>
      <c r="AO184" s="4898"/>
      <c r="AP184" s="4897"/>
      <c r="AQ184" s="4896" t="str">
        <f xml:space="preserve"> IF(OR(AZ182="",AZ182=0),"N/A",AQ182)</f>
        <v>N/A</v>
      </c>
      <c r="AR184" s="4898"/>
      <c r="AS184" s="4898"/>
      <c r="AT184" s="4898"/>
      <c r="AU184" s="4898"/>
      <c r="AV184" s="4898"/>
      <c r="AW184" s="4898"/>
      <c r="AX184" s="4898"/>
      <c r="AY184" s="4898"/>
      <c r="AZ184" s="4897"/>
      <c r="BA184" s="4896" t="str">
        <f xml:space="preserve"> IF(OR(BJ182="",BJ182=0),"N/A",BA182)</f>
        <v>N/A</v>
      </c>
      <c r="BB184" s="4898"/>
      <c r="BC184" s="4898"/>
      <c r="BD184" s="4898"/>
      <c r="BE184" s="4898"/>
      <c r="BF184" s="4898"/>
      <c r="BG184" s="4898"/>
      <c r="BH184" s="4898"/>
      <c r="BI184" s="4898"/>
      <c r="BJ184" s="4897"/>
      <c r="BK184" s="990" t="s">
        <v>4541</v>
      </c>
      <c r="BL184" s="972"/>
      <c r="BM184" s="1007"/>
      <c r="BN184" s="991"/>
      <c r="BO184" s="992"/>
      <c r="BP184" s="993" t="str">
        <f>IF(I184="Si",VLOOKUP($D$8,TablasTec!$E$4:$F$6,2,FALSE),"")</f>
        <v/>
      </c>
      <c r="BQ184" s="963" t="str">
        <f>IF(L184="Si",VLOOKUP($D$8,TablasTec!$I$4:$J$6,2,FALSE),"")</f>
        <v/>
      </c>
      <c r="BR184" s="994" t="str">
        <f>IF(O184="Si",VLOOKUP($D$8,TablasTec!$I$7:$J$9,2,FALSE),"")</f>
        <v/>
      </c>
      <c r="BS184" s="977"/>
      <c r="BU184" s="4863"/>
      <c r="BV184" s="4863"/>
      <c r="BW184" s="4863"/>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c r="A185" s="922"/>
      <c r="B185" s="922"/>
      <c r="C185" s="4909"/>
      <c r="D185" s="1435" t="s">
        <v>1766</v>
      </c>
      <c r="E185" s="978"/>
      <c r="F185" s="1008"/>
      <c r="G185" s="1420" t="str">
        <f>IF(E185=0,"",VLOOKUP(E185,TablasTec!$A$14:$V$771,3,FALSE))</f>
        <v/>
      </c>
      <c r="H185" s="981" t="str">
        <f>IF($E185=0,"",VLOOKUP($E185,TablasTec!$A$14:$V$771,4,FALSE))</f>
        <v/>
      </c>
      <c r="I185" s="982" t="s">
        <v>1690</v>
      </c>
      <c r="J185" s="1398" t="str">
        <f>IF(E185=0,"",VLOOKUP(E185,TablasTec!$A$14:$V$771,5,FALSE))</f>
        <v/>
      </c>
      <c r="K185" s="984" t="str">
        <f>IF(I185="Si",IF(E185=0,"",VLOOKUP(E185,TablasTec!$A$14:$V$771,5,FALSE)),"")</f>
        <v/>
      </c>
      <c r="L185" s="982" t="s">
        <v>1690</v>
      </c>
      <c r="M185" s="1398" t="str">
        <f>IF(E185=0,"",VLOOKUP(E185,TablasTec!$A$14:$V$771,6,FALSE))</f>
        <v/>
      </c>
      <c r="N185" s="985" t="str">
        <f>IF(L185="Si",IF(E185=0,"",VLOOKUP(E185,TablasTec!$A$14:$V$771,6,FALSE)),"")</f>
        <v/>
      </c>
      <c r="O185" s="982" t="s">
        <v>1690</v>
      </c>
      <c r="P185" s="1398" t="str">
        <f>IF(E185=0,"",VLOOKUP(E185,TablasTec!$A$14:$V$771,7,FALSE))</f>
        <v/>
      </c>
      <c r="Q185" s="985" t="str">
        <f>IF(O185="Si",IF(E185=0,"",VLOOKUP(E185,TablasTec!$A$14:$V$771,7,FALSE)),"")</f>
        <v/>
      </c>
      <c r="R185" s="983" t="str">
        <f>IF(E185=0,"",VLOOKUP(E185,TablasTec!$A$14:$V$771,8,FALSE))</f>
        <v/>
      </c>
      <c r="S185" s="981" t="str">
        <f>IF(R185=$D$8,$D$8,IF(R185=2,2,IF(R185=3,3,R185)))</f>
        <v/>
      </c>
      <c r="T185" s="4899" t="s">
        <v>4542</v>
      </c>
      <c r="U185" s="4900"/>
      <c r="V185" s="3180"/>
      <c r="W185" s="4901"/>
      <c r="X185" s="4902"/>
      <c r="Y185" s="4902"/>
      <c r="Z185" s="4902"/>
      <c r="AA185" s="4902"/>
      <c r="AB185" s="4902"/>
      <c r="AC185" s="4902"/>
      <c r="AD185" s="4902"/>
      <c r="AE185" s="4902"/>
      <c r="AF185" s="4903"/>
      <c r="AG185" s="4901"/>
      <c r="AH185" s="4902"/>
      <c r="AI185" s="4902"/>
      <c r="AJ185" s="4902"/>
      <c r="AK185" s="4902"/>
      <c r="AL185" s="4902"/>
      <c r="AM185" s="4902"/>
      <c r="AN185" s="4902"/>
      <c r="AO185" s="4902"/>
      <c r="AP185" s="4903"/>
      <c r="AQ185" s="4901"/>
      <c r="AR185" s="4902"/>
      <c r="AS185" s="4902"/>
      <c r="AT185" s="4902"/>
      <c r="AU185" s="4902"/>
      <c r="AV185" s="4902"/>
      <c r="AW185" s="4902"/>
      <c r="AX185" s="4902"/>
      <c r="AY185" s="4902"/>
      <c r="AZ185" s="4903"/>
      <c r="BA185" s="4901"/>
      <c r="BB185" s="4902"/>
      <c r="BC185" s="4902"/>
      <c r="BD185" s="4902"/>
      <c r="BE185" s="4902"/>
      <c r="BF185" s="4902"/>
      <c r="BG185" s="4902"/>
      <c r="BH185" s="4902"/>
      <c r="BI185" s="4902"/>
      <c r="BJ185" s="4903"/>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IF(I185="Si",VLOOKUP($D$8,TablasTec!$E$4:$F$6,2,FALSE),"")</f>
        <v/>
      </c>
      <c r="BQ185" s="962" t="str">
        <f>IF(L185="Si",VLOOKUP($D$8,TablasTec!$I$4:$J$6,2,FALSE),"")</f>
        <v/>
      </c>
      <c r="BR185" s="960" t="str">
        <f>IF(O185="Si",VLOOKUP($D$8,TablasTec!$I$7:$J$9,2,FALSE),"")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c r="A186" s="922"/>
      <c r="B186" s="922"/>
      <c r="C186" s="4909"/>
      <c r="D186" s="1436" t="s">
        <v>1766</v>
      </c>
      <c r="E186" s="986"/>
      <c r="F186" s="1002"/>
      <c r="G186" s="972" t="str">
        <f>IF(E186=0,"",VLOOKUP(E186,TablasTec!$A$14:$V$771,3,FALSE))</f>
        <v/>
      </c>
      <c r="H186" s="987" t="str">
        <f>IF($E186=0,"",VLOOKUP($E186,TablasTec!$A$14:$V$771,4,FALSE))</f>
        <v/>
      </c>
      <c r="I186" s="970" t="s">
        <v>1690</v>
      </c>
      <c r="J186" s="1394" t="str">
        <f>IF(E186=0,"",VLOOKUP(E186,TablasTec!$A$14:$V$771,5,FALSE))</f>
        <v/>
      </c>
      <c r="K186" s="989" t="str">
        <f>IF(I186="Si",IF(E186=0,"",VLOOKUP(E186,TablasTec!$A$14:$V$771,5,FALSE)),"")</f>
        <v/>
      </c>
      <c r="L186" s="970" t="s">
        <v>1690</v>
      </c>
      <c r="M186" s="1394" t="str">
        <f>IF(E186=0,"",VLOOKUP(E186,TablasTec!$A$14:$V$771,6,FALSE))</f>
        <v/>
      </c>
      <c r="N186" s="973" t="str">
        <f>IF(L186="Si",IF(E186=0,"",VLOOKUP(E186,TablasTec!$A$14:$V$771,6,FALSE)),"")</f>
        <v/>
      </c>
      <c r="O186" s="970" t="s">
        <v>1690</v>
      </c>
      <c r="P186" s="1394" t="str">
        <f>IF(E186=0,"",VLOOKUP(E186,TablasTec!$A$14:$V$771,7,FALSE))</f>
        <v/>
      </c>
      <c r="Q186" s="973" t="str">
        <f>IF(O186="Si",IF(E186=0,"",VLOOKUP(E186,TablasTec!$A$14:$V$771,7,FALSE)),"")</f>
        <v/>
      </c>
      <c r="R186" s="988" t="str">
        <f>IF(E186=0,"",VLOOKUP(E186,TablasTec!$A$14:$V$771,8,FALSE))</f>
        <v/>
      </c>
      <c r="S186" s="987" t="str">
        <f>IF(R186=$D$8,$D$8,IF(R186=2,2,IF(R186=3,3,R186)))</f>
        <v/>
      </c>
      <c r="T186" s="4904" t="s">
        <v>4544</v>
      </c>
      <c r="U186" s="4905"/>
      <c r="V186" s="3183"/>
      <c r="W186" s="4906"/>
      <c r="X186" s="4907"/>
      <c r="Y186" s="4907"/>
      <c r="Z186" s="4907"/>
      <c r="AA186" s="4907"/>
      <c r="AB186" s="4907"/>
      <c r="AC186" s="4907"/>
      <c r="AD186" s="4907"/>
      <c r="AE186" s="4907"/>
      <c r="AF186" s="4908"/>
      <c r="AG186" s="4906"/>
      <c r="AH186" s="4907"/>
      <c r="AI186" s="4907"/>
      <c r="AJ186" s="4907"/>
      <c r="AK186" s="4907"/>
      <c r="AL186" s="4907"/>
      <c r="AM186" s="4907"/>
      <c r="AN186" s="4907"/>
      <c r="AO186" s="4907"/>
      <c r="AP186" s="4908"/>
      <c r="AQ186" s="4906"/>
      <c r="AR186" s="4907"/>
      <c r="AS186" s="4907"/>
      <c r="AT186" s="4907"/>
      <c r="AU186" s="4907"/>
      <c r="AV186" s="4907"/>
      <c r="AW186" s="4907"/>
      <c r="AX186" s="4907"/>
      <c r="AY186" s="4907"/>
      <c r="AZ186" s="4908"/>
      <c r="BA186" s="4906"/>
      <c r="BB186" s="4907"/>
      <c r="BC186" s="4907"/>
      <c r="BD186" s="4907"/>
      <c r="BE186" s="4907"/>
      <c r="BF186" s="4907"/>
      <c r="BG186" s="4907"/>
      <c r="BH186" s="4907"/>
      <c r="BI186" s="4907"/>
      <c r="BJ186" s="4908"/>
      <c r="BK186" s="987">
        <f>SUM(K182:K186)-SUM(V186:BA186)</f>
        <v>0</v>
      </c>
      <c r="BL186" s="972"/>
      <c r="BM186" s="1007"/>
      <c r="BN186" s="991"/>
      <c r="BO186" s="992"/>
      <c r="BP186" s="993" t="str">
        <f>IF(I186="Si",VLOOKUP($D$8,TablasTec!$E$4:$F$6,2,FALSE),"")</f>
        <v/>
      </c>
      <c r="BQ186" s="963" t="str">
        <f>IF(L186="Si",VLOOKUP($D$8,TablasTec!$I$4:$J$6,2,FALSE),"")</f>
        <v/>
      </c>
      <c r="BR186" s="994" t="str">
        <f>IF(O186="Si",VLOOKUP($D$8,TablasTec!$I$7:$J$9,2,FALSE),"")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c r="A187" s="922"/>
      <c r="B187" s="922"/>
      <c r="C187" s="4909"/>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89"/>
      <c r="BL187" s="4889"/>
      <c r="BM187" s="4854"/>
      <c r="BN187" s="960">
        <f>SUM(K187:K190)</f>
        <v>0</v>
      </c>
      <c r="BO187" s="954">
        <f>IF(E187=0,"",(AF187+AP187+AZ187+BJ187))</f>
        <v>0</v>
      </c>
      <c r="BP187" s="961" t="str">
        <f>IF(I187="Si",VLOOKUP($D$8,TablasTec!$E$4:$F$6,2,FALSE),"")</f>
        <v/>
      </c>
      <c r="BQ187" s="962" t="str">
        <f>IF(L187="Si",VLOOKUP($D$8,TablasTec!$I$4:$J$6,2,FALSE),"")</f>
        <v/>
      </c>
      <c r="BR187" s="960" t="str">
        <f>IF(O187="Si",VLOOKUP($D$8,TablasTec!$I$7:$J$9,2,FALSE),"")</f>
        <v/>
      </c>
      <c r="BS187" s="977"/>
      <c r="BT187" s="4853" t="s">
        <v>4553</v>
      </c>
      <c r="BU187" s="4854"/>
      <c r="BV187" s="954"/>
      <c r="BW187" s="934"/>
      <c r="BX187" s="934"/>
      <c r="BY187" s="1269"/>
      <c r="BZ187" s="1287"/>
      <c r="CA187" s="922"/>
      <c r="DR187" s="922"/>
      <c r="DT187" s="1308"/>
      <c r="DU187" s="1360"/>
      <c r="DV187" s="1360"/>
      <c r="DW187" s="1360"/>
      <c r="DX187" s="1360"/>
      <c r="DY187" s="1307"/>
      <c r="DZ187" s="922"/>
      <c r="EA187" s="1453">
        <f t="shared" si="2"/>
        <v>1</v>
      </c>
    </row>
    <row r="188" spans="1:131" ht="12">
      <c r="A188" s="922"/>
      <c r="B188" s="922"/>
      <c r="C188" s="4909"/>
      <c r="D188" s="1439" t="s">
        <v>4552</v>
      </c>
      <c r="E188" s="966"/>
      <c r="F188" s="989"/>
      <c r="G188" s="989"/>
      <c r="H188" s="987" t="str">
        <f>IF(D156=0,"",IF(E188=0,"",VLOOKUP(E188,TablasTec!$A$14:$V$771,4,FALSE)))</f>
        <v/>
      </c>
      <c r="I188" s="989"/>
      <c r="J188" s="989"/>
      <c r="K188" s="1021"/>
      <c r="L188" s="989"/>
      <c r="M188" s="989"/>
      <c r="N188" s="1021"/>
      <c r="O188" s="989"/>
      <c r="P188" s="989"/>
      <c r="Q188" s="989"/>
      <c r="R188" s="988" t="str">
        <f>IF(E188=0,"",VLOOKUP(E188,TablasTec!$A$14:$V$771,8,FALSE))</f>
        <v/>
      </c>
      <c r="S188" s="1014" t="str">
        <f>IF(R188=$D$8,$D$8,IF(R188=2,2,IF(R188=3,3,R188)))</f>
        <v/>
      </c>
      <c r="T188" s="989" t="str">
        <f>IF(E188=0,"",VLOOKUP(E188,TablasTec!$A$14:$V$771,9,FALSE))</f>
        <v/>
      </c>
      <c r="U188" s="1016" t="str">
        <f>IF(E188=0,"",VLOOKUP(E188,TablasTec!$A$14:$V$771,10,FALSE))</f>
        <v/>
      </c>
      <c r="V188" s="1017"/>
      <c r="W188" s="1017"/>
      <c r="X188" s="1016"/>
      <c r="Y188" s="1016"/>
      <c r="Z188" s="1016"/>
      <c r="AA188" s="1016"/>
      <c r="AB188" s="1016"/>
      <c r="AC188" s="1016"/>
      <c r="AD188" s="1016"/>
      <c r="AE188" s="1016"/>
      <c r="AF188" s="1016"/>
      <c r="AG188" s="4886" t="str">
        <f>IF(OR(E188=TablasTec!A$678,E188=TablasTec!A$679,E189=TablasTec!A$678,E189=TablasTec!A$679,E190=TablasTec!A$678,E190=TablasTec!A$679),"Selecciona la atadura elemental:","")</f>
        <v/>
      </c>
      <c r="AH188" s="4887"/>
      <c r="AI188" s="4887"/>
      <c r="AJ188" s="4887"/>
      <c r="AK188" s="4887"/>
      <c r="AL188" s="4887"/>
      <c r="AM188" s="4887"/>
      <c r="AN188" s="4887"/>
      <c r="AO188" s="4887"/>
      <c r="AP188" s="4887"/>
      <c r="AQ188" s="4887"/>
      <c r="AR188" s="4887"/>
      <c r="AS188" s="4887"/>
      <c r="AT188" s="4887"/>
      <c r="AU188" s="4887"/>
      <c r="AV188" s="4887"/>
      <c r="AW188" s="4887"/>
      <c r="AX188" s="4887"/>
      <c r="AY188" s="4887"/>
      <c r="AZ188" s="4887"/>
      <c r="BA188" s="4887"/>
      <c r="BB188" s="4887"/>
      <c r="BC188" s="4887"/>
      <c r="BD188" s="4887"/>
      <c r="BE188" s="4887"/>
      <c r="BF188" s="4887"/>
      <c r="BG188" s="4887"/>
      <c r="BH188" s="4887"/>
      <c r="BI188" s="4887"/>
      <c r="BJ188" s="4887"/>
      <c r="BK188" s="4888"/>
      <c r="BL188" s="1424"/>
      <c r="BM188" s="1424"/>
      <c r="BN188" s="989"/>
      <c r="BO188" s="989"/>
      <c r="BP188" s="1021"/>
      <c r="BQ188" s="989"/>
      <c r="BR188" s="989"/>
      <c r="BS188" s="989"/>
      <c r="BT188" s="4855">
        <f>D156</f>
        <v>1</v>
      </c>
      <c r="BU188" s="4856"/>
      <c r="BV188" s="954">
        <f>IF(BV187=0,0,VLOOKUP(BV187,TablasTec!$M$4:$N$7,2,FALSE))</f>
        <v>0</v>
      </c>
      <c r="BW188" s="934"/>
      <c r="BX188" s="934"/>
      <c r="BY188" s="1269"/>
      <c r="BZ188" s="1287"/>
      <c r="CA188" s="922"/>
      <c r="DR188" s="922"/>
      <c r="DT188" s="1308"/>
      <c r="DU188" s="1360"/>
      <c r="DV188" s="1360"/>
      <c r="DW188" s="1360"/>
      <c r="DX188" s="1360"/>
      <c r="DY188" s="1307"/>
      <c r="DZ188" s="922"/>
      <c r="EA188" s="1453">
        <f t="shared" si="2"/>
        <v>1</v>
      </c>
    </row>
    <row r="189" spans="1:131">
      <c r="A189" s="922"/>
      <c r="B189" s="922"/>
      <c r="C189" s="4909"/>
      <c r="D189" s="1435" t="s">
        <v>4554</v>
      </c>
      <c r="E189" s="1022"/>
      <c r="F189" s="1388"/>
      <c r="G189" s="1389"/>
      <c r="H189" s="979" t="str">
        <f>IF(VALUE(D156)&gt;1,IF(E189=0,"",VLOOKUP(E189,TablasTec!$A$14:$V$771,4,FALSE)),"")</f>
        <v/>
      </c>
      <c r="I189" s="1388"/>
      <c r="J189" s="1389"/>
      <c r="K189" s="1389"/>
      <c r="L189" s="1388"/>
      <c r="M189" s="1389"/>
      <c r="N189" s="1390"/>
      <c r="O189" s="1389"/>
      <c r="P189" s="1389"/>
      <c r="Q189" s="1389"/>
      <c r="R189" s="983" t="str">
        <f>IF(E189=0,"",VLOOKUP(E189,TablasTec!$A$14:$V$771,8,FALSE))</f>
        <v/>
      </c>
      <c r="S189" s="981" t="str">
        <f>IF(R189=$D$8,$D$8,IF(R189=2,2,IF(R189=3,3,R189)))</f>
        <v/>
      </c>
      <c r="T189" s="984" t="str">
        <f>IF(E189=0,"",VLOOKUP(E189,TablasTec!$A$14:$V$771,9,FALSE))</f>
        <v/>
      </c>
      <c r="U189" s="984" t="str">
        <f>IF(E189=0,"",VLOOKUP(E189,TablasTec!$A$14:$V$771,10,FALSE))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c r="A190" s="922"/>
      <c r="B190" s="922"/>
      <c r="C190" s="4909"/>
      <c r="D190" s="1440" t="s">
        <v>4555</v>
      </c>
      <c r="E190" s="1023"/>
      <c r="F190" s="3176"/>
      <c r="G190" s="998"/>
      <c r="H190" s="997" t="str">
        <f>IF(VALUE(D156)=3,IF(E190=0,"",VLOOKUP(E190,TablasTec!$A$14:$V$771,4,FALSE)),"")</f>
        <v/>
      </c>
      <c r="I190" s="998"/>
      <c r="J190" s="998"/>
      <c r="K190" s="998"/>
      <c r="L190" s="3176"/>
      <c r="M190" s="998"/>
      <c r="N190" s="998"/>
      <c r="O190" s="3176"/>
      <c r="P190" s="998"/>
      <c r="Q190" s="998"/>
      <c r="R190" s="1018" t="str">
        <f>IF(E190=0,"",VLOOKUP(E190,TablasTec!$A$14:$V$771,8,FALSE))</f>
        <v/>
      </c>
      <c r="S190" s="997" t="str">
        <f>IF(R190=$D$8,$D$8,IF(R190=2,2,IF(R190=3,3,R190)))</f>
        <v/>
      </c>
      <c r="T190" s="998" t="str">
        <f>IF(E190=0,"",VLOOKUP(E190,TablasTec!$A$14:$V$771,9,FALSE))</f>
        <v/>
      </c>
      <c r="U190" s="998" t="str">
        <f>IF(E190=0,"",VLOOKUP(E190,TablasTec!$A$14:$V$771,10,FALSE))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IF(BV189=0,0,VLOOKUP(BV189,TablasTec!$M$4:$N$7,2,FALSE))</f>
        <v>0</v>
      </c>
      <c r="BW190" s="934"/>
      <c r="BX190" s="934"/>
      <c r="BY190" s="1269"/>
      <c r="BZ190" s="1287"/>
      <c r="CA190" s="926"/>
      <c r="DR190" s="926"/>
      <c r="DT190" s="1311"/>
      <c r="DU190" s="1416"/>
      <c r="DV190" s="1416"/>
      <c r="DW190" s="1416"/>
      <c r="DX190" s="1416"/>
      <c r="DY190" s="1312"/>
      <c r="DZ190" s="926"/>
      <c r="EA190" s="1453">
        <f t="shared" si="2"/>
        <v>1</v>
      </c>
    </row>
    <row r="191" spans="1:131">
      <c r="A191" s="926"/>
      <c r="B191" s="926"/>
      <c r="C191" s="4909"/>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c r="A192" s="922"/>
      <c r="B192" s="922"/>
      <c r="C192" s="4909"/>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c r="A193" s="922"/>
      <c r="B193" s="922"/>
      <c r="C193" s="4909"/>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3175" t="s">
        <v>1708</v>
      </c>
      <c r="U193" s="3175" t="s">
        <v>1679</v>
      </c>
      <c r="V193" s="3175" t="s">
        <v>3335</v>
      </c>
      <c r="W193" s="4881" t="s">
        <v>3336</v>
      </c>
      <c r="X193" s="4881"/>
      <c r="Y193" s="4881"/>
      <c r="Z193" s="4881"/>
      <c r="AA193" s="4881"/>
      <c r="AB193" s="4881"/>
      <c r="AC193" s="4881"/>
      <c r="AD193" s="4881"/>
      <c r="AE193" s="4881"/>
      <c r="AF193" s="4881"/>
      <c r="AG193" s="4881"/>
      <c r="AH193" s="4881"/>
      <c r="AI193" s="4881"/>
      <c r="AJ193" s="4881"/>
      <c r="AK193" s="4881"/>
      <c r="AL193" s="4881"/>
      <c r="AM193" s="4881"/>
      <c r="AN193" s="4881"/>
      <c r="AO193" s="4881"/>
      <c r="AP193" s="4881"/>
      <c r="AQ193" s="4881"/>
      <c r="AR193" s="4881"/>
      <c r="AS193" s="4881"/>
      <c r="AT193" s="4881"/>
      <c r="AU193" s="4881"/>
      <c r="AV193" s="4881"/>
      <c r="AW193" s="4881"/>
      <c r="AX193" s="4881"/>
      <c r="AY193" s="4881"/>
      <c r="AZ193" s="4881"/>
      <c r="BA193" s="4881"/>
      <c r="BB193" s="4881"/>
      <c r="BC193" s="4881"/>
      <c r="BD193" s="4881"/>
      <c r="BE193" s="4881"/>
      <c r="BF193" s="4881"/>
      <c r="BG193" s="4881"/>
      <c r="BH193" s="4881"/>
      <c r="BI193" s="4881"/>
      <c r="BJ193" s="4881"/>
      <c r="BK193" s="4881" t="s">
        <v>3337</v>
      </c>
      <c r="BL193" s="4881"/>
      <c r="BM193" s="4882"/>
      <c r="BN193" s="952" t="s">
        <v>4532</v>
      </c>
      <c r="BO193" s="952" t="s">
        <v>4533</v>
      </c>
      <c r="BP193" s="952" t="s">
        <v>4534</v>
      </c>
      <c r="BQ193" s="952" t="s">
        <v>4535</v>
      </c>
      <c r="BR193" s="952" t="s">
        <v>4536</v>
      </c>
      <c r="BS193" s="953" t="s">
        <v>4537</v>
      </c>
      <c r="BT193" s="4857" t="s">
        <v>4538</v>
      </c>
      <c r="BU193" s="4858"/>
      <c r="BV193" s="954"/>
      <c r="BW193" s="934"/>
      <c r="BX193" s="934"/>
      <c r="BY193" s="1269"/>
      <c r="BZ193" s="1287"/>
      <c r="CA193" s="922"/>
      <c r="DR193" s="922"/>
      <c r="DT193" s="1308"/>
      <c r="DU193" s="1360"/>
      <c r="DV193" s="1360"/>
      <c r="DW193" s="1360"/>
      <c r="DX193" s="1360"/>
      <c r="DY193" s="1307"/>
      <c r="DZ193" s="922"/>
      <c r="EB193" s="2127">
        <f>D193</f>
        <v>1</v>
      </c>
    </row>
    <row r="194" spans="1:13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09"/>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IF(I194="Si",VLOOKUP($D$8,TablasTec!$E$4:$F$6,2,FALSE),"")</f>
        <v/>
      </c>
      <c r="BQ194" s="962" t="str">
        <f>IF(L194="Si",VLOOKUP($D$8,TablasTec!$I$4:$J$6,2,FALSE),"")</f>
        <v/>
      </c>
      <c r="BR194" s="960" t="str">
        <f>IF(O194="Si",VLOOKUP($D$8,TablasTec!$I$7:$J$9,2,FALSE),"")</f>
        <v/>
      </c>
      <c r="BS194" s="963">
        <f>VLOOKUP(D193,TablasTec!$P$6:$R$8,3)</f>
        <v>50</v>
      </c>
      <c r="BT194" s="964">
        <f>VLOOKUP(D193,TablasTec!$P$6:$R$8,3,FALSE)</f>
        <v>50</v>
      </c>
      <c r="BU194" s="965">
        <f>VLOOKUP(D193,TablasTec!$P$6:$R$8,2,FALSE)</f>
        <v>20</v>
      </c>
      <c r="BV194" s="954">
        <f>IF(D193=0,"",VLOOKUP(D193,TablasTec!$L$4:$N$7,2,FALSE))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09"/>
      <c r="D195" s="1436" t="s">
        <v>1766</v>
      </c>
      <c r="E195" s="966"/>
      <c r="F195" s="967" t="str">
        <f>IF(E195=0,"",VLOOKUP(E195,TablasTec!$A$14:$V$771,2,FALSE))</f>
        <v/>
      </c>
      <c r="G195" s="968"/>
      <c r="H195" s="969" t="str">
        <f>IF($E195=0,"",VLOOKUP($E195,TablasTec!$A$14:$V$771,4,FALSE))</f>
        <v/>
      </c>
      <c r="I195" s="970" t="s">
        <v>1690</v>
      </c>
      <c r="J195" s="1395" t="str">
        <f>IF(E195=0,"",VLOOKUP(E195,TablasTec!$A$14:$V$771,5,FALSE))</f>
        <v/>
      </c>
      <c r="K195" s="972" t="str">
        <f>IF(I195="Si",IF(E195=0,"",VLOOKUP(E195,TablasTec!$A$14:$V$771,5,FALSE)),"")</f>
        <v/>
      </c>
      <c r="L195" s="970" t="s">
        <v>1690</v>
      </c>
      <c r="M195" s="1395" t="str">
        <f>IF(E195=0,"",VLOOKUP(E195,TablasTec!$A$14:$V$771,6,FALSE))</f>
        <v/>
      </c>
      <c r="N195" s="973" t="str">
        <f>IF(L195="Si",IF(E195=0,"",VLOOKUP(E195,TablasTec!$A$14:$V$771,6,FALSE)),"")</f>
        <v/>
      </c>
      <c r="O195" s="970" t="s">
        <v>1690</v>
      </c>
      <c r="P195" s="1395" t="str">
        <f>IF(E195=0,"",VLOOKUP(E195,TablasTec!$A$14:$V$771,7,FALSE))</f>
        <v/>
      </c>
      <c r="Q195" s="973" t="str">
        <f>IF(O195="Si",IF(E195=0,"",VLOOKUP(E195,TablasTec!$A$14:$V$771,7,FALSE)),"")</f>
        <v/>
      </c>
      <c r="R195" s="971" t="str">
        <f>IF(E195=0,"",VLOOKUP(E195,TablasTec!$A$14:$V$771,8,FALSE))</f>
        <v/>
      </c>
      <c r="S195" s="969" t="str">
        <f>IF(R195=$D$8,$D$8,IF(R195=2,2,IF(R195=3,3,R195)))</f>
        <v/>
      </c>
      <c r="T195" s="972" t="str">
        <f>IF(E195=0,"",VLOOKUP(E195,TablasTec!$A$14:$V$771,9,FALSE))</f>
        <v/>
      </c>
      <c r="U195" s="972" t="str">
        <f>IF(E195=0,"",VLOOKUP(E195,TablasTec!$A$14:$V$771,10,FALSE))</f>
        <v/>
      </c>
      <c r="V195" s="967" t="str">
        <f>IF(E195=0,"",VLOOKUP(E195,TablasTec!$A$14:$V$771,11,FALSE))</f>
        <v/>
      </c>
      <c r="W195" s="970"/>
      <c r="X195" s="971" t="e">
        <f>VLOOKUP(E195,TablasTec!$A$14:$V$771,12,FALSE)</f>
        <v>#N/A</v>
      </c>
      <c r="Y195" s="971" t="e">
        <f>IF(W195=X195,VLOOKUP(E195,TablasTec!$A$14:$V$771,13,FALSE),0)</f>
        <v>#N/A</v>
      </c>
      <c r="Z195" s="971" t="e">
        <f>VLOOKUP(E195,TablasTec!$A$14:$V$771,14,FALSE)</f>
        <v>#N/A</v>
      </c>
      <c r="AA195" s="971" t="e">
        <f>IF(W195=Z195,VLOOKUP(E195,TablasTec!$A$14:$V$616,15,FALSE),0)</f>
        <v>#N/A</v>
      </c>
      <c r="AB195" s="971" t="e">
        <f>VLOOKUP(E195,TablasTec!$A$14:$V$771,16,FALSE)</f>
        <v>#N/A</v>
      </c>
      <c r="AC195" s="971" t="e">
        <f>IF(W195=AB195,VLOOKUP(E195,TablasTec!$A$14:$V$616,17,FALSE),0)</f>
        <v>#N/A</v>
      </c>
      <c r="AD195" s="971" t="e">
        <f>VLOOKUP(E195,TablasTec!$A$14:$V$771,18,FALSE)</f>
        <v>#N/A</v>
      </c>
      <c r="AE195" s="971" t="e">
        <f>IF(W195=AD195,VLOOKUP(E195,TablasTec!$A$14:$V$771,19,FALSE),0)</f>
        <v>#N/A</v>
      </c>
      <c r="AF195" s="973" t="str">
        <f>IF(E195=0,"",(Y195+AA195+AC195+AE195))</f>
        <v/>
      </c>
      <c r="AG195" s="970"/>
      <c r="AH195" s="971" t="e">
        <f>VLOOKUP(E195,TablasTec!$A$14:$V$771,12,FALSE)</f>
        <v>#N/A</v>
      </c>
      <c r="AI195" s="971" t="e">
        <f>IF(AG195=AH195,VLOOKUP(E195,TablasTec!$A$14:$V$771,13,FALSE),0)</f>
        <v>#N/A</v>
      </c>
      <c r="AJ195" s="971" t="e">
        <f>VLOOKUP(E195,TablasTec!$A$14:$V$771,14,FALSE)</f>
        <v>#N/A</v>
      </c>
      <c r="AK195" s="971" t="e">
        <f>IF(AG195=AJ195,VLOOKUP(E195,TablasTec!$A$14:$V$771,15,FALSE),0)</f>
        <v>#N/A</v>
      </c>
      <c r="AL195" s="971" t="e">
        <f>VLOOKUP(E195,TablasTec!$A$14:$V$771,16,FALSE)</f>
        <v>#N/A</v>
      </c>
      <c r="AM195" s="971" t="e">
        <f>IF(AG195=AL195,VLOOKUP(E195,TablasTec!$A$14:$V$771,17,FALSE),0)</f>
        <v>#N/A</v>
      </c>
      <c r="AN195" s="971" t="e">
        <f>VLOOKUP(E195,TablasTec!$A$14:$V$771,18,FALSE)</f>
        <v>#N/A</v>
      </c>
      <c r="AO195" s="971" t="e">
        <f>IF(AG195=AN195,VLOOKUP(E195,TablasTec!$A$14:$V$771,19,FALSE),0)</f>
        <v>#N/A</v>
      </c>
      <c r="AP195" s="973" t="str">
        <f>IF(E195=0,"",(AI195+AK195+AM195+AO195))</f>
        <v/>
      </c>
      <c r="AQ195" s="970"/>
      <c r="AR195" s="971" t="e">
        <f>VLOOKUP(E195,TablasTec!$A$14:$V$771,12,FALSE)</f>
        <v>#N/A</v>
      </c>
      <c r="AS195" s="971" t="e">
        <f>IF(AQ195=AR195,VLOOKUP(E195,TablasTec!$A$14:$V$771,13,FALSE),0)</f>
        <v>#N/A</v>
      </c>
      <c r="AT195" s="971" t="e">
        <f>VLOOKUP(E195,TablasTec!$A$14:$V$771,14,FALSE)</f>
        <v>#N/A</v>
      </c>
      <c r="AU195" s="971" t="e">
        <f>IF(AQ195=AT195,VLOOKUP(E195,TablasTec!$A$14:$V$771,15,FALSE),0)</f>
        <v>#N/A</v>
      </c>
      <c r="AV195" s="971" t="e">
        <f>VLOOKUP(E195,TablasTec!$A$14:$V$771,16,FALSE)</f>
        <v>#N/A</v>
      </c>
      <c r="AW195" s="971" t="e">
        <f>IF(AQ195=AV195,VLOOKUP(E195,TablasTec!$A$14:$V$771,17,FALSE),0)</f>
        <v>#N/A</v>
      </c>
      <c r="AX195" s="971" t="e">
        <f>VLOOKUP(E195,TablasTec!$A$14:$V$771,18,FALSE)</f>
        <v>#N/A</v>
      </c>
      <c r="AY195" s="971" t="e">
        <f>IF(AQ195=AX195,VLOOKUP(E195,TablasTec!$A$14:$V$771,19,FALSE),0)</f>
        <v>#N/A</v>
      </c>
      <c r="AZ195" s="972" t="str">
        <f>IF(E195=0,"",(AS195+AU195+AW195+AY195))</f>
        <v/>
      </c>
      <c r="BA195" s="970"/>
      <c r="BB195" s="971" t="e">
        <f>VLOOKUP(E195,TablasTec!$A$14:$V$771,12,FALSE)</f>
        <v>#N/A</v>
      </c>
      <c r="BC195" s="971" t="e">
        <f>IF(BA195=BB195,VLOOKUP(E195,TablasTec!$A$14:$V$771,13,FALSE),0)</f>
        <v>#N/A</v>
      </c>
      <c r="BD195" s="971" t="e">
        <f>VLOOKUP(E195,TablasTec!$A$14:$V$771,14,FALSE)</f>
        <v>#N/A</v>
      </c>
      <c r="BE195" s="971" t="e">
        <f>IF(BA195=BD195,VLOOKUP(E195,TablasTec!$A$14:$V$771,15,FALSE),0)</f>
        <v>#N/A</v>
      </c>
      <c r="BF195" s="971" t="e">
        <f>VLOOKUP(E195,TablasTec!$A$14:$V$771,16,FALSE)</f>
        <v>#N/A</v>
      </c>
      <c r="BG195" s="971" t="e">
        <f>IF(BA195=BF195,VLOOKUP(E195,TablasTec!$A$14:$V$771,17,FALSE),0)</f>
        <v>#N/A</v>
      </c>
      <c r="BH195" s="971" t="e">
        <f>VLOOKUP(E195,TablasTec!$A$14:$V$771,18,FALSE)</f>
        <v>#N/A</v>
      </c>
      <c r="BI195" s="971" t="e">
        <f>IF(BA195=BH195,VLOOKUP(E195,TablasTec!$A$14:$V$771,19,FALSE),0)</f>
        <v>#N/A</v>
      </c>
      <c r="BJ195" s="973" t="str">
        <f>IF(E195=0,"",(BC195+BE195+BG195+BI195))</f>
        <v/>
      </c>
      <c r="BK195" s="972" t="str">
        <f>IF(E195=0,"",VLOOKUP(E195,TablasTec!$A$14:$V$771,20,FALSE))</f>
        <v/>
      </c>
      <c r="BL195" s="972" t="str">
        <f>IF(E195=0,"",VLOOKUP(E195,TablasTec!$A$14:$V$771,21,FALSE))</f>
        <v/>
      </c>
      <c r="BM195" s="974" t="str">
        <f>IF(E195=0,"",VLOOKUP(E195,TablasTec!$A$14:$V$771,22,FALSE))</f>
        <v/>
      </c>
      <c r="BN195" s="975"/>
      <c r="BO195" s="976"/>
      <c r="BP195" s="961" t="str">
        <f>IF(I195="Si",VLOOKUP($D$8,TablasTec!$E$4:$F$6,2,FALSE),"")</f>
        <v/>
      </c>
      <c r="BQ195" s="962" t="str">
        <f>IF(L195="Si",VLOOKUP($D$8,TablasTec!$I$4:$J$6,2,FALSE),"")</f>
        <v/>
      </c>
      <c r="BR195" s="960" t="str">
        <f>IF(O195="Si",VLOOKUP($D$8,TablasTec!$I$7:$J$9,2,FALSE),"")</f>
        <v/>
      </c>
      <c r="BS195" s="977"/>
      <c r="BT195" s="4857" t="s">
        <v>4539</v>
      </c>
      <c r="BU195" s="4858"/>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6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c r="A196" s="922"/>
      <c r="B196" s="922"/>
      <c r="C196" s="4909"/>
      <c r="D196" s="1435" t="s">
        <v>1766</v>
      </c>
      <c r="E196" s="978"/>
      <c r="F196" s="979" t="str">
        <f>IF(E196=0,"",VLOOKUP(E196,TablasTec!$A$14:$V$771,2,FALSE))</f>
        <v/>
      </c>
      <c r="G196" s="980"/>
      <c r="H196" s="981" t="str">
        <f>IF($E196=0,"",VLOOKUP($E196,TablasTec!$A$14:$V$771,4,FALSE))</f>
        <v/>
      </c>
      <c r="I196" s="982" t="s">
        <v>1690</v>
      </c>
      <c r="J196" s="1398" t="str">
        <f>IF(E196=0,"",VLOOKUP(E196,TablasTec!$A$14:$V$771,5,FALSE))</f>
        <v/>
      </c>
      <c r="K196" s="984" t="str">
        <f>IF(I196="Si",IF(E196=0,"",VLOOKUP(E196,TablasTec!$A$14:$V$771,5,FALSE)),"")</f>
        <v/>
      </c>
      <c r="L196" s="982" t="s">
        <v>1690</v>
      </c>
      <c r="M196" s="1398" t="str">
        <f>IF(E196=0,"",VLOOKUP(E196,TablasTec!$A$14:$V$771,6,FALSE))</f>
        <v/>
      </c>
      <c r="N196" s="985" t="str">
        <f>IF(L196="Si",IF(E196=0,"",VLOOKUP(E196,TablasTec!$A$14:$V$771,6,FALSE)),"")</f>
        <v/>
      </c>
      <c r="O196" s="982" t="s">
        <v>1690</v>
      </c>
      <c r="P196" s="1398" t="str">
        <f>IF(E196=0,"",VLOOKUP(E196,TablasTec!$A$14:$V$771,7,FALSE))</f>
        <v/>
      </c>
      <c r="Q196" s="985" t="str">
        <f>IF(O196="Si",IF(E196=0,"",VLOOKUP(E196,TablasTec!$A$14:$V$771,7,FALSE)),"")</f>
        <v/>
      </c>
      <c r="R196" s="983" t="str">
        <f>IF(E196=0,"",VLOOKUP(E196,TablasTec!$A$14:$V$771,8,FALSE))</f>
        <v/>
      </c>
      <c r="S196" s="981" t="str">
        <f>IF(R196=$D$8,$D$8,IF(R196=2,2,IF(R196=3,3,R196)))</f>
        <v/>
      </c>
      <c r="T196" s="4883" t="s">
        <v>4540</v>
      </c>
      <c r="U196" s="4884"/>
      <c r="V196" s="4884"/>
      <c r="W196" s="4884"/>
      <c r="X196" s="4884"/>
      <c r="Y196" s="4884"/>
      <c r="Z196" s="4884"/>
      <c r="AA196" s="4884"/>
      <c r="AB196" s="4884"/>
      <c r="AC196" s="4884"/>
      <c r="AD196" s="4884"/>
      <c r="AE196" s="4884"/>
      <c r="AF196" s="4884"/>
      <c r="AG196" s="4884"/>
      <c r="AH196" s="4884"/>
      <c r="AI196" s="4884"/>
      <c r="AJ196" s="4884"/>
      <c r="AK196" s="4884"/>
      <c r="AL196" s="4884"/>
      <c r="AM196" s="4884"/>
      <c r="AN196" s="4884"/>
      <c r="AO196" s="4884"/>
      <c r="AP196" s="4884"/>
      <c r="AQ196" s="4884"/>
      <c r="AR196" s="4884"/>
      <c r="AS196" s="4884"/>
      <c r="AT196" s="4884"/>
      <c r="AU196" s="4884"/>
      <c r="AV196" s="4884"/>
      <c r="AW196" s="4884"/>
      <c r="AX196" s="4884"/>
      <c r="AY196" s="4884"/>
      <c r="AZ196" s="4884"/>
      <c r="BA196" s="4884"/>
      <c r="BB196" s="4884"/>
      <c r="BC196" s="4884"/>
      <c r="BD196" s="4884"/>
      <c r="BE196" s="4884"/>
      <c r="BF196" s="4884"/>
      <c r="BG196" s="4884"/>
      <c r="BH196" s="4884"/>
      <c r="BI196" s="4884"/>
      <c r="BJ196" s="4884"/>
      <c r="BK196" s="4885"/>
      <c r="BL196" s="1420"/>
      <c r="BM196" s="1421"/>
      <c r="BN196" s="975"/>
      <c r="BO196" s="976"/>
      <c r="BP196" s="961" t="str">
        <f>IF(I196="Si",VLOOKUP($D$8,TablasTec!$E$4:$F$6,2,FALSE),"")</f>
        <v/>
      </c>
      <c r="BQ196" s="962" t="str">
        <f>IF(L196="Si",VLOOKUP($D$8,TablasTec!$I$4:$J$6,2,FALSE),"")</f>
        <v/>
      </c>
      <c r="BR196" s="960" t="str">
        <f>IF(O196="Si",VLOOKUP($D$8,TablasTec!$I$7:$J$9,2,FALSE),"")</f>
        <v/>
      </c>
      <c r="BS196" s="977"/>
      <c r="BT196" s="4859">
        <f>MAX(BU194,SUM(H195:H227)+IF(OR(I195="Si",I196="Si",I197="Si",I198="Si",I199="Si",I201="Si",I202="Si",I203="Si",I204="Si",I205="Si",I207="Si",I208="Si",I209="Si",I210="Si",I211="Si",I213="Si",I214="Si",I215="Si",I216="Si",I217="Si",I219="Si",I220="Si",I221="Si",I222="Si",I223="Si"),VLOOKUP($D193,TablasTec!$E$4:$F$6,2,FALSE),0)+IF(OR(L195="Si",L196="Si",L197="Si",L198="Si",L199="Si",L201="Si",L202="Si",L203="Si",L204="Si",L205="Si",L207="Si",L208="Si",L209="Si",L210="Si",L211="Si",L213="Si",L214="Si",L215="Si",L216="Si",L217="Si",L219="Si",L220="Si",L221="Si",L222="Si",L223="Si"),VLOOKUP($D193,TablasTec!$I$4:$J$6,2,FALSE),0)+IF(OR(O195="Si",O196="Si",O197="Si",O198="Si",O199="Si",O201="Si",O202="Si",O203="Si",O204="Si",O205="Si",O207="Si",O208="Si",O209="Si",O210="Si",O211="Si",O213="Si",O214="Si",O215="Si",O216="Si",O217="Si",O219="Si",O220="Si",O221="Si",O222="Si",O223="Si"),VLOOKUP($D193,TablasTec!$I$7:$J$9,2,FALSE),0)+IF(BT199="No",0,IF(D193=0,0,VLOOKUP(D193,TablasTec!$L$4:$N$7,3,FALSE)))+IF(BT201="Bajar coste de CM",0,IF(BT201="-5 CM",-5,IF(BT201="-10 CM",-10,IF(BT201="-15 CM",-15,IF(BT201="-20 CM",-20,0)))))+IF(BT203="Bajar coste de Ki",0,IF(BT203="-1 Ki",10,IF(BT203="-2 Ki",20,IF(BT203="-3 Ki",30,IF(BT203="-4 Ki",40,IF(BT203="-5 Ki",50,0)))))))</f>
        <v>20</v>
      </c>
      <c r="BU196" s="4860"/>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65"/>
      <c r="DY196" s="1307"/>
      <c r="DZ196" s="922"/>
      <c r="EA196" s="1453">
        <f t="shared" si="2"/>
        <v>1</v>
      </c>
    </row>
    <row r="197" spans="1:132">
      <c r="A197" s="922"/>
      <c r="B197" s="922"/>
      <c r="C197" s="4909"/>
      <c r="D197" s="1436" t="s">
        <v>1766</v>
      </c>
      <c r="E197" s="986"/>
      <c r="F197" s="3181" t="str">
        <f>IF(E197=0,"",VLOOKUP(E197,TablasTec!$A$14:$V$771,2,FALSE))</f>
        <v/>
      </c>
      <c r="G197" s="968"/>
      <c r="H197" s="987" t="str">
        <f>IF($E197=0,"",VLOOKUP($E197,TablasTec!$A$14:$V$771,4,FALSE))</f>
        <v/>
      </c>
      <c r="I197" s="970" t="s">
        <v>1690</v>
      </c>
      <c r="J197" s="1394" t="str">
        <f>IF(E197=0,"",VLOOKUP(E197,TablasTec!$A$14:$V$771,5,FALSE))</f>
        <v/>
      </c>
      <c r="K197" s="989" t="str">
        <f>IF(I197="Si",IF(E197=0,"",VLOOKUP(E197,TablasTec!$A$14:$V$771,5,FALSE)),"")</f>
        <v/>
      </c>
      <c r="L197" s="970" t="s">
        <v>1690</v>
      </c>
      <c r="M197" s="1394" t="str">
        <f>IF(E197=0,"",VLOOKUP(E197,TablasTec!$A$14:$V$771,6,FALSE))</f>
        <v/>
      </c>
      <c r="N197" s="973" t="str">
        <f>IF(L197="Si",IF(E197=0,"",VLOOKUP(E197,TablasTec!$A$14:$V$771,6,FALSE)),"")</f>
        <v/>
      </c>
      <c r="O197" s="970" t="s">
        <v>1690</v>
      </c>
      <c r="P197" s="1394" t="str">
        <f>IF(E197=0,"",VLOOKUP(E197,TablasTec!$A$14:$V$771,7,FALSE))</f>
        <v/>
      </c>
      <c r="Q197" s="973" t="str">
        <f>IF(O197="Si",IF(E197=0,"",VLOOKUP(E197,TablasTec!$A$14:$V$771,7,FALSE)),"")</f>
        <v/>
      </c>
      <c r="R197" s="988" t="str">
        <f>IF(E197=0,"",VLOOKUP(E197,TablasTec!$A$14:$V$771,8,FALSE))</f>
        <v/>
      </c>
      <c r="S197" s="3181" t="str">
        <f>IF(R197=$D$8,$D$8,IF(R197=2,2,IF(R197=3,3,R197)))</f>
        <v/>
      </c>
      <c r="T197" s="4896"/>
      <c r="U197" s="4897"/>
      <c r="V197" s="3179" t="str">
        <f>IF(OR(V195=0,V195=""),"N/A",V195)</f>
        <v>N/A</v>
      </c>
      <c r="W197" s="4896" t="str">
        <f xml:space="preserve"> IF(OR(AF195=0,AF195=""),"N/A",W195)</f>
        <v>N/A</v>
      </c>
      <c r="X197" s="4898"/>
      <c r="Y197" s="4898"/>
      <c r="Z197" s="4898"/>
      <c r="AA197" s="4898"/>
      <c r="AB197" s="4898"/>
      <c r="AC197" s="4898"/>
      <c r="AD197" s="4898"/>
      <c r="AE197" s="4898"/>
      <c r="AF197" s="4897"/>
      <c r="AG197" s="4896" t="str">
        <f xml:space="preserve"> IF(OR(AP195="",AP195=0),"N/A",AG195)</f>
        <v>N/A</v>
      </c>
      <c r="AH197" s="4898"/>
      <c r="AI197" s="4898"/>
      <c r="AJ197" s="4898"/>
      <c r="AK197" s="4898"/>
      <c r="AL197" s="4898"/>
      <c r="AM197" s="4898"/>
      <c r="AN197" s="4898"/>
      <c r="AO197" s="4898"/>
      <c r="AP197" s="4897"/>
      <c r="AQ197" s="4896" t="str">
        <f xml:space="preserve"> IF(OR(AZ195="",AZ195=0),"N/A",AQ195)</f>
        <v>N/A</v>
      </c>
      <c r="AR197" s="4898"/>
      <c r="AS197" s="4898"/>
      <c r="AT197" s="4898"/>
      <c r="AU197" s="4898"/>
      <c r="AV197" s="4898"/>
      <c r="AW197" s="4898"/>
      <c r="AX197" s="4898"/>
      <c r="AY197" s="4898"/>
      <c r="AZ197" s="4897"/>
      <c r="BA197" s="4896" t="str">
        <f xml:space="preserve"> IF(OR(BJ195="",BJ195=0),"N/A",BA195)</f>
        <v>N/A</v>
      </c>
      <c r="BB197" s="4898"/>
      <c r="BC197" s="4898"/>
      <c r="BD197" s="4898"/>
      <c r="BE197" s="4898"/>
      <c r="BF197" s="4898"/>
      <c r="BG197" s="4898"/>
      <c r="BH197" s="4898"/>
      <c r="BI197" s="4898"/>
      <c r="BJ197" s="4897"/>
      <c r="BK197" s="990" t="s">
        <v>4541</v>
      </c>
      <c r="BL197" s="972"/>
      <c r="BM197" s="1007"/>
      <c r="BN197" s="991"/>
      <c r="BO197" s="992"/>
      <c r="BP197" s="993" t="str">
        <f>IF(I197="Si",VLOOKUP($D$8,TablasTec!$E$4:$F$6,2,FALSE),"")</f>
        <v/>
      </c>
      <c r="BQ197" s="963" t="str">
        <f>IF(L197="Si",VLOOKUP($D$8,TablasTec!$I$4:$J$6,2,FALSE),"")</f>
        <v/>
      </c>
      <c r="BR197" s="994" t="str">
        <f>IF(O197="Si",VLOOKUP($D$8,TablasTec!$I$7:$J$9,2,FALSE),"")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65"/>
      <c r="DY197" s="1307"/>
      <c r="DZ197" s="922"/>
      <c r="EA197" s="1453">
        <f t="shared" si="2"/>
        <v>1</v>
      </c>
    </row>
    <row r="198" spans="1:132">
      <c r="A198" s="922"/>
      <c r="B198" s="922"/>
      <c r="C198" s="4909"/>
      <c r="D198" s="1435" t="s">
        <v>1766</v>
      </c>
      <c r="E198" s="978"/>
      <c r="F198" s="979" t="str">
        <f>IF(E198=0,"",VLOOKUP(E198,TablasTec!$A$14:$V$771,2,FALSE))</f>
        <v/>
      </c>
      <c r="G198" s="980"/>
      <c r="H198" s="981" t="str">
        <f>IF($E198=0,"",VLOOKUP($E198,TablasTec!$A$14:$V$771,4,FALSE))</f>
        <v/>
      </c>
      <c r="I198" s="982" t="s">
        <v>1690</v>
      </c>
      <c r="J198" s="1398" t="str">
        <f>IF(E198=0,"",VLOOKUP(E198,TablasTec!$A$14:$V$771,5,FALSE))</f>
        <v/>
      </c>
      <c r="K198" s="984" t="str">
        <f>IF(I198="Si",IF(E198=0,"",VLOOKUP(E198,TablasTec!$A$14:$V$771,5,FALSE)),"")</f>
        <v/>
      </c>
      <c r="L198" s="982" t="s">
        <v>1690</v>
      </c>
      <c r="M198" s="1398" t="str">
        <f>IF(E198=0,"",VLOOKUP(E198,TablasTec!$A$14:$V$771,6,FALSE))</f>
        <v/>
      </c>
      <c r="N198" s="985" t="str">
        <f>IF(L198="Si",IF(E198=0,"",VLOOKUP(E198,TablasTec!$A$14:$V$771,6,FALSE)),"")</f>
        <v/>
      </c>
      <c r="O198" s="982" t="s">
        <v>1690</v>
      </c>
      <c r="P198" s="1398" t="str">
        <f>IF(E198=0,"",VLOOKUP(E198,TablasTec!$A$14:$V$771,7,FALSE))</f>
        <v/>
      </c>
      <c r="Q198" s="985" t="str">
        <f>IF(O198="Si",IF(E198=0,"",VLOOKUP(E198,TablasTec!$A$14:$V$771,7,FALSE)),"")</f>
        <v/>
      </c>
      <c r="R198" s="983" t="str">
        <f>IF(E198=0,"",VLOOKUP(E198,TablasTec!$A$14:$V$771,8,FALSE))</f>
        <v/>
      </c>
      <c r="S198" s="981" t="str">
        <f>IF(R198=$D$8,$D$8,IF(R198=2,2,IF(R198=3,3,R198)))</f>
        <v/>
      </c>
      <c r="T198" s="4899" t="s">
        <v>4542</v>
      </c>
      <c r="U198" s="4900"/>
      <c r="V198" s="3180"/>
      <c r="W198" s="4901"/>
      <c r="X198" s="4902"/>
      <c r="Y198" s="4902"/>
      <c r="Z198" s="4902"/>
      <c r="AA198" s="4902"/>
      <c r="AB198" s="4902"/>
      <c r="AC198" s="4902"/>
      <c r="AD198" s="4902"/>
      <c r="AE198" s="4902"/>
      <c r="AF198" s="4903"/>
      <c r="AG198" s="4901"/>
      <c r="AH198" s="4902"/>
      <c r="AI198" s="4902"/>
      <c r="AJ198" s="4902"/>
      <c r="AK198" s="4902"/>
      <c r="AL198" s="4902"/>
      <c r="AM198" s="4902"/>
      <c r="AN198" s="4902"/>
      <c r="AO198" s="4902"/>
      <c r="AP198" s="4903"/>
      <c r="AQ198" s="4901"/>
      <c r="AR198" s="4902"/>
      <c r="AS198" s="4902"/>
      <c r="AT198" s="4902"/>
      <c r="AU198" s="4902"/>
      <c r="AV198" s="4902"/>
      <c r="AW198" s="4902"/>
      <c r="AX198" s="4902"/>
      <c r="AY198" s="4902"/>
      <c r="AZ198" s="4903"/>
      <c r="BA198" s="4901"/>
      <c r="BB198" s="4902"/>
      <c r="BC198" s="4902"/>
      <c r="BD198" s="4902"/>
      <c r="BE198" s="4902"/>
      <c r="BF198" s="4902"/>
      <c r="BG198" s="4902"/>
      <c r="BH198" s="4902"/>
      <c r="BI198" s="4902"/>
      <c r="BJ198" s="4903"/>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IF(I198="Si",VLOOKUP($D$8,TablasTec!$E$4:$F$6,2,FALSE),"")</f>
        <v/>
      </c>
      <c r="BQ198" s="962" t="str">
        <f>IF(L198="Si",VLOOKUP($D$8,TablasTec!$I$4:$J$6,2,FALSE),"")</f>
        <v/>
      </c>
      <c r="BR198" s="960" t="str">
        <f>IF(O198="Si",VLOOKUP($D$8,TablasTec!$I$7:$J$9,2,FALSE),"")</f>
        <v/>
      </c>
      <c r="BS198" s="977"/>
      <c r="BT198" s="4857" t="s">
        <v>4543</v>
      </c>
      <c r="BU198" s="4858"/>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65"/>
      <c r="DY198" s="1307"/>
      <c r="DZ198" s="922"/>
      <c r="EA198" s="1453">
        <f t="shared" si="2"/>
        <v>1</v>
      </c>
    </row>
    <row r="199" spans="1:132">
      <c r="A199" s="922"/>
      <c r="B199" s="922"/>
      <c r="C199" s="4909"/>
      <c r="D199" s="1436" t="s">
        <v>1766</v>
      </c>
      <c r="E199" s="986"/>
      <c r="F199" s="3181" t="str">
        <f>IF(E199=0,"",VLOOKUP(E199,TablasTec!$A$14:$V$771,2,FALSE))</f>
        <v/>
      </c>
      <c r="G199" s="968"/>
      <c r="H199" s="987" t="str">
        <f>IF($E199=0,"",VLOOKUP($E199,TablasTec!$A$14:$V$771,4,FALSE))</f>
        <v/>
      </c>
      <c r="I199" s="970" t="s">
        <v>1690</v>
      </c>
      <c r="J199" s="1394" t="str">
        <f>IF(E199=0,"",VLOOKUP(E199,TablasTec!$A$14:$V$771,5,FALSE))</f>
        <v/>
      </c>
      <c r="K199" s="989" t="str">
        <f>IF(I199="Si",IF(E199=0,"",VLOOKUP(E199,TablasTec!$A$14:$V$771,5,FALSE)),"")</f>
        <v/>
      </c>
      <c r="L199" s="970" t="s">
        <v>1690</v>
      </c>
      <c r="M199" s="1394" t="str">
        <f>IF(E199=0,"",VLOOKUP(E199,TablasTec!$A$14:$V$771,6,FALSE))</f>
        <v/>
      </c>
      <c r="N199" s="973" t="str">
        <f>IF(L199="Si",IF(E199=0,"",VLOOKUP(E199,TablasTec!$A$14:$V$771,6,FALSE)),"")</f>
        <v/>
      </c>
      <c r="O199" s="970" t="s">
        <v>1690</v>
      </c>
      <c r="P199" s="1394" t="str">
        <f>IF(E199=0,"",VLOOKUP(E199,TablasTec!$A$14:$V$771,7,FALSE))</f>
        <v/>
      </c>
      <c r="Q199" s="973" t="str">
        <f>IF(O199="Si",IF(E199=0,"",VLOOKUP(E199,TablasTec!$A$14:$V$771,7,FALSE)),"")</f>
        <v/>
      </c>
      <c r="R199" s="988" t="str">
        <f>IF(E199=0,"",VLOOKUP(E199,TablasTec!$A$14:$V$771,8,FALSE))</f>
        <v/>
      </c>
      <c r="S199" s="987" t="str">
        <f>IF(R199=$D$8,$D$8,IF(R199=2,2,IF(R199=3,3,R199)))</f>
        <v/>
      </c>
      <c r="T199" s="4890" t="s">
        <v>4544</v>
      </c>
      <c r="U199" s="4891"/>
      <c r="V199" s="3178"/>
      <c r="W199" s="4892"/>
      <c r="X199" s="4893"/>
      <c r="Y199" s="4893"/>
      <c r="Z199" s="4893"/>
      <c r="AA199" s="4893"/>
      <c r="AB199" s="4893"/>
      <c r="AC199" s="4893"/>
      <c r="AD199" s="4893"/>
      <c r="AE199" s="4893"/>
      <c r="AF199" s="4894"/>
      <c r="AG199" s="4892"/>
      <c r="AH199" s="4893"/>
      <c r="AI199" s="4893"/>
      <c r="AJ199" s="4893"/>
      <c r="AK199" s="4893"/>
      <c r="AL199" s="4893"/>
      <c r="AM199" s="4893"/>
      <c r="AN199" s="4893"/>
      <c r="AO199" s="4893"/>
      <c r="AP199" s="4894"/>
      <c r="AQ199" s="4892"/>
      <c r="AR199" s="4893"/>
      <c r="AS199" s="4893"/>
      <c r="AT199" s="4893"/>
      <c r="AU199" s="4893"/>
      <c r="AV199" s="4893"/>
      <c r="AW199" s="4893"/>
      <c r="AX199" s="4893"/>
      <c r="AY199" s="4893"/>
      <c r="AZ199" s="4894"/>
      <c r="BA199" s="4892"/>
      <c r="BB199" s="4893"/>
      <c r="BC199" s="4893"/>
      <c r="BD199" s="4893"/>
      <c r="BE199" s="4893"/>
      <c r="BF199" s="4893"/>
      <c r="BG199" s="4893"/>
      <c r="BH199" s="4893"/>
      <c r="BI199" s="4893"/>
      <c r="BJ199" s="4894"/>
      <c r="BK199" s="997">
        <f>SUM(K195:K199)-SUM(V199:BA199)</f>
        <v>0</v>
      </c>
      <c r="BL199" s="1422"/>
      <c r="BM199" s="1423"/>
      <c r="BN199" s="991"/>
      <c r="BO199" s="992"/>
      <c r="BP199" s="993" t="str">
        <f>IF(I199="Si",VLOOKUP($D$8,TablasTec!$E$4:$F$6,2,FALSE),"")</f>
        <v/>
      </c>
      <c r="BQ199" s="963" t="str">
        <f>IF(L199="Si",VLOOKUP($D$8,TablasTec!$I$4:$J$6,2,FALSE),"")</f>
        <v/>
      </c>
      <c r="BR199" s="994" t="str">
        <f>IF(O199="Si",VLOOKUP($D$8,TablasTec!$I$7:$J$9,2,FALSE),"")</f>
        <v/>
      </c>
      <c r="BS199" s="995"/>
      <c r="BT199" s="4861" t="s">
        <v>1690</v>
      </c>
      <c r="BU199" s="4862"/>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65"/>
      <c r="DY199" s="1307"/>
      <c r="DZ199" s="922"/>
      <c r="EA199" s="1453">
        <f t="shared" si="2"/>
        <v>1</v>
      </c>
    </row>
    <row r="200" spans="1:13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09"/>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IF(I200="Si",VLOOKUP($D$8,TablasTec!$E$4:$F$6,2,FALSE),"")</f>
        <v/>
      </c>
      <c r="BQ200" s="962" t="str">
        <f>IF(L200="Si",VLOOKUP($D$8,TablasTec!$I$4:$J$6,2,FALSE),"")</f>
        <v/>
      </c>
      <c r="BR200" s="960" t="str">
        <f>IF(O200="Si",VLOOKUP($D$8,TablasTec!$I$7:$J$9,2,FALSE),"")</f>
        <v/>
      </c>
      <c r="BS200" s="977"/>
      <c r="BT200" s="4857" t="s">
        <v>4545</v>
      </c>
      <c r="BU200" s="4858"/>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09"/>
      <c r="D201" s="1436" t="s">
        <v>1766</v>
      </c>
      <c r="E201" s="966"/>
      <c r="F201" s="1002"/>
      <c r="G201" s="972" t="str">
        <f>IF(E201=0,"",VLOOKUP(E201,TablasTec!$A$14:$V$771,3,FALSE))</f>
        <v/>
      </c>
      <c r="H201" s="1004" t="str">
        <f>IF($E201=0,"",VLOOKUP($E201,TablasTec!$A$14:$V$771,4,FALSE))</f>
        <v/>
      </c>
      <c r="I201" s="970" t="s">
        <v>1690</v>
      </c>
      <c r="J201" s="1397" t="str">
        <f>IF(E201=0,"",VLOOKUP(E201,TablasTec!$A$14:$V$771,5,FALSE))</f>
        <v/>
      </c>
      <c r="K201" s="1003" t="str">
        <f>IF(I201="Si",IF(E201=0,"",VLOOKUP(E201,TablasTec!$A$14:$V$771,5,FALSE)),"")</f>
        <v/>
      </c>
      <c r="L201" s="970" t="s">
        <v>1690</v>
      </c>
      <c r="M201" s="1397" t="str">
        <f>IF(E201=0,"",VLOOKUP(E201,TablasTec!$A$14:$V$771,6,FALSE))</f>
        <v/>
      </c>
      <c r="N201" s="973" t="str">
        <f>IF(L201="Si",IF(E201=0,"",VLOOKUP(E201,TablasTec!$A$14:$V$771,6,FALSE)),"")</f>
        <v/>
      </c>
      <c r="O201" s="970" t="s">
        <v>1690</v>
      </c>
      <c r="P201" s="1397" t="str">
        <f>IF(E201=0,"",VLOOKUP(E201,TablasTec!$A$14:$V$771,7,FALSE))</f>
        <v/>
      </c>
      <c r="Q201" s="973" t="str">
        <f>IF(O201="Si",IF(E201=0,"",VLOOKUP(E201,TablasTec!$A$14:$V$771,7,FALSE)),"")</f>
        <v/>
      </c>
      <c r="R201" s="1005" t="str">
        <f>IF(E201=0,"",VLOOKUP(E201,TablasTec!$A$14:$V$771,8,FALSE))</f>
        <v/>
      </c>
      <c r="S201" s="1004" t="str">
        <f>IF(R201=$D$8,$D$8,IF(R201=2,2,IF(R201=3,3,R201)))</f>
        <v/>
      </c>
      <c r="T201" s="972" t="str">
        <f>IF(E201=0,"",VLOOKUP(E201,TablasTec!$A$14:$V$771,9,FALSE))</f>
        <v/>
      </c>
      <c r="U201" s="972" t="str">
        <f>IF(E201=0,"",VLOOKUP(E201,TablasTec!$A$14:$V$771,10,FALSE))</f>
        <v/>
      </c>
      <c r="V201" s="967" t="str">
        <f>IF(E201=0,"",VLOOKUP(E201,TablasTec!$A$14:$V$771,11,FALSE))</f>
        <v/>
      </c>
      <c r="W201" s="970"/>
      <c r="X201" s="971" t="e">
        <f>VLOOKUP(E201,TablasTec!$A$14:$V$771,12,FALSE)</f>
        <v>#N/A</v>
      </c>
      <c r="Y201" s="971" t="e">
        <f>IF(W201=X201,VLOOKUP(E201,TablasTec!$A$14:$V$771,13,FALSE),0)</f>
        <v>#N/A</v>
      </c>
      <c r="Z201" s="971" t="e">
        <f>VLOOKUP(E201,TablasTec!$A$14:$V$771,14,FALSE)</f>
        <v>#N/A</v>
      </c>
      <c r="AA201" s="971" t="e">
        <f>IF(W201=Z201,VLOOKUP(E201,TablasTec!$A$14:$V$616,15,FALSE),0)</f>
        <v>#N/A</v>
      </c>
      <c r="AB201" s="971" t="e">
        <f>VLOOKUP(E201,TablasTec!$A$14:$V$771,16,FALSE)</f>
        <v>#N/A</v>
      </c>
      <c r="AC201" s="971" t="e">
        <f>IF(W201=AB201,VLOOKUP(E201,TablasTec!$A$14:$V$616,17,FALSE),0)</f>
        <v>#N/A</v>
      </c>
      <c r="AD201" s="971" t="e">
        <f>VLOOKUP(E201,TablasTec!$A$14:$V$771,18,FALSE)</f>
        <v>#N/A</v>
      </c>
      <c r="AE201" s="971" t="e">
        <f>IF(W201=AD201,VLOOKUP(E201,TablasTec!$A$14:$V$771,19,FALSE),0)</f>
        <v>#N/A</v>
      </c>
      <c r="AF201" s="972" t="str">
        <f>IF(E201=0,"",(Y201+AA201+AC201+AE201))</f>
        <v/>
      </c>
      <c r="AG201" s="970"/>
      <c r="AH201" s="1005" t="e">
        <f>VLOOKUP(E201,TablasTec!$A$14:$V$771,12,FALSE)</f>
        <v>#N/A</v>
      </c>
      <c r="AI201" s="1005" t="e">
        <f>IF(AG201=AH201,VLOOKUP(E201,TablasTec!$A$14:$V$771,13,FALSE),0)</f>
        <v>#N/A</v>
      </c>
      <c r="AJ201" s="1005" t="e">
        <f>VLOOKUP(E201,TablasTec!$A$14:$V$771,14,FALSE)</f>
        <v>#N/A</v>
      </c>
      <c r="AK201" s="1005" t="e">
        <f>IF(AG201=AJ201,VLOOKUP(E201,TablasTec!$A$14:$V$771,15,FALSE),0)</f>
        <v>#N/A</v>
      </c>
      <c r="AL201" s="1005" t="e">
        <f>VLOOKUP(E201,TablasTec!$A$14:$V$771,16,FALSE)</f>
        <v>#N/A</v>
      </c>
      <c r="AM201" s="1005" t="e">
        <f>IF(AG201=AL201,VLOOKUP(E201,TablasTec!$A$14:$V$771,17,FALSE),0)</f>
        <v>#N/A</v>
      </c>
      <c r="AN201" s="1005" t="e">
        <f>VLOOKUP(E201,TablasTec!$A$14:$V$771,18,FALSE)</f>
        <v>#N/A</v>
      </c>
      <c r="AO201" s="1005" t="e">
        <f>IF(AG201=AN201,VLOOKUP(E201,TablasTec!$A$14:$V$771,19,FALSE),0)</f>
        <v>#N/A</v>
      </c>
      <c r="AP201" s="1006" t="str">
        <f>IF(E201=0,"",(AI201+AK201+AM201+AO201))</f>
        <v/>
      </c>
      <c r="AQ201" s="970"/>
      <c r="AR201" s="971" t="e">
        <f>VLOOKUP(E201,TablasTec!$A$14:$V$771,12,FALSE)</f>
        <v>#N/A</v>
      </c>
      <c r="AS201" s="971" t="e">
        <f>IF(AQ201=AR201,VLOOKUP(E201,TablasTec!$A$14:$V$771,13,FALSE),0)</f>
        <v>#N/A</v>
      </c>
      <c r="AT201" s="971" t="e">
        <f>VLOOKUP(E201,TablasTec!$A$14:$V$771,14,FALSE)</f>
        <v>#N/A</v>
      </c>
      <c r="AU201" s="971" t="e">
        <f>IF(AQ201=AT201,VLOOKUP(E201,TablasTec!$A$14:$V$771,15,FALSE),0)</f>
        <v>#N/A</v>
      </c>
      <c r="AV201" s="971" t="e">
        <f>VLOOKUP(E201,TablasTec!$A$14:$V$771,16,FALSE)</f>
        <v>#N/A</v>
      </c>
      <c r="AW201" s="971" t="e">
        <f>IF(AQ201=AV201,VLOOKUP(E201,TablasTec!$A$14:$V$771,17,FALSE),0)</f>
        <v>#N/A</v>
      </c>
      <c r="AX201" s="971" t="e">
        <f>VLOOKUP(E201,TablasTec!$A$14:$V$771,18,FALSE)</f>
        <v>#N/A</v>
      </c>
      <c r="AY201" s="971" t="e">
        <f>IF(AQ201=AX201,VLOOKUP(E201,TablasTec!$A$14:$V$771,19,FALSE),0)</f>
        <v>#N/A</v>
      </c>
      <c r="AZ201" s="972" t="str">
        <f>IF(E201=0,"",(AS201+AU201+AW201+AY201))</f>
        <v/>
      </c>
      <c r="BA201" s="970"/>
      <c r="BB201" s="971" t="e">
        <f>VLOOKUP(E201,TablasTec!$A$14:$V$771,12,FALSE)</f>
        <v>#N/A</v>
      </c>
      <c r="BC201" s="971" t="e">
        <f>IF(BA201=BB201,VLOOKUP(E201,TablasTec!$A$14:$V$771,13,FALSE),0)</f>
        <v>#N/A</v>
      </c>
      <c r="BD201" s="971" t="e">
        <f>VLOOKUP(E201,TablasTec!$A$14:$V$771,14,FALSE)</f>
        <v>#N/A</v>
      </c>
      <c r="BE201" s="971" t="e">
        <f>IF(BA201=BD201,VLOOKUP(E201,TablasTec!$A$14:$V$771,15,FALSE),0)</f>
        <v>#N/A</v>
      </c>
      <c r="BF201" s="971" t="e">
        <f>VLOOKUP(E201,TablasTec!$A$14:$V$771,16,FALSE)</f>
        <v>#N/A</v>
      </c>
      <c r="BG201" s="971" t="e">
        <f>IF(BA201=BF201,VLOOKUP(E201,TablasTec!$A$14:$V$771,17,FALSE),0)</f>
        <v>#N/A</v>
      </c>
      <c r="BH201" s="971" t="e">
        <f>VLOOKUP(E201,TablasTec!$A$14:$V$771,18,FALSE)</f>
        <v>#N/A</v>
      </c>
      <c r="BI201" s="971" t="e">
        <f>IF(BA201=BH201,VLOOKUP(E201,TablasTec!$A$14:$V$771,19,FALSE),0)</f>
        <v>#N/A</v>
      </c>
      <c r="BJ201" s="973" t="str">
        <f>IF(E201=0,"",(BC201+BE201+BG201+BI201))</f>
        <v/>
      </c>
      <c r="BK201" s="972" t="str">
        <f>IF(E201=0,"",VLOOKUP(E201,TablasTec!$A$14:$V$771,20,FALSE))</f>
        <v/>
      </c>
      <c r="BL201" s="972" t="str">
        <f>IF(E201=0,"",VLOOKUP(E201,TablasTec!$A$14:$V$771,21,FALSE))</f>
        <v/>
      </c>
      <c r="BM201" s="1007" t="str">
        <f>IF(E201=0,"",VLOOKUP(E201,TablasTec!$A$14:$V$771,22,FALSE))</f>
        <v/>
      </c>
      <c r="BN201" s="975"/>
      <c r="BO201" s="976"/>
      <c r="BP201" s="961" t="str">
        <f>IF(I201="Si",VLOOKUP($D$8,TablasTec!$E$4:$F$6,2,FALSE),"")</f>
        <v/>
      </c>
      <c r="BQ201" s="962" t="str">
        <f>IF(L201="Si",VLOOKUP($D$8,TablasTec!$I$4:$J$6,2,FALSE),"")</f>
        <v/>
      </c>
      <c r="BR201" s="960" t="str">
        <f>IF(O201="Si",VLOOKUP($D$8,TablasTec!$I$7:$J$9,2,FALSE),"")</f>
        <v/>
      </c>
      <c r="BS201" s="977"/>
      <c r="BT201" s="4861" t="s">
        <v>4525</v>
      </c>
      <c r="BU201" s="4862"/>
      <c r="BV201" s="954"/>
      <c r="BW201" s="934"/>
      <c r="BX201" s="934"/>
      <c r="BY201" s="1269"/>
      <c r="BZ201" s="1287"/>
      <c r="CA201" s="922"/>
      <c r="DR201" s="922"/>
      <c r="DT201" s="1309"/>
      <c r="DU201" s="1362"/>
      <c r="DV201" s="1359" t="str">
        <f>IF(E201="","",", "&amp;E201)&amp;IF(I201="No",""," (Mant.)")&amp;IF(L201="No",""," (Sme)")&amp;IF(O201="No",""," (SMa)")</f>
        <v/>
      </c>
      <c r="DW201" s="1360"/>
      <c r="DX201" s="1361" t="str">
        <f>IF(ISNUMBER(FIND(TablasTec!A$678,DW219)),BL225&amp;BM225,IF(ISNUMBER(FIND(TablasTec!A$679,DW219)),BL225&amp;" "&amp;BM225,""))</f>
        <v/>
      </c>
      <c r="DY201" s="1310"/>
      <c r="DZ201" s="922"/>
      <c r="EA201" s="1453">
        <f t="shared" si="2"/>
        <v>1</v>
      </c>
    </row>
    <row r="202" spans="1:132">
      <c r="A202" s="922"/>
      <c r="B202" s="922"/>
      <c r="C202" s="4909"/>
      <c r="D202" s="1435" t="s">
        <v>1766</v>
      </c>
      <c r="E202" s="978"/>
      <c r="F202" s="1008"/>
      <c r="G202" s="1420" t="str">
        <f>IF(E202=0,"",VLOOKUP(E202,TablasTec!$A$14:$V$771,3,FALSE))</f>
        <v/>
      </c>
      <c r="H202" s="981" t="str">
        <f>IF($E202=0,"",VLOOKUP($E202,TablasTec!$A$14:$V$771,4,FALSE))</f>
        <v/>
      </c>
      <c r="I202" s="982" t="s">
        <v>1690</v>
      </c>
      <c r="J202" s="1398" t="str">
        <f>IF(E202=0,"",VLOOKUP(E202,TablasTec!$A$14:$V$771,5,FALSE))</f>
        <v/>
      </c>
      <c r="K202" s="984" t="str">
        <f>IF(I202="Si",IF(E202=0,"",VLOOKUP(E202,TablasTec!$A$14:$V$771,5,FALSE)),"")</f>
        <v/>
      </c>
      <c r="L202" s="982" t="s">
        <v>1690</v>
      </c>
      <c r="M202" s="1398" t="str">
        <f>IF(E202=0,"",VLOOKUP(E202,TablasTec!$A$14:$V$771,6,FALSE))</f>
        <v/>
      </c>
      <c r="N202" s="985" t="str">
        <f>IF(L202="Si",IF(E202=0,"",VLOOKUP(E202,TablasTec!$A$14:$V$771,6,FALSE)),"")</f>
        <v/>
      </c>
      <c r="O202" s="982" t="s">
        <v>1690</v>
      </c>
      <c r="P202" s="1398" t="str">
        <f>IF(E202=0,"",VLOOKUP(E202,TablasTec!$A$14:$V$771,7,FALSE))</f>
        <v/>
      </c>
      <c r="Q202" s="985" t="str">
        <f>IF(O202="Si",IF(E202=0,"",VLOOKUP(E202,TablasTec!$A$14:$V$771,7,FALSE)),"")</f>
        <v/>
      </c>
      <c r="R202" s="983" t="str">
        <f>IF(E202=0,"",VLOOKUP(E202,TablasTec!$A$14:$V$771,8,FALSE))</f>
        <v/>
      </c>
      <c r="S202" s="981" t="str">
        <f>IF(R202=$D$8,$D$8,IF(R202=2,2,IF(R202=3,3,R202)))</f>
        <v/>
      </c>
      <c r="T202" s="4883" t="s">
        <v>4540</v>
      </c>
      <c r="U202" s="4884"/>
      <c r="V202" s="4884"/>
      <c r="W202" s="4884"/>
      <c r="X202" s="4884"/>
      <c r="Y202" s="4884"/>
      <c r="Z202" s="4884"/>
      <c r="AA202" s="4884"/>
      <c r="AB202" s="4884"/>
      <c r="AC202" s="4884"/>
      <c r="AD202" s="4884"/>
      <c r="AE202" s="4884"/>
      <c r="AF202" s="4884"/>
      <c r="AG202" s="4884"/>
      <c r="AH202" s="4884"/>
      <c r="AI202" s="4884"/>
      <c r="AJ202" s="4884"/>
      <c r="AK202" s="4884"/>
      <c r="AL202" s="4884"/>
      <c r="AM202" s="4884"/>
      <c r="AN202" s="4884"/>
      <c r="AO202" s="4884"/>
      <c r="AP202" s="4884"/>
      <c r="AQ202" s="4884"/>
      <c r="AR202" s="4884"/>
      <c r="AS202" s="4884"/>
      <c r="AT202" s="4884"/>
      <c r="AU202" s="4884"/>
      <c r="AV202" s="4884"/>
      <c r="AW202" s="4884"/>
      <c r="AX202" s="4884"/>
      <c r="AY202" s="4884"/>
      <c r="AZ202" s="4884"/>
      <c r="BA202" s="4884"/>
      <c r="BB202" s="4884"/>
      <c r="BC202" s="4884"/>
      <c r="BD202" s="4884"/>
      <c r="BE202" s="4884"/>
      <c r="BF202" s="4884"/>
      <c r="BG202" s="4884"/>
      <c r="BH202" s="4884"/>
      <c r="BI202" s="4884"/>
      <c r="BJ202" s="4884"/>
      <c r="BK202" s="4885"/>
      <c r="BL202" s="1420"/>
      <c r="BM202" s="1421"/>
      <c r="BN202" s="975"/>
      <c r="BO202" s="976"/>
      <c r="BP202" s="961" t="str">
        <f>IF(I202="Si",VLOOKUP($D$8,TablasTec!$E$4:$F$6,2,FALSE),"")</f>
        <v/>
      </c>
      <c r="BQ202" s="962" t="str">
        <f>IF(L202="Si",VLOOKUP($D$8,TablasTec!$I$4:$J$6,2,FALSE),"")</f>
        <v/>
      </c>
      <c r="BR202" s="960" t="str">
        <f>IF(O202="Si",VLOOKUP($D$8,TablasTec!$I$7:$J$9,2,FALSE),"")</f>
        <v/>
      </c>
      <c r="BS202" s="977"/>
      <c r="BT202" s="4857" t="s">
        <v>4546</v>
      </c>
      <c r="BU202" s="4858"/>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c r="A203" s="922"/>
      <c r="B203" s="922"/>
      <c r="C203" s="4909"/>
      <c r="D203" s="1436" t="s">
        <v>1766</v>
      </c>
      <c r="E203" s="986"/>
      <c r="F203" s="1002"/>
      <c r="G203" s="972" t="str">
        <f>IF(E203=0,"",VLOOKUP(E203,TablasTec!$A$14:$V$771,3,FALSE))</f>
        <v/>
      </c>
      <c r="H203" s="3181" t="str">
        <f>IF($E203=0,"",VLOOKUP($E203,TablasTec!$A$14:$V$771,4,FALSE))</f>
        <v/>
      </c>
      <c r="I203" s="970" t="s">
        <v>1690</v>
      </c>
      <c r="J203" s="1394" t="str">
        <f>IF(E203=0,"",VLOOKUP(E203,TablasTec!$A$14:$V$771,5,FALSE))</f>
        <v/>
      </c>
      <c r="K203" s="989" t="str">
        <f>IF(I203="Si",IF(E203=0,"",VLOOKUP(E203,TablasTec!$A$14:$V$771,5,FALSE)),"")</f>
        <v/>
      </c>
      <c r="L203" s="970" t="s">
        <v>1690</v>
      </c>
      <c r="M203" s="1394" t="str">
        <f>IF(E203=0,"",VLOOKUP(E203,TablasTec!$A$14:$V$771,6,FALSE))</f>
        <v/>
      </c>
      <c r="N203" s="973" t="str">
        <f>IF(L203="Si",IF(E203=0,"",VLOOKUP(E203,TablasTec!$A$14:$V$771,6,FALSE)),"")</f>
        <v/>
      </c>
      <c r="O203" s="970" t="s">
        <v>1690</v>
      </c>
      <c r="P203" s="1394" t="str">
        <f>IF(E203=0,"",VLOOKUP(E203,TablasTec!$A$14:$V$771,7,FALSE))</f>
        <v/>
      </c>
      <c r="Q203" s="973" t="str">
        <f>IF(O203="Si",IF(E203=0,"",VLOOKUP(E203,TablasTec!$A$14:$V$771,7,FALSE)),"")</f>
        <v/>
      </c>
      <c r="R203" s="988" t="str">
        <f>IF(E203=0,"",VLOOKUP(E203,TablasTec!$A$14:$V$771,8,FALSE))</f>
        <v/>
      </c>
      <c r="S203" s="3181" t="str">
        <f>IF(R203=$D$8,$D$8,IF(R203=2,2,IF(R203=3,3,R203)))</f>
        <v/>
      </c>
      <c r="T203" s="4896"/>
      <c r="U203" s="4897"/>
      <c r="V203" s="3179" t="str">
        <f>IF(OR(V201=0,V201=""),"N/A",V201)</f>
        <v>N/A</v>
      </c>
      <c r="W203" s="4896" t="str">
        <f xml:space="preserve"> IF(OR(AF201=0,AF201=""),"N/A",W201)</f>
        <v>N/A</v>
      </c>
      <c r="X203" s="4898"/>
      <c r="Y203" s="4898"/>
      <c r="Z203" s="4898"/>
      <c r="AA203" s="4898"/>
      <c r="AB203" s="4898"/>
      <c r="AC203" s="4898"/>
      <c r="AD203" s="4898"/>
      <c r="AE203" s="4898"/>
      <c r="AF203" s="4897"/>
      <c r="AG203" s="4896" t="str">
        <f xml:space="preserve"> IF(OR(AP201="",AP201=0),"N/A",AG201)</f>
        <v>N/A</v>
      </c>
      <c r="AH203" s="4898"/>
      <c r="AI203" s="4898"/>
      <c r="AJ203" s="4898"/>
      <c r="AK203" s="4898"/>
      <c r="AL203" s="4898"/>
      <c r="AM203" s="4898"/>
      <c r="AN203" s="4898"/>
      <c r="AO203" s="4898"/>
      <c r="AP203" s="4897"/>
      <c r="AQ203" s="4896" t="str">
        <f xml:space="preserve"> IF(OR(AZ201="",AZ201=0),"N/A",AQ201)</f>
        <v>N/A</v>
      </c>
      <c r="AR203" s="4898"/>
      <c r="AS203" s="4898"/>
      <c r="AT203" s="4898"/>
      <c r="AU203" s="4898"/>
      <c r="AV203" s="4898"/>
      <c r="AW203" s="4898"/>
      <c r="AX203" s="4898"/>
      <c r="AY203" s="4898"/>
      <c r="AZ203" s="4897"/>
      <c r="BA203" s="4896" t="str">
        <f xml:space="preserve"> IF(OR(BJ201="",BJ201=0),"N/A",BA201)</f>
        <v>N/A</v>
      </c>
      <c r="BB203" s="4898"/>
      <c r="BC203" s="4898"/>
      <c r="BD203" s="4898"/>
      <c r="BE203" s="4898"/>
      <c r="BF203" s="4898"/>
      <c r="BG203" s="4898"/>
      <c r="BH203" s="4898"/>
      <c r="BI203" s="4898"/>
      <c r="BJ203" s="4897"/>
      <c r="BK203" s="990" t="s">
        <v>4541</v>
      </c>
      <c r="BL203" s="972"/>
      <c r="BM203" s="1007"/>
      <c r="BN203" s="975"/>
      <c r="BO203" s="992"/>
      <c r="BP203" s="961" t="str">
        <f>IF(I203="Si",VLOOKUP($D$8,TablasTec!$E$4:$F$6,2,FALSE),"")</f>
        <v/>
      </c>
      <c r="BQ203" s="962" t="str">
        <f>IF(L203="Si",VLOOKUP($D$8,TablasTec!$I$4:$J$6,2,FALSE),"")</f>
        <v/>
      </c>
      <c r="BR203" s="960" t="str">
        <f>IF(O203="Si",VLOOKUP($D$8,TablasTec!$I$7:$J$9,2,FALSE),"")</f>
        <v/>
      </c>
      <c r="BS203" s="977"/>
      <c r="BT203" s="4861" t="s">
        <v>4519</v>
      </c>
      <c r="BU203" s="4862"/>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c r="A204" s="922"/>
      <c r="B204" s="922"/>
      <c r="C204" s="4909"/>
      <c r="D204" s="1435" t="s">
        <v>1766</v>
      </c>
      <c r="E204" s="978"/>
      <c r="F204" s="1008"/>
      <c r="G204" s="1420" t="str">
        <f>IF(E204=0,"",VLOOKUP(E204,TablasTec!$A$14:$V$771,3,FALSE))</f>
        <v/>
      </c>
      <c r="H204" s="981" t="str">
        <f>IF($E204=0,"",VLOOKUP($E204,TablasTec!$A$14:$V$771,4,FALSE))</f>
        <v/>
      </c>
      <c r="I204" s="982" t="s">
        <v>1690</v>
      </c>
      <c r="J204" s="1398" t="str">
        <f>IF(E204=0,"",VLOOKUP(E204,TablasTec!$A$14:$V$771,5,FALSE))</f>
        <v/>
      </c>
      <c r="K204" s="984" t="str">
        <f>IF(I204="Si",IF(E204=0,"",VLOOKUP(E204,TablasTec!$A$14:$V$771,5,FALSE)),"")</f>
        <v/>
      </c>
      <c r="L204" s="982" t="s">
        <v>1690</v>
      </c>
      <c r="M204" s="1398" t="str">
        <f>IF(E204=0,"",VLOOKUP(E204,TablasTec!$A$14:$V$771,6,FALSE))</f>
        <v/>
      </c>
      <c r="N204" s="985" t="str">
        <f>IF(L204="Si",IF(E204=0,"",VLOOKUP(E204,TablasTec!$A$14:$V$771,6,FALSE)),"")</f>
        <v/>
      </c>
      <c r="O204" s="982" t="s">
        <v>1690</v>
      </c>
      <c r="P204" s="1398" t="str">
        <f>IF(E204=0,"",VLOOKUP(E204,TablasTec!$A$14:$V$771,7,FALSE))</f>
        <v/>
      </c>
      <c r="Q204" s="985" t="str">
        <f>IF(O204="Si",IF(E204=0,"",VLOOKUP(E204,TablasTec!$A$14:$V$771,7,FALSE)),"")</f>
        <v/>
      </c>
      <c r="R204" s="983" t="str">
        <f>IF(E204=0,"",VLOOKUP(E204,TablasTec!$A$14:$V$771,8,FALSE))</f>
        <v/>
      </c>
      <c r="S204" s="981" t="str">
        <f>IF(R204=$D$8,$D$8,IF(R204=2,2,IF(R204=3,3,R204)))</f>
        <v/>
      </c>
      <c r="T204" s="4899" t="s">
        <v>4542</v>
      </c>
      <c r="U204" s="4900"/>
      <c r="V204" s="3180"/>
      <c r="W204" s="4901"/>
      <c r="X204" s="4902"/>
      <c r="Y204" s="4902"/>
      <c r="Z204" s="4902"/>
      <c r="AA204" s="4902"/>
      <c r="AB204" s="4902"/>
      <c r="AC204" s="4902"/>
      <c r="AD204" s="4902"/>
      <c r="AE204" s="4902"/>
      <c r="AF204" s="4903"/>
      <c r="AG204" s="4901"/>
      <c r="AH204" s="4902"/>
      <c r="AI204" s="4902"/>
      <c r="AJ204" s="4902"/>
      <c r="AK204" s="4902"/>
      <c r="AL204" s="4902"/>
      <c r="AM204" s="4902"/>
      <c r="AN204" s="4902"/>
      <c r="AO204" s="4902"/>
      <c r="AP204" s="4903"/>
      <c r="AQ204" s="4901"/>
      <c r="AR204" s="4902"/>
      <c r="AS204" s="4902"/>
      <c r="AT204" s="4902"/>
      <c r="AU204" s="4902"/>
      <c r="AV204" s="4902"/>
      <c r="AW204" s="4902"/>
      <c r="AX204" s="4902"/>
      <c r="AY204" s="4902"/>
      <c r="AZ204" s="4903"/>
      <c r="BA204" s="4901"/>
      <c r="BB204" s="4902"/>
      <c r="BC204" s="4902"/>
      <c r="BD204" s="4902"/>
      <c r="BE204" s="4902"/>
      <c r="BF204" s="4902"/>
      <c r="BG204" s="4902"/>
      <c r="BH204" s="4902"/>
      <c r="BI204" s="4902"/>
      <c r="BJ204" s="4903"/>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IF(I204="Si",VLOOKUP($D$8,TablasTec!$E$4:$F$6,2,FALSE),"")</f>
        <v/>
      </c>
      <c r="BQ204" s="962" t="str">
        <f>IF(L204="Si",VLOOKUP($D$8,TablasTec!$I$4:$J$6,2,FALSE),"")</f>
        <v/>
      </c>
      <c r="BR204" s="960" t="str">
        <f>IF(O204="Si",VLOOKUP($D$8,TablasTec!$I$7:$J$9,2,FALSE),"")</f>
        <v/>
      </c>
      <c r="BS204" s="977"/>
      <c r="BT204" s="4853" t="s">
        <v>4547</v>
      </c>
      <c r="BU204" s="4854"/>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c r="A205" s="922"/>
      <c r="B205" s="922"/>
      <c r="C205" s="4909"/>
      <c r="D205" s="1436" t="s">
        <v>1766</v>
      </c>
      <c r="E205" s="986"/>
      <c r="F205" s="1002"/>
      <c r="G205" s="972" t="str">
        <f>IF(E205=0,"",VLOOKUP(E205,TablasTec!$A$14:$V$771,3,FALSE))</f>
        <v/>
      </c>
      <c r="H205" s="987" t="str">
        <f>IF($E205=0,"",VLOOKUP($E205,TablasTec!$A$14:$V$771,4,FALSE))</f>
        <v/>
      </c>
      <c r="I205" s="970" t="s">
        <v>1690</v>
      </c>
      <c r="J205" s="1394" t="str">
        <f>IF(E205=0,"",VLOOKUP(E205,TablasTec!$A$14:$V$771,5,FALSE))</f>
        <v/>
      </c>
      <c r="K205" s="989" t="str">
        <f>IF(I205="Si",IF(E205=0,"",VLOOKUP(E205,TablasTec!$A$14:$V$771,5,FALSE)),"")</f>
        <v/>
      </c>
      <c r="L205" s="970" t="s">
        <v>1690</v>
      </c>
      <c r="M205" s="1394" t="str">
        <f>IF(E205=0,"",VLOOKUP(E205,TablasTec!$A$14:$V$771,6,FALSE))</f>
        <v/>
      </c>
      <c r="N205" s="973" t="str">
        <f>IF(L205="Si",IF(E205=0,"",VLOOKUP(E205,TablasTec!$A$14:$V$771,6,FALSE)),"")</f>
        <v/>
      </c>
      <c r="O205" s="970" t="s">
        <v>1690</v>
      </c>
      <c r="P205" s="1394" t="str">
        <f>IF(E205=0,"",VLOOKUP(E205,TablasTec!$A$14:$V$771,7,FALSE))</f>
        <v/>
      </c>
      <c r="Q205" s="973" t="str">
        <f>IF(O205="Si",IF(E205=0,"",VLOOKUP(E205,TablasTec!$A$14:$V$771,7,FALSE)),"")</f>
        <v/>
      </c>
      <c r="R205" s="988" t="str">
        <f>IF(E205=0,"",VLOOKUP(E205,TablasTec!$A$14:$V$771,8,FALSE))</f>
        <v/>
      </c>
      <c r="S205" s="987" t="str">
        <f>IF(R205=$D$8,$D$8,IF(R205=2,2,IF(R205=3,3,R205)))</f>
        <v/>
      </c>
      <c r="T205" s="4890" t="s">
        <v>4544</v>
      </c>
      <c r="U205" s="4891"/>
      <c r="V205" s="3178"/>
      <c r="W205" s="4892"/>
      <c r="X205" s="4893"/>
      <c r="Y205" s="4893"/>
      <c r="Z205" s="4893"/>
      <c r="AA205" s="4893"/>
      <c r="AB205" s="4893"/>
      <c r="AC205" s="4893"/>
      <c r="AD205" s="4893"/>
      <c r="AE205" s="4893"/>
      <c r="AF205" s="4894"/>
      <c r="AG205" s="4892"/>
      <c r="AH205" s="4893"/>
      <c r="AI205" s="4893"/>
      <c r="AJ205" s="4893"/>
      <c r="AK205" s="4893"/>
      <c r="AL205" s="4893"/>
      <c r="AM205" s="4893"/>
      <c r="AN205" s="4893"/>
      <c r="AO205" s="4893"/>
      <c r="AP205" s="4894"/>
      <c r="AQ205" s="4892"/>
      <c r="AR205" s="4893"/>
      <c r="AS205" s="4893"/>
      <c r="AT205" s="4893"/>
      <c r="AU205" s="4893"/>
      <c r="AV205" s="4893"/>
      <c r="AW205" s="4893"/>
      <c r="AX205" s="4893"/>
      <c r="AY205" s="4893"/>
      <c r="AZ205" s="4894"/>
      <c r="BA205" s="4892"/>
      <c r="BB205" s="4893"/>
      <c r="BC205" s="4893"/>
      <c r="BD205" s="4893"/>
      <c r="BE205" s="4893"/>
      <c r="BF205" s="4893"/>
      <c r="BG205" s="4893"/>
      <c r="BH205" s="4893"/>
      <c r="BI205" s="4893"/>
      <c r="BJ205" s="4894"/>
      <c r="BK205" s="997">
        <f>SUM(K201:K205)-SUM(V205:BA205)</f>
        <v>0</v>
      </c>
      <c r="BL205" s="1422"/>
      <c r="BM205" s="1423"/>
      <c r="BN205" s="975"/>
      <c r="BO205" s="992"/>
      <c r="BP205" s="961" t="str">
        <f>IF(I205="Si",VLOOKUP($D$8,TablasTec!$E$4:$F$6,2,FALSE),"")</f>
        <v/>
      </c>
      <c r="BQ205" s="962" t="str">
        <f>IF(L205="Si",VLOOKUP($D$8,TablasTec!$I$4:$J$6,2,FALSE),"")</f>
        <v/>
      </c>
      <c r="BR205" s="960" t="str">
        <f>IF(O205="Si",VLOOKUP($D$8,TablasTec!$I$7:$J$9,2,FALSE),"")</f>
        <v/>
      </c>
      <c r="BS205" s="977"/>
      <c r="BT205" s="2293">
        <f>IF(BT199="No",0,IF(D193=0,0,VLOOKUP(D193,TablasTec!$L$4:$N$7,2,FALSE)))+IF(BT201="Bajar coste de CM",0,IF(BT201="-5 CM",2,IF(BT201="-10 CM",4,IF(BT201="-15 CM",6,IF(BT201="-20 CM",8,0)))))+IF(BT203="Bajar coste de Ki",0,IF(BT203="-1 Ki",-1,IF(BT203="-2 Ki",-2,IF(BT203="-3 Ki",-3,IF(BT203="-4 Ki",-4,IF(BT203="-5 Ki",-5,0))))))-BU208-BU210-BU212-BU214-BU216-BU218</f>
        <v>0</v>
      </c>
      <c r="BU205" s="2294">
        <f>IF(BT199="No",0,IF(D193=0,0,VLOOKUP(D193,TablasTec!$L$4:$N$7,2,FALSE)))+IF(BT201="Bajar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09"/>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IF(I206="Si",VLOOKUP($D$8,TablasTec!$E$4:$F$6,2,FALSE),"")</f>
        <v/>
      </c>
      <c r="BQ206" s="1013" t="str">
        <f>IF(L206="Si",VLOOKUP($D$8,TablasTec!$I$4:$J$6,2,FALSE),"")</f>
        <v/>
      </c>
      <c r="BR206" s="1011" t="str">
        <f>IF(O206="Si",VLOOKUP($D$8,TablasTec!$I$7:$J$9,2,FALSE),"")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09"/>
      <c r="D207" s="1436" t="s">
        <v>1766</v>
      </c>
      <c r="E207" s="966"/>
      <c r="F207" s="1002"/>
      <c r="G207" s="972" t="str">
        <f>IF(E207=0,"",VLOOKUP(E207,TablasTec!$A$14:$V$771,3,FALSE))</f>
        <v/>
      </c>
      <c r="H207" s="1014" t="str">
        <f>IF($E207=0,"",VLOOKUP($E207,TablasTec!$A$14:$V$771,4,FALSE))</f>
        <v/>
      </c>
      <c r="I207" s="970" t="s">
        <v>1690</v>
      </c>
      <c r="J207" s="1400" t="str">
        <f>IF(E207=0,"",VLOOKUP(E207,TablasTec!$A$14:$V$771,5,FALSE))</f>
        <v/>
      </c>
      <c r="K207" s="1016" t="str">
        <f>IF(I207="Si",IF(E207=0,"",VLOOKUP(E207,TablasTec!$A$14:$V$771,5,FALSE)),"")</f>
        <v/>
      </c>
      <c r="L207" s="970" t="s">
        <v>1690</v>
      </c>
      <c r="M207" s="1400" t="str">
        <f>IF(E207=0,"",VLOOKUP(E207,TablasTec!$A$14:$V$771,6,FALSE))</f>
        <v/>
      </c>
      <c r="N207" s="973" t="str">
        <f>IF(L207="Si",IF(E207=0,"",VLOOKUP(E207,TablasTec!$A$14:$V$771,6,FALSE)),"")</f>
        <v/>
      </c>
      <c r="O207" s="970" t="s">
        <v>1690</v>
      </c>
      <c r="P207" s="1400" t="str">
        <f>IF(E207=0,"",VLOOKUP(E207,TablasTec!$A$14:$V$771,7,FALSE))</f>
        <v/>
      </c>
      <c r="Q207" s="973" t="str">
        <f>IF(O207="Si",IF(E207=0,"",VLOOKUP(E207,TablasTec!$A$14:$V$771,7,FALSE)),"")</f>
        <v/>
      </c>
      <c r="R207" s="1015" t="str">
        <f>IF(E207=0,"",VLOOKUP(E207,TablasTec!$A$14:$V$771,8,FALSE))</f>
        <v/>
      </c>
      <c r="S207" s="987" t="str">
        <f>IF(R207=$D$8,$D$8,IF(R207=2,2,IF(R207=3,3,R207)))</f>
        <v/>
      </c>
      <c r="T207" s="1016" t="str">
        <f>IF(E207=0,"",VLOOKUP(E207,TablasTec!$A$14:$V$771,9,FALSE))</f>
        <v/>
      </c>
      <c r="U207" s="1016" t="str">
        <f>IF(E207=0,"",VLOOKUP(E207,TablasTec!$A$14:$V$771,10,FALSE))</f>
        <v/>
      </c>
      <c r="V207" s="1017" t="str">
        <f>IF(E207=0,"",VLOOKUP(E207,TablasTec!$A$14:$V$771,11,FALSE))</f>
        <v/>
      </c>
      <c r="W207" s="970"/>
      <c r="X207" s="971" t="e">
        <f>VLOOKUP(E207,TablasTec!$A$14:$V$771,12,FALSE)</f>
        <v>#N/A</v>
      </c>
      <c r="Y207" s="971" t="e">
        <f>IF(W207=X207,VLOOKUP(E207,TablasTec!$A$14:$V$771,13,FALSE),0)</f>
        <v>#N/A</v>
      </c>
      <c r="Z207" s="971" t="e">
        <f>VLOOKUP(E207,TablasTec!$A$14:$V$771,14,FALSE)</f>
        <v>#N/A</v>
      </c>
      <c r="AA207" s="971" t="e">
        <f>IF(W207=Z207,VLOOKUP(E207,TablasTec!$A$14:$V$616,15,FALSE),0)</f>
        <v>#N/A</v>
      </c>
      <c r="AB207" s="971" t="e">
        <f>VLOOKUP(E207,TablasTec!$A$14:$V$771,16,FALSE)</f>
        <v>#N/A</v>
      </c>
      <c r="AC207" s="971" t="e">
        <f>IF(W207=AB207,VLOOKUP(E207,TablasTec!$A$14:$V$616,17,FALSE),0)</f>
        <v>#N/A</v>
      </c>
      <c r="AD207" s="971" t="e">
        <f>VLOOKUP(E207,TablasTec!$A$14:$V$771,18,FALSE)</f>
        <v>#N/A</v>
      </c>
      <c r="AE207" s="971" t="e">
        <f>IF(W207=AD207,VLOOKUP(E207,TablasTec!$A$14:$V$771,19,FALSE),0)</f>
        <v>#N/A</v>
      </c>
      <c r="AF207" s="989" t="str">
        <f>IF(E207=0,"",(Y207+AA207+AC207+AE207))</f>
        <v/>
      </c>
      <c r="AG207" s="970"/>
      <c r="AH207" s="988" t="e">
        <f>VLOOKUP(E207,TablasTec!$A$14:$V$771,12,FALSE)</f>
        <v>#N/A</v>
      </c>
      <c r="AI207" s="988" t="e">
        <f>IF(AG207=AH207,VLOOKUP(E207,TablasTec!$A$14:$V$771,13,FALSE),0)</f>
        <v>#N/A</v>
      </c>
      <c r="AJ207" s="988" t="e">
        <f>VLOOKUP(E207,TablasTec!$A$14:$V$771,14,FALSE)</f>
        <v>#N/A</v>
      </c>
      <c r="AK207" s="988" t="e">
        <f>IF(AG207=AJ207,VLOOKUP(E207,TablasTec!$A$14:$V$771,15,FALSE),0)</f>
        <v>#N/A</v>
      </c>
      <c r="AL207" s="988" t="e">
        <f>VLOOKUP(E207,TablasTec!$A$14:$V$771,16,FALSE)</f>
        <v>#N/A</v>
      </c>
      <c r="AM207" s="988" t="e">
        <f>IF(AG207=AL207,VLOOKUP(E207,TablasTec!$A$14:$V$771,17,FALSE),0)</f>
        <v>#N/A</v>
      </c>
      <c r="AN207" s="988" t="e">
        <f>VLOOKUP(E207,TablasTec!$A$14:$V$771,18,FALSE)</f>
        <v>#N/A</v>
      </c>
      <c r="AO207" s="988" t="e">
        <f>IF(AG207=AN207,VLOOKUP(E207,TablasTec!$A$14:$V$771,19,FALSE),0)</f>
        <v>#N/A</v>
      </c>
      <c r="AP207" s="3182" t="str">
        <f>IF(E207=0,"",(AI207+AK207+AM207+AO207))</f>
        <v/>
      </c>
      <c r="AQ207" s="970"/>
      <c r="AR207" s="988" t="e">
        <f>VLOOKUP(E207,TablasTec!$A$14:$V$771,12,FALSE)</f>
        <v>#N/A</v>
      </c>
      <c r="AS207" s="988" t="e">
        <f>IF(AQ207=AR207,VLOOKUP(E207,TablasTec!$A$14:$V$771,13,FALSE),0)</f>
        <v>#N/A</v>
      </c>
      <c r="AT207" s="988" t="e">
        <f>VLOOKUP(E207,TablasTec!$A$14:$V$771,14,FALSE)</f>
        <v>#N/A</v>
      </c>
      <c r="AU207" s="988" t="e">
        <f>IF(AQ207=AT207,VLOOKUP(E207,TablasTec!$A$14:$V$771,15,FALSE),0)</f>
        <v>#N/A</v>
      </c>
      <c r="AV207" s="988" t="e">
        <f>VLOOKUP(E207,TablasTec!$A$14:$V$771,16,FALSE)</f>
        <v>#N/A</v>
      </c>
      <c r="AW207" s="988" t="e">
        <f>IF(AQ207=AV207,VLOOKUP(E207,TablasTec!$A$14:$V$771,17,FALSE),0)</f>
        <v>#N/A</v>
      </c>
      <c r="AX207" s="988" t="e">
        <f>VLOOKUP(E207,TablasTec!$A$14:$V$771,18,FALSE)</f>
        <v>#N/A</v>
      </c>
      <c r="AY207" s="988" t="e">
        <f>IF(AQ207=AX207,VLOOKUP(E207,TablasTec!$A$14:$V$771,19,FALSE),0)</f>
        <v>#N/A</v>
      </c>
      <c r="AZ207" s="989" t="str">
        <f>IF(E207=0,"",(AS207+AU207+AW207+AY207))</f>
        <v/>
      </c>
      <c r="BA207" s="970"/>
      <c r="BB207" s="988" t="e">
        <f>VLOOKUP(E207,TablasTec!$A$14:$V$771,12,FALSE)</f>
        <v>#N/A</v>
      </c>
      <c r="BC207" s="988" t="e">
        <f>IF(BA207=BB207,VLOOKUP(E207,TablasTec!$A$14:$V$771,13,FALSE),0)</f>
        <v>#N/A</v>
      </c>
      <c r="BD207" s="988" t="e">
        <f>VLOOKUP(E207,TablasTec!$A$14:$V$771,14,FALSE)</f>
        <v>#N/A</v>
      </c>
      <c r="BE207" s="988" t="e">
        <f>IF(BA207=BD207,VLOOKUP(E207,TablasTec!$A$14:$V$771,15,FALSE),0)</f>
        <v>#N/A</v>
      </c>
      <c r="BF207" s="988" t="e">
        <f>VLOOKUP(E207,TablasTec!$A$14:$V$771,16,FALSE)</f>
        <v>#N/A</v>
      </c>
      <c r="BG207" s="988" t="e">
        <f>IF(BA207=BF207,VLOOKUP(E207,TablasTec!$A$14:$V$771,17,FALSE),0)</f>
        <v>#N/A</v>
      </c>
      <c r="BH207" s="988" t="e">
        <f>VLOOKUP(E207,TablasTec!$A$14:$V$771,18,FALSE)</f>
        <v>#N/A</v>
      </c>
      <c r="BI207" s="988" t="e">
        <f>IF(BA207=BH207,VLOOKUP(E207,TablasTec!$A$14:$V$771,19,FALSE),0)</f>
        <v>#N/A</v>
      </c>
      <c r="BJ207" s="3182" t="str">
        <f>IF(E207=0,"",(BC207+BE207+BG207+BI207))</f>
        <v/>
      </c>
      <c r="BK207" s="1016" t="str">
        <f>IF(E207=0,"",VLOOKUP(E207,TablasTec!$A$14:$V$771,20,FALSE))</f>
        <v/>
      </c>
      <c r="BL207" s="1003" t="str">
        <f>IF(E207=0,"",VLOOKUP(E207,TablasTec!$A$14:$V$771,21,FALSE))</f>
        <v/>
      </c>
      <c r="BM207" s="974" t="str">
        <f>IF(E207=0,"",VLOOKUP(E207,TablasTec!$A$14:$V$771,22,FALSE))</f>
        <v/>
      </c>
      <c r="BN207" s="975"/>
      <c r="BO207" s="976"/>
      <c r="BP207" s="961" t="str">
        <f>IF(I207="Si",VLOOKUP($D$8,TablasTec!$E$4:$F$6,2,FALSE),"")</f>
        <v/>
      </c>
      <c r="BQ207" s="962" t="str">
        <f>IF(L207="Si",VLOOKUP($D$8,TablasTec!$I$4:$J$6,2,FALSE),"")</f>
        <v/>
      </c>
      <c r="BR207" s="960" t="str">
        <f>IF(O207="Si",VLOOKUP($D$8,TablasTec!$I$7:$J$9,2,FALSE),"")</f>
        <v/>
      </c>
      <c r="BS207" s="977"/>
      <c r="BT207" s="3171" t="s">
        <v>1682</v>
      </c>
      <c r="BU207" s="3172" t="s">
        <v>4548</v>
      </c>
      <c r="BV207" s="954"/>
      <c r="BW207" s="3172" t="s">
        <v>4549</v>
      </c>
      <c r="BX207" s="3171"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c r="A208" s="922"/>
      <c r="B208" s="922"/>
      <c r="C208" s="4909"/>
      <c r="D208" s="1435" t="s">
        <v>1766</v>
      </c>
      <c r="E208" s="978"/>
      <c r="F208" s="1008"/>
      <c r="G208" s="1420" t="str">
        <f>IF(E208=0,"",VLOOKUP(E208,TablasTec!$A$14:$V$771,3,FALSE))</f>
        <v/>
      </c>
      <c r="H208" s="981" t="str">
        <f>IF($E208=0,"",VLOOKUP($E208,TablasTec!$A$14:$V$771,4,FALSE))</f>
        <v/>
      </c>
      <c r="I208" s="982" t="s">
        <v>1690</v>
      </c>
      <c r="J208" s="1398" t="str">
        <f>IF(E208=0,"",VLOOKUP(E208,TablasTec!$A$14:$V$771,5,FALSE))</f>
        <v/>
      </c>
      <c r="K208" s="984" t="str">
        <f>IF(I208="Si",IF(E208=0,"",VLOOKUP(E208,TablasTec!$A$14:$V$771,5,FALSE)),"")</f>
        <v/>
      </c>
      <c r="L208" s="982" t="s">
        <v>1690</v>
      </c>
      <c r="M208" s="1398" t="str">
        <f>IF(E208=0,"",VLOOKUP(E208,TablasTec!$A$14:$V$771,6,FALSE))</f>
        <v/>
      </c>
      <c r="N208" s="985" t="str">
        <f>IF(L208="Si",IF(E208=0,"",VLOOKUP(E208,TablasTec!$A$14:$V$771,6,FALSE)),"")</f>
        <v/>
      </c>
      <c r="O208" s="982" t="s">
        <v>1690</v>
      </c>
      <c r="P208" s="1398" t="str">
        <f>IF(E208=0,"",VLOOKUP(E208,TablasTec!$A$14:$V$771,7,FALSE))</f>
        <v/>
      </c>
      <c r="Q208" s="985" t="str">
        <f>IF(O208="Si",IF(E208=0,"",VLOOKUP(E208,TablasTec!$A$14:$V$771,7,FALSE)),"")</f>
        <v/>
      </c>
      <c r="R208" s="983" t="str">
        <f>IF(E208=0,"",VLOOKUP(E208,TablasTec!$A$14:$V$771,8,FALSE))</f>
        <v/>
      </c>
      <c r="S208" s="981" t="str">
        <f>IF(R208=$D$8,$D$8,IF(R208=2,2,IF(R208=3,3,R208)))</f>
        <v/>
      </c>
      <c r="T208" s="4883" t="s">
        <v>4540</v>
      </c>
      <c r="U208" s="4884"/>
      <c r="V208" s="4884"/>
      <c r="W208" s="4884"/>
      <c r="X208" s="4884"/>
      <c r="Y208" s="4884"/>
      <c r="Z208" s="4884"/>
      <c r="AA208" s="4884"/>
      <c r="AB208" s="4884"/>
      <c r="AC208" s="4884"/>
      <c r="AD208" s="4884"/>
      <c r="AE208" s="4884"/>
      <c r="AF208" s="4884"/>
      <c r="AG208" s="4884"/>
      <c r="AH208" s="4884"/>
      <c r="AI208" s="4884"/>
      <c r="AJ208" s="4884"/>
      <c r="AK208" s="4884"/>
      <c r="AL208" s="4884"/>
      <c r="AM208" s="4884"/>
      <c r="AN208" s="4884"/>
      <c r="AO208" s="4884"/>
      <c r="AP208" s="4884"/>
      <c r="AQ208" s="4884"/>
      <c r="AR208" s="4884"/>
      <c r="AS208" s="4884"/>
      <c r="AT208" s="4884"/>
      <c r="AU208" s="4884"/>
      <c r="AV208" s="4884"/>
      <c r="AW208" s="4884"/>
      <c r="AX208" s="4884"/>
      <c r="AY208" s="4884"/>
      <c r="AZ208" s="4884"/>
      <c r="BA208" s="4884"/>
      <c r="BB208" s="4884"/>
      <c r="BC208" s="4884"/>
      <c r="BD208" s="4884"/>
      <c r="BE208" s="4884"/>
      <c r="BF208" s="4884"/>
      <c r="BG208" s="4884"/>
      <c r="BH208" s="4884"/>
      <c r="BI208" s="4884"/>
      <c r="BJ208" s="4884"/>
      <c r="BK208" s="4885"/>
      <c r="BL208" s="1420"/>
      <c r="BM208" s="1421"/>
      <c r="BN208" s="975"/>
      <c r="BO208" s="976"/>
      <c r="BP208" s="961" t="str">
        <f>IF(I208="Si",VLOOKUP($D$8,TablasTec!$E$4:$F$6,2,FALSE),"")</f>
        <v/>
      </c>
      <c r="BQ208" s="962" t="str">
        <f>IF(L208="Si",VLOOKUP($D$8,TablasTec!$I$4:$J$6,2,FALSE),"")</f>
        <v/>
      </c>
      <c r="BR208" s="960" t="str">
        <f>IF(O208="Si",VLOOKUP($D$8,TablasTec!$I$7:$J$9,2,FALSE),"")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c r="A209" s="922"/>
      <c r="B209" s="922"/>
      <c r="C209" s="4909"/>
      <c r="D209" s="1436" t="s">
        <v>1766</v>
      </c>
      <c r="E209" s="986"/>
      <c r="F209" s="1002"/>
      <c r="G209" s="972" t="str">
        <f>IF(E209=0,"",VLOOKUP(E209,TablasTec!$A$14:$V$771,3,FALSE))</f>
        <v/>
      </c>
      <c r="H209" s="3181" t="str">
        <f>IF($E209=0,"",VLOOKUP($E209,TablasTec!$A$14:$V$771,4,FALSE))</f>
        <v/>
      </c>
      <c r="I209" s="970" t="s">
        <v>1690</v>
      </c>
      <c r="J209" s="1394" t="str">
        <f>IF(E209=0,"",VLOOKUP(E209,TablasTec!$A$14:$V$771,5,FALSE))</f>
        <v/>
      </c>
      <c r="K209" s="989" t="str">
        <f>IF(I209="Si",IF(E209=0,"",VLOOKUP(E209,TablasTec!$A$14:$V$771,5,FALSE)),"")</f>
        <v/>
      </c>
      <c r="L209" s="970" t="s">
        <v>1690</v>
      </c>
      <c r="M209" s="1394" t="str">
        <f>IF(E209=0,"",VLOOKUP(E209,TablasTec!$A$14:$V$771,6,FALSE))</f>
        <v/>
      </c>
      <c r="N209" s="973" t="str">
        <f>IF(L209="Si",IF(E209=0,"",VLOOKUP(E209,TablasTec!$A$14:$V$771,6,FALSE)),"")</f>
        <v/>
      </c>
      <c r="O209" s="970" t="s">
        <v>1690</v>
      </c>
      <c r="P209" s="1394" t="str">
        <f>IF(E209=0,"",VLOOKUP(E209,TablasTec!$A$14:$V$771,7,FALSE))</f>
        <v/>
      </c>
      <c r="Q209" s="973" t="str">
        <f>IF(O209="Si",IF(E209=0,"",VLOOKUP(E209,TablasTec!$A$14:$V$771,7,FALSE)),"")</f>
        <v/>
      </c>
      <c r="R209" s="988" t="str">
        <f>IF(E209=0,"",VLOOKUP(E209,TablasTec!$A$14:$V$771,8,FALSE))</f>
        <v/>
      </c>
      <c r="S209" s="3181" t="str">
        <f>IF(R209=$D$8,$D$8,IF(R209=2,2,IF(R209=3,3,R209)))</f>
        <v/>
      </c>
      <c r="T209" s="4896"/>
      <c r="U209" s="4897"/>
      <c r="V209" s="3179" t="str">
        <f>IF(OR(V207=0,V207=""),"N/A",V207)</f>
        <v>N/A</v>
      </c>
      <c r="W209" s="4896" t="str">
        <f xml:space="preserve"> IF(OR(AF207=0,AF207=""),"N/A",W207)</f>
        <v>N/A</v>
      </c>
      <c r="X209" s="4898"/>
      <c r="Y209" s="4898"/>
      <c r="Z209" s="4898"/>
      <c r="AA209" s="4898"/>
      <c r="AB209" s="4898"/>
      <c r="AC209" s="4898"/>
      <c r="AD209" s="4898"/>
      <c r="AE209" s="4898"/>
      <c r="AF209" s="4897"/>
      <c r="AG209" s="4896" t="str">
        <f xml:space="preserve"> IF(OR(AP207="",AP207=0),"N/A",AG207)</f>
        <v>N/A</v>
      </c>
      <c r="AH209" s="4898"/>
      <c r="AI209" s="4898"/>
      <c r="AJ209" s="4898"/>
      <c r="AK209" s="4898"/>
      <c r="AL209" s="4898"/>
      <c r="AM209" s="4898"/>
      <c r="AN209" s="4898"/>
      <c r="AO209" s="4898"/>
      <c r="AP209" s="4897"/>
      <c r="AQ209" s="4896" t="str">
        <f xml:space="preserve"> IF(OR(AZ207="",AZ207=0),"N/A",AQ207)</f>
        <v>N/A</v>
      </c>
      <c r="AR209" s="4898"/>
      <c r="AS209" s="4898"/>
      <c r="AT209" s="4898"/>
      <c r="AU209" s="4898"/>
      <c r="AV209" s="4898"/>
      <c r="AW209" s="4898"/>
      <c r="AX209" s="4898"/>
      <c r="AY209" s="4898"/>
      <c r="AZ209" s="4897"/>
      <c r="BA209" s="4896" t="str">
        <f xml:space="preserve"> IF(OR(BJ207="",BJ207=0),"N/A",BA207)</f>
        <v>N/A</v>
      </c>
      <c r="BB209" s="4898"/>
      <c r="BC209" s="4898"/>
      <c r="BD209" s="4898"/>
      <c r="BE209" s="4898"/>
      <c r="BF209" s="4898"/>
      <c r="BG209" s="4898"/>
      <c r="BH209" s="4898"/>
      <c r="BI209" s="4898"/>
      <c r="BJ209" s="4897"/>
      <c r="BK209" s="990" t="s">
        <v>4541</v>
      </c>
      <c r="BL209" s="972"/>
      <c r="BM209" s="1007"/>
      <c r="BN209" s="991"/>
      <c r="BO209" s="992"/>
      <c r="BP209" s="993" t="str">
        <f>IF(I209="Si",VLOOKUP($D$8,TablasTec!$E$4:$F$6,2,FALSE),"")</f>
        <v/>
      </c>
      <c r="BQ209" s="963" t="str">
        <f>IF(L209="Si",VLOOKUP($D$8,TablasTec!$I$4:$J$6,2,FALSE),"")</f>
        <v/>
      </c>
      <c r="BR209" s="994" t="str">
        <f>IF(O209="Si",VLOOKUP($D$8,TablasTec!$I$7:$J$9,2,FALSE),"")</f>
        <v/>
      </c>
      <c r="BS209" s="977"/>
      <c r="BT209" s="3171" t="s">
        <v>1809</v>
      </c>
      <c r="BU209" s="3172" t="s">
        <v>4548</v>
      </c>
      <c r="BV209" s="954"/>
      <c r="BW209" s="3172" t="s">
        <v>4549</v>
      </c>
      <c r="BX209" s="3171"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c r="A210" s="922"/>
      <c r="B210" s="922"/>
      <c r="C210" s="4909"/>
      <c r="D210" s="1435" t="s">
        <v>1766</v>
      </c>
      <c r="E210" s="978"/>
      <c r="F210" s="1008"/>
      <c r="G210" s="1420" t="str">
        <f>IF(E210=0,"",VLOOKUP(E210,TablasTec!$A$14:$V$771,3,FALSE))</f>
        <v/>
      </c>
      <c r="H210" s="981" t="str">
        <f>IF($E210=0,"",VLOOKUP($E210,TablasTec!$A$14:$V$771,4,FALSE))</f>
        <v/>
      </c>
      <c r="I210" s="982" t="s">
        <v>1690</v>
      </c>
      <c r="J210" s="1398" t="str">
        <f>IF(E210=0,"",VLOOKUP(E210,TablasTec!$A$14:$V$771,5,FALSE))</f>
        <v/>
      </c>
      <c r="K210" s="984" t="str">
        <f>IF(I210="Si",IF(E210=0,"",VLOOKUP(E210,TablasTec!$A$14:$V$771,5,FALSE)),"")</f>
        <v/>
      </c>
      <c r="L210" s="982" t="s">
        <v>1690</v>
      </c>
      <c r="M210" s="1398" t="str">
        <f>IF(E210=0,"",VLOOKUP(E210,TablasTec!$A$14:$V$771,6,FALSE))</f>
        <v/>
      </c>
      <c r="N210" s="985" t="str">
        <f>IF(L210="Si",IF(E210=0,"",VLOOKUP(E210,TablasTec!$A$14:$V$771,6,FALSE)),"")</f>
        <v/>
      </c>
      <c r="O210" s="982" t="s">
        <v>1690</v>
      </c>
      <c r="P210" s="1398" t="str">
        <f>IF(E210=0,"",VLOOKUP(E210,TablasTec!$A$14:$V$771,7,FALSE))</f>
        <v/>
      </c>
      <c r="Q210" s="985" t="str">
        <f>IF(O210="Si",IF(E210=0,"",VLOOKUP(E210,TablasTec!$A$14:$V$771,7,FALSE)),"")</f>
        <v/>
      </c>
      <c r="R210" s="983" t="str">
        <f>IF(E210=0,"",VLOOKUP(E210,TablasTec!$A$14:$V$771,8,FALSE))</f>
        <v/>
      </c>
      <c r="S210" s="981" t="str">
        <f>IF(R210=$D$8,$D$8,IF(R210=2,2,IF(R210=3,3,R210)))</f>
        <v/>
      </c>
      <c r="T210" s="4899" t="s">
        <v>4542</v>
      </c>
      <c r="U210" s="4900"/>
      <c r="V210" s="3180"/>
      <c r="W210" s="4901"/>
      <c r="X210" s="4902"/>
      <c r="Y210" s="4902"/>
      <c r="Z210" s="4902"/>
      <c r="AA210" s="4902"/>
      <c r="AB210" s="4902"/>
      <c r="AC210" s="4902"/>
      <c r="AD210" s="4902"/>
      <c r="AE210" s="4902"/>
      <c r="AF210" s="4903"/>
      <c r="AG210" s="4901"/>
      <c r="AH210" s="4902"/>
      <c r="AI210" s="4902"/>
      <c r="AJ210" s="4902"/>
      <c r="AK210" s="4902"/>
      <c r="AL210" s="4902"/>
      <c r="AM210" s="4902"/>
      <c r="AN210" s="4902"/>
      <c r="AO210" s="4902"/>
      <c r="AP210" s="4903"/>
      <c r="AQ210" s="4901"/>
      <c r="AR210" s="4902"/>
      <c r="AS210" s="4902"/>
      <c r="AT210" s="4902"/>
      <c r="AU210" s="4902"/>
      <c r="AV210" s="4902"/>
      <c r="AW210" s="4902"/>
      <c r="AX210" s="4902"/>
      <c r="AY210" s="4902"/>
      <c r="AZ210" s="4903"/>
      <c r="BA210" s="4901"/>
      <c r="BB210" s="4902"/>
      <c r="BC210" s="4902"/>
      <c r="BD210" s="4902"/>
      <c r="BE210" s="4902"/>
      <c r="BF210" s="4902"/>
      <c r="BG210" s="4902"/>
      <c r="BH210" s="4902"/>
      <c r="BI210" s="4902"/>
      <c r="BJ210" s="4903"/>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IF(I210="Si",VLOOKUP($D$8,TablasTec!$E$4:$F$6,2,FALSE),"")</f>
        <v/>
      </c>
      <c r="BQ210" s="962" t="str">
        <f>IF(L210="Si",VLOOKUP($D$8,TablasTec!$I$4:$J$6,2,FALSE),"")</f>
        <v/>
      </c>
      <c r="BR210" s="960" t="str">
        <f>IF(O210="Si",VLOOKUP($D$8,TablasTec!$I$7:$J$9,2,FALSE),"")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c r="A211" s="922"/>
      <c r="B211" s="922"/>
      <c r="C211" s="4909"/>
      <c r="D211" s="1436" t="s">
        <v>1766</v>
      </c>
      <c r="E211" s="986"/>
      <c r="F211" s="1002"/>
      <c r="G211" s="972" t="str">
        <f>IF(E211=0,"",VLOOKUP(E211,TablasTec!$A$14:$V$771,3,FALSE))</f>
        <v/>
      </c>
      <c r="H211" s="997" t="str">
        <f>IF($E211=0,"",VLOOKUP($E211,TablasTec!$A$14:$V$771,4,FALSE))</f>
        <v/>
      </c>
      <c r="I211" s="970" t="s">
        <v>1690</v>
      </c>
      <c r="J211" s="1401" t="str">
        <f>IF(E211=0,"",VLOOKUP(E211,TablasTec!$A$14:$V$771,5,FALSE))</f>
        <v/>
      </c>
      <c r="K211" s="998" t="str">
        <f>IF(I211="Si",IF(E211=0,"",VLOOKUP(E211,TablasTec!$A$14:$V$771,5,FALSE)),"")</f>
        <v/>
      </c>
      <c r="L211" s="970" t="s">
        <v>1690</v>
      </c>
      <c r="M211" s="1401" t="str">
        <f>IF(E211=0,"",VLOOKUP(E211,TablasTec!$A$14:$V$771,6,FALSE))</f>
        <v/>
      </c>
      <c r="N211" s="973" t="str">
        <f>IF(L211="Si",IF(E211=0,"",VLOOKUP(E211,TablasTec!$A$14:$V$771,6,FALSE)),"")</f>
        <v/>
      </c>
      <c r="O211" s="970" t="s">
        <v>1690</v>
      </c>
      <c r="P211" s="1401" t="str">
        <f>IF(E211=0,"",VLOOKUP(E211,TablasTec!$A$14:$V$771,7,FALSE))</f>
        <v/>
      </c>
      <c r="Q211" s="973" t="str">
        <f>IF(O211="Si",IF(E211=0,"",VLOOKUP(E211,TablasTec!$A$14:$V$771,7,FALSE)),"")</f>
        <v/>
      </c>
      <c r="R211" s="1018" t="str">
        <f>IF(E211=0,"",VLOOKUP(E211,TablasTec!$A$14:$V$771,8,FALSE))</f>
        <v/>
      </c>
      <c r="S211" s="987" t="str">
        <f>IF(R211=$D$8,$D$8,IF(R211=2,2,IF(R211=3,3,R211)))</f>
        <v/>
      </c>
      <c r="T211" s="4890" t="s">
        <v>4544</v>
      </c>
      <c r="U211" s="4891"/>
      <c r="V211" s="3178"/>
      <c r="W211" s="4892"/>
      <c r="X211" s="4893"/>
      <c r="Y211" s="4893"/>
      <c r="Z211" s="4893"/>
      <c r="AA211" s="4893"/>
      <c r="AB211" s="4893"/>
      <c r="AC211" s="4893"/>
      <c r="AD211" s="4893"/>
      <c r="AE211" s="4893"/>
      <c r="AF211" s="4894"/>
      <c r="AG211" s="4892"/>
      <c r="AH211" s="4893"/>
      <c r="AI211" s="4893"/>
      <c r="AJ211" s="4893"/>
      <c r="AK211" s="4893"/>
      <c r="AL211" s="4893"/>
      <c r="AM211" s="4893"/>
      <c r="AN211" s="4893"/>
      <c r="AO211" s="4893"/>
      <c r="AP211" s="4894"/>
      <c r="AQ211" s="4892"/>
      <c r="AR211" s="4893"/>
      <c r="AS211" s="4893"/>
      <c r="AT211" s="4893"/>
      <c r="AU211" s="4893"/>
      <c r="AV211" s="4893"/>
      <c r="AW211" s="4893"/>
      <c r="AX211" s="4893"/>
      <c r="AY211" s="4893"/>
      <c r="AZ211" s="4894"/>
      <c r="BA211" s="4892"/>
      <c r="BB211" s="4893"/>
      <c r="BC211" s="4893"/>
      <c r="BD211" s="4893"/>
      <c r="BE211" s="4893"/>
      <c r="BF211" s="4893"/>
      <c r="BG211" s="4893"/>
      <c r="BH211" s="4893"/>
      <c r="BI211" s="4893"/>
      <c r="BJ211" s="4894"/>
      <c r="BK211" s="997">
        <f>SUM(K207:K211)-SUM(V211:BA211)</f>
        <v>0</v>
      </c>
      <c r="BL211" s="1422"/>
      <c r="BM211" s="1423"/>
      <c r="BN211" s="991"/>
      <c r="BO211" s="992"/>
      <c r="BP211" s="993" t="str">
        <f>IF(I211="Si",VLOOKUP($D$8,TablasTec!$E$4:$F$6,2,FALSE),"")</f>
        <v/>
      </c>
      <c r="BQ211" s="963" t="str">
        <f>IF(L211="Si",VLOOKUP($D$8,TablasTec!$I$4:$J$6,2,FALSE),"")</f>
        <v/>
      </c>
      <c r="BR211" s="994" t="str">
        <f>IF(O211="Si",VLOOKUP($D$8,TablasTec!$I$7:$J$9,2,FALSE),"")</f>
        <v/>
      </c>
      <c r="BS211" s="977"/>
      <c r="BT211" s="3171" t="s">
        <v>1687</v>
      </c>
      <c r="BU211" s="3172" t="s">
        <v>4548</v>
      </c>
      <c r="BV211" s="954"/>
      <c r="BW211" s="3172" t="s">
        <v>4549</v>
      </c>
      <c r="BX211" s="3171"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09"/>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IF(I212="Si",VLOOKUP($D$8,TablasTec!$E$4:$F$6,2,FALSE),"")</f>
        <v/>
      </c>
      <c r="BQ212" s="1013" t="str">
        <f>IF(L212="Si",VLOOKUP($D$8,TablasTec!$I$4:$J$6,2,FALSE),"")</f>
        <v/>
      </c>
      <c r="BR212" s="1011" t="str">
        <f>IF(O212="Si",VLOOKUP($D$8,TablasTec!$I$7:$J$9,2,FALSE),"")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09"/>
      <c r="D213" s="1436" t="s">
        <v>1766</v>
      </c>
      <c r="E213" s="966"/>
      <c r="F213" s="1002"/>
      <c r="G213" s="972" t="str">
        <f>IF(E213=0,"",VLOOKUP(E213,TablasTec!$A$14:$V$771,3,FALSE))</f>
        <v/>
      </c>
      <c r="H213" s="1014" t="str">
        <f>IF($E213=0,"",VLOOKUP($E213,TablasTec!$A$14:$V$771,4,FALSE))</f>
        <v/>
      </c>
      <c r="I213" s="970" t="s">
        <v>1690</v>
      </c>
      <c r="J213" s="1400" t="str">
        <f>IF(E213=0,"",VLOOKUP(E213,TablasTec!$A$14:$V$771,5,FALSE))</f>
        <v/>
      </c>
      <c r="K213" s="1016" t="str">
        <f>IF(I213="Si",IF(E213=0,"",VLOOKUP(E213,TablasTec!$A$14:$V$771,5,FALSE)),"")</f>
        <v/>
      </c>
      <c r="L213" s="970" t="s">
        <v>1690</v>
      </c>
      <c r="M213" s="1400" t="str">
        <f>IF(E213=0,"",VLOOKUP(E213,TablasTec!$A$14:$V$771,6,FALSE))</f>
        <v/>
      </c>
      <c r="N213" s="973" t="str">
        <f>IF(L213="Si",IF(E213=0,"",VLOOKUP(E213,TablasTec!$A$14:$V$771,6,FALSE)),"")</f>
        <v/>
      </c>
      <c r="O213" s="970" t="s">
        <v>1690</v>
      </c>
      <c r="P213" s="1400" t="str">
        <f>IF(E213=0,"",VLOOKUP(E213,TablasTec!$A$14:$V$771,7,FALSE))</f>
        <v/>
      </c>
      <c r="Q213" s="973" t="str">
        <f>IF(O213="Si",IF(E213=0,"",VLOOKUP(E213,TablasTec!$A$14:$V$771,7,FALSE)),"")</f>
        <v/>
      </c>
      <c r="R213" s="1015" t="str">
        <f>IF(E213=0,"",VLOOKUP(E213,TablasTec!$A$14:$V$771,8,FALSE))</f>
        <v/>
      </c>
      <c r="S213" s="987" t="str">
        <f>IF(R213=$D$8,$D$8,IF(R213=2,2,IF(R213=3,3,R213)))</f>
        <v/>
      </c>
      <c r="T213" s="1016" t="str">
        <f>IF(E213=0,"",VLOOKUP(E213,TablasTec!$A$14:$V$771,9,FALSE))</f>
        <v/>
      </c>
      <c r="U213" s="1016" t="str">
        <f>IF(E213=0,"",VLOOKUP(E213,TablasTec!$A$14:$V$771,10,FALSE))</f>
        <v/>
      </c>
      <c r="V213" s="1017" t="str">
        <f>IF(E213=0,"",VLOOKUP(E213,TablasTec!$A$14:$V$771,11,FALSE))</f>
        <v/>
      </c>
      <c r="W213" s="970"/>
      <c r="X213" s="971" t="e">
        <f>VLOOKUP(E213,TablasTec!$A$14:$V$771,12,FALSE)</f>
        <v>#N/A</v>
      </c>
      <c r="Y213" s="971" t="e">
        <f>IF(W213=X213,VLOOKUP(E213,TablasTec!$A$14:$V$771,13,FALSE),0)</f>
        <v>#N/A</v>
      </c>
      <c r="Z213" s="971" t="e">
        <f>VLOOKUP(E213,TablasTec!$A$14:$V$771,14,FALSE)</f>
        <v>#N/A</v>
      </c>
      <c r="AA213" s="971" t="e">
        <f>IF(W213=Z213,VLOOKUP(E213,TablasTec!$A$14:$V$616,15,FALSE),0)</f>
        <v>#N/A</v>
      </c>
      <c r="AB213" s="971" t="e">
        <f>VLOOKUP(E213,TablasTec!$A$14:$V$771,16,FALSE)</f>
        <v>#N/A</v>
      </c>
      <c r="AC213" s="971" t="e">
        <f>IF(W213=AB213,VLOOKUP(E213,TablasTec!$A$14:$V$616,17,FALSE),0)</f>
        <v>#N/A</v>
      </c>
      <c r="AD213" s="971" t="e">
        <f>VLOOKUP(E213,TablasTec!$A$14:$V$771,18,FALSE)</f>
        <v>#N/A</v>
      </c>
      <c r="AE213" s="971" t="e">
        <f>IF(W213=AD213,VLOOKUP(E213,TablasTec!$A$14:$V$771,19,FALSE),0)</f>
        <v>#N/A</v>
      </c>
      <c r="AF213" s="989" t="str">
        <f>IF(E213=0,"",(Y213+AA213+AC213+AE213))</f>
        <v/>
      </c>
      <c r="AG213" s="970"/>
      <c r="AH213" s="988" t="e">
        <f>VLOOKUP(E213,TablasTec!$A$14:$V$771,12,FALSE)</f>
        <v>#N/A</v>
      </c>
      <c r="AI213" s="988" t="e">
        <f>IF(AG213=AH213,VLOOKUP(E213,TablasTec!$A$14:$V$771,13,FALSE),0)</f>
        <v>#N/A</v>
      </c>
      <c r="AJ213" s="988" t="e">
        <f>VLOOKUP(E213,TablasTec!$A$14:$V$771,14,FALSE)</f>
        <v>#N/A</v>
      </c>
      <c r="AK213" s="988" t="e">
        <f>IF(AG213=AJ213,VLOOKUP(E213,TablasTec!$A$14:$V$771,15,FALSE),0)</f>
        <v>#N/A</v>
      </c>
      <c r="AL213" s="988" t="e">
        <f>VLOOKUP(E213,TablasTec!$A$14:$V$771,16,FALSE)</f>
        <v>#N/A</v>
      </c>
      <c r="AM213" s="988" t="e">
        <f>IF(AG213=AL213,VLOOKUP(E213,TablasTec!$A$14:$V$771,17,FALSE),0)</f>
        <v>#N/A</v>
      </c>
      <c r="AN213" s="988" t="e">
        <f>VLOOKUP(E213,TablasTec!$A$14:$V$771,18,FALSE)</f>
        <v>#N/A</v>
      </c>
      <c r="AO213" s="988" t="e">
        <f>IF(AG213=AN213,VLOOKUP(E213,TablasTec!$A$14:$V$771,19,FALSE),0)</f>
        <v>#N/A</v>
      </c>
      <c r="AP213" s="3182" t="str">
        <f>IF(E213=0,"",(AI213+AK213+AM213+AO213))</f>
        <v/>
      </c>
      <c r="AQ213" s="970"/>
      <c r="AR213" s="988" t="e">
        <f>VLOOKUP(E213,TablasTec!$A$14:$V$771,12,FALSE)</f>
        <v>#N/A</v>
      </c>
      <c r="AS213" s="988" t="e">
        <f>IF(AQ213=AR213,VLOOKUP(E213,TablasTec!$A$14:$V$771,13,FALSE),0)</f>
        <v>#N/A</v>
      </c>
      <c r="AT213" s="988" t="e">
        <f>VLOOKUP(E213,TablasTec!$A$14:$V$771,14,FALSE)</f>
        <v>#N/A</v>
      </c>
      <c r="AU213" s="988" t="e">
        <f>IF(AQ213=AT213,VLOOKUP(E213,TablasTec!$A$14:$V$771,15,FALSE),0)</f>
        <v>#N/A</v>
      </c>
      <c r="AV213" s="988" t="e">
        <f>VLOOKUP(E213,TablasTec!$A$14:$V$771,16,FALSE)</f>
        <v>#N/A</v>
      </c>
      <c r="AW213" s="988" t="e">
        <f>IF(AQ213=AV213,VLOOKUP(E213,TablasTec!$A$14:$V$771,17,FALSE),0)</f>
        <v>#N/A</v>
      </c>
      <c r="AX213" s="988" t="e">
        <f>VLOOKUP(E213,TablasTec!$A$14:$V$771,18,FALSE)</f>
        <v>#N/A</v>
      </c>
      <c r="AY213" s="988" t="e">
        <f>IF(AQ213=AX213,VLOOKUP(E213,TablasTec!$A$14:$V$771,19,FALSE),0)</f>
        <v>#N/A</v>
      </c>
      <c r="AZ213" s="989" t="str">
        <f>IF(E213=0,"",(AS213+AU213+AW213+AY213))</f>
        <v/>
      </c>
      <c r="BA213" s="970"/>
      <c r="BB213" s="988" t="e">
        <f>VLOOKUP(E213,TablasTec!$A$14:$V$771,12,FALSE)</f>
        <v>#N/A</v>
      </c>
      <c r="BC213" s="988" t="e">
        <f>IF(BA213=BB213,VLOOKUP(E213,TablasTec!$A$14:$V$771,13,FALSE),0)</f>
        <v>#N/A</v>
      </c>
      <c r="BD213" s="988" t="e">
        <f>VLOOKUP(E213,TablasTec!$A$14:$V$771,14,FALSE)</f>
        <v>#N/A</v>
      </c>
      <c r="BE213" s="988" t="e">
        <f>IF(BA213=BD213,VLOOKUP(E213,TablasTec!$A$14:$V$771,15,FALSE),0)</f>
        <v>#N/A</v>
      </c>
      <c r="BF213" s="988" t="e">
        <f>VLOOKUP(E213,TablasTec!$A$14:$V$771,16,FALSE)</f>
        <v>#N/A</v>
      </c>
      <c r="BG213" s="988" t="e">
        <f>IF(BA213=BF213,VLOOKUP(E213,TablasTec!$A$14:$V$771,17,FALSE),0)</f>
        <v>#N/A</v>
      </c>
      <c r="BH213" s="988" t="e">
        <f>VLOOKUP(E213,TablasTec!$A$14:$V$771,18,FALSE)</f>
        <v>#N/A</v>
      </c>
      <c r="BI213" s="988" t="e">
        <f>IF(BA213=BH213,VLOOKUP(E213,TablasTec!$A$14:$V$771,19,FALSE),0)</f>
        <v>#N/A</v>
      </c>
      <c r="BJ213" s="3182" t="str">
        <f>IF(E213=0,"",(BC213+BE213+BG213+BI213))</f>
        <v/>
      </c>
      <c r="BK213" s="1016" t="str">
        <f>IF(E213=0,"",VLOOKUP(E213,TablasTec!$A$14:$V$771,20,FALSE))</f>
        <v/>
      </c>
      <c r="BL213" s="1003" t="str">
        <f>IF(E213=0,"",VLOOKUP(E213,TablasTec!$A$14:$V$771,21,FALSE))</f>
        <v/>
      </c>
      <c r="BM213" s="974" t="str">
        <f>IF(E213=0,"",VLOOKUP(E213,TablasTec!$A$14:$V$771,22,FALSE))</f>
        <v/>
      </c>
      <c r="BN213" s="975"/>
      <c r="BO213" s="976"/>
      <c r="BP213" s="961" t="str">
        <f>IF(I213="Si",VLOOKUP($D$8,TablasTec!$E$4:$F$6,2,FALSE),"")</f>
        <v/>
      </c>
      <c r="BQ213" s="962" t="str">
        <f>IF(L213="Si",VLOOKUP($D$8,TablasTec!$I$4:$J$6,2,FALSE),"")</f>
        <v/>
      </c>
      <c r="BR213" s="960" t="str">
        <f>IF(O213="Si",VLOOKUP($D$8,TablasTec!$I$7:$J$9,2,FALSE),"")</f>
        <v/>
      </c>
      <c r="BS213" s="977"/>
      <c r="BT213" s="3171" t="s">
        <v>1692</v>
      </c>
      <c r="BU213" s="3172" t="s">
        <v>4548</v>
      </c>
      <c r="BV213" s="954"/>
      <c r="BW213" s="3172" t="s">
        <v>4549</v>
      </c>
      <c r="BX213" s="3171"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c r="A214" s="922"/>
      <c r="B214" s="922"/>
      <c r="C214" s="4909"/>
      <c r="D214" s="1435" t="s">
        <v>1766</v>
      </c>
      <c r="E214" s="978"/>
      <c r="F214" s="1008"/>
      <c r="G214" s="1420" t="str">
        <f>IF(E214=0,"",VLOOKUP(E214,TablasTec!$A$14:$V$771,3,FALSE))</f>
        <v/>
      </c>
      <c r="H214" s="981" t="str">
        <f>IF($E214=0,"",VLOOKUP($E214,TablasTec!$A$14:$V$771,4,FALSE))</f>
        <v/>
      </c>
      <c r="I214" s="982" t="s">
        <v>1690</v>
      </c>
      <c r="J214" s="1398" t="str">
        <f>IF(E214=0,"",VLOOKUP(E214,TablasTec!$A$14:$V$771,5,FALSE))</f>
        <v/>
      </c>
      <c r="K214" s="984" t="str">
        <f>IF(I214="Si",IF(E214=0,"",VLOOKUP(E214,TablasTec!$A$14:$V$771,5,FALSE)),"")</f>
        <v/>
      </c>
      <c r="L214" s="982" t="s">
        <v>1690</v>
      </c>
      <c r="M214" s="1398" t="str">
        <f>IF(E214=0,"",VLOOKUP(E214,TablasTec!$A$14:$V$771,6,FALSE))</f>
        <v/>
      </c>
      <c r="N214" s="985" t="str">
        <f>IF(L214="Si",IF(E214=0,"",VLOOKUP(E214,TablasTec!$A$14:$V$771,6,FALSE)),"")</f>
        <v/>
      </c>
      <c r="O214" s="982" t="s">
        <v>1690</v>
      </c>
      <c r="P214" s="1398" t="str">
        <f>IF(E214=0,"",VLOOKUP(E214,TablasTec!$A$14:$V$771,7,FALSE))</f>
        <v/>
      </c>
      <c r="Q214" s="985" t="str">
        <f>IF(O214="Si",IF(E214=0,"",VLOOKUP(E214,TablasTec!$A$14:$V$771,7,FALSE)),"")</f>
        <v/>
      </c>
      <c r="R214" s="983" t="str">
        <f>IF(E214=0,"",VLOOKUP(E214,TablasTec!$A$14:$V$771,8,FALSE))</f>
        <v/>
      </c>
      <c r="S214" s="981" t="str">
        <f>IF(R214=$D$8,$D$8,IF(R214=2,2,IF(R214=3,3,R214)))</f>
        <v/>
      </c>
      <c r="T214" s="4883" t="s">
        <v>4540</v>
      </c>
      <c r="U214" s="4884"/>
      <c r="V214" s="4884"/>
      <c r="W214" s="4884"/>
      <c r="X214" s="4884"/>
      <c r="Y214" s="4884"/>
      <c r="Z214" s="4884"/>
      <c r="AA214" s="4884"/>
      <c r="AB214" s="4884"/>
      <c r="AC214" s="4884"/>
      <c r="AD214" s="4884"/>
      <c r="AE214" s="4884"/>
      <c r="AF214" s="4884"/>
      <c r="AG214" s="4884"/>
      <c r="AH214" s="4884"/>
      <c r="AI214" s="4884"/>
      <c r="AJ214" s="4884"/>
      <c r="AK214" s="4884"/>
      <c r="AL214" s="4884"/>
      <c r="AM214" s="4884"/>
      <c r="AN214" s="4884"/>
      <c r="AO214" s="4884"/>
      <c r="AP214" s="4884"/>
      <c r="AQ214" s="4884"/>
      <c r="AR214" s="4884"/>
      <c r="AS214" s="4884"/>
      <c r="AT214" s="4884"/>
      <c r="AU214" s="4884"/>
      <c r="AV214" s="4884"/>
      <c r="AW214" s="4884"/>
      <c r="AX214" s="4884"/>
      <c r="AY214" s="4884"/>
      <c r="AZ214" s="4884"/>
      <c r="BA214" s="4884"/>
      <c r="BB214" s="4884"/>
      <c r="BC214" s="4884"/>
      <c r="BD214" s="4884"/>
      <c r="BE214" s="4884"/>
      <c r="BF214" s="4884"/>
      <c r="BG214" s="4884"/>
      <c r="BH214" s="4884"/>
      <c r="BI214" s="4884"/>
      <c r="BJ214" s="4884"/>
      <c r="BK214" s="4885"/>
      <c r="BL214" s="1420"/>
      <c r="BM214" s="1421"/>
      <c r="BN214" s="975"/>
      <c r="BO214" s="976"/>
      <c r="BP214" s="961" t="str">
        <f>IF(I214="Si",VLOOKUP($D$8,TablasTec!$E$4:$F$6,2,FALSE),"")</f>
        <v/>
      </c>
      <c r="BQ214" s="962" t="str">
        <f>IF(L214="Si",VLOOKUP($D$8,TablasTec!$I$4:$J$6,2,FALSE),"")</f>
        <v/>
      </c>
      <c r="BR214" s="960" t="str">
        <f>IF(O214="Si",VLOOKUP($D$8,TablasTec!$I$7:$J$9,2,FALSE),"")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c r="A215" s="922"/>
      <c r="B215" s="922"/>
      <c r="C215" s="4909"/>
      <c r="D215" s="1436" t="s">
        <v>1766</v>
      </c>
      <c r="E215" s="986"/>
      <c r="F215" s="1002"/>
      <c r="G215" s="972" t="str">
        <f>IF(E215=0,"",VLOOKUP(E215,TablasTec!$A$14:$V$771,3,FALSE))</f>
        <v/>
      </c>
      <c r="H215" s="3181" t="str">
        <f>IF($E215=0,"",VLOOKUP($E215,TablasTec!$A$14:$V$771,4,FALSE))</f>
        <v/>
      </c>
      <c r="I215" s="970" t="s">
        <v>1690</v>
      </c>
      <c r="J215" s="1394" t="str">
        <f>IF(E215=0,"",VLOOKUP(E215,TablasTec!$A$14:$V$771,5,FALSE))</f>
        <v/>
      </c>
      <c r="K215" s="989" t="str">
        <f>IF(I215="Si",IF(E215=0,"",VLOOKUP(E215,TablasTec!$A$14:$V$771,5,FALSE)),"")</f>
        <v/>
      </c>
      <c r="L215" s="970" t="s">
        <v>1690</v>
      </c>
      <c r="M215" s="1394" t="str">
        <f>IF(E215=0,"",VLOOKUP(E215,TablasTec!$A$14:$V$771,6,FALSE))</f>
        <v/>
      </c>
      <c r="N215" s="973" t="str">
        <f>IF(L215="Si",IF(E215=0,"",VLOOKUP(E215,TablasTec!$A$14:$V$771,6,FALSE)),"")</f>
        <v/>
      </c>
      <c r="O215" s="970" t="s">
        <v>1690</v>
      </c>
      <c r="P215" s="1394" t="str">
        <f>IF(E215=0,"",VLOOKUP(E215,TablasTec!$A$14:$V$771,7,FALSE))</f>
        <v/>
      </c>
      <c r="Q215" s="973" t="str">
        <f>IF(O215="Si",IF(E215=0,"",VLOOKUP(E215,TablasTec!$A$14:$V$771,7,FALSE)),"")</f>
        <v/>
      </c>
      <c r="R215" s="988" t="str">
        <f>IF(E215=0,"",VLOOKUP(E215,TablasTec!$A$14:$V$771,8,FALSE))</f>
        <v/>
      </c>
      <c r="S215" s="3181" t="str">
        <f>IF(R215=$D$8,$D$8,IF(R215=2,2,IF(R215=3,3,R215)))</f>
        <v/>
      </c>
      <c r="T215" s="4896"/>
      <c r="U215" s="4897"/>
      <c r="V215" s="3179" t="str">
        <f>IF(OR(V213=0,V213=""),"N/A",V213)</f>
        <v>N/A</v>
      </c>
      <c r="W215" s="4896" t="str">
        <f xml:space="preserve"> IF(OR(AF213=0,AF213=""),"N/A",W213)</f>
        <v>N/A</v>
      </c>
      <c r="X215" s="4898"/>
      <c r="Y215" s="4898"/>
      <c r="Z215" s="4898"/>
      <c r="AA215" s="4898"/>
      <c r="AB215" s="4898"/>
      <c r="AC215" s="4898"/>
      <c r="AD215" s="4898"/>
      <c r="AE215" s="4898"/>
      <c r="AF215" s="4897"/>
      <c r="AG215" s="4896" t="str">
        <f xml:space="preserve"> IF(OR(AP213="",AP213=0),"N/A",AG213)</f>
        <v>N/A</v>
      </c>
      <c r="AH215" s="4898"/>
      <c r="AI215" s="4898"/>
      <c r="AJ215" s="4898"/>
      <c r="AK215" s="4898"/>
      <c r="AL215" s="4898"/>
      <c r="AM215" s="4898"/>
      <c r="AN215" s="4898"/>
      <c r="AO215" s="4898"/>
      <c r="AP215" s="4897"/>
      <c r="AQ215" s="4896" t="str">
        <f xml:space="preserve"> IF(OR(AZ213="",AZ213=0),"N/A",AQ213)</f>
        <v>N/A</v>
      </c>
      <c r="AR215" s="4898"/>
      <c r="AS215" s="4898"/>
      <c r="AT215" s="4898"/>
      <c r="AU215" s="4898"/>
      <c r="AV215" s="4898"/>
      <c r="AW215" s="4898"/>
      <c r="AX215" s="4898"/>
      <c r="AY215" s="4898"/>
      <c r="AZ215" s="4897"/>
      <c r="BA215" s="4896" t="str">
        <f xml:space="preserve"> IF(OR(BJ213="",BJ213=0),"N/A",BA213)</f>
        <v>N/A</v>
      </c>
      <c r="BB215" s="4898"/>
      <c r="BC215" s="4898"/>
      <c r="BD215" s="4898"/>
      <c r="BE215" s="4898"/>
      <c r="BF215" s="4898"/>
      <c r="BG215" s="4898"/>
      <c r="BH215" s="4898"/>
      <c r="BI215" s="4898"/>
      <c r="BJ215" s="4897"/>
      <c r="BK215" s="990" t="s">
        <v>4541</v>
      </c>
      <c r="BL215" s="972"/>
      <c r="BM215" s="1007"/>
      <c r="BN215" s="991"/>
      <c r="BO215" s="992"/>
      <c r="BP215" s="993" t="str">
        <f>IF(I215="Si",VLOOKUP($D$8,TablasTec!$E$4:$F$6,2,FALSE),"")</f>
        <v/>
      </c>
      <c r="BQ215" s="963" t="str">
        <f>IF(L215="Si",VLOOKUP($D$8,TablasTec!$I$4:$J$6,2,FALSE),"")</f>
        <v/>
      </c>
      <c r="BR215" s="994" t="str">
        <f>IF(O215="Si",VLOOKUP($D$8,TablasTec!$I$7:$J$9,2,FALSE),"")</f>
        <v/>
      </c>
      <c r="BS215" s="977"/>
      <c r="BT215" s="3171" t="s">
        <v>1700</v>
      </c>
      <c r="BU215" s="3172" t="s">
        <v>4548</v>
      </c>
      <c r="BV215" s="954"/>
      <c r="BW215" s="3172" t="s">
        <v>4549</v>
      </c>
      <c r="BX215" s="3171"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c r="A216" s="922"/>
      <c r="B216" s="922"/>
      <c r="C216" s="4909"/>
      <c r="D216" s="1435" t="s">
        <v>1766</v>
      </c>
      <c r="E216" s="978"/>
      <c r="F216" s="1008"/>
      <c r="G216" s="1420" t="str">
        <f>IF(E216=0,"",VLOOKUP(E216,TablasTec!$A$14:$V$771,3,FALSE))</f>
        <v/>
      </c>
      <c r="H216" s="981" t="str">
        <f>IF($E216=0,"",VLOOKUP($E216,TablasTec!$A$14:$V$771,4,FALSE))</f>
        <v/>
      </c>
      <c r="I216" s="982" t="s">
        <v>1690</v>
      </c>
      <c r="J216" s="1398" t="str">
        <f>IF(E216=0,"",VLOOKUP(E216,TablasTec!$A$14:$V$771,5,FALSE))</f>
        <v/>
      </c>
      <c r="K216" s="984" t="str">
        <f>IF(I216="Si",IF(E216=0,"",VLOOKUP(E216,TablasTec!$A$14:$V$771,5,FALSE)),"")</f>
        <v/>
      </c>
      <c r="L216" s="982" t="s">
        <v>1690</v>
      </c>
      <c r="M216" s="1398" t="str">
        <f>IF(E216=0,"",VLOOKUP(E216,TablasTec!$A$14:$V$771,6,FALSE))</f>
        <v/>
      </c>
      <c r="N216" s="985" t="str">
        <f>IF(L216="Si",IF(E216=0,"",VLOOKUP(E216,TablasTec!$A$14:$V$771,6,FALSE)),"")</f>
        <v/>
      </c>
      <c r="O216" s="982" t="s">
        <v>1690</v>
      </c>
      <c r="P216" s="1398" t="str">
        <f>IF(E216=0,"",VLOOKUP(E216,TablasTec!$A$14:$V$771,7,FALSE))</f>
        <v/>
      </c>
      <c r="Q216" s="985" t="str">
        <f>IF(O216="Si",IF(E216=0,"",VLOOKUP(E216,TablasTec!$A$14:$V$771,7,FALSE)),"")</f>
        <v/>
      </c>
      <c r="R216" s="983" t="str">
        <f>IF(E216=0,"",VLOOKUP(E216,TablasTec!$A$14:$V$771,8,FALSE))</f>
        <v/>
      </c>
      <c r="S216" s="981" t="str">
        <f>IF(R216=$D$8,$D$8,IF(R216=2,2,IF(R216=3,3,R216)))</f>
        <v/>
      </c>
      <c r="T216" s="4899" t="s">
        <v>4542</v>
      </c>
      <c r="U216" s="4900"/>
      <c r="V216" s="3180"/>
      <c r="W216" s="4901"/>
      <c r="X216" s="4902"/>
      <c r="Y216" s="4902"/>
      <c r="Z216" s="4902"/>
      <c r="AA216" s="4902"/>
      <c r="AB216" s="4902"/>
      <c r="AC216" s="4902"/>
      <c r="AD216" s="4902"/>
      <c r="AE216" s="4902"/>
      <c r="AF216" s="4903"/>
      <c r="AG216" s="4901"/>
      <c r="AH216" s="4902"/>
      <c r="AI216" s="4902"/>
      <c r="AJ216" s="4902"/>
      <c r="AK216" s="4902"/>
      <c r="AL216" s="4902"/>
      <c r="AM216" s="4902"/>
      <c r="AN216" s="4902"/>
      <c r="AO216" s="4902"/>
      <c r="AP216" s="4903"/>
      <c r="AQ216" s="4901"/>
      <c r="AR216" s="4902"/>
      <c r="AS216" s="4902"/>
      <c r="AT216" s="4902"/>
      <c r="AU216" s="4902"/>
      <c r="AV216" s="4902"/>
      <c r="AW216" s="4902"/>
      <c r="AX216" s="4902"/>
      <c r="AY216" s="4902"/>
      <c r="AZ216" s="4903"/>
      <c r="BA216" s="4901"/>
      <c r="BB216" s="4902"/>
      <c r="BC216" s="4902"/>
      <c r="BD216" s="4902"/>
      <c r="BE216" s="4902"/>
      <c r="BF216" s="4902"/>
      <c r="BG216" s="4902"/>
      <c r="BH216" s="4902"/>
      <c r="BI216" s="4902"/>
      <c r="BJ216" s="4903"/>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IF(I216="Si",VLOOKUP($D$8,TablasTec!$E$4:$F$6,2,FALSE),"")</f>
        <v/>
      </c>
      <c r="BQ216" s="962" t="str">
        <f>IF(L216="Si",VLOOKUP($D$8,TablasTec!$I$4:$J$6,2,FALSE),"")</f>
        <v/>
      </c>
      <c r="BR216" s="960" t="str">
        <f>IF(O216="Si",VLOOKUP($D$8,TablasTec!$I$7:$J$9,2,FALSE),"")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c r="A217" s="922"/>
      <c r="B217" s="922"/>
      <c r="C217" s="4909"/>
      <c r="D217" s="1436" t="s">
        <v>1766</v>
      </c>
      <c r="E217" s="986"/>
      <c r="F217" s="1002"/>
      <c r="G217" s="972" t="str">
        <f>IF(E217=0,"",VLOOKUP(E217,TablasTec!$A$14:$V$771,3,FALSE))</f>
        <v/>
      </c>
      <c r="H217" s="997" t="str">
        <f>IF($E217=0,"",VLOOKUP($E217,TablasTec!$A$14:$V$771,4,FALSE))</f>
        <v/>
      </c>
      <c r="I217" s="970" t="s">
        <v>1690</v>
      </c>
      <c r="J217" s="1401" t="str">
        <f>IF(E217=0,"",VLOOKUP(E217,TablasTec!$A$14:$V$771,5,FALSE))</f>
        <v/>
      </c>
      <c r="K217" s="998" t="str">
        <f>IF(I217="Si",IF(E217=0,"",VLOOKUP(E217,TablasTec!$A$14:$V$771,5,FALSE)),"")</f>
        <v/>
      </c>
      <c r="L217" s="970" t="s">
        <v>1690</v>
      </c>
      <c r="M217" s="1401" t="str">
        <f>IF(E217=0,"",VLOOKUP(E217,TablasTec!$A$14:$V$771,6,FALSE))</f>
        <v/>
      </c>
      <c r="N217" s="973" t="str">
        <f>IF(L217="Si",IF(E217=0,"",VLOOKUP(E217,TablasTec!$A$14:$V$771,6,FALSE)),"")</f>
        <v/>
      </c>
      <c r="O217" s="970" t="s">
        <v>1690</v>
      </c>
      <c r="P217" s="1401" t="str">
        <f>IF(E217=0,"",VLOOKUP(E217,TablasTec!$A$14:$V$771,7,FALSE))</f>
        <v/>
      </c>
      <c r="Q217" s="973" t="str">
        <f>IF(O217="Si",IF(E217=0,"",VLOOKUP(E217,TablasTec!$A$14:$V$771,7,FALSE)),"")</f>
        <v/>
      </c>
      <c r="R217" s="1018" t="str">
        <f>IF(E217=0,"",VLOOKUP(E217,TablasTec!$A$14:$V$771,8,FALSE))</f>
        <v/>
      </c>
      <c r="S217" s="987" t="str">
        <f>IF(R217=$D$8,$D$8,IF(R217=2,2,IF(R217=3,3,R217)))</f>
        <v/>
      </c>
      <c r="T217" s="4890" t="s">
        <v>4544</v>
      </c>
      <c r="U217" s="4891"/>
      <c r="V217" s="3178"/>
      <c r="W217" s="4892"/>
      <c r="X217" s="4893"/>
      <c r="Y217" s="4893"/>
      <c r="Z217" s="4893"/>
      <c r="AA217" s="4893"/>
      <c r="AB217" s="4893"/>
      <c r="AC217" s="4893"/>
      <c r="AD217" s="4893"/>
      <c r="AE217" s="4893"/>
      <c r="AF217" s="4894"/>
      <c r="AG217" s="4892"/>
      <c r="AH217" s="4893"/>
      <c r="AI217" s="4893"/>
      <c r="AJ217" s="4893"/>
      <c r="AK217" s="4893"/>
      <c r="AL217" s="4893"/>
      <c r="AM217" s="4893"/>
      <c r="AN217" s="4893"/>
      <c r="AO217" s="4893"/>
      <c r="AP217" s="4894"/>
      <c r="AQ217" s="4892"/>
      <c r="AR217" s="4893"/>
      <c r="AS217" s="4893"/>
      <c r="AT217" s="4893"/>
      <c r="AU217" s="4893"/>
      <c r="AV217" s="4893"/>
      <c r="AW217" s="4893"/>
      <c r="AX217" s="4893"/>
      <c r="AY217" s="4893"/>
      <c r="AZ217" s="4894"/>
      <c r="BA217" s="4892"/>
      <c r="BB217" s="4893"/>
      <c r="BC217" s="4893"/>
      <c r="BD217" s="4893"/>
      <c r="BE217" s="4893"/>
      <c r="BF217" s="4893"/>
      <c r="BG217" s="4893"/>
      <c r="BH217" s="4893"/>
      <c r="BI217" s="4893"/>
      <c r="BJ217" s="4894"/>
      <c r="BK217" s="997">
        <f>SUM(K213:K217)-SUM(V217:BA217)</f>
        <v>0</v>
      </c>
      <c r="BL217" s="1422"/>
      <c r="BM217" s="1423"/>
      <c r="BN217" s="991"/>
      <c r="BO217" s="992"/>
      <c r="BP217" s="993" t="str">
        <f>IF(I217="Si",VLOOKUP($D$8,TablasTec!$E$4:$F$6,2,FALSE),"")</f>
        <v/>
      </c>
      <c r="BQ217" s="963" t="str">
        <f>IF(L217="Si",VLOOKUP($D$8,TablasTec!$I$4:$J$6,2,FALSE),"")</f>
        <v/>
      </c>
      <c r="BR217" s="994" t="str">
        <f>IF(O217="Si",VLOOKUP($D$8,TablasTec!$I$7:$J$9,2,FALSE),"")</f>
        <v/>
      </c>
      <c r="BS217" s="977"/>
      <c r="BT217" s="3171" t="s">
        <v>1701</v>
      </c>
      <c r="BU217" s="3172" t="s">
        <v>4548</v>
      </c>
      <c r="BV217" s="954"/>
      <c r="BW217" s="3172" t="s">
        <v>4549</v>
      </c>
      <c r="BX217" s="3171"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09"/>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IF(I218="Si",VLOOKUP($D$8,TablasTec!$E$4:$F$6,2,FALSE),"")</f>
        <v/>
      </c>
      <c r="BQ218" s="1013" t="str">
        <f>IF(L218="Si",VLOOKUP($D$8,TablasTec!$I$4:$J$6,2,FALSE),"")</f>
        <v/>
      </c>
      <c r="BR218" s="1011" t="str">
        <f>IF(O218="Si",VLOOKUP($D$8,TablasTec!$I$7:$J$9,2,FALSE),"")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09"/>
      <c r="D219" s="1436" t="s">
        <v>1766</v>
      </c>
      <c r="E219" s="966"/>
      <c r="F219" s="1002"/>
      <c r="G219" s="972" t="str">
        <f>IF(E219=0,"",VLOOKUP(E219,TablasTec!$A$14:$V$771,3,FALSE))</f>
        <v/>
      </c>
      <c r="H219" s="1014" t="str">
        <f>IF($E219=0,"",VLOOKUP($E219,TablasTec!$A$14:$V$771,4,FALSE))</f>
        <v/>
      </c>
      <c r="I219" s="970" t="s">
        <v>1690</v>
      </c>
      <c r="J219" s="1400" t="str">
        <f>IF(E219=0,"",VLOOKUP(E219,TablasTec!$A$14:$V$771,5,FALSE))</f>
        <v/>
      </c>
      <c r="K219" s="1016" t="str">
        <f>IF(I219="Si",IF(E219=0,"",VLOOKUP(E219,TablasTec!$A$14:$V$771,5,FALSE)),"")</f>
        <v/>
      </c>
      <c r="L219" s="970" t="s">
        <v>1690</v>
      </c>
      <c r="M219" s="1400" t="str">
        <f>IF(E219=0,"",VLOOKUP(E219,TablasTec!$A$14:$V$771,6,FALSE))</f>
        <v/>
      </c>
      <c r="N219" s="973" t="str">
        <f>IF(L219="Si",IF(E219=0,"",VLOOKUP(E219,TablasTec!$A$14:$V$771,6,FALSE)),"")</f>
        <v/>
      </c>
      <c r="O219" s="970" t="s">
        <v>1690</v>
      </c>
      <c r="P219" s="1400" t="str">
        <f>IF(E219=0,"",VLOOKUP(E219,TablasTec!$A$14:$V$771,7,FALSE))</f>
        <v/>
      </c>
      <c r="Q219" s="973" t="str">
        <f>IF(O219="Si",IF(E219=0,"",VLOOKUP(E219,TablasTec!$A$14:$V$771,7,FALSE)),"")</f>
        <v/>
      </c>
      <c r="R219" s="1015" t="str">
        <f>IF(E219=0,"",VLOOKUP(E219,TablasTec!$A$14:$V$771,8,FALSE))</f>
        <v/>
      </c>
      <c r="S219" s="987" t="str">
        <f>IF(R219=$D$8,$D$8,IF(R219=2,2,IF(R219=3,3,R219)))</f>
        <v/>
      </c>
      <c r="T219" s="1016" t="str">
        <f>IF(E219=0,"",VLOOKUP(E219,TablasTec!$A$14:$V$771,9,FALSE))</f>
        <v/>
      </c>
      <c r="U219" s="1016" t="str">
        <f>IF(E219=0,"",VLOOKUP(E219,TablasTec!$A$14:$V$771,10,FALSE))</f>
        <v/>
      </c>
      <c r="V219" s="1017" t="str">
        <f>IF(E219=0,"",VLOOKUP(E219,TablasTec!$A$14:$V$771,11,FALSE))</f>
        <v/>
      </c>
      <c r="W219" s="970"/>
      <c r="X219" s="971" t="e">
        <f>VLOOKUP(E219,TablasTec!$A$14:$V$771,12,FALSE)</f>
        <v>#N/A</v>
      </c>
      <c r="Y219" s="971" t="e">
        <f>IF(W219=X219,VLOOKUP(E219,TablasTec!$A$14:$V$771,13,FALSE),0)</f>
        <v>#N/A</v>
      </c>
      <c r="Z219" s="971" t="e">
        <f>VLOOKUP(E219,TablasTec!$A$14:$V$771,14,FALSE)</f>
        <v>#N/A</v>
      </c>
      <c r="AA219" s="971" t="e">
        <f>IF(W219=Z219,VLOOKUP(E219,TablasTec!$A$14:$V$616,15,FALSE),0)</f>
        <v>#N/A</v>
      </c>
      <c r="AB219" s="971" t="e">
        <f>VLOOKUP(E219,TablasTec!$A$14:$V$771,16,FALSE)</f>
        <v>#N/A</v>
      </c>
      <c r="AC219" s="971" t="e">
        <f>IF(W219=AB219,VLOOKUP(E219,TablasTec!$A$14:$V$616,17,FALSE),0)</f>
        <v>#N/A</v>
      </c>
      <c r="AD219" s="971" t="e">
        <f>VLOOKUP(E219,TablasTec!$A$14:$V$771,18,FALSE)</f>
        <v>#N/A</v>
      </c>
      <c r="AE219" s="971" t="e">
        <f>IF(W219=AD219,VLOOKUP(E219,TablasTec!$A$14:$V$771,19,FALSE),0)</f>
        <v>#N/A</v>
      </c>
      <c r="AF219" s="989" t="str">
        <f>IF(E219=0,"",(Y219+AA219+AC219+AE219))</f>
        <v/>
      </c>
      <c r="AG219" s="970"/>
      <c r="AH219" s="988" t="e">
        <f>VLOOKUP(E219,TablasTec!$A$14:$V$771,12,FALSE)</f>
        <v>#N/A</v>
      </c>
      <c r="AI219" s="988" t="e">
        <f>IF(AG219=AH219,VLOOKUP(E219,TablasTec!$A$14:$V$771,13,FALSE),0)</f>
        <v>#N/A</v>
      </c>
      <c r="AJ219" s="988" t="e">
        <f>VLOOKUP(E219,TablasTec!$A$14:$V$771,14,FALSE)</f>
        <v>#N/A</v>
      </c>
      <c r="AK219" s="988" t="e">
        <f>IF(AG219=AJ219,VLOOKUP(E219,TablasTec!$A$14:$V$771,15,FALSE),0)</f>
        <v>#N/A</v>
      </c>
      <c r="AL219" s="988" t="e">
        <f>VLOOKUP(E219,TablasTec!$A$14:$V$771,16,FALSE)</f>
        <v>#N/A</v>
      </c>
      <c r="AM219" s="988" t="e">
        <f>IF(AG219=AL219,VLOOKUP(E219,TablasTec!$A$14:$V$771,17,FALSE),0)</f>
        <v>#N/A</v>
      </c>
      <c r="AN219" s="988" t="e">
        <f>VLOOKUP(E219,TablasTec!$A$14:$V$771,18,FALSE)</f>
        <v>#N/A</v>
      </c>
      <c r="AO219" s="988" t="e">
        <f>IF(AG219=AN219,VLOOKUP(E219,TablasTec!$A$14:$V$771,19,FALSE),0)</f>
        <v>#N/A</v>
      </c>
      <c r="AP219" s="3182" t="str">
        <f>IF(E219=0,"",(AI219+AK219+AM219+AO219))</f>
        <v/>
      </c>
      <c r="AQ219" s="970"/>
      <c r="AR219" s="988" t="e">
        <f>VLOOKUP(E219,TablasTec!$A$14:$V$771,12,FALSE)</f>
        <v>#N/A</v>
      </c>
      <c r="AS219" s="988" t="e">
        <f>IF(AQ219=AR219,VLOOKUP(E219,TablasTec!$A$14:$V$771,13,FALSE),0)</f>
        <v>#N/A</v>
      </c>
      <c r="AT219" s="988" t="e">
        <f>VLOOKUP(E219,TablasTec!$A$14:$V$771,14,FALSE)</f>
        <v>#N/A</v>
      </c>
      <c r="AU219" s="988" t="e">
        <f>IF(AQ219=AT219,VLOOKUP(E219,TablasTec!$A$14:$V$771,15,FALSE),0)</f>
        <v>#N/A</v>
      </c>
      <c r="AV219" s="988" t="e">
        <f>VLOOKUP(E219,TablasTec!$A$14:$V$771,16,FALSE)</f>
        <v>#N/A</v>
      </c>
      <c r="AW219" s="988" t="e">
        <f>IF(AQ219=AV219,VLOOKUP(E219,TablasTec!$A$14:$V$771,17,FALSE),0)</f>
        <v>#N/A</v>
      </c>
      <c r="AX219" s="988" t="e">
        <f>VLOOKUP(E219,TablasTec!$A$14:$V$771,18,FALSE)</f>
        <v>#N/A</v>
      </c>
      <c r="AY219" s="988" t="e">
        <f>IF(AQ219=AX219,VLOOKUP(E219,TablasTec!$A$14:$V$771,19,FALSE),0)</f>
        <v>#N/A</v>
      </c>
      <c r="AZ219" s="989" t="str">
        <f>IF(E219=0,"",(AS219+AU219+AW219+AY219))</f>
        <v/>
      </c>
      <c r="BA219" s="970"/>
      <c r="BB219" s="988" t="e">
        <f>VLOOKUP(E219,TablasTec!$A$14:$V$771,12,FALSE)</f>
        <v>#N/A</v>
      </c>
      <c r="BC219" s="988" t="e">
        <f>IF(BA219=BB219,VLOOKUP(E219,TablasTec!$A$14:$V$771,13,FALSE),0)</f>
        <v>#N/A</v>
      </c>
      <c r="BD219" s="988" t="e">
        <f>VLOOKUP(E219,TablasTec!$A$14:$V$771,14,FALSE)</f>
        <v>#N/A</v>
      </c>
      <c r="BE219" s="988" t="e">
        <f>IF(BA219=BD219,VLOOKUP(E219,TablasTec!$A$14:$V$771,15,FALSE),0)</f>
        <v>#N/A</v>
      </c>
      <c r="BF219" s="988" t="e">
        <f>VLOOKUP(E219,TablasTec!$A$14:$V$771,16,FALSE)</f>
        <v>#N/A</v>
      </c>
      <c r="BG219" s="988" t="e">
        <f>IF(BA219=BF219,VLOOKUP(E219,TablasTec!$A$14:$V$771,17,FALSE),0)</f>
        <v>#N/A</v>
      </c>
      <c r="BH219" s="988" t="e">
        <f>VLOOKUP(E219,TablasTec!$A$14:$V$771,18,FALSE)</f>
        <v>#N/A</v>
      </c>
      <c r="BI219" s="988" t="e">
        <f>IF(BA219=BH219,VLOOKUP(E219,TablasTec!$A$14:$V$771,19,FALSE),0)</f>
        <v>#N/A</v>
      </c>
      <c r="BJ219" s="3182" t="str">
        <f>IF(E219=0,"",(BC219+BE219+BG219+BI219))</f>
        <v/>
      </c>
      <c r="BK219" s="1016" t="str">
        <f>IF(E219=0,"",VLOOKUP(E219,TablasTec!$A$14:$V$771,20,FALSE))</f>
        <v/>
      </c>
      <c r="BL219" s="1003" t="str">
        <f>IF(E219=0,"",VLOOKUP(E219,TablasTec!$A$14:$V$771,21,FALSE))</f>
        <v/>
      </c>
      <c r="BM219" s="974" t="str">
        <f>IF(E219=0,"",VLOOKUP(E219,TablasTec!$A$14:$V$771,22,FALSE))</f>
        <v/>
      </c>
      <c r="BN219" s="975"/>
      <c r="BO219" s="976"/>
      <c r="BP219" s="961" t="str">
        <f>IF(I219="Si",VLOOKUP($D$8,TablasTec!$E$4:$F$6,2,FALSE),"")</f>
        <v/>
      </c>
      <c r="BQ219" s="962" t="str">
        <f>IF(L219="Si",VLOOKUP($D$8,TablasTec!$I$4:$J$6,2,FALSE),"")</f>
        <v/>
      </c>
      <c r="BR219" s="960" t="str">
        <f>IF(O219="Si",VLOOKUP($D$8,TablasTec!$I$7:$J$9,2,FALSE),"")</f>
        <v/>
      </c>
      <c r="BS219" s="977"/>
      <c r="BU219" s="4864"/>
      <c r="BV219" s="4864"/>
      <c r="BW219" s="4864"/>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c r="A220" s="922"/>
      <c r="B220" s="922"/>
      <c r="C220" s="4909"/>
      <c r="D220" s="1435" t="s">
        <v>1766</v>
      </c>
      <c r="E220" s="978"/>
      <c r="F220" s="1008"/>
      <c r="G220" s="1420" t="str">
        <f>IF(E220=0,"",VLOOKUP(E220,TablasTec!$A$14:$V$771,3,FALSE))</f>
        <v/>
      </c>
      <c r="H220" s="981" t="str">
        <f>IF($E220=0,"",VLOOKUP($E220,TablasTec!$A$14:$V$771,4,FALSE))</f>
        <v/>
      </c>
      <c r="I220" s="982" t="s">
        <v>1690</v>
      </c>
      <c r="J220" s="1398" t="str">
        <f>IF(E220=0,"",VLOOKUP(E220,TablasTec!$A$14:$V$771,5,FALSE))</f>
        <v/>
      </c>
      <c r="K220" s="984" t="str">
        <f>IF(I220="Si",IF(E220=0,"",VLOOKUP(E220,TablasTec!$A$14:$V$771,5,FALSE)),"")</f>
        <v/>
      </c>
      <c r="L220" s="982" t="s">
        <v>1690</v>
      </c>
      <c r="M220" s="1398" t="str">
        <f>IF(E220=0,"",VLOOKUP(E220,TablasTec!$A$14:$V$771,6,FALSE))</f>
        <v/>
      </c>
      <c r="N220" s="985" t="str">
        <f>IF(L220="Si",IF(E220=0,"",VLOOKUP(E220,TablasTec!$A$14:$V$771,6,FALSE)),"")</f>
        <v/>
      </c>
      <c r="O220" s="982" t="s">
        <v>1690</v>
      </c>
      <c r="P220" s="1398" t="str">
        <f>IF(E220=0,"",VLOOKUP(E220,TablasTec!$A$14:$V$771,7,FALSE))</f>
        <v/>
      </c>
      <c r="Q220" s="985" t="str">
        <f>IF(O220="Si",IF(E220=0,"",VLOOKUP(E220,TablasTec!$A$14:$V$771,7,FALSE)),"")</f>
        <v/>
      </c>
      <c r="R220" s="983" t="str">
        <f>IF(E220=0,"",VLOOKUP(E220,TablasTec!$A$14:$V$771,8,FALSE))</f>
        <v/>
      </c>
      <c r="S220" s="981" t="str">
        <f>IF(R220=$D$8,$D$8,IF(R220=2,2,IF(R220=3,3,R220)))</f>
        <v/>
      </c>
      <c r="T220" s="4883" t="s">
        <v>4540</v>
      </c>
      <c r="U220" s="4884"/>
      <c r="V220" s="4884"/>
      <c r="W220" s="4884"/>
      <c r="X220" s="4884"/>
      <c r="Y220" s="4884"/>
      <c r="Z220" s="4884"/>
      <c r="AA220" s="4884"/>
      <c r="AB220" s="4884"/>
      <c r="AC220" s="4884"/>
      <c r="AD220" s="4884"/>
      <c r="AE220" s="4884"/>
      <c r="AF220" s="4884"/>
      <c r="AG220" s="4884"/>
      <c r="AH220" s="4884"/>
      <c r="AI220" s="4884"/>
      <c r="AJ220" s="4884"/>
      <c r="AK220" s="4884"/>
      <c r="AL220" s="4884"/>
      <c r="AM220" s="4884"/>
      <c r="AN220" s="4884"/>
      <c r="AO220" s="4884"/>
      <c r="AP220" s="4884"/>
      <c r="AQ220" s="4884"/>
      <c r="AR220" s="4884"/>
      <c r="AS220" s="4884"/>
      <c r="AT220" s="4884"/>
      <c r="AU220" s="4884"/>
      <c r="AV220" s="4884"/>
      <c r="AW220" s="4884"/>
      <c r="AX220" s="4884"/>
      <c r="AY220" s="4884"/>
      <c r="AZ220" s="4884"/>
      <c r="BA220" s="4884"/>
      <c r="BB220" s="4884"/>
      <c r="BC220" s="4884"/>
      <c r="BD220" s="4884"/>
      <c r="BE220" s="4884"/>
      <c r="BF220" s="4884"/>
      <c r="BG220" s="4884"/>
      <c r="BH220" s="4884"/>
      <c r="BI220" s="4884"/>
      <c r="BJ220" s="4884"/>
      <c r="BK220" s="4885"/>
      <c r="BL220" s="1420"/>
      <c r="BM220" s="1421"/>
      <c r="BN220" s="975"/>
      <c r="BO220" s="976"/>
      <c r="BP220" s="961" t="str">
        <f>IF(I220="Si",VLOOKUP($D$8,TablasTec!$E$4:$F$6,2,FALSE),"")</f>
        <v/>
      </c>
      <c r="BQ220" s="962" t="str">
        <f>IF(L220="Si",VLOOKUP($D$8,TablasTec!$I$4:$J$6,2,FALSE),"")</f>
        <v/>
      </c>
      <c r="BR220" s="960" t="str">
        <f>IF(O220="Si",VLOOKUP($D$8,TablasTec!$I$7:$J$9,2,FALSE),"")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c r="A221" s="922"/>
      <c r="B221" s="922"/>
      <c r="C221" s="4909"/>
      <c r="D221" s="1436" t="s">
        <v>1766</v>
      </c>
      <c r="E221" s="986"/>
      <c r="F221" s="1002"/>
      <c r="G221" s="972" t="str">
        <f>IF(E221=0,"",VLOOKUP(E221,TablasTec!$A$14:$V$771,3,FALSE))</f>
        <v/>
      </c>
      <c r="H221" s="3181" t="str">
        <f>IF($E221=0,"",VLOOKUP($E221,TablasTec!$A$14:$V$771,4,FALSE))</f>
        <v/>
      </c>
      <c r="I221" s="970" t="s">
        <v>1690</v>
      </c>
      <c r="J221" s="1394" t="str">
        <f>IF(E221=0,"",VLOOKUP(E221,TablasTec!$A$14:$V$771,5,FALSE))</f>
        <v/>
      </c>
      <c r="K221" s="989" t="str">
        <f>IF(I221="Si",IF(E221=0,"",VLOOKUP(E221,TablasTec!$A$14:$V$771,5,FALSE)),"")</f>
        <v/>
      </c>
      <c r="L221" s="970" t="s">
        <v>1690</v>
      </c>
      <c r="M221" s="1394" t="str">
        <f>IF(E221=0,"",VLOOKUP(E221,TablasTec!$A$14:$V$771,6,FALSE))</f>
        <v/>
      </c>
      <c r="N221" s="973" t="str">
        <f>IF(L221="Si",IF(E221=0,"",VLOOKUP(E221,TablasTec!$A$14:$V$771,6,FALSE)),"")</f>
        <v/>
      </c>
      <c r="O221" s="970" t="s">
        <v>1690</v>
      </c>
      <c r="P221" s="1394" t="str">
        <f>IF(E221=0,"",VLOOKUP(E221,TablasTec!$A$14:$V$771,7,FALSE))</f>
        <v/>
      </c>
      <c r="Q221" s="973" t="str">
        <f>IF(O221="Si",IF(E221=0,"",VLOOKUP(E221,TablasTec!$A$14:$V$771,7,FALSE)),"")</f>
        <v/>
      </c>
      <c r="R221" s="988" t="str">
        <f>IF(E221=0,"",VLOOKUP(E221,TablasTec!$A$14:$V$771,8,FALSE))</f>
        <v/>
      </c>
      <c r="S221" s="3181" t="str">
        <f>IF(R221=$D$8,$D$8,IF(R221=2,2,IF(R221=3,3,R221)))</f>
        <v/>
      </c>
      <c r="T221" s="4896"/>
      <c r="U221" s="4897"/>
      <c r="V221" s="3179" t="str">
        <f>IF(OR(V219=0,V219=""),"N/A",V219)</f>
        <v>N/A</v>
      </c>
      <c r="W221" s="4896" t="str">
        <f xml:space="preserve"> IF(OR(AF219=0,AF219=""),"N/A",W219)</f>
        <v>N/A</v>
      </c>
      <c r="X221" s="4898"/>
      <c r="Y221" s="4898"/>
      <c r="Z221" s="4898"/>
      <c r="AA221" s="4898"/>
      <c r="AB221" s="4898"/>
      <c r="AC221" s="4898"/>
      <c r="AD221" s="4898"/>
      <c r="AE221" s="4898"/>
      <c r="AF221" s="4897"/>
      <c r="AG221" s="4896" t="str">
        <f xml:space="preserve"> IF(OR(AP219="",AP219=0),"N/A",AG219)</f>
        <v>N/A</v>
      </c>
      <c r="AH221" s="4898"/>
      <c r="AI221" s="4898"/>
      <c r="AJ221" s="4898"/>
      <c r="AK221" s="4898"/>
      <c r="AL221" s="4898"/>
      <c r="AM221" s="4898"/>
      <c r="AN221" s="4898"/>
      <c r="AO221" s="4898"/>
      <c r="AP221" s="4897"/>
      <c r="AQ221" s="4896" t="str">
        <f xml:space="preserve"> IF(OR(AZ219="",AZ219=0),"N/A",AQ219)</f>
        <v>N/A</v>
      </c>
      <c r="AR221" s="4898"/>
      <c r="AS221" s="4898"/>
      <c r="AT221" s="4898"/>
      <c r="AU221" s="4898"/>
      <c r="AV221" s="4898"/>
      <c r="AW221" s="4898"/>
      <c r="AX221" s="4898"/>
      <c r="AY221" s="4898"/>
      <c r="AZ221" s="4897"/>
      <c r="BA221" s="4896" t="str">
        <f xml:space="preserve"> IF(OR(BJ219="",BJ219=0),"N/A",BA219)</f>
        <v>N/A</v>
      </c>
      <c r="BB221" s="4898"/>
      <c r="BC221" s="4898"/>
      <c r="BD221" s="4898"/>
      <c r="BE221" s="4898"/>
      <c r="BF221" s="4898"/>
      <c r="BG221" s="4898"/>
      <c r="BH221" s="4898"/>
      <c r="BI221" s="4898"/>
      <c r="BJ221" s="4897"/>
      <c r="BK221" s="990" t="s">
        <v>4541</v>
      </c>
      <c r="BL221" s="972"/>
      <c r="BM221" s="1007"/>
      <c r="BN221" s="991"/>
      <c r="BO221" s="992"/>
      <c r="BP221" s="993" t="str">
        <f>IF(I221="Si",VLOOKUP($D$8,TablasTec!$E$4:$F$6,2,FALSE),"")</f>
        <v/>
      </c>
      <c r="BQ221" s="963" t="str">
        <f>IF(L221="Si",VLOOKUP($D$8,TablasTec!$I$4:$J$6,2,FALSE),"")</f>
        <v/>
      </c>
      <c r="BR221" s="994" t="str">
        <f>IF(O221="Si",VLOOKUP($D$8,TablasTec!$I$7:$J$9,2,FALSE),"")</f>
        <v/>
      </c>
      <c r="BS221" s="977"/>
      <c r="BU221" s="4863"/>
      <c r="BV221" s="4863"/>
      <c r="BW221" s="4863"/>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c r="A222" s="922"/>
      <c r="B222" s="922"/>
      <c r="C222" s="4909"/>
      <c r="D222" s="1435" t="s">
        <v>1766</v>
      </c>
      <c r="E222" s="978"/>
      <c r="F222" s="1008"/>
      <c r="G222" s="1420" t="str">
        <f>IF(E222=0,"",VLOOKUP(E222,TablasTec!$A$14:$V$771,3,FALSE))</f>
        <v/>
      </c>
      <c r="H222" s="981" t="str">
        <f>IF($E222=0,"",VLOOKUP($E222,TablasTec!$A$14:$V$771,4,FALSE))</f>
        <v/>
      </c>
      <c r="I222" s="982" t="s">
        <v>1690</v>
      </c>
      <c r="J222" s="1398" t="str">
        <f>IF(E222=0,"",VLOOKUP(E222,TablasTec!$A$14:$V$771,5,FALSE))</f>
        <v/>
      </c>
      <c r="K222" s="984" t="str">
        <f>IF(I222="Si",IF(E222=0,"",VLOOKUP(E222,TablasTec!$A$14:$V$771,5,FALSE)),"")</f>
        <v/>
      </c>
      <c r="L222" s="982" t="s">
        <v>1690</v>
      </c>
      <c r="M222" s="1398" t="str">
        <f>IF(E222=0,"",VLOOKUP(E222,TablasTec!$A$14:$V$771,6,FALSE))</f>
        <v/>
      </c>
      <c r="N222" s="985" t="str">
        <f>IF(L222="Si",IF(E222=0,"",VLOOKUP(E222,TablasTec!$A$14:$V$771,6,FALSE)),"")</f>
        <v/>
      </c>
      <c r="O222" s="982" t="s">
        <v>1690</v>
      </c>
      <c r="P222" s="1398" t="str">
        <f>IF(E222=0,"",VLOOKUP(E222,TablasTec!$A$14:$V$771,7,FALSE))</f>
        <v/>
      </c>
      <c r="Q222" s="985" t="str">
        <f>IF(O222="Si",IF(E222=0,"",VLOOKUP(E222,TablasTec!$A$14:$V$771,7,FALSE)),"")</f>
        <v/>
      </c>
      <c r="R222" s="983" t="str">
        <f>IF(E222=0,"",VLOOKUP(E222,TablasTec!$A$14:$V$771,8,FALSE))</f>
        <v/>
      </c>
      <c r="S222" s="981" t="str">
        <f>IF(R222=$D$8,$D$8,IF(R222=2,2,IF(R222=3,3,R222)))</f>
        <v/>
      </c>
      <c r="T222" s="4899" t="s">
        <v>4542</v>
      </c>
      <c r="U222" s="4900"/>
      <c r="V222" s="3180"/>
      <c r="W222" s="4901"/>
      <c r="X222" s="4902"/>
      <c r="Y222" s="4902"/>
      <c r="Z222" s="4902"/>
      <c r="AA222" s="4902"/>
      <c r="AB222" s="4902"/>
      <c r="AC222" s="4902"/>
      <c r="AD222" s="4902"/>
      <c r="AE222" s="4902"/>
      <c r="AF222" s="4903"/>
      <c r="AG222" s="4901"/>
      <c r="AH222" s="4902"/>
      <c r="AI222" s="4902"/>
      <c r="AJ222" s="4902"/>
      <c r="AK222" s="4902"/>
      <c r="AL222" s="4902"/>
      <c r="AM222" s="4902"/>
      <c r="AN222" s="4902"/>
      <c r="AO222" s="4902"/>
      <c r="AP222" s="4903"/>
      <c r="AQ222" s="4901"/>
      <c r="AR222" s="4902"/>
      <c r="AS222" s="4902"/>
      <c r="AT222" s="4902"/>
      <c r="AU222" s="4902"/>
      <c r="AV222" s="4902"/>
      <c r="AW222" s="4902"/>
      <c r="AX222" s="4902"/>
      <c r="AY222" s="4902"/>
      <c r="AZ222" s="4903"/>
      <c r="BA222" s="4901"/>
      <c r="BB222" s="4902"/>
      <c r="BC222" s="4902"/>
      <c r="BD222" s="4902"/>
      <c r="BE222" s="4902"/>
      <c r="BF222" s="4902"/>
      <c r="BG222" s="4902"/>
      <c r="BH222" s="4902"/>
      <c r="BI222" s="4902"/>
      <c r="BJ222" s="4903"/>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IF(I222="Si",VLOOKUP($D$8,TablasTec!$E$4:$F$6,2,FALSE),"")</f>
        <v/>
      </c>
      <c r="BQ222" s="962" t="str">
        <f>IF(L222="Si",VLOOKUP($D$8,TablasTec!$I$4:$J$6,2,FALSE),"")</f>
        <v/>
      </c>
      <c r="BR222" s="960" t="str">
        <f>IF(O222="Si",VLOOKUP($D$8,TablasTec!$I$7:$J$9,2,FALSE),"")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c r="A223" s="922"/>
      <c r="B223" s="922"/>
      <c r="C223" s="4909"/>
      <c r="D223" s="1436" t="s">
        <v>1766</v>
      </c>
      <c r="E223" s="986"/>
      <c r="F223" s="1002"/>
      <c r="G223" s="972" t="str">
        <f>IF(E223=0,"",VLOOKUP(E223,TablasTec!$A$14:$V$771,3,FALSE))</f>
        <v/>
      </c>
      <c r="H223" s="987" t="str">
        <f>IF($E223=0,"",VLOOKUP($E223,TablasTec!$A$14:$V$771,4,FALSE))</f>
        <v/>
      </c>
      <c r="I223" s="970" t="s">
        <v>1690</v>
      </c>
      <c r="J223" s="1394" t="str">
        <f>IF(E223=0,"",VLOOKUP(E223,TablasTec!$A$14:$V$771,5,FALSE))</f>
        <v/>
      </c>
      <c r="K223" s="989" t="str">
        <f>IF(I223="Si",IF(E223=0,"",VLOOKUP(E223,TablasTec!$A$14:$V$771,5,FALSE)),"")</f>
        <v/>
      </c>
      <c r="L223" s="970" t="s">
        <v>1690</v>
      </c>
      <c r="M223" s="1394" t="str">
        <f>IF(E223=0,"",VLOOKUP(E223,TablasTec!$A$14:$V$771,6,FALSE))</f>
        <v/>
      </c>
      <c r="N223" s="973" t="str">
        <f>IF(L223="Si",IF(E223=0,"",VLOOKUP(E223,TablasTec!$A$14:$V$771,6,FALSE)),"")</f>
        <v/>
      </c>
      <c r="O223" s="970" t="s">
        <v>1690</v>
      </c>
      <c r="P223" s="1394" t="str">
        <f>IF(E223=0,"",VLOOKUP(E223,TablasTec!$A$14:$V$771,7,FALSE))</f>
        <v/>
      </c>
      <c r="Q223" s="973" t="str">
        <f>IF(O223="Si",IF(E223=0,"",VLOOKUP(E223,TablasTec!$A$14:$V$771,7,FALSE)),"")</f>
        <v/>
      </c>
      <c r="R223" s="988" t="str">
        <f>IF(E223=0,"",VLOOKUP(E223,TablasTec!$A$14:$V$771,8,FALSE))</f>
        <v/>
      </c>
      <c r="S223" s="987" t="str">
        <f>IF(R223=$D$8,$D$8,IF(R223=2,2,IF(R223=3,3,R223)))</f>
        <v/>
      </c>
      <c r="T223" s="4904" t="s">
        <v>4544</v>
      </c>
      <c r="U223" s="4905"/>
      <c r="V223" s="3183"/>
      <c r="W223" s="4906"/>
      <c r="X223" s="4907"/>
      <c r="Y223" s="4907"/>
      <c r="Z223" s="4907"/>
      <c r="AA223" s="4907"/>
      <c r="AB223" s="4907"/>
      <c r="AC223" s="4907"/>
      <c r="AD223" s="4907"/>
      <c r="AE223" s="4907"/>
      <c r="AF223" s="4908"/>
      <c r="AG223" s="4906"/>
      <c r="AH223" s="4907"/>
      <c r="AI223" s="4907"/>
      <c r="AJ223" s="4907"/>
      <c r="AK223" s="4907"/>
      <c r="AL223" s="4907"/>
      <c r="AM223" s="4907"/>
      <c r="AN223" s="4907"/>
      <c r="AO223" s="4907"/>
      <c r="AP223" s="4908"/>
      <c r="AQ223" s="4906"/>
      <c r="AR223" s="4907"/>
      <c r="AS223" s="4907"/>
      <c r="AT223" s="4907"/>
      <c r="AU223" s="4907"/>
      <c r="AV223" s="4907"/>
      <c r="AW223" s="4907"/>
      <c r="AX223" s="4907"/>
      <c r="AY223" s="4907"/>
      <c r="AZ223" s="4908"/>
      <c r="BA223" s="4906"/>
      <c r="BB223" s="4907"/>
      <c r="BC223" s="4907"/>
      <c r="BD223" s="4907"/>
      <c r="BE223" s="4907"/>
      <c r="BF223" s="4907"/>
      <c r="BG223" s="4907"/>
      <c r="BH223" s="4907"/>
      <c r="BI223" s="4907"/>
      <c r="BJ223" s="4908"/>
      <c r="BK223" s="987">
        <f>SUM(K219:K223)-SUM(V223:BA223)</f>
        <v>0</v>
      </c>
      <c r="BL223" s="972"/>
      <c r="BM223" s="1007"/>
      <c r="BN223" s="991"/>
      <c r="BO223" s="992"/>
      <c r="BP223" s="993" t="str">
        <f>IF(I223="Si",VLOOKUP($D$8,TablasTec!$E$4:$F$6,2,FALSE),"")</f>
        <v/>
      </c>
      <c r="BQ223" s="963" t="str">
        <f>IF(L223="Si",VLOOKUP($D$8,TablasTec!$I$4:$J$6,2,FALSE),"")</f>
        <v/>
      </c>
      <c r="BR223" s="994" t="str">
        <f>IF(O223="Si",VLOOKUP($D$8,TablasTec!$I$7:$J$9,2,FALSE),"")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c r="A224" s="922"/>
      <c r="B224" s="922"/>
      <c r="C224" s="4909"/>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89"/>
      <c r="BL224" s="4889"/>
      <c r="BM224" s="4854"/>
      <c r="BN224" s="960">
        <f>SUM(K224:K227)</f>
        <v>0</v>
      </c>
      <c r="BO224" s="954">
        <f>IF(E224=0,"",(AF224+AP224+AZ224+BJ224))</f>
        <v>0</v>
      </c>
      <c r="BP224" s="961" t="str">
        <f>IF(I224="Si",VLOOKUP($D$8,TablasTec!$E$4:$F$6,2,FALSE),"")</f>
        <v/>
      </c>
      <c r="BQ224" s="962" t="str">
        <f>IF(L224="Si",VLOOKUP($D$8,TablasTec!$I$4:$J$6,2,FALSE),"")</f>
        <v/>
      </c>
      <c r="BR224" s="960" t="str">
        <f>IF(O224="Si",VLOOKUP($D$8,TablasTec!$I$7:$J$9,2,FALSE),"")</f>
        <v/>
      </c>
      <c r="BS224" s="977"/>
      <c r="BT224" s="4853" t="s">
        <v>4553</v>
      </c>
      <c r="BU224" s="4854"/>
      <c r="BV224" s="954"/>
      <c r="BW224" s="934"/>
      <c r="BX224" s="934"/>
      <c r="BY224" s="1269"/>
      <c r="BZ224" s="1287"/>
      <c r="CA224" s="922"/>
      <c r="DR224" s="922"/>
      <c r="DT224" s="1308"/>
      <c r="DU224" s="1360"/>
      <c r="DV224" s="1360"/>
      <c r="DW224" s="1360"/>
      <c r="DX224" s="1360"/>
      <c r="DY224" s="1307"/>
      <c r="DZ224" s="922"/>
      <c r="EA224" s="1453">
        <f t="shared" si="3"/>
        <v>1</v>
      </c>
    </row>
    <row r="225" spans="1:132" ht="12">
      <c r="A225" s="922"/>
      <c r="B225" s="922"/>
      <c r="C225" s="4909"/>
      <c r="D225" s="1439" t="s">
        <v>4552</v>
      </c>
      <c r="E225" s="966"/>
      <c r="F225" s="989"/>
      <c r="G225" s="989"/>
      <c r="H225" s="987" t="str">
        <f>IF(D193=0,"",IF(E225=0,"",VLOOKUP(E225,TablasTec!$A$14:$V$771,4,FALSE)))</f>
        <v/>
      </c>
      <c r="I225" s="989"/>
      <c r="J225" s="989"/>
      <c r="K225" s="1021"/>
      <c r="L225" s="989"/>
      <c r="M225" s="989"/>
      <c r="N225" s="1021"/>
      <c r="O225" s="989"/>
      <c r="P225" s="989"/>
      <c r="Q225" s="989"/>
      <c r="R225" s="988" t="str">
        <f>IF(E225=0,"",VLOOKUP(E225,TablasTec!$A$14:$V$771,8,FALSE))</f>
        <v/>
      </c>
      <c r="S225" s="1014" t="str">
        <f>IF(R225=$D$8,$D$8,IF(R225=2,2,IF(R225=3,3,R225)))</f>
        <v/>
      </c>
      <c r="T225" s="989" t="str">
        <f>IF(E225=0,"",VLOOKUP(E225,TablasTec!$A$14:$V$771,9,FALSE))</f>
        <v/>
      </c>
      <c r="U225" s="1016" t="str">
        <f>IF(E225=0,"",VLOOKUP(E225,TablasTec!$A$14:$V$771,10,FALSE))</f>
        <v/>
      </c>
      <c r="V225" s="1017"/>
      <c r="W225" s="1017"/>
      <c r="X225" s="1016"/>
      <c r="Y225" s="1016"/>
      <c r="Z225" s="1016"/>
      <c r="AA225" s="1016"/>
      <c r="AB225" s="1016"/>
      <c r="AC225" s="1016"/>
      <c r="AD225" s="1016"/>
      <c r="AE225" s="1016"/>
      <c r="AF225" s="1016"/>
      <c r="AG225" s="4886" t="str">
        <f>IF(OR(E225=TablasTec!A$678,E225=TablasTec!A$679,E226=TablasTec!A$678,E226=TablasTec!A$679,E227=TablasTec!A$678,E227=TablasTec!A$679),"Selecciona la atadura elemental:","")</f>
        <v/>
      </c>
      <c r="AH225" s="4887"/>
      <c r="AI225" s="4887"/>
      <c r="AJ225" s="4887"/>
      <c r="AK225" s="4887"/>
      <c r="AL225" s="4887"/>
      <c r="AM225" s="4887"/>
      <c r="AN225" s="4887"/>
      <c r="AO225" s="4887"/>
      <c r="AP225" s="4887"/>
      <c r="AQ225" s="4887"/>
      <c r="AR225" s="4887"/>
      <c r="AS225" s="4887"/>
      <c r="AT225" s="4887"/>
      <c r="AU225" s="4887"/>
      <c r="AV225" s="4887"/>
      <c r="AW225" s="4887"/>
      <c r="AX225" s="4887"/>
      <c r="AY225" s="4887"/>
      <c r="AZ225" s="4887"/>
      <c r="BA225" s="4887"/>
      <c r="BB225" s="4887"/>
      <c r="BC225" s="4887"/>
      <c r="BD225" s="4887"/>
      <c r="BE225" s="4887"/>
      <c r="BF225" s="4887"/>
      <c r="BG225" s="4887"/>
      <c r="BH225" s="4887"/>
      <c r="BI225" s="4887"/>
      <c r="BJ225" s="4887"/>
      <c r="BK225" s="4888"/>
      <c r="BL225" s="1424"/>
      <c r="BM225" s="1424"/>
      <c r="BN225" s="989"/>
      <c r="BO225" s="989"/>
      <c r="BP225" s="1021"/>
      <c r="BQ225" s="989"/>
      <c r="BR225" s="989"/>
      <c r="BS225" s="989"/>
      <c r="BT225" s="4855">
        <f>D193</f>
        <v>1</v>
      </c>
      <c r="BU225" s="4856"/>
      <c r="BV225" s="954">
        <f>IF(BV224=0,0,VLOOKUP(BV224,TablasTec!$M$4:$N$7,2,FALSE))</f>
        <v>0</v>
      </c>
      <c r="BW225" s="934"/>
      <c r="BX225" s="934"/>
      <c r="BY225" s="1269"/>
      <c r="BZ225" s="1287"/>
      <c r="CA225" s="922"/>
      <c r="DR225" s="922"/>
      <c r="DT225" s="1308"/>
      <c r="DU225" s="1360"/>
      <c r="DV225" s="1360"/>
      <c r="DW225" s="1360"/>
      <c r="DX225" s="1360"/>
      <c r="DY225" s="1307"/>
      <c r="DZ225" s="922"/>
      <c r="EA225" s="1453">
        <f t="shared" si="3"/>
        <v>1</v>
      </c>
    </row>
    <row r="226" spans="1:132">
      <c r="A226" s="922"/>
      <c r="B226" s="922"/>
      <c r="C226" s="4909"/>
      <c r="D226" s="1435" t="s">
        <v>4554</v>
      </c>
      <c r="E226" s="1022"/>
      <c r="F226" s="1388"/>
      <c r="G226" s="1389"/>
      <c r="H226" s="979" t="str">
        <f>IF(VALUE(D193)&gt;1,IF(E226=0,"",VLOOKUP(E226,TablasTec!$A$14:$V$771,4,FALSE)),"")</f>
        <v/>
      </c>
      <c r="I226" s="1388"/>
      <c r="J226" s="1389"/>
      <c r="K226" s="1389"/>
      <c r="L226" s="1388"/>
      <c r="M226" s="1389"/>
      <c r="N226" s="1390"/>
      <c r="O226" s="1389"/>
      <c r="P226" s="1389"/>
      <c r="Q226" s="1389"/>
      <c r="R226" s="983" t="str">
        <f>IF(E226=0,"",VLOOKUP(E226,TablasTec!$A$14:$V$771,8,FALSE))</f>
        <v/>
      </c>
      <c r="S226" s="981" t="str">
        <f>IF(R226=$D$8,$D$8,IF(R226=2,2,IF(R226=3,3,R226)))</f>
        <v/>
      </c>
      <c r="T226" s="984" t="str">
        <f>IF(E226=0,"",VLOOKUP(E226,TablasTec!$A$14:$V$771,9,FALSE))</f>
        <v/>
      </c>
      <c r="U226" s="984" t="str">
        <f>IF(E226=0,"",VLOOKUP(E226,TablasTec!$A$14:$V$771,10,FALSE))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c r="A227" s="922"/>
      <c r="B227" s="922"/>
      <c r="C227" s="4909"/>
      <c r="D227" s="1440" t="s">
        <v>4555</v>
      </c>
      <c r="E227" s="1023"/>
      <c r="F227" s="3176"/>
      <c r="G227" s="998"/>
      <c r="H227" s="997" t="str">
        <f>IF(VALUE(D193)=3,IF(E227=0,"",VLOOKUP(E227,TablasTec!$A$14:$V$771,4,FALSE)),"")</f>
        <v/>
      </c>
      <c r="I227" s="998"/>
      <c r="J227" s="998"/>
      <c r="K227" s="998"/>
      <c r="L227" s="3176"/>
      <c r="M227" s="998"/>
      <c r="N227" s="998"/>
      <c r="O227" s="3176"/>
      <c r="P227" s="998"/>
      <c r="Q227" s="998"/>
      <c r="R227" s="1018" t="str">
        <f>IF(E227=0,"",VLOOKUP(E227,TablasTec!$A$14:$V$771,8,FALSE))</f>
        <v/>
      </c>
      <c r="S227" s="997" t="str">
        <f>IF(R227=$D$8,$D$8,IF(R227=2,2,IF(R227=3,3,R227)))</f>
        <v/>
      </c>
      <c r="T227" s="998" t="str">
        <f>IF(E227=0,"",VLOOKUP(E227,TablasTec!$A$14:$V$771,9,FALSE))</f>
        <v/>
      </c>
      <c r="U227" s="998" t="str">
        <f>IF(E227=0,"",VLOOKUP(E227,TablasTec!$A$14:$V$771,10,FALSE))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IF(BV226=0,0,VLOOKUP(BV226,TablasTec!$M$4:$N$7,2,FALSE))</f>
        <v>0</v>
      </c>
      <c r="BW227" s="934"/>
      <c r="BX227" s="934"/>
      <c r="BY227" s="1269"/>
      <c r="BZ227" s="1287"/>
      <c r="CA227" s="926"/>
      <c r="DR227" s="926"/>
      <c r="DT227" s="1311"/>
      <c r="DU227" s="1416"/>
      <c r="DV227" s="1416"/>
      <c r="DW227" s="1416"/>
      <c r="DX227" s="1416"/>
      <c r="DY227" s="1312"/>
      <c r="DZ227" s="926"/>
      <c r="EA227" s="1453">
        <f t="shared" si="3"/>
        <v>1</v>
      </c>
    </row>
    <row r="228" spans="1:132">
      <c r="A228" s="926"/>
      <c r="B228" s="926"/>
      <c r="C228" s="4909"/>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c r="A229" s="922"/>
      <c r="B229" s="922"/>
      <c r="C229" s="4909"/>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c r="A230" s="922"/>
      <c r="B230" s="922"/>
      <c r="C230" s="4909"/>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3175" t="s">
        <v>1708</v>
      </c>
      <c r="U230" s="3175" t="s">
        <v>1679</v>
      </c>
      <c r="V230" s="3175" t="s">
        <v>3335</v>
      </c>
      <c r="W230" s="4881" t="s">
        <v>3336</v>
      </c>
      <c r="X230" s="4881"/>
      <c r="Y230" s="4881"/>
      <c r="Z230" s="4881"/>
      <c r="AA230" s="4881"/>
      <c r="AB230" s="4881"/>
      <c r="AC230" s="4881"/>
      <c r="AD230" s="4881"/>
      <c r="AE230" s="4881"/>
      <c r="AF230" s="4881"/>
      <c r="AG230" s="4881"/>
      <c r="AH230" s="4881"/>
      <c r="AI230" s="4881"/>
      <c r="AJ230" s="4881"/>
      <c r="AK230" s="4881"/>
      <c r="AL230" s="4881"/>
      <c r="AM230" s="4881"/>
      <c r="AN230" s="4881"/>
      <c r="AO230" s="4881"/>
      <c r="AP230" s="4881"/>
      <c r="AQ230" s="4881"/>
      <c r="AR230" s="4881"/>
      <c r="AS230" s="4881"/>
      <c r="AT230" s="4881"/>
      <c r="AU230" s="4881"/>
      <c r="AV230" s="4881"/>
      <c r="AW230" s="4881"/>
      <c r="AX230" s="4881"/>
      <c r="AY230" s="4881"/>
      <c r="AZ230" s="4881"/>
      <c r="BA230" s="4881"/>
      <c r="BB230" s="4881"/>
      <c r="BC230" s="4881"/>
      <c r="BD230" s="4881"/>
      <c r="BE230" s="4881"/>
      <c r="BF230" s="4881"/>
      <c r="BG230" s="4881"/>
      <c r="BH230" s="4881"/>
      <c r="BI230" s="4881"/>
      <c r="BJ230" s="4881"/>
      <c r="BK230" s="4881" t="s">
        <v>3337</v>
      </c>
      <c r="BL230" s="4881"/>
      <c r="BM230" s="4882"/>
      <c r="BN230" s="952" t="s">
        <v>4532</v>
      </c>
      <c r="BO230" s="952" t="s">
        <v>4533</v>
      </c>
      <c r="BP230" s="952" t="s">
        <v>4534</v>
      </c>
      <c r="BQ230" s="952" t="s">
        <v>4535</v>
      </c>
      <c r="BR230" s="952" t="s">
        <v>4536</v>
      </c>
      <c r="BS230" s="953" t="s">
        <v>4537</v>
      </c>
      <c r="BT230" s="4857" t="s">
        <v>4538</v>
      </c>
      <c r="BU230" s="4858"/>
      <c r="BV230" s="954"/>
      <c r="BW230" s="934"/>
      <c r="BX230" s="934"/>
      <c r="BY230" s="1269"/>
      <c r="BZ230" s="1287"/>
      <c r="CA230" s="922"/>
      <c r="DR230" s="922"/>
      <c r="DT230" s="1308"/>
      <c r="DU230" s="1360"/>
      <c r="DV230" s="1360"/>
      <c r="DW230" s="1360"/>
      <c r="DX230" s="1360"/>
      <c r="DY230" s="1307"/>
      <c r="DZ230" s="922"/>
      <c r="EB230" s="2127">
        <f>D230</f>
        <v>1</v>
      </c>
    </row>
    <row r="231" spans="1:13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09"/>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IF(I231="Si",VLOOKUP($D$8,TablasTec!$E$4:$F$6,2,FALSE),"")</f>
        <v/>
      </c>
      <c r="BQ231" s="962" t="str">
        <f>IF(L231="Si",VLOOKUP($D$8,TablasTec!$I$4:$J$6,2,FALSE),"")</f>
        <v/>
      </c>
      <c r="BR231" s="960" t="str">
        <f>IF(O231="Si",VLOOKUP($D$8,TablasTec!$I$7:$J$9,2,FALSE),"")</f>
        <v/>
      </c>
      <c r="BS231" s="963">
        <f>VLOOKUP(D230,TablasTec!$P$6:$R$8,3)</f>
        <v>50</v>
      </c>
      <c r="BT231" s="964">
        <f>VLOOKUP(D230,TablasTec!$P$6:$R$8,3,FALSE)</f>
        <v>50</v>
      </c>
      <c r="BU231" s="965">
        <f>VLOOKUP(D230,TablasTec!$P$6:$R$8,2,FALSE)</f>
        <v>20</v>
      </c>
      <c r="BV231" s="954">
        <f>IF(D230=0,"",VLOOKUP(D230,TablasTec!$L$4:$N$7,2,FALSE))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09"/>
      <c r="D232" s="1436" t="s">
        <v>1766</v>
      </c>
      <c r="E232" s="966"/>
      <c r="F232" s="967" t="str">
        <f>IF(E232=0,"",VLOOKUP(E232,TablasTec!$A$14:$V$771,2,FALSE))</f>
        <v/>
      </c>
      <c r="G232" s="968"/>
      <c r="H232" s="969" t="str">
        <f>IF($E232=0,"",VLOOKUP($E232,TablasTec!$A$14:$V$771,4,FALSE))</f>
        <v/>
      </c>
      <c r="I232" s="970" t="s">
        <v>1690</v>
      </c>
      <c r="J232" s="1395" t="str">
        <f>IF(E232=0,"",VLOOKUP(E232,TablasTec!$A$14:$V$771,5,FALSE))</f>
        <v/>
      </c>
      <c r="K232" s="972" t="str">
        <f>IF(I232="Si",IF(E232=0,"",VLOOKUP(E232,TablasTec!$A$14:$V$771,5,FALSE)),"")</f>
        <v/>
      </c>
      <c r="L232" s="970" t="s">
        <v>1690</v>
      </c>
      <c r="M232" s="1395" t="str">
        <f>IF(E232=0,"",VLOOKUP(E232,TablasTec!$A$14:$V$771,6,FALSE))</f>
        <v/>
      </c>
      <c r="N232" s="973" t="str">
        <f>IF(L232="Si",IF(E232=0,"",VLOOKUP(E232,TablasTec!$A$14:$V$771,6,FALSE)),"")</f>
        <v/>
      </c>
      <c r="O232" s="970" t="s">
        <v>1690</v>
      </c>
      <c r="P232" s="1395" t="str">
        <f>IF(E232=0,"",VLOOKUP(E232,TablasTec!$A$14:$V$771,7,FALSE))</f>
        <v/>
      </c>
      <c r="Q232" s="973" t="str">
        <f>IF(O232="Si",IF(E232=0,"",VLOOKUP(E232,TablasTec!$A$14:$V$771,7,FALSE)),"")</f>
        <v/>
      </c>
      <c r="R232" s="971" t="str">
        <f>IF(E232=0,"",VLOOKUP(E232,TablasTec!$A$14:$V$771,8,FALSE))</f>
        <v/>
      </c>
      <c r="S232" s="969" t="str">
        <f>IF(R232=$D$8,$D$8,IF(R232=2,2,IF(R232=3,3,R232)))</f>
        <v/>
      </c>
      <c r="T232" s="972" t="str">
        <f>IF(E232=0,"",VLOOKUP(E232,TablasTec!$A$14:$V$771,9,FALSE))</f>
        <v/>
      </c>
      <c r="U232" s="972" t="str">
        <f>IF(E232=0,"",VLOOKUP(E232,TablasTec!$A$14:$V$771,10,FALSE))</f>
        <v/>
      </c>
      <c r="V232" s="967" t="str">
        <f>IF(E232=0,"",VLOOKUP(E232,TablasTec!$A$14:$V$771,11,FALSE))</f>
        <v/>
      </c>
      <c r="W232" s="970"/>
      <c r="X232" s="971" t="e">
        <f>VLOOKUP(E232,TablasTec!$A$14:$V$771,12,FALSE)</f>
        <v>#N/A</v>
      </c>
      <c r="Y232" s="971" t="e">
        <f>IF(W232=X232,VLOOKUP(E232,TablasTec!$A$14:$V$771,13,FALSE),0)</f>
        <v>#N/A</v>
      </c>
      <c r="Z232" s="971" t="e">
        <f>VLOOKUP(E232,TablasTec!$A$14:$V$771,14,FALSE)</f>
        <v>#N/A</v>
      </c>
      <c r="AA232" s="971" t="e">
        <f>IF(W232=Z232,VLOOKUP(E232,TablasTec!$A$14:$V$616,15,FALSE),0)</f>
        <v>#N/A</v>
      </c>
      <c r="AB232" s="971" t="e">
        <f>VLOOKUP(E232,TablasTec!$A$14:$V$771,16,FALSE)</f>
        <v>#N/A</v>
      </c>
      <c r="AC232" s="971" t="e">
        <f>IF(W232=AB232,VLOOKUP(E232,TablasTec!$A$14:$V$616,17,FALSE),0)</f>
        <v>#N/A</v>
      </c>
      <c r="AD232" s="971" t="e">
        <f>VLOOKUP(E232,TablasTec!$A$14:$V$771,18,FALSE)</f>
        <v>#N/A</v>
      </c>
      <c r="AE232" s="971" t="e">
        <f>IF(W232=AD232,VLOOKUP(E232,TablasTec!$A$14:$V$771,19,FALSE),0)</f>
        <v>#N/A</v>
      </c>
      <c r="AF232" s="973" t="str">
        <f>IF(E232=0,"",(Y232+AA232+AC232+AE232))</f>
        <v/>
      </c>
      <c r="AG232" s="970"/>
      <c r="AH232" s="971" t="e">
        <f>VLOOKUP(E232,TablasTec!$A$14:$V$771,12,FALSE)</f>
        <v>#N/A</v>
      </c>
      <c r="AI232" s="971" t="e">
        <f>IF(AG232=AH232,VLOOKUP(E232,TablasTec!$A$14:$V$771,13,FALSE),0)</f>
        <v>#N/A</v>
      </c>
      <c r="AJ232" s="971" t="e">
        <f>VLOOKUP(E232,TablasTec!$A$14:$V$771,14,FALSE)</f>
        <v>#N/A</v>
      </c>
      <c r="AK232" s="971" t="e">
        <f>IF(AG232=AJ232,VLOOKUP(E232,TablasTec!$A$14:$V$771,15,FALSE),0)</f>
        <v>#N/A</v>
      </c>
      <c r="AL232" s="971" t="e">
        <f>VLOOKUP(E232,TablasTec!$A$14:$V$771,16,FALSE)</f>
        <v>#N/A</v>
      </c>
      <c r="AM232" s="971" t="e">
        <f>IF(AG232=AL232,VLOOKUP(E232,TablasTec!$A$14:$V$771,17,FALSE),0)</f>
        <v>#N/A</v>
      </c>
      <c r="AN232" s="971" t="e">
        <f>VLOOKUP(E232,TablasTec!$A$14:$V$771,18,FALSE)</f>
        <v>#N/A</v>
      </c>
      <c r="AO232" s="971" t="e">
        <f>IF(AG232=AN232,VLOOKUP(E232,TablasTec!$A$14:$V$771,19,FALSE),0)</f>
        <v>#N/A</v>
      </c>
      <c r="AP232" s="973" t="str">
        <f>IF(E232=0,"",(AI232+AK232+AM232+AO232))</f>
        <v/>
      </c>
      <c r="AQ232" s="970"/>
      <c r="AR232" s="971" t="e">
        <f>VLOOKUP(E232,TablasTec!$A$14:$V$771,12,FALSE)</f>
        <v>#N/A</v>
      </c>
      <c r="AS232" s="971" t="e">
        <f>IF(AQ232=AR232,VLOOKUP(E232,TablasTec!$A$14:$V$771,13,FALSE),0)</f>
        <v>#N/A</v>
      </c>
      <c r="AT232" s="971" t="e">
        <f>VLOOKUP(E232,TablasTec!$A$14:$V$771,14,FALSE)</f>
        <v>#N/A</v>
      </c>
      <c r="AU232" s="971" t="e">
        <f>IF(AQ232=AT232,VLOOKUP(E232,TablasTec!$A$14:$V$771,15,FALSE),0)</f>
        <v>#N/A</v>
      </c>
      <c r="AV232" s="971" t="e">
        <f>VLOOKUP(E232,TablasTec!$A$14:$V$771,16,FALSE)</f>
        <v>#N/A</v>
      </c>
      <c r="AW232" s="971" t="e">
        <f>IF(AQ232=AV232,VLOOKUP(E232,TablasTec!$A$14:$V$771,17,FALSE),0)</f>
        <v>#N/A</v>
      </c>
      <c r="AX232" s="971" t="e">
        <f>VLOOKUP(E232,TablasTec!$A$14:$V$771,18,FALSE)</f>
        <v>#N/A</v>
      </c>
      <c r="AY232" s="971" t="e">
        <f>IF(AQ232=AX232,VLOOKUP(E232,TablasTec!$A$14:$V$771,19,FALSE),0)</f>
        <v>#N/A</v>
      </c>
      <c r="AZ232" s="972" t="str">
        <f>IF(E232=0,"",(AS232+AU232+AW232+AY232))</f>
        <v/>
      </c>
      <c r="BA232" s="970"/>
      <c r="BB232" s="971" t="e">
        <f>VLOOKUP(E232,TablasTec!$A$14:$V$771,12,FALSE)</f>
        <v>#N/A</v>
      </c>
      <c r="BC232" s="971" t="e">
        <f>IF(BA232=BB232,VLOOKUP(E232,TablasTec!$A$14:$V$771,13,FALSE),0)</f>
        <v>#N/A</v>
      </c>
      <c r="BD232" s="971" t="e">
        <f>VLOOKUP(E232,TablasTec!$A$14:$V$771,14,FALSE)</f>
        <v>#N/A</v>
      </c>
      <c r="BE232" s="971" t="e">
        <f>IF(BA232=BD232,VLOOKUP(E232,TablasTec!$A$14:$V$771,15,FALSE),0)</f>
        <v>#N/A</v>
      </c>
      <c r="BF232" s="971" t="e">
        <f>VLOOKUP(E232,TablasTec!$A$14:$V$771,16,FALSE)</f>
        <v>#N/A</v>
      </c>
      <c r="BG232" s="971" t="e">
        <f>IF(BA232=BF232,VLOOKUP(E232,TablasTec!$A$14:$V$771,17,FALSE),0)</f>
        <v>#N/A</v>
      </c>
      <c r="BH232" s="971" t="e">
        <f>VLOOKUP(E232,TablasTec!$A$14:$V$771,18,FALSE)</f>
        <v>#N/A</v>
      </c>
      <c r="BI232" s="971" t="e">
        <f>IF(BA232=BH232,VLOOKUP(E232,TablasTec!$A$14:$V$771,19,FALSE),0)</f>
        <v>#N/A</v>
      </c>
      <c r="BJ232" s="973" t="str">
        <f>IF(E232=0,"",(BC232+BE232+BG232+BI232))</f>
        <v/>
      </c>
      <c r="BK232" s="972" t="str">
        <f>IF(E232=0,"",VLOOKUP(E232,TablasTec!$A$14:$V$771,20,FALSE))</f>
        <v/>
      </c>
      <c r="BL232" s="972" t="str">
        <f>IF(E232=0,"",VLOOKUP(E232,TablasTec!$A$14:$V$771,21,FALSE))</f>
        <v/>
      </c>
      <c r="BM232" s="974" t="str">
        <f>IF(E232=0,"",VLOOKUP(E232,TablasTec!$A$14:$V$771,22,FALSE))</f>
        <v/>
      </c>
      <c r="BN232" s="975"/>
      <c r="BO232" s="976"/>
      <c r="BP232" s="961" t="str">
        <f>IF(I232="Si",VLOOKUP($D$8,TablasTec!$E$4:$F$6,2,FALSE),"")</f>
        <v/>
      </c>
      <c r="BQ232" s="962" t="str">
        <f>IF(L232="Si",VLOOKUP($D$8,TablasTec!$I$4:$J$6,2,FALSE),"")</f>
        <v/>
      </c>
      <c r="BR232" s="960" t="str">
        <f>IF(O232="Si",VLOOKUP($D$8,TablasTec!$I$7:$J$9,2,FALSE),"")</f>
        <v/>
      </c>
      <c r="BS232" s="977"/>
      <c r="BT232" s="4857" t="s">
        <v>4539</v>
      </c>
      <c r="BU232" s="4858"/>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6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c r="A233" s="922"/>
      <c r="B233" s="922"/>
      <c r="C233" s="4909"/>
      <c r="D233" s="1435" t="s">
        <v>1766</v>
      </c>
      <c r="E233" s="978"/>
      <c r="F233" s="979" t="str">
        <f>IF(E233=0,"",VLOOKUP(E233,TablasTec!$A$14:$V$771,2,FALSE))</f>
        <v/>
      </c>
      <c r="G233" s="980"/>
      <c r="H233" s="981" t="str">
        <f>IF($E233=0,"",VLOOKUP($E233,TablasTec!$A$14:$V$771,4,FALSE))</f>
        <v/>
      </c>
      <c r="I233" s="982" t="s">
        <v>1690</v>
      </c>
      <c r="J233" s="1398" t="str">
        <f>IF(E233=0,"",VLOOKUP(E233,TablasTec!$A$14:$V$771,5,FALSE))</f>
        <v/>
      </c>
      <c r="K233" s="984" t="str">
        <f>IF(I233="Si",IF(E233=0,"",VLOOKUP(E233,TablasTec!$A$14:$V$771,5,FALSE)),"")</f>
        <v/>
      </c>
      <c r="L233" s="982" t="s">
        <v>1690</v>
      </c>
      <c r="M233" s="1398" t="str">
        <f>IF(E233=0,"",VLOOKUP(E233,TablasTec!$A$14:$V$771,6,FALSE))</f>
        <v/>
      </c>
      <c r="N233" s="985" t="str">
        <f>IF(L233="Si",IF(E233=0,"",VLOOKUP(E233,TablasTec!$A$14:$V$771,6,FALSE)),"")</f>
        <v/>
      </c>
      <c r="O233" s="982" t="s">
        <v>1690</v>
      </c>
      <c r="P233" s="1398" t="str">
        <f>IF(E233=0,"",VLOOKUP(E233,TablasTec!$A$14:$V$771,7,FALSE))</f>
        <v/>
      </c>
      <c r="Q233" s="985" t="str">
        <f>IF(O233="Si",IF(E233=0,"",VLOOKUP(E233,TablasTec!$A$14:$V$771,7,FALSE)),"")</f>
        <v/>
      </c>
      <c r="R233" s="983" t="str">
        <f>IF(E233=0,"",VLOOKUP(E233,TablasTec!$A$14:$V$771,8,FALSE))</f>
        <v/>
      </c>
      <c r="S233" s="981" t="str">
        <f>IF(R233=$D$8,$D$8,IF(R233=2,2,IF(R233=3,3,R233)))</f>
        <v/>
      </c>
      <c r="T233" s="4883" t="s">
        <v>4540</v>
      </c>
      <c r="U233" s="4884"/>
      <c r="V233" s="4884"/>
      <c r="W233" s="4884"/>
      <c r="X233" s="4884"/>
      <c r="Y233" s="4884"/>
      <c r="Z233" s="4884"/>
      <c r="AA233" s="4884"/>
      <c r="AB233" s="4884"/>
      <c r="AC233" s="4884"/>
      <c r="AD233" s="4884"/>
      <c r="AE233" s="4884"/>
      <c r="AF233" s="4884"/>
      <c r="AG233" s="4884"/>
      <c r="AH233" s="4884"/>
      <c r="AI233" s="4884"/>
      <c r="AJ233" s="4884"/>
      <c r="AK233" s="4884"/>
      <c r="AL233" s="4884"/>
      <c r="AM233" s="4884"/>
      <c r="AN233" s="4884"/>
      <c r="AO233" s="4884"/>
      <c r="AP233" s="4884"/>
      <c r="AQ233" s="4884"/>
      <c r="AR233" s="4884"/>
      <c r="AS233" s="4884"/>
      <c r="AT233" s="4884"/>
      <c r="AU233" s="4884"/>
      <c r="AV233" s="4884"/>
      <c r="AW233" s="4884"/>
      <c r="AX233" s="4884"/>
      <c r="AY233" s="4884"/>
      <c r="AZ233" s="4884"/>
      <c r="BA233" s="4884"/>
      <c r="BB233" s="4884"/>
      <c r="BC233" s="4884"/>
      <c r="BD233" s="4884"/>
      <c r="BE233" s="4884"/>
      <c r="BF233" s="4884"/>
      <c r="BG233" s="4884"/>
      <c r="BH233" s="4884"/>
      <c r="BI233" s="4884"/>
      <c r="BJ233" s="4884"/>
      <c r="BK233" s="4885"/>
      <c r="BL233" s="1420"/>
      <c r="BM233" s="1421"/>
      <c r="BN233" s="975"/>
      <c r="BO233" s="976"/>
      <c r="BP233" s="961" t="str">
        <f>IF(I233="Si",VLOOKUP($D$8,TablasTec!$E$4:$F$6,2,FALSE),"")</f>
        <v/>
      </c>
      <c r="BQ233" s="962" t="str">
        <f>IF(L233="Si",VLOOKUP($D$8,TablasTec!$I$4:$J$6,2,FALSE),"")</f>
        <v/>
      </c>
      <c r="BR233" s="960" t="str">
        <f>IF(O233="Si",VLOOKUP($D$8,TablasTec!$I$7:$J$9,2,FALSE),"")</f>
        <v/>
      </c>
      <c r="BS233" s="977"/>
      <c r="BT233" s="4859">
        <f>MAX(BU231,SUM(H232:H264)+IF(OR(I232="Si",I233="Si",I234="Si",I235="Si",I236="Si",I238="Si",I239="Si",I240="Si",I241="Si",I242="Si",I244="Si",I245="Si",I246="Si",I247="Si",I248="Si",I250="Si",I251="Si",I252="Si",I253="Si",I254="Si",I256="Si",I257="Si",I258="Si",I259="Si",I260="Si"),VLOOKUP($D230,TablasTec!$E$4:$F$6,2,FALSE),0)+IF(OR(L232="Si",L233="Si",L234="Si",L235="Si",L236="Si",L238="Si",L239="Si",L240="Si",L241="Si",L242="Si",L244="Si",L245="Si",L246="Si",L247="Si",L248="Si",L250="Si",L251="Si",L252="Si",L253="Si",L254="Si",L256="Si",L257="Si",L258="Si",L259="Si",L260="Si"),VLOOKUP($D230,TablasTec!$I$4:$J$6,2,FALSE),0)+IF(OR(O232="Si",O233="Si",O234="Si",O235="Si",O236="Si",O238="Si",O239="Si",O240="Si",O241="Si",O242="Si",O244="Si",O245="Si",O246="Si",O247="Si",O248="Si",O250="Si",O251="Si",O252="Si",O253="Si",O254="Si",O256="Si",O257="Si",O258="Si",O259="Si",O260="Si"),VLOOKUP($D230,TablasTec!$I$7:$J$9,2,FALSE),0)+IF(BT236="No",0,IF(D230=0,0,VLOOKUP(D230,TablasTec!$L$4:$N$7,3,FALSE)))+IF(BT238="Bajar coste de CM",0,IF(BT238="-5 CM",-5,IF(BT238="-10 CM",-10,IF(BT238="-15 CM",-15,IF(BT238="-20 CM",-20,0)))))+IF(BT240="Bajar coste de Ki",0,IF(BT240="-1 Ki",10,IF(BT240="-2 Ki",20,IF(BT240="-3 Ki",30,IF(BT240="-4 Ki",40,IF(BT240="-5 Ki",50,0)))))))</f>
        <v>20</v>
      </c>
      <c r="BU233" s="4860"/>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65"/>
      <c r="DY233" s="1307"/>
      <c r="DZ233" s="922"/>
      <c r="EA233" s="1453">
        <f t="shared" si="3"/>
        <v>1</v>
      </c>
    </row>
    <row r="234" spans="1:132">
      <c r="A234" s="922"/>
      <c r="B234" s="922"/>
      <c r="C234" s="4909"/>
      <c r="D234" s="1436" t="s">
        <v>1766</v>
      </c>
      <c r="E234" s="986"/>
      <c r="F234" s="3181" t="str">
        <f>IF(E234=0,"",VLOOKUP(E234,TablasTec!$A$14:$V$771,2,FALSE))</f>
        <v/>
      </c>
      <c r="G234" s="968"/>
      <c r="H234" s="987" t="str">
        <f>IF($E234=0,"",VLOOKUP($E234,TablasTec!$A$14:$V$771,4,FALSE))</f>
        <v/>
      </c>
      <c r="I234" s="970" t="s">
        <v>1690</v>
      </c>
      <c r="J234" s="1394" t="str">
        <f>IF(E234=0,"",VLOOKUP(E234,TablasTec!$A$14:$V$771,5,FALSE))</f>
        <v/>
      </c>
      <c r="K234" s="989" t="str">
        <f>IF(I234="Si",IF(E234=0,"",VLOOKUP(E234,TablasTec!$A$14:$V$771,5,FALSE)),"")</f>
        <v/>
      </c>
      <c r="L234" s="970" t="s">
        <v>1690</v>
      </c>
      <c r="M234" s="1394" t="str">
        <f>IF(E234=0,"",VLOOKUP(E234,TablasTec!$A$14:$V$771,6,FALSE))</f>
        <v/>
      </c>
      <c r="N234" s="973" t="str">
        <f>IF(L234="Si",IF(E234=0,"",VLOOKUP(E234,TablasTec!$A$14:$V$771,6,FALSE)),"")</f>
        <v/>
      </c>
      <c r="O234" s="970" t="s">
        <v>1690</v>
      </c>
      <c r="P234" s="1394" t="str">
        <f>IF(E234=0,"",VLOOKUP(E234,TablasTec!$A$14:$V$771,7,FALSE))</f>
        <v/>
      </c>
      <c r="Q234" s="973" t="str">
        <f>IF(O234="Si",IF(E234=0,"",VLOOKUP(E234,TablasTec!$A$14:$V$771,7,FALSE)),"")</f>
        <v/>
      </c>
      <c r="R234" s="988" t="str">
        <f>IF(E234=0,"",VLOOKUP(E234,TablasTec!$A$14:$V$771,8,FALSE))</f>
        <v/>
      </c>
      <c r="S234" s="3181" t="str">
        <f>IF(R234=$D$8,$D$8,IF(R234=2,2,IF(R234=3,3,R234)))</f>
        <v/>
      </c>
      <c r="T234" s="4896"/>
      <c r="U234" s="4897"/>
      <c r="V234" s="3179" t="str">
        <f>IF(OR(V232=0,V232=""),"N/A",V232)</f>
        <v>N/A</v>
      </c>
      <c r="W234" s="4896" t="str">
        <f xml:space="preserve"> IF(OR(AF232=0,AF232=""),"N/A",W232)</f>
        <v>N/A</v>
      </c>
      <c r="X234" s="4898"/>
      <c r="Y234" s="4898"/>
      <c r="Z234" s="4898"/>
      <c r="AA234" s="4898"/>
      <c r="AB234" s="4898"/>
      <c r="AC234" s="4898"/>
      <c r="AD234" s="4898"/>
      <c r="AE234" s="4898"/>
      <c r="AF234" s="4897"/>
      <c r="AG234" s="4896" t="str">
        <f xml:space="preserve"> IF(OR(AP232="",AP232=0),"N/A",AG232)</f>
        <v>N/A</v>
      </c>
      <c r="AH234" s="4898"/>
      <c r="AI234" s="4898"/>
      <c r="AJ234" s="4898"/>
      <c r="AK234" s="4898"/>
      <c r="AL234" s="4898"/>
      <c r="AM234" s="4898"/>
      <c r="AN234" s="4898"/>
      <c r="AO234" s="4898"/>
      <c r="AP234" s="4897"/>
      <c r="AQ234" s="4896" t="str">
        <f xml:space="preserve"> IF(OR(AZ232="",AZ232=0),"N/A",AQ232)</f>
        <v>N/A</v>
      </c>
      <c r="AR234" s="4898"/>
      <c r="AS234" s="4898"/>
      <c r="AT234" s="4898"/>
      <c r="AU234" s="4898"/>
      <c r="AV234" s="4898"/>
      <c r="AW234" s="4898"/>
      <c r="AX234" s="4898"/>
      <c r="AY234" s="4898"/>
      <c r="AZ234" s="4897"/>
      <c r="BA234" s="4896" t="str">
        <f xml:space="preserve"> IF(OR(BJ232="",BJ232=0),"N/A",BA232)</f>
        <v>N/A</v>
      </c>
      <c r="BB234" s="4898"/>
      <c r="BC234" s="4898"/>
      <c r="BD234" s="4898"/>
      <c r="BE234" s="4898"/>
      <c r="BF234" s="4898"/>
      <c r="BG234" s="4898"/>
      <c r="BH234" s="4898"/>
      <c r="BI234" s="4898"/>
      <c r="BJ234" s="4897"/>
      <c r="BK234" s="990" t="s">
        <v>4541</v>
      </c>
      <c r="BL234" s="972"/>
      <c r="BM234" s="1007"/>
      <c r="BN234" s="991"/>
      <c r="BO234" s="992"/>
      <c r="BP234" s="993" t="str">
        <f>IF(I234="Si",VLOOKUP($D$8,TablasTec!$E$4:$F$6,2,FALSE),"")</f>
        <v/>
      </c>
      <c r="BQ234" s="963" t="str">
        <f>IF(L234="Si",VLOOKUP($D$8,TablasTec!$I$4:$J$6,2,FALSE),"")</f>
        <v/>
      </c>
      <c r="BR234" s="994" t="str">
        <f>IF(O234="Si",VLOOKUP($D$8,TablasTec!$I$7:$J$9,2,FALSE),"")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65"/>
      <c r="DY234" s="1307"/>
      <c r="DZ234" s="922"/>
      <c r="EA234" s="1453">
        <f t="shared" si="3"/>
        <v>1</v>
      </c>
    </row>
    <row r="235" spans="1:132">
      <c r="A235" s="922"/>
      <c r="B235" s="922"/>
      <c r="C235" s="4909"/>
      <c r="D235" s="1435" t="s">
        <v>1766</v>
      </c>
      <c r="E235" s="978"/>
      <c r="F235" s="979" t="str">
        <f>IF(E235=0,"",VLOOKUP(E235,TablasTec!$A$14:$V$771,2,FALSE))</f>
        <v/>
      </c>
      <c r="G235" s="980"/>
      <c r="H235" s="981" t="str">
        <f>IF($E235=0,"",VLOOKUP($E235,TablasTec!$A$14:$V$771,4,FALSE))</f>
        <v/>
      </c>
      <c r="I235" s="982" t="s">
        <v>1690</v>
      </c>
      <c r="J235" s="1398" t="str">
        <f>IF(E235=0,"",VLOOKUP(E235,TablasTec!$A$14:$V$771,5,FALSE))</f>
        <v/>
      </c>
      <c r="K235" s="984" t="str">
        <f>IF(I235="Si",IF(E235=0,"",VLOOKUP(E235,TablasTec!$A$14:$V$771,5,FALSE)),"")</f>
        <v/>
      </c>
      <c r="L235" s="982" t="s">
        <v>1690</v>
      </c>
      <c r="M235" s="1398" t="str">
        <f>IF(E235=0,"",VLOOKUP(E235,TablasTec!$A$14:$V$771,6,FALSE))</f>
        <v/>
      </c>
      <c r="N235" s="985" t="str">
        <f>IF(L235="Si",IF(E235=0,"",VLOOKUP(E235,TablasTec!$A$14:$V$771,6,FALSE)),"")</f>
        <v/>
      </c>
      <c r="O235" s="982" t="s">
        <v>1690</v>
      </c>
      <c r="P235" s="1398" t="str">
        <f>IF(E235=0,"",VLOOKUP(E235,TablasTec!$A$14:$V$771,7,FALSE))</f>
        <v/>
      </c>
      <c r="Q235" s="985" t="str">
        <f>IF(O235="Si",IF(E235=0,"",VLOOKUP(E235,TablasTec!$A$14:$V$771,7,FALSE)),"")</f>
        <v/>
      </c>
      <c r="R235" s="983" t="str">
        <f>IF(E235=0,"",VLOOKUP(E235,TablasTec!$A$14:$V$771,8,FALSE))</f>
        <v/>
      </c>
      <c r="S235" s="981" t="str">
        <f>IF(R235=$D$8,$D$8,IF(R235=2,2,IF(R235=3,3,R235)))</f>
        <v/>
      </c>
      <c r="T235" s="4899" t="s">
        <v>4542</v>
      </c>
      <c r="U235" s="4900"/>
      <c r="V235" s="3180"/>
      <c r="W235" s="4901"/>
      <c r="X235" s="4902"/>
      <c r="Y235" s="4902"/>
      <c r="Z235" s="4902"/>
      <c r="AA235" s="4902"/>
      <c r="AB235" s="4902"/>
      <c r="AC235" s="4902"/>
      <c r="AD235" s="4902"/>
      <c r="AE235" s="4902"/>
      <c r="AF235" s="4903"/>
      <c r="AG235" s="4901"/>
      <c r="AH235" s="4902"/>
      <c r="AI235" s="4902"/>
      <c r="AJ235" s="4902"/>
      <c r="AK235" s="4902"/>
      <c r="AL235" s="4902"/>
      <c r="AM235" s="4902"/>
      <c r="AN235" s="4902"/>
      <c r="AO235" s="4902"/>
      <c r="AP235" s="4903"/>
      <c r="AQ235" s="4901"/>
      <c r="AR235" s="4902"/>
      <c r="AS235" s="4902"/>
      <c r="AT235" s="4902"/>
      <c r="AU235" s="4902"/>
      <c r="AV235" s="4902"/>
      <c r="AW235" s="4902"/>
      <c r="AX235" s="4902"/>
      <c r="AY235" s="4902"/>
      <c r="AZ235" s="4903"/>
      <c r="BA235" s="4901"/>
      <c r="BB235" s="4902"/>
      <c r="BC235" s="4902"/>
      <c r="BD235" s="4902"/>
      <c r="BE235" s="4902"/>
      <c r="BF235" s="4902"/>
      <c r="BG235" s="4902"/>
      <c r="BH235" s="4902"/>
      <c r="BI235" s="4902"/>
      <c r="BJ235" s="4903"/>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IF(I235="Si",VLOOKUP($D$8,TablasTec!$E$4:$F$6,2,FALSE),"")</f>
        <v/>
      </c>
      <c r="BQ235" s="962" t="str">
        <f>IF(L235="Si",VLOOKUP($D$8,TablasTec!$I$4:$J$6,2,FALSE),"")</f>
        <v/>
      </c>
      <c r="BR235" s="960" t="str">
        <f>IF(O235="Si",VLOOKUP($D$8,TablasTec!$I$7:$J$9,2,FALSE),"")</f>
        <v/>
      </c>
      <c r="BS235" s="977"/>
      <c r="BT235" s="4857" t="s">
        <v>4543</v>
      </c>
      <c r="BU235" s="4858"/>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65"/>
      <c r="DY235" s="1307"/>
      <c r="DZ235" s="922"/>
      <c r="EA235" s="1453">
        <f t="shared" si="3"/>
        <v>1</v>
      </c>
    </row>
    <row r="236" spans="1:132">
      <c r="A236" s="922"/>
      <c r="B236" s="922"/>
      <c r="C236" s="4909"/>
      <c r="D236" s="1436" t="s">
        <v>1766</v>
      </c>
      <c r="E236" s="986"/>
      <c r="F236" s="3181" t="str">
        <f>IF(E236=0,"",VLOOKUP(E236,TablasTec!$A$14:$V$771,2,FALSE))</f>
        <v/>
      </c>
      <c r="G236" s="968"/>
      <c r="H236" s="987" t="str">
        <f>IF($E236=0,"",VLOOKUP($E236,TablasTec!$A$14:$V$771,4,FALSE))</f>
        <v/>
      </c>
      <c r="I236" s="970" t="s">
        <v>1690</v>
      </c>
      <c r="J236" s="1394" t="str">
        <f>IF(E236=0,"",VLOOKUP(E236,TablasTec!$A$14:$V$771,5,FALSE))</f>
        <v/>
      </c>
      <c r="K236" s="989" t="str">
        <f>IF(I236="Si",IF(E236=0,"",VLOOKUP(E236,TablasTec!$A$14:$V$771,5,FALSE)),"")</f>
        <v/>
      </c>
      <c r="L236" s="970" t="s">
        <v>1690</v>
      </c>
      <c r="M236" s="1394" t="str">
        <f>IF(E236=0,"",VLOOKUP(E236,TablasTec!$A$14:$V$771,6,FALSE))</f>
        <v/>
      </c>
      <c r="N236" s="973" t="str">
        <f>IF(L236="Si",IF(E236=0,"",VLOOKUP(E236,TablasTec!$A$14:$V$771,6,FALSE)),"")</f>
        <v/>
      </c>
      <c r="O236" s="970" t="s">
        <v>1690</v>
      </c>
      <c r="P236" s="1394" t="str">
        <f>IF(E236=0,"",VLOOKUP(E236,TablasTec!$A$14:$V$771,7,FALSE))</f>
        <v/>
      </c>
      <c r="Q236" s="973" t="str">
        <f>IF(O236="Si",IF(E236=0,"",VLOOKUP(E236,TablasTec!$A$14:$V$771,7,FALSE)),"")</f>
        <v/>
      </c>
      <c r="R236" s="988" t="str">
        <f>IF(E236=0,"",VLOOKUP(E236,TablasTec!$A$14:$V$771,8,FALSE))</f>
        <v/>
      </c>
      <c r="S236" s="987" t="str">
        <f>IF(R236=$D$8,$D$8,IF(R236=2,2,IF(R236=3,3,R236)))</f>
        <v/>
      </c>
      <c r="T236" s="4890" t="s">
        <v>4544</v>
      </c>
      <c r="U236" s="4891"/>
      <c r="V236" s="3178"/>
      <c r="W236" s="4892"/>
      <c r="X236" s="4893"/>
      <c r="Y236" s="4893"/>
      <c r="Z236" s="4893"/>
      <c r="AA236" s="4893"/>
      <c r="AB236" s="4893"/>
      <c r="AC236" s="4893"/>
      <c r="AD236" s="4893"/>
      <c r="AE236" s="4893"/>
      <c r="AF236" s="4894"/>
      <c r="AG236" s="4892"/>
      <c r="AH236" s="4893"/>
      <c r="AI236" s="4893"/>
      <c r="AJ236" s="4893"/>
      <c r="AK236" s="4893"/>
      <c r="AL236" s="4893"/>
      <c r="AM236" s="4893"/>
      <c r="AN236" s="4893"/>
      <c r="AO236" s="4893"/>
      <c r="AP236" s="4894"/>
      <c r="AQ236" s="4892"/>
      <c r="AR236" s="4893"/>
      <c r="AS236" s="4893"/>
      <c r="AT236" s="4893"/>
      <c r="AU236" s="4893"/>
      <c r="AV236" s="4893"/>
      <c r="AW236" s="4893"/>
      <c r="AX236" s="4893"/>
      <c r="AY236" s="4893"/>
      <c r="AZ236" s="4894"/>
      <c r="BA236" s="4892"/>
      <c r="BB236" s="4893"/>
      <c r="BC236" s="4893"/>
      <c r="BD236" s="4893"/>
      <c r="BE236" s="4893"/>
      <c r="BF236" s="4893"/>
      <c r="BG236" s="4893"/>
      <c r="BH236" s="4893"/>
      <c r="BI236" s="4893"/>
      <c r="BJ236" s="4894"/>
      <c r="BK236" s="997">
        <f>SUM(K232:K236)-SUM(V236:BA236)</f>
        <v>0</v>
      </c>
      <c r="BL236" s="1422"/>
      <c r="BM236" s="1423"/>
      <c r="BN236" s="991"/>
      <c r="BO236" s="992"/>
      <c r="BP236" s="993" t="str">
        <f>IF(I236="Si",VLOOKUP($D$8,TablasTec!$E$4:$F$6,2,FALSE),"")</f>
        <v/>
      </c>
      <c r="BQ236" s="963" t="str">
        <f>IF(L236="Si",VLOOKUP($D$8,TablasTec!$I$4:$J$6,2,FALSE),"")</f>
        <v/>
      </c>
      <c r="BR236" s="994" t="str">
        <f>IF(O236="Si",VLOOKUP($D$8,TablasTec!$I$7:$J$9,2,FALSE),"")</f>
        <v/>
      </c>
      <c r="BS236" s="995"/>
      <c r="BT236" s="4861" t="s">
        <v>1690</v>
      </c>
      <c r="BU236" s="4862"/>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65"/>
      <c r="DY236" s="1307"/>
      <c r="DZ236" s="922"/>
      <c r="EA236" s="1453">
        <f t="shared" si="3"/>
        <v>1</v>
      </c>
    </row>
    <row r="237" spans="1:13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09"/>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IF(I237="Si",VLOOKUP($D$8,TablasTec!$E$4:$F$6,2,FALSE),"")</f>
        <v/>
      </c>
      <c r="BQ237" s="962" t="str">
        <f>IF(L237="Si",VLOOKUP($D$8,TablasTec!$I$4:$J$6,2,FALSE),"")</f>
        <v/>
      </c>
      <c r="BR237" s="960" t="str">
        <f>IF(O237="Si",VLOOKUP($D$8,TablasTec!$I$7:$J$9,2,FALSE),"")</f>
        <v/>
      </c>
      <c r="BS237" s="977"/>
      <c r="BT237" s="4857" t="s">
        <v>4545</v>
      </c>
      <c r="BU237" s="4858"/>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09"/>
      <c r="D238" s="1436" t="s">
        <v>1766</v>
      </c>
      <c r="E238" s="966"/>
      <c r="F238" s="1002"/>
      <c r="G238" s="972" t="str">
        <f>IF(E238=0,"",VLOOKUP(E238,TablasTec!$A$14:$V$771,3,FALSE))</f>
        <v/>
      </c>
      <c r="H238" s="1004" t="str">
        <f>IF($E238=0,"",VLOOKUP($E238,TablasTec!$A$14:$V$771,4,FALSE))</f>
        <v/>
      </c>
      <c r="I238" s="970" t="s">
        <v>1690</v>
      </c>
      <c r="J238" s="1397" t="str">
        <f>IF(E238=0,"",VLOOKUP(E238,TablasTec!$A$14:$V$771,5,FALSE))</f>
        <v/>
      </c>
      <c r="K238" s="1003" t="str">
        <f>IF(I238="Si",IF(E238=0,"",VLOOKUP(E238,TablasTec!$A$14:$V$771,5,FALSE)),"")</f>
        <v/>
      </c>
      <c r="L238" s="970" t="s">
        <v>1690</v>
      </c>
      <c r="M238" s="1397" t="str">
        <f>IF(E238=0,"",VLOOKUP(E238,TablasTec!$A$14:$V$771,6,FALSE))</f>
        <v/>
      </c>
      <c r="N238" s="973" t="str">
        <f>IF(L238="Si",IF(E238=0,"",VLOOKUP(E238,TablasTec!$A$14:$V$771,6,FALSE)),"")</f>
        <v/>
      </c>
      <c r="O238" s="970" t="s">
        <v>1690</v>
      </c>
      <c r="P238" s="1397" t="str">
        <f>IF(E238=0,"",VLOOKUP(E238,TablasTec!$A$14:$V$771,7,FALSE))</f>
        <v/>
      </c>
      <c r="Q238" s="973" t="str">
        <f>IF(O238="Si",IF(E238=0,"",VLOOKUP(E238,TablasTec!$A$14:$V$771,7,FALSE)),"")</f>
        <v/>
      </c>
      <c r="R238" s="1005" t="str">
        <f>IF(E238=0,"",VLOOKUP(E238,TablasTec!$A$14:$V$771,8,FALSE))</f>
        <v/>
      </c>
      <c r="S238" s="1004" t="str">
        <f>IF(R238=$D$8,$D$8,IF(R238=2,2,IF(R238=3,3,R238)))</f>
        <v/>
      </c>
      <c r="T238" s="972" t="str">
        <f>IF(E238=0,"",VLOOKUP(E238,TablasTec!$A$14:$V$771,9,FALSE))</f>
        <v/>
      </c>
      <c r="U238" s="972" t="str">
        <f>IF(E238=0,"",VLOOKUP(E238,TablasTec!$A$14:$V$771,10,FALSE))</f>
        <v/>
      </c>
      <c r="V238" s="967" t="str">
        <f>IF(E238=0,"",VLOOKUP(E238,TablasTec!$A$14:$V$771,11,FALSE))</f>
        <v/>
      </c>
      <c r="W238" s="970"/>
      <c r="X238" s="971" t="e">
        <f>VLOOKUP(E238,TablasTec!$A$14:$V$771,12,FALSE)</f>
        <v>#N/A</v>
      </c>
      <c r="Y238" s="971" t="e">
        <f>IF(W238=X238,VLOOKUP(E238,TablasTec!$A$14:$V$771,13,FALSE),0)</f>
        <v>#N/A</v>
      </c>
      <c r="Z238" s="971" t="e">
        <f>VLOOKUP(E238,TablasTec!$A$14:$V$771,14,FALSE)</f>
        <v>#N/A</v>
      </c>
      <c r="AA238" s="971" t="e">
        <f>IF(W238=Z238,VLOOKUP(E238,TablasTec!$A$14:$V$616,15,FALSE),0)</f>
        <v>#N/A</v>
      </c>
      <c r="AB238" s="971" t="e">
        <f>VLOOKUP(E238,TablasTec!$A$14:$V$771,16,FALSE)</f>
        <v>#N/A</v>
      </c>
      <c r="AC238" s="971" t="e">
        <f>IF(W238=AB238,VLOOKUP(E238,TablasTec!$A$14:$V$616,17,FALSE),0)</f>
        <v>#N/A</v>
      </c>
      <c r="AD238" s="971" t="e">
        <f>VLOOKUP(E238,TablasTec!$A$14:$V$771,18,FALSE)</f>
        <v>#N/A</v>
      </c>
      <c r="AE238" s="971" t="e">
        <f>IF(W238=AD238,VLOOKUP(E238,TablasTec!$A$14:$V$771,19,FALSE),0)</f>
        <v>#N/A</v>
      </c>
      <c r="AF238" s="972" t="str">
        <f>IF(E238=0,"",(Y238+AA238+AC238+AE238))</f>
        <v/>
      </c>
      <c r="AG238" s="970"/>
      <c r="AH238" s="1005" t="e">
        <f>VLOOKUP(E238,TablasTec!$A$14:$V$771,12,FALSE)</f>
        <v>#N/A</v>
      </c>
      <c r="AI238" s="1005" t="e">
        <f>IF(AG238=AH238,VLOOKUP(E238,TablasTec!$A$14:$V$771,13,FALSE),0)</f>
        <v>#N/A</v>
      </c>
      <c r="AJ238" s="1005" t="e">
        <f>VLOOKUP(E238,TablasTec!$A$14:$V$771,14,FALSE)</f>
        <v>#N/A</v>
      </c>
      <c r="AK238" s="1005" t="e">
        <f>IF(AG238=AJ238,VLOOKUP(E238,TablasTec!$A$14:$V$771,15,FALSE),0)</f>
        <v>#N/A</v>
      </c>
      <c r="AL238" s="1005" t="e">
        <f>VLOOKUP(E238,TablasTec!$A$14:$V$771,16,FALSE)</f>
        <v>#N/A</v>
      </c>
      <c r="AM238" s="1005" t="e">
        <f>IF(AG238=AL238,VLOOKUP(E238,TablasTec!$A$14:$V$771,17,FALSE),0)</f>
        <v>#N/A</v>
      </c>
      <c r="AN238" s="1005" t="e">
        <f>VLOOKUP(E238,TablasTec!$A$14:$V$771,18,FALSE)</f>
        <v>#N/A</v>
      </c>
      <c r="AO238" s="1005" t="e">
        <f>IF(AG238=AN238,VLOOKUP(E238,TablasTec!$A$14:$V$771,19,FALSE),0)</f>
        <v>#N/A</v>
      </c>
      <c r="AP238" s="1006" t="str">
        <f>IF(E238=0,"",(AI238+AK238+AM238+AO238))</f>
        <v/>
      </c>
      <c r="AQ238" s="970"/>
      <c r="AR238" s="971" t="e">
        <f>VLOOKUP(E238,TablasTec!$A$14:$V$771,12,FALSE)</f>
        <v>#N/A</v>
      </c>
      <c r="AS238" s="971" t="e">
        <f>IF(AQ238=AR238,VLOOKUP(E238,TablasTec!$A$14:$V$771,13,FALSE),0)</f>
        <v>#N/A</v>
      </c>
      <c r="AT238" s="971" t="e">
        <f>VLOOKUP(E238,TablasTec!$A$14:$V$771,14,FALSE)</f>
        <v>#N/A</v>
      </c>
      <c r="AU238" s="971" t="e">
        <f>IF(AQ238=AT238,VLOOKUP(E238,TablasTec!$A$14:$V$771,15,FALSE),0)</f>
        <v>#N/A</v>
      </c>
      <c r="AV238" s="971" t="e">
        <f>VLOOKUP(E238,TablasTec!$A$14:$V$771,16,FALSE)</f>
        <v>#N/A</v>
      </c>
      <c r="AW238" s="971" t="e">
        <f>IF(AQ238=AV238,VLOOKUP(E238,TablasTec!$A$14:$V$771,17,FALSE),0)</f>
        <v>#N/A</v>
      </c>
      <c r="AX238" s="971" t="e">
        <f>VLOOKUP(E238,TablasTec!$A$14:$V$771,18,FALSE)</f>
        <v>#N/A</v>
      </c>
      <c r="AY238" s="971" t="e">
        <f>IF(AQ238=AX238,VLOOKUP(E238,TablasTec!$A$14:$V$771,19,FALSE),0)</f>
        <v>#N/A</v>
      </c>
      <c r="AZ238" s="972" t="str">
        <f>IF(E238=0,"",(AS238+AU238+AW238+AY238))</f>
        <v/>
      </c>
      <c r="BA238" s="970"/>
      <c r="BB238" s="971" t="e">
        <f>VLOOKUP(E238,TablasTec!$A$14:$V$771,12,FALSE)</f>
        <v>#N/A</v>
      </c>
      <c r="BC238" s="971" t="e">
        <f>IF(BA238=BB238,VLOOKUP(E238,TablasTec!$A$14:$V$771,13,FALSE),0)</f>
        <v>#N/A</v>
      </c>
      <c r="BD238" s="971" t="e">
        <f>VLOOKUP(E238,TablasTec!$A$14:$V$771,14,FALSE)</f>
        <v>#N/A</v>
      </c>
      <c r="BE238" s="971" t="e">
        <f>IF(BA238=BD238,VLOOKUP(E238,TablasTec!$A$14:$V$771,15,FALSE),0)</f>
        <v>#N/A</v>
      </c>
      <c r="BF238" s="971" t="e">
        <f>VLOOKUP(E238,TablasTec!$A$14:$V$771,16,FALSE)</f>
        <v>#N/A</v>
      </c>
      <c r="BG238" s="971" t="e">
        <f>IF(BA238=BF238,VLOOKUP(E238,TablasTec!$A$14:$V$771,17,FALSE),0)</f>
        <v>#N/A</v>
      </c>
      <c r="BH238" s="971" t="e">
        <f>VLOOKUP(E238,TablasTec!$A$14:$V$771,18,FALSE)</f>
        <v>#N/A</v>
      </c>
      <c r="BI238" s="971" t="e">
        <f>IF(BA238=BH238,VLOOKUP(E238,TablasTec!$A$14:$V$771,19,FALSE),0)</f>
        <v>#N/A</v>
      </c>
      <c r="BJ238" s="973" t="str">
        <f>IF(E238=0,"",(BC238+BE238+BG238+BI238))</f>
        <v/>
      </c>
      <c r="BK238" s="972" t="str">
        <f>IF(E238=0,"",VLOOKUP(E238,TablasTec!$A$14:$V$771,20,FALSE))</f>
        <v/>
      </c>
      <c r="BL238" s="972" t="str">
        <f>IF(E238=0,"",VLOOKUP(E238,TablasTec!$A$14:$V$771,21,FALSE))</f>
        <v/>
      </c>
      <c r="BM238" s="1007" t="str">
        <f>IF(E238=0,"",VLOOKUP(E238,TablasTec!$A$14:$V$771,22,FALSE))</f>
        <v/>
      </c>
      <c r="BN238" s="975"/>
      <c r="BO238" s="976"/>
      <c r="BP238" s="961" t="str">
        <f>IF(I238="Si",VLOOKUP($D$8,TablasTec!$E$4:$F$6,2,FALSE),"")</f>
        <v/>
      </c>
      <c r="BQ238" s="962" t="str">
        <f>IF(L238="Si",VLOOKUP($D$8,TablasTec!$I$4:$J$6,2,FALSE),"")</f>
        <v/>
      </c>
      <c r="BR238" s="960" t="str">
        <f>IF(O238="Si",VLOOKUP($D$8,TablasTec!$I$7:$J$9,2,FALSE),"")</f>
        <v/>
      </c>
      <c r="BS238" s="977"/>
      <c r="BT238" s="4861" t="s">
        <v>4525</v>
      </c>
      <c r="BU238" s="4862"/>
      <c r="BV238" s="954"/>
      <c r="BW238" s="934"/>
      <c r="BX238" s="934"/>
      <c r="BY238" s="1269"/>
      <c r="BZ238" s="1287"/>
      <c r="CA238" s="922"/>
      <c r="DR238" s="922"/>
      <c r="DT238" s="1309"/>
      <c r="DU238" s="1362"/>
      <c r="DV238" s="1359" t="str">
        <f>IF(E238="","",", "&amp;E238)&amp;IF(I238="No",""," (Mant.)")&amp;IF(L238="No",""," (Sme)")&amp;IF(O238="No",""," (SMa)")</f>
        <v/>
      </c>
      <c r="DW238" s="1360"/>
      <c r="DX238" s="1361" t="str">
        <f>IF(ISNUMBER(FIND(TablasTec!A$678,DW256)),BL262&amp;BM262,IF(ISNUMBER(FIND(TablasTec!A$679,DW256)),BL262&amp;" "&amp;BM262,""))</f>
        <v/>
      </c>
      <c r="DY238" s="1310"/>
      <c r="DZ238" s="922"/>
      <c r="EA238" s="1453">
        <f t="shared" si="3"/>
        <v>1</v>
      </c>
    </row>
    <row r="239" spans="1:132">
      <c r="A239" s="922"/>
      <c r="B239" s="922"/>
      <c r="C239" s="4909"/>
      <c r="D239" s="1435" t="s">
        <v>1766</v>
      </c>
      <c r="E239" s="978"/>
      <c r="F239" s="1008"/>
      <c r="G239" s="1420" t="str">
        <f>IF(E239=0,"",VLOOKUP(E239,TablasTec!$A$14:$V$771,3,FALSE))</f>
        <v/>
      </c>
      <c r="H239" s="981" t="str">
        <f>IF($E239=0,"",VLOOKUP($E239,TablasTec!$A$14:$V$771,4,FALSE))</f>
        <v/>
      </c>
      <c r="I239" s="982" t="s">
        <v>1690</v>
      </c>
      <c r="J239" s="1398" t="str">
        <f>IF(E239=0,"",VLOOKUP(E239,TablasTec!$A$14:$V$771,5,FALSE))</f>
        <v/>
      </c>
      <c r="K239" s="984" t="str">
        <f>IF(I239="Si",IF(E239=0,"",VLOOKUP(E239,TablasTec!$A$14:$V$771,5,FALSE)),"")</f>
        <v/>
      </c>
      <c r="L239" s="982" t="s">
        <v>1690</v>
      </c>
      <c r="M239" s="1398" t="str">
        <f>IF(E239=0,"",VLOOKUP(E239,TablasTec!$A$14:$V$771,6,FALSE))</f>
        <v/>
      </c>
      <c r="N239" s="985" t="str">
        <f>IF(L239="Si",IF(E239=0,"",VLOOKUP(E239,TablasTec!$A$14:$V$771,6,FALSE)),"")</f>
        <v/>
      </c>
      <c r="O239" s="982" t="s">
        <v>1690</v>
      </c>
      <c r="P239" s="1398" t="str">
        <f>IF(E239=0,"",VLOOKUP(E239,TablasTec!$A$14:$V$771,7,FALSE))</f>
        <v/>
      </c>
      <c r="Q239" s="985" t="str">
        <f>IF(O239="Si",IF(E239=0,"",VLOOKUP(E239,TablasTec!$A$14:$V$771,7,FALSE)),"")</f>
        <v/>
      </c>
      <c r="R239" s="983" t="str">
        <f>IF(E239=0,"",VLOOKUP(E239,TablasTec!$A$14:$V$771,8,FALSE))</f>
        <v/>
      </c>
      <c r="S239" s="981" t="str">
        <f>IF(R239=$D$8,$D$8,IF(R239=2,2,IF(R239=3,3,R239)))</f>
        <v/>
      </c>
      <c r="T239" s="4883" t="s">
        <v>4540</v>
      </c>
      <c r="U239" s="4884"/>
      <c r="V239" s="4884"/>
      <c r="W239" s="4884"/>
      <c r="X239" s="4884"/>
      <c r="Y239" s="4884"/>
      <c r="Z239" s="4884"/>
      <c r="AA239" s="4884"/>
      <c r="AB239" s="4884"/>
      <c r="AC239" s="4884"/>
      <c r="AD239" s="4884"/>
      <c r="AE239" s="4884"/>
      <c r="AF239" s="4884"/>
      <c r="AG239" s="4884"/>
      <c r="AH239" s="4884"/>
      <c r="AI239" s="4884"/>
      <c r="AJ239" s="4884"/>
      <c r="AK239" s="4884"/>
      <c r="AL239" s="4884"/>
      <c r="AM239" s="4884"/>
      <c r="AN239" s="4884"/>
      <c r="AO239" s="4884"/>
      <c r="AP239" s="4884"/>
      <c r="AQ239" s="4884"/>
      <c r="AR239" s="4884"/>
      <c r="AS239" s="4884"/>
      <c r="AT239" s="4884"/>
      <c r="AU239" s="4884"/>
      <c r="AV239" s="4884"/>
      <c r="AW239" s="4884"/>
      <c r="AX239" s="4884"/>
      <c r="AY239" s="4884"/>
      <c r="AZ239" s="4884"/>
      <c r="BA239" s="4884"/>
      <c r="BB239" s="4884"/>
      <c r="BC239" s="4884"/>
      <c r="BD239" s="4884"/>
      <c r="BE239" s="4884"/>
      <c r="BF239" s="4884"/>
      <c r="BG239" s="4884"/>
      <c r="BH239" s="4884"/>
      <c r="BI239" s="4884"/>
      <c r="BJ239" s="4884"/>
      <c r="BK239" s="4885"/>
      <c r="BL239" s="1420"/>
      <c r="BM239" s="1421"/>
      <c r="BN239" s="975"/>
      <c r="BO239" s="976"/>
      <c r="BP239" s="961" t="str">
        <f>IF(I239="Si",VLOOKUP($D$8,TablasTec!$E$4:$F$6,2,FALSE),"")</f>
        <v/>
      </c>
      <c r="BQ239" s="962" t="str">
        <f>IF(L239="Si",VLOOKUP($D$8,TablasTec!$I$4:$J$6,2,FALSE),"")</f>
        <v/>
      </c>
      <c r="BR239" s="960" t="str">
        <f>IF(O239="Si",VLOOKUP($D$8,TablasTec!$I$7:$J$9,2,FALSE),"")</f>
        <v/>
      </c>
      <c r="BS239" s="977"/>
      <c r="BT239" s="4857" t="s">
        <v>4546</v>
      </c>
      <c r="BU239" s="4858"/>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c r="A240" s="922"/>
      <c r="B240" s="922"/>
      <c r="C240" s="4909"/>
      <c r="D240" s="1436" t="s">
        <v>1766</v>
      </c>
      <c r="E240" s="986"/>
      <c r="F240" s="1002"/>
      <c r="G240" s="972" t="str">
        <f>IF(E240=0,"",VLOOKUP(E240,TablasTec!$A$14:$V$771,3,FALSE))</f>
        <v/>
      </c>
      <c r="H240" s="3181" t="str">
        <f>IF($E240=0,"",VLOOKUP($E240,TablasTec!$A$14:$V$771,4,FALSE))</f>
        <v/>
      </c>
      <c r="I240" s="970" t="s">
        <v>1690</v>
      </c>
      <c r="J240" s="1394" t="str">
        <f>IF(E240=0,"",VLOOKUP(E240,TablasTec!$A$14:$V$771,5,FALSE))</f>
        <v/>
      </c>
      <c r="K240" s="989" t="str">
        <f>IF(I240="Si",IF(E240=0,"",VLOOKUP(E240,TablasTec!$A$14:$V$771,5,FALSE)),"")</f>
        <v/>
      </c>
      <c r="L240" s="970" t="s">
        <v>1690</v>
      </c>
      <c r="M240" s="1394" t="str">
        <f>IF(E240=0,"",VLOOKUP(E240,TablasTec!$A$14:$V$771,6,FALSE))</f>
        <v/>
      </c>
      <c r="N240" s="973" t="str">
        <f>IF(L240="Si",IF(E240=0,"",VLOOKUP(E240,TablasTec!$A$14:$V$771,6,FALSE)),"")</f>
        <v/>
      </c>
      <c r="O240" s="970" t="s">
        <v>1690</v>
      </c>
      <c r="P240" s="1394" t="str">
        <f>IF(E240=0,"",VLOOKUP(E240,TablasTec!$A$14:$V$771,7,FALSE))</f>
        <v/>
      </c>
      <c r="Q240" s="973" t="str">
        <f>IF(O240="Si",IF(E240=0,"",VLOOKUP(E240,TablasTec!$A$14:$V$771,7,FALSE)),"")</f>
        <v/>
      </c>
      <c r="R240" s="988" t="str">
        <f>IF(E240=0,"",VLOOKUP(E240,TablasTec!$A$14:$V$771,8,FALSE))</f>
        <v/>
      </c>
      <c r="S240" s="3181" t="str">
        <f>IF(R240=$D$8,$D$8,IF(R240=2,2,IF(R240=3,3,R240)))</f>
        <v/>
      </c>
      <c r="T240" s="4896"/>
      <c r="U240" s="4897"/>
      <c r="V240" s="3179" t="str">
        <f>IF(OR(V238=0,V238=""),"N/A",V238)</f>
        <v>N/A</v>
      </c>
      <c r="W240" s="4896" t="str">
        <f xml:space="preserve"> IF(OR(AF238=0,AF238=""),"N/A",W238)</f>
        <v>N/A</v>
      </c>
      <c r="X240" s="4898"/>
      <c r="Y240" s="4898"/>
      <c r="Z240" s="4898"/>
      <c r="AA240" s="4898"/>
      <c r="AB240" s="4898"/>
      <c r="AC240" s="4898"/>
      <c r="AD240" s="4898"/>
      <c r="AE240" s="4898"/>
      <c r="AF240" s="4897"/>
      <c r="AG240" s="4896" t="str">
        <f xml:space="preserve"> IF(OR(AP238="",AP238=0),"N/A",AG238)</f>
        <v>N/A</v>
      </c>
      <c r="AH240" s="4898"/>
      <c r="AI240" s="4898"/>
      <c r="AJ240" s="4898"/>
      <c r="AK240" s="4898"/>
      <c r="AL240" s="4898"/>
      <c r="AM240" s="4898"/>
      <c r="AN240" s="4898"/>
      <c r="AO240" s="4898"/>
      <c r="AP240" s="4897"/>
      <c r="AQ240" s="4896" t="str">
        <f xml:space="preserve"> IF(OR(AZ238="",AZ238=0),"N/A",AQ238)</f>
        <v>N/A</v>
      </c>
      <c r="AR240" s="4898"/>
      <c r="AS240" s="4898"/>
      <c r="AT240" s="4898"/>
      <c r="AU240" s="4898"/>
      <c r="AV240" s="4898"/>
      <c r="AW240" s="4898"/>
      <c r="AX240" s="4898"/>
      <c r="AY240" s="4898"/>
      <c r="AZ240" s="4897"/>
      <c r="BA240" s="4896" t="str">
        <f xml:space="preserve"> IF(OR(BJ238="",BJ238=0),"N/A",BA238)</f>
        <v>N/A</v>
      </c>
      <c r="BB240" s="4898"/>
      <c r="BC240" s="4898"/>
      <c r="BD240" s="4898"/>
      <c r="BE240" s="4898"/>
      <c r="BF240" s="4898"/>
      <c r="BG240" s="4898"/>
      <c r="BH240" s="4898"/>
      <c r="BI240" s="4898"/>
      <c r="BJ240" s="4897"/>
      <c r="BK240" s="990" t="s">
        <v>4541</v>
      </c>
      <c r="BL240" s="972"/>
      <c r="BM240" s="1007"/>
      <c r="BN240" s="975"/>
      <c r="BO240" s="992"/>
      <c r="BP240" s="961" t="str">
        <f>IF(I240="Si",VLOOKUP($D$8,TablasTec!$E$4:$F$6,2,FALSE),"")</f>
        <v/>
      </c>
      <c r="BQ240" s="962" t="str">
        <f>IF(L240="Si",VLOOKUP($D$8,TablasTec!$I$4:$J$6,2,FALSE),"")</f>
        <v/>
      </c>
      <c r="BR240" s="960" t="str">
        <f>IF(O240="Si",VLOOKUP($D$8,TablasTec!$I$7:$J$9,2,FALSE),"")</f>
        <v/>
      </c>
      <c r="BS240" s="977"/>
      <c r="BT240" s="4861" t="s">
        <v>4519</v>
      </c>
      <c r="BU240" s="4862"/>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c r="A241" s="922"/>
      <c r="B241" s="922"/>
      <c r="C241" s="4909"/>
      <c r="D241" s="1435" t="s">
        <v>1766</v>
      </c>
      <c r="E241" s="978"/>
      <c r="F241" s="1008"/>
      <c r="G241" s="1420" t="str">
        <f>IF(E241=0,"",VLOOKUP(E241,TablasTec!$A$14:$V$771,3,FALSE))</f>
        <v/>
      </c>
      <c r="H241" s="981" t="str">
        <f>IF($E241=0,"",VLOOKUP($E241,TablasTec!$A$14:$V$771,4,FALSE))</f>
        <v/>
      </c>
      <c r="I241" s="982" t="s">
        <v>1690</v>
      </c>
      <c r="J241" s="1398" t="str">
        <f>IF(E241=0,"",VLOOKUP(E241,TablasTec!$A$14:$V$771,5,FALSE))</f>
        <v/>
      </c>
      <c r="K241" s="984" t="str">
        <f>IF(I241="Si",IF(E241=0,"",VLOOKUP(E241,TablasTec!$A$14:$V$771,5,FALSE)),"")</f>
        <v/>
      </c>
      <c r="L241" s="982" t="s">
        <v>1690</v>
      </c>
      <c r="M241" s="1398" t="str">
        <f>IF(E241=0,"",VLOOKUP(E241,TablasTec!$A$14:$V$771,6,FALSE))</f>
        <v/>
      </c>
      <c r="N241" s="985" t="str">
        <f>IF(L241="Si",IF(E241=0,"",VLOOKUP(E241,TablasTec!$A$14:$V$771,6,FALSE)),"")</f>
        <v/>
      </c>
      <c r="O241" s="982" t="s">
        <v>1690</v>
      </c>
      <c r="P241" s="1398" t="str">
        <f>IF(E241=0,"",VLOOKUP(E241,TablasTec!$A$14:$V$771,7,FALSE))</f>
        <v/>
      </c>
      <c r="Q241" s="985" t="str">
        <f>IF(O241="Si",IF(E241=0,"",VLOOKUP(E241,TablasTec!$A$14:$V$771,7,FALSE)),"")</f>
        <v/>
      </c>
      <c r="R241" s="983" t="str">
        <f>IF(E241=0,"",VLOOKUP(E241,TablasTec!$A$14:$V$771,8,FALSE))</f>
        <v/>
      </c>
      <c r="S241" s="981" t="str">
        <f>IF(R241=$D$8,$D$8,IF(R241=2,2,IF(R241=3,3,R241)))</f>
        <v/>
      </c>
      <c r="T241" s="4899" t="s">
        <v>4542</v>
      </c>
      <c r="U241" s="4900"/>
      <c r="V241" s="3180"/>
      <c r="W241" s="4901"/>
      <c r="X241" s="4902"/>
      <c r="Y241" s="4902"/>
      <c r="Z241" s="4902"/>
      <c r="AA241" s="4902"/>
      <c r="AB241" s="4902"/>
      <c r="AC241" s="4902"/>
      <c r="AD241" s="4902"/>
      <c r="AE241" s="4902"/>
      <c r="AF241" s="4903"/>
      <c r="AG241" s="4901"/>
      <c r="AH241" s="4902"/>
      <c r="AI241" s="4902"/>
      <c r="AJ241" s="4902"/>
      <c r="AK241" s="4902"/>
      <c r="AL241" s="4902"/>
      <c r="AM241" s="4902"/>
      <c r="AN241" s="4902"/>
      <c r="AO241" s="4902"/>
      <c r="AP241" s="4903"/>
      <c r="AQ241" s="4901"/>
      <c r="AR241" s="4902"/>
      <c r="AS241" s="4902"/>
      <c r="AT241" s="4902"/>
      <c r="AU241" s="4902"/>
      <c r="AV241" s="4902"/>
      <c r="AW241" s="4902"/>
      <c r="AX241" s="4902"/>
      <c r="AY241" s="4902"/>
      <c r="AZ241" s="4903"/>
      <c r="BA241" s="4901"/>
      <c r="BB241" s="4902"/>
      <c r="BC241" s="4902"/>
      <c r="BD241" s="4902"/>
      <c r="BE241" s="4902"/>
      <c r="BF241" s="4902"/>
      <c r="BG241" s="4902"/>
      <c r="BH241" s="4902"/>
      <c r="BI241" s="4902"/>
      <c r="BJ241" s="4903"/>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IF(I241="Si",VLOOKUP($D$8,TablasTec!$E$4:$F$6,2,FALSE),"")</f>
        <v/>
      </c>
      <c r="BQ241" s="962" t="str">
        <f>IF(L241="Si",VLOOKUP($D$8,TablasTec!$I$4:$J$6,2,FALSE),"")</f>
        <v/>
      </c>
      <c r="BR241" s="960" t="str">
        <f>IF(O241="Si",VLOOKUP($D$8,TablasTec!$I$7:$J$9,2,FALSE),"")</f>
        <v/>
      </c>
      <c r="BS241" s="977"/>
      <c r="BT241" s="4853" t="s">
        <v>4547</v>
      </c>
      <c r="BU241" s="4854"/>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c r="A242" s="922"/>
      <c r="B242" s="922"/>
      <c r="C242" s="4909"/>
      <c r="D242" s="1436" t="s">
        <v>1766</v>
      </c>
      <c r="E242" s="986"/>
      <c r="F242" s="1002"/>
      <c r="G242" s="972" t="str">
        <f>IF(E242=0,"",VLOOKUP(E242,TablasTec!$A$14:$V$771,3,FALSE))</f>
        <v/>
      </c>
      <c r="H242" s="987" t="str">
        <f>IF($E242=0,"",VLOOKUP($E242,TablasTec!$A$14:$V$771,4,FALSE))</f>
        <v/>
      </c>
      <c r="I242" s="970" t="s">
        <v>1690</v>
      </c>
      <c r="J242" s="1394" t="str">
        <f>IF(E242=0,"",VLOOKUP(E242,TablasTec!$A$14:$V$771,5,FALSE))</f>
        <v/>
      </c>
      <c r="K242" s="989" t="str">
        <f>IF(I242="Si",IF(E242=0,"",VLOOKUP(E242,TablasTec!$A$14:$V$771,5,FALSE)),"")</f>
        <v/>
      </c>
      <c r="L242" s="970" t="s">
        <v>1690</v>
      </c>
      <c r="M242" s="1394" t="str">
        <f>IF(E242=0,"",VLOOKUP(E242,TablasTec!$A$14:$V$771,6,FALSE))</f>
        <v/>
      </c>
      <c r="N242" s="973" t="str">
        <f>IF(L242="Si",IF(E242=0,"",VLOOKUP(E242,TablasTec!$A$14:$V$771,6,FALSE)),"")</f>
        <v/>
      </c>
      <c r="O242" s="970" t="s">
        <v>1690</v>
      </c>
      <c r="P242" s="1394" t="str">
        <f>IF(E242=0,"",VLOOKUP(E242,TablasTec!$A$14:$V$771,7,FALSE))</f>
        <v/>
      </c>
      <c r="Q242" s="973" t="str">
        <f>IF(O242="Si",IF(E242=0,"",VLOOKUP(E242,TablasTec!$A$14:$V$771,7,FALSE)),"")</f>
        <v/>
      </c>
      <c r="R242" s="988" t="str">
        <f>IF(E242=0,"",VLOOKUP(E242,TablasTec!$A$14:$V$771,8,FALSE))</f>
        <v/>
      </c>
      <c r="S242" s="987" t="str">
        <f>IF(R242=$D$8,$D$8,IF(R242=2,2,IF(R242=3,3,R242)))</f>
        <v/>
      </c>
      <c r="T242" s="4890" t="s">
        <v>4544</v>
      </c>
      <c r="U242" s="4891"/>
      <c r="V242" s="3178"/>
      <c r="W242" s="4892"/>
      <c r="X242" s="4893"/>
      <c r="Y242" s="4893"/>
      <c r="Z242" s="4893"/>
      <c r="AA242" s="4893"/>
      <c r="AB242" s="4893"/>
      <c r="AC242" s="4893"/>
      <c r="AD242" s="4893"/>
      <c r="AE242" s="4893"/>
      <c r="AF242" s="4894"/>
      <c r="AG242" s="4892"/>
      <c r="AH242" s="4893"/>
      <c r="AI242" s="4893"/>
      <c r="AJ242" s="4893"/>
      <c r="AK242" s="4893"/>
      <c r="AL242" s="4893"/>
      <c r="AM242" s="4893"/>
      <c r="AN242" s="4893"/>
      <c r="AO242" s="4893"/>
      <c r="AP242" s="4894"/>
      <c r="AQ242" s="4892"/>
      <c r="AR242" s="4893"/>
      <c r="AS242" s="4893"/>
      <c r="AT242" s="4893"/>
      <c r="AU242" s="4893"/>
      <c r="AV242" s="4893"/>
      <c r="AW242" s="4893"/>
      <c r="AX242" s="4893"/>
      <c r="AY242" s="4893"/>
      <c r="AZ242" s="4894"/>
      <c r="BA242" s="4892"/>
      <c r="BB242" s="4893"/>
      <c r="BC242" s="4893"/>
      <c r="BD242" s="4893"/>
      <c r="BE242" s="4893"/>
      <c r="BF242" s="4893"/>
      <c r="BG242" s="4893"/>
      <c r="BH242" s="4893"/>
      <c r="BI242" s="4893"/>
      <c r="BJ242" s="4894"/>
      <c r="BK242" s="997">
        <f>SUM(K238:K242)-SUM(V242:BA242)</f>
        <v>0</v>
      </c>
      <c r="BL242" s="1422"/>
      <c r="BM242" s="1423"/>
      <c r="BN242" s="975"/>
      <c r="BO242" s="992"/>
      <c r="BP242" s="961" t="str">
        <f>IF(I242="Si",VLOOKUP($D$8,TablasTec!$E$4:$F$6,2,FALSE),"")</f>
        <v/>
      </c>
      <c r="BQ242" s="962" t="str">
        <f>IF(L242="Si",VLOOKUP($D$8,TablasTec!$I$4:$J$6,2,FALSE),"")</f>
        <v/>
      </c>
      <c r="BR242" s="960" t="str">
        <f>IF(O242="Si",VLOOKUP($D$8,TablasTec!$I$7:$J$9,2,FALSE),"")</f>
        <v/>
      </c>
      <c r="BS242" s="977"/>
      <c r="BT242" s="2293">
        <f>IF(BT236="No",0,IF(D230=0,0,VLOOKUP(D230,TablasTec!$L$4:$N$7,2,FALSE)))+IF(BT238="Bajar coste de CM",0,IF(BT238="-5 CM",2,IF(BT238="-10 CM",4,IF(BT238="-15 CM",6,IF(BT238="-20 CM",8,0)))))+IF(BT240="Bajar coste de Ki",0,IF(BT240="-1 Ki",-1,IF(BT240="-2 Ki",-2,IF(BT240="-3 Ki",-3,IF(BT240="-4 Ki",-4,IF(BT240="-5 Ki",-5,0))))))-BU245-BU247-BU249-BU251-BU253-BU255</f>
        <v>0</v>
      </c>
      <c r="BU242" s="2294">
        <f>IF(BT236="No",0,IF(D230=0,0,VLOOKUP(D230,TablasTec!$L$4:$N$7,2,FALSE)))+IF(BT238="Bajar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09"/>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IF(I243="Si",VLOOKUP($D$8,TablasTec!$E$4:$F$6,2,FALSE),"")</f>
        <v/>
      </c>
      <c r="BQ243" s="1013" t="str">
        <f>IF(L243="Si",VLOOKUP($D$8,TablasTec!$I$4:$J$6,2,FALSE),"")</f>
        <v/>
      </c>
      <c r="BR243" s="1011" t="str">
        <f>IF(O243="Si",VLOOKUP($D$8,TablasTec!$I$7:$J$9,2,FALSE),"")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09"/>
      <c r="D244" s="1436" t="s">
        <v>1766</v>
      </c>
      <c r="E244" s="966"/>
      <c r="F244" s="1002"/>
      <c r="G244" s="972" t="str">
        <f>IF(E244=0,"",VLOOKUP(E244,TablasTec!$A$14:$V$771,3,FALSE))</f>
        <v/>
      </c>
      <c r="H244" s="1014" t="str">
        <f>IF($E244=0,"",VLOOKUP($E244,TablasTec!$A$14:$V$771,4,FALSE))</f>
        <v/>
      </c>
      <c r="I244" s="970" t="s">
        <v>1690</v>
      </c>
      <c r="J244" s="1400" t="str">
        <f>IF(E244=0,"",VLOOKUP(E244,TablasTec!$A$14:$V$771,5,FALSE))</f>
        <v/>
      </c>
      <c r="K244" s="1016" t="str">
        <f>IF(I244="Si",IF(E244=0,"",VLOOKUP(E244,TablasTec!$A$14:$V$771,5,FALSE)),"")</f>
        <v/>
      </c>
      <c r="L244" s="970" t="s">
        <v>1690</v>
      </c>
      <c r="M244" s="1400" t="str">
        <f>IF(E244=0,"",VLOOKUP(E244,TablasTec!$A$14:$V$771,6,FALSE))</f>
        <v/>
      </c>
      <c r="N244" s="973" t="str">
        <f>IF(L244="Si",IF(E244=0,"",VLOOKUP(E244,TablasTec!$A$14:$V$771,6,FALSE)),"")</f>
        <v/>
      </c>
      <c r="O244" s="970" t="s">
        <v>1690</v>
      </c>
      <c r="P244" s="1400" t="str">
        <f>IF(E244=0,"",VLOOKUP(E244,TablasTec!$A$14:$V$771,7,FALSE))</f>
        <v/>
      </c>
      <c r="Q244" s="973" t="str">
        <f>IF(O244="Si",IF(E244=0,"",VLOOKUP(E244,TablasTec!$A$14:$V$771,7,FALSE)),"")</f>
        <v/>
      </c>
      <c r="R244" s="1015" t="str">
        <f>IF(E244=0,"",VLOOKUP(E244,TablasTec!$A$14:$V$771,8,FALSE))</f>
        <v/>
      </c>
      <c r="S244" s="987" t="str">
        <f>IF(R244=$D$8,$D$8,IF(R244=2,2,IF(R244=3,3,R244)))</f>
        <v/>
      </c>
      <c r="T244" s="1016" t="str">
        <f>IF(E244=0,"",VLOOKUP(E244,TablasTec!$A$14:$V$771,9,FALSE))</f>
        <v/>
      </c>
      <c r="U244" s="1016" t="str">
        <f>IF(E244=0,"",VLOOKUP(E244,TablasTec!$A$14:$V$771,10,FALSE))</f>
        <v/>
      </c>
      <c r="V244" s="1017" t="str">
        <f>IF(E244=0,"",VLOOKUP(E244,TablasTec!$A$14:$V$771,11,FALSE))</f>
        <v/>
      </c>
      <c r="W244" s="970"/>
      <c r="X244" s="971" t="e">
        <f>VLOOKUP(E244,TablasTec!$A$14:$V$771,12,FALSE)</f>
        <v>#N/A</v>
      </c>
      <c r="Y244" s="971" t="e">
        <f>IF(W244=X244,VLOOKUP(E244,TablasTec!$A$14:$V$771,13,FALSE),0)</f>
        <v>#N/A</v>
      </c>
      <c r="Z244" s="971" t="e">
        <f>VLOOKUP(E244,TablasTec!$A$14:$V$771,14,FALSE)</f>
        <v>#N/A</v>
      </c>
      <c r="AA244" s="971" t="e">
        <f>IF(W244=Z244,VLOOKUP(E244,TablasTec!$A$14:$V$616,15,FALSE),0)</f>
        <v>#N/A</v>
      </c>
      <c r="AB244" s="971" t="e">
        <f>VLOOKUP(E244,TablasTec!$A$14:$V$771,16,FALSE)</f>
        <v>#N/A</v>
      </c>
      <c r="AC244" s="971" t="e">
        <f>IF(W244=AB244,VLOOKUP(E244,TablasTec!$A$14:$V$616,17,FALSE),0)</f>
        <v>#N/A</v>
      </c>
      <c r="AD244" s="971" t="e">
        <f>VLOOKUP(E244,TablasTec!$A$14:$V$771,18,FALSE)</f>
        <v>#N/A</v>
      </c>
      <c r="AE244" s="971" t="e">
        <f>IF(W244=AD244,VLOOKUP(E244,TablasTec!$A$14:$V$771,19,FALSE),0)</f>
        <v>#N/A</v>
      </c>
      <c r="AF244" s="989" t="str">
        <f>IF(E244=0,"",(Y244+AA244+AC244+AE244))</f>
        <v/>
      </c>
      <c r="AG244" s="970"/>
      <c r="AH244" s="988" t="e">
        <f>VLOOKUP(E244,TablasTec!$A$14:$V$771,12,FALSE)</f>
        <v>#N/A</v>
      </c>
      <c r="AI244" s="988" t="e">
        <f>IF(AG244=AH244,VLOOKUP(E244,TablasTec!$A$14:$V$771,13,FALSE),0)</f>
        <v>#N/A</v>
      </c>
      <c r="AJ244" s="988" t="e">
        <f>VLOOKUP(E244,TablasTec!$A$14:$V$771,14,FALSE)</f>
        <v>#N/A</v>
      </c>
      <c r="AK244" s="988" t="e">
        <f>IF(AG244=AJ244,VLOOKUP(E244,TablasTec!$A$14:$V$771,15,FALSE),0)</f>
        <v>#N/A</v>
      </c>
      <c r="AL244" s="988" t="e">
        <f>VLOOKUP(E244,TablasTec!$A$14:$V$771,16,FALSE)</f>
        <v>#N/A</v>
      </c>
      <c r="AM244" s="988" t="e">
        <f>IF(AG244=AL244,VLOOKUP(E244,TablasTec!$A$14:$V$771,17,FALSE),0)</f>
        <v>#N/A</v>
      </c>
      <c r="AN244" s="988" t="e">
        <f>VLOOKUP(E244,TablasTec!$A$14:$V$771,18,FALSE)</f>
        <v>#N/A</v>
      </c>
      <c r="AO244" s="988" t="e">
        <f>IF(AG244=AN244,VLOOKUP(E244,TablasTec!$A$14:$V$771,19,FALSE),0)</f>
        <v>#N/A</v>
      </c>
      <c r="AP244" s="3182" t="str">
        <f>IF(E244=0,"",(AI244+AK244+AM244+AO244))</f>
        <v/>
      </c>
      <c r="AQ244" s="970"/>
      <c r="AR244" s="988" t="e">
        <f>VLOOKUP(E244,TablasTec!$A$14:$V$771,12,FALSE)</f>
        <v>#N/A</v>
      </c>
      <c r="AS244" s="988" t="e">
        <f>IF(AQ244=AR244,VLOOKUP(E244,TablasTec!$A$14:$V$771,13,FALSE),0)</f>
        <v>#N/A</v>
      </c>
      <c r="AT244" s="988" t="e">
        <f>VLOOKUP(E244,TablasTec!$A$14:$V$771,14,FALSE)</f>
        <v>#N/A</v>
      </c>
      <c r="AU244" s="988" t="e">
        <f>IF(AQ244=AT244,VLOOKUP(E244,TablasTec!$A$14:$V$771,15,FALSE),0)</f>
        <v>#N/A</v>
      </c>
      <c r="AV244" s="988" t="e">
        <f>VLOOKUP(E244,TablasTec!$A$14:$V$771,16,FALSE)</f>
        <v>#N/A</v>
      </c>
      <c r="AW244" s="988" t="e">
        <f>IF(AQ244=AV244,VLOOKUP(E244,TablasTec!$A$14:$V$771,17,FALSE),0)</f>
        <v>#N/A</v>
      </c>
      <c r="AX244" s="988" t="e">
        <f>VLOOKUP(E244,TablasTec!$A$14:$V$771,18,FALSE)</f>
        <v>#N/A</v>
      </c>
      <c r="AY244" s="988" t="e">
        <f>IF(AQ244=AX244,VLOOKUP(E244,TablasTec!$A$14:$V$771,19,FALSE),0)</f>
        <v>#N/A</v>
      </c>
      <c r="AZ244" s="989" t="str">
        <f>IF(E244=0,"",(AS244+AU244+AW244+AY244))</f>
        <v/>
      </c>
      <c r="BA244" s="970"/>
      <c r="BB244" s="988" t="e">
        <f>VLOOKUP(E244,TablasTec!$A$14:$V$771,12,FALSE)</f>
        <v>#N/A</v>
      </c>
      <c r="BC244" s="988" t="e">
        <f>IF(BA244=BB244,VLOOKUP(E244,TablasTec!$A$14:$V$771,13,FALSE),0)</f>
        <v>#N/A</v>
      </c>
      <c r="BD244" s="988" t="e">
        <f>VLOOKUP(E244,TablasTec!$A$14:$V$771,14,FALSE)</f>
        <v>#N/A</v>
      </c>
      <c r="BE244" s="988" t="e">
        <f>IF(BA244=BD244,VLOOKUP(E244,TablasTec!$A$14:$V$771,15,FALSE),0)</f>
        <v>#N/A</v>
      </c>
      <c r="BF244" s="988" t="e">
        <f>VLOOKUP(E244,TablasTec!$A$14:$V$771,16,FALSE)</f>
        <v>#N/A</v>
      </c>
      <c r="BG244" s="988" t="e">
        <f>IF(BA244=BF244,VLOOKUP(E244,TablasTec!$A$14:$V$771,17,FALSE),0)</f>
        <v>#N/A</v>
      </c>
      <c r="BH244" s="988" t="e">
        <f>VLOOKUP(E244,TablasTec!$A$14:$V$771,18,FALSE)</f>
        <v>#N/A</v>
      </c>
      <c r="BI244" s="988" t="e">
        <f>IF(BA244=BH244,VLOOKUP(E244,TablasTec!$A$14:$V$771,19,FALSE),0)</f>
        <v>#N/A</v>
      </c>
      <c r="BJ244" s="3182" t="str">
        <f>IF(E244=0,"",(BC244+BE244+BG244+BI244))</f>
        <v/>
      </c>
      <c r="BK244" s="1016" t="str">
        <f>IF(E244=0,"",VLOOKUP(E244,TablasTec!$A$14:$V$771,20,FALSE))</f>
        <v/>
      </c>
      <c r="BL244" s="1003" t="str">
        <f>IF(E244=0,"",VLOOKUP(E244,TablasTec!$A$14:$V$771,21,FALSE))</f>
        <v/>
      </c>
      <c r="BM244" s="974" t="str">
        <f>IF(E244=0,"",VLOOKUP(E244,TablasTec!$A$14:$V$771,22,FALSE))</f>
        <v/>
      </c>
      <c r="BN244" s="975"/>
      <c r="BO244" s="976"/>
      <c r="BP244" s="961" t="str">
        <f>IF(I244="Si",VLOOKUP($D$8,TablasTec!$E$4:$F$6,2,FALSE),"")</f>
        <v/>
      </c>
      <c r="BQ244" s="962" t="str">
        <f>IF(L244="Si",VLOOKUP($D$8,TablasTec!$I$4:$J$6,2,FALSE),"")</f>
        <v/>
      </c>
      <c r="BR244" s="960" t="str">
        <f>IF(O244="Si",VLOOKUP($D$8,TablasTec!$I$7:$J$9,2,FALSE),"")</f>
        <v/>
      </c>
      <c r="BS244" s="977"/>
      <c r="BT244" s="3171" t="s">
        <v>1682</v>
      </c>
      <c r="BU244" s="3172" t="s">
        <v>4548</v>
      </c>
      <c r="BV244" s="954"/>
      <c r="BW244" s="3172" t="s">
        <v>4549</v>
      </c>
      <c r="BX244" s="3171"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c r="A245" s="922"/>
      <c r="B245" s="922"/>
      <c r="C245" s="4909"/>
      <c r="D245" s="1435" t="s">
        <v>1766</v>
      </c>
      <c r="E245" s="978"/>
      <c r="F245" s="1008"/>
      <c r="G245" s="1420" t="str">
        <f>IF(E245=0,"",VLOOKUP(E245,TablasTec!$A$14:$V$771,3,FALSE))</f>
        <v/>
      </c>
      <c r="H245" s="981" t="str">
        <f>IF($E245=0,"",VLOOKUP($E245,TablasTec!$A$14:$V$771,4,FALSE))</f>
        <v/>
      </c>
      <c r="I245" s="982" t="s">
        <v>1690</v>
      </c>
      <c r="J245" s="1398" t="str">
        <f>IF(E245=0,"",VLOOKUP(E245,TablasTec!$A$14:$V$771,5,FALSE))</f>
        <v/>
      </c>
      <c r="K245" s="984" t="str">
        <f>IF(I245="Si",IF(E245=0,"",VLOOKUP(E245,TablasTec!$A$14:$V$771,5,FALSE)),"")</f>
        <v/>
      </c>
      <c r="L245" s="982" t="s">
        <v>1690</v>
      </c>
      <c r="M245" s="1398" t="str">
        <f>IF(E245=0,"",VLOOKUP(E245,TablasTec!$A$14:$V$771,6,FALSE))</f>
        <v/>
      </c>
      <c r="N245" s="985" t="str">
        <f>IF(L245="Si",IF(E245=0,"",VLOOKUP(E245,TablasTec!$A$14:$V$771,6,FALSE)),"")</f>
        <v/>
      </c>
      <c r="O245" s="982" t="s">
        <v>1690</v>
      </c>
      <c r="P245" s="1398" t="str">
        <f>IF(E245=0,"",VLOOKUP(E245,TablasTec!$A$14:$V$771,7,FALSE))</f>
        <v/>
      </c>
      <c r="Q245" s="985" t="str">
        <f>IF(O245="Si",IF(E245=0,"",VLOOKUP(E245,TablasTec!$A$14:$V$771,7,FALSE)),"")</f>
        <v/>
      </c>
      <c r="R245" s="983" t="str">
        <f>IF(E245=0,"",VLOOKUP(E245,TablasTec!$A$14:$V$771,8,FALSE))</f>
        <v/>
      </c>
      <c r="S245" s="981" t="str">
        <f>IF(R245=$D$8,$D$8,IF(R245=2,2,IF(R245=3,3,R245)))</f>
        <v/>
      </c>
      <c r="T245" s="4883" t="s">
        <v>4540</v>
      </c>
      <c r="U245" s="4884"/>
      <c r="V245" s="4884"/>
      <c r="W245" s="4884"/>
      <c r="X245" s="4884"/>
      <c r="Y245" s="4884"/>
      <c r="Z245" s="4884"/>
      <c r="AA245" s="4884"/>
      <c r="AB245" s="4884"/>
      <c r="AC245" s="4884"/>
      <c r="AD245" s="4884"/>
      <c r="AE245" s="4884"/>
      <c r="AF245" s="4884"/>
      <c r="AG245" s="4884"/>
      <c r="AH245" s="4884"/>
      <c r="AI245" s="4884"/>
      <c r="AJ245" s="4884"/>
      <c r="AK245" s="4884"/>
      <c r="AL245" s="4884"/>
      <c r="AM245" s="4884"/>
      <c r="AN245" s="4884"/>
      <c r="AO245" s="4884"/>
      <c r="AP245" s="4884"/>
      <c r="AQ245" s="4884"/>
      <c r="AR245" s="4884"/>
      <c r="AS245" s="4884"/>
      <c r="AT245" s="4884"/>
      <c r="AU245" s="4884"/>
      <c r="AV245" s="4884"/>
      <c r="AW245" s="4884"/>
      <c r="AX245" s="4884"/>
      <c r="AY245" s="4884"/>
      <c r="AZ245" s="4884"/>
      <c r="BA245" s="4884"/>
      <c r="BB245" s="4884"/>
      <c r="BC245" s="4884"/>
      <c r="BD245" s="4884"/>
      <c r="BE245" s="4884"/>
      <c r="BF245" s="4884"/>
      <c r="BG245" s="4884"/>
      <c r="BH245" s="4884"/>
      <c r="BI245" s="4884"/>
      <c r="BJ245" s="4884"/>
      <c r="BK245" s="4885"/>
      <c r="BL245" s="1420"/>
      <c r="BM245" s="1421"/>
      <c r="BN245" s="975"/>
      <c r="BO245" s="976"/>
      <c r="BP245" s="961" t="str">
        <f>IF(I245="Si",VLOOKUP($D$8,TablasTec!$E$4:$F$6,2,FALSE),"")</f>
        <v/>
      </c>
      <c r="BQ245" s="962" t="str">
        <f>IF(L245="Si",VLOOKUP($D$8,TablasTec!$I$4:$J$6,2,FALSE),"")</f>
        <v/>
      </c>
      <c r="BR245" s="960" t="str">
        <f>IF(O245="Si",VLOOKUP($D$8,TablasTec!$I$7:$J$9,2,FALSE),"")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c r="A246" s="922"/>
      <c r="B246" s="922"/>
      <c r="C246" s="4909"/>
      <c r="D246" s="1436" t="s">
        <v>1766</v>
      </c>
      <c r="E246" s="986"/>
      <c r="F246" s="1002"/>
      <c r="G246" s="972" t="str">
        <f>IF(E246=0,"",VLOOKUP(E246,TablasTec!$A$14:$V$771,3,FALSE))</f>
        <v/>
      </c>
      <c r="H246" s="3181" t="str">
        <f>IF($E246=0,"",VLOOKUP($E246,TablasTec!$A$14:$V$771,4,FALSE))</f>
        <v/>
      </c>
      <c r="I246" s="970" t="s">
        <v>1690</v>
      </c>
      <c r="J246" s="1394" t="str">
        <f>IF(E246=0,"",VLOOKUP(E246,TablasTec!$A$14:$V$771,5,FALSE))</f>
        <v/>
      </c>
      <c r="K246" s="989" t="str">
        <f>IF(I246="Si",IF(E246=0,"",VLOOKUP(E246,TablasTec!$A$14:$V$771,5,FALSE)),"")</f>
        <v/>
      </c>
      <c r="L246" s="970" t="s">
        <v>1690</v>
      </c>
      <c r="M246" s="1394" t="str">
        <f>IF(E246=0,"",VLOOKUP(E246,TablasTec!$A$14:$V$771,6,FALSE))</f>
        <v/>
      </c>
      <c r="N246" s="973" t="str">
        <f>IF(L246="Si",IF(E246=0,"",VLOOKUP(E246,TablasTec!$A$14:$V$771,6,FALSE)),"")</f>
        <v/>
      </c>
      <c r="O246" s="970" t="s">
        <v>1690</v>
      </c>
      <c r="P246" s="1394" t="str">
        <f>IF(E246=0,"",VLOOKUP(E246,TablasTec!$A$14:$V$771,7,FALSE))</f>
        <v/>
      </c>
      <c r="Q246" s="973" t="str">
        <f>IF(O246="Si",IF(E246=0,"",VLOOKUP(E246,TablasTec!$A$14:$V$771,7,FALSE)),"")</f>
        <v/>
      </c>
      <c r="R246" s="988" t="str">
        <f>IF(E246=0,"",VLOOKUP(E246,TablasTec!$A$14:$V$771,8,FALSE))</f>
        <v/>
      </c>
      <c r="S246" s="3181" t="str">
        <f>IF(R246=$D$8,$D$8,IF(R246=2,2,IF(R246=3,3,R246)))</f>
        <v/>
      </c>
      <c r="T246" s="4896"/>
      <c r="U246" s="4897"/>
      <c r="V246" s="3179" t="str">
        <f>IF(OR(V244=0,V244=""),"N/A",V244)</f>
        <v>N/A</v>
      </c>
      <c r="W246" s="4896" t="str">
        <f xml:space="preserve"> IF(OR(AF244=0,AF244=""),"N/A",W244)</f>
        <v>N/A</v>
      </c>
      <c r="X246" s="4898"/>
      <c r="Y246" s="4898"/>
      <c r="Z246" s="4898"/>
      <c r="AA246" s="4898"/>
      <c r="AB246" s="4898"/>
      <c r="AC246" s="4898"/>
      <c r="AD246" s="4898"/>
      <c r="AE246" s="4898"/>
      <c r="AF246" s="4897"/>
      <c r="AG246" s="4896" t="str">
        <f xml:space="preserve"> IF(OR(AP244="",AP244=0),"N/A",AG244)</f>
        <v>N/A</v>
      </c>
      <c r="AH246" s="4898"/>
      <c r="AI246" s="4898"/>
      <c r="AJ246" s="4898"/>
      <c r="AK246" s="4898"/>
      <c r="AL246" s="4898"/>
      <c r="AM246" s="4898"/>
      <c r="AN246" s="4898"/>
      <c r="AO246" s="4898"/>
      <c r="AP246" s="4897"/>
      <c r="AQ246" s="4896" t="str">
        <f xml:space="preserve"> IF(OR(AZ244="",AZ244=0),"N/A",AQ244)</f>
        <v>N/A</v>
      </c>
      <c r="AR246" s="4898"/>
      <c r="AS246" s="4898"/>
      <c r="AT246" s="4898"/>
      <c r="AU246" s="4898"/>
      <c r="AV246" s="4898"/>
      <c r="AW246" s="4898"/>
      <c r="AX246" s="4898"/>
      <c r="AY246" s="4898"/>
      <c r="AZ246" s="4897"/>
      <c r="BA246" s="4896" t="str">
        <f xml:space="preserve"> IF(OR(BJ244="",BJ244=0),"N/A",BA244)</f>
        <v>N/A</v>
      </c>
      <c r="BB246" s="4898"/>
      <c r="BC246" s="4898"/>
      <c r="BD246" s="4898"/>
      <c r="BE246" s="4898"/>
      <c r="BF246" s="4898"/>
      <c r="BG246" s="4898"/>
      <c r="BH246" s="4898"/>
      <c r="BI246" s="4898"/>
      <c r="BJ246" s="4897"/>
      <c r="BK246" s="990" t="s">
        <v>4541</v>
      </c>
      <c r="BL246" s="972"/>
      <c r="BM246" s="1007"/>
      <c r="BN246" s="991"/>
      <c r="BO246" s="992"/>
      <c r="BP246" s="993" t="str">
        <f>IF(I246="Si",VLOOKUP($D$8,TablasTec!$E$4:$F$6,2,FALSE),"")</f>
        <v/>
      </c>
      <c r="BQ246" s="963" t="str">
        <f>IF(L246="Si",VLOOKUP($D$8,TablasTec!$I$4:$J$6,2,FALSE),"")</f>
        <v/>
      </c>
      <c r="BR246" s="994" t="str">
        <f>IF(O246="Si",VLOOKUP($D$8,TablasTec!$I$7:$J$9,2,FALSE),"")</f>
        <v/>
      </c>
      <c r="BS246" s="977"/>
      <c r="BT246" s="3171" t="s">
        <v>1809</v>
      </c>
      <c r="BU246" s="3172" t="s">
        <v>4548</v>
      </c>
      <c r="BV246" s="954"/>
      <c r="BW246" s="3172" t="s">
        <v>4549</v>
      </c>
      <c r="BX246" s="3171"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c r="A247" s="922"/>
      <c r="B247" s="922"/>
      <c r="C247" s="4909"/>
      <c r="D247" s="1435" t="s">
        <v>1766</v>
      </c>
      <c r="E247" s="978"/>
      <c r="F247" s="1008"/>
      <c r="G247" s="1420" t="str">
        <f>IF(E247=0,"",VLOOKUP(E247,TablasTec!$A$14:$V$771,3,FALSE))</f>
        <v/>
      </c>
      <c r="H247" s="981" t="str">
        <f>IF($E247=0,"",VLOOKUP($E247,TablasTec!$A$14:$V$771,4,FALSE))</f>
        <v/>
      </c>
      <c r="I247" s="982" t="s">
        <v>1690</v>
      </c>
      <c r="J247" s="1398" t="str">
        <f>IF(E247=0,"",VLOOKUP(E247,TablasTec!$A$14:$V$771,5,FALSE))</f>
        <v/>
      </c>
      <c r="K247" s="984" t="str">
        <f>IF(I247="Si",IF(E247=0,"",VLOOKUP(E247,TablasTec!$A$14:$V$771,5,FALSE)),"")</f>
        <v/>
      </c>
      <c r="L247" s="982" t="s">
        <v>1690</v>
      </c>
      <c r="M247" s="1398" t="str">
        <f>IF(E247=0,"",VLOOKUP(E247,TablasTec!$A$14:$V$771,6,FALSE))</f>
        <v/>
      </c>
      <c r="N247" s="985" t="str">
        <f>IF(L247="Si",IF(E247=0,"",VLOOKUP(E247,TablasTec!$A$14:$V$771,6,FALSE)),"")</f>
        <v/>
      </c>
      <c r="O247" s="982" t="s">
        <v>1690</v>
      </c>
      <c r="P247" s="1398" t="str">
        <f>IF(E247=0,"",VLOOKUP(E247,TablasTec!$A$14:$V$771,7,FALSE))</f>
        <v/>
      </c>
      <c r="Q247" s="985" t="str">
        <f>IF(O247="Si",IF(E247=0,"",VLOOKUP(E247,TablasTec!$A$14:$V$771,7,FALSE)),"")</f>
        <v/>
      </c>
      <c r="R247" s="983" t="str">
        <f>IF(E247=0,"",VLOOKUP(E247,TablasTec!$A$14:$V$771,8,FALSE))</f>
        <v/>
      </c>
      <c r="S247" s="981" t="str">
        <f>IF(R247=$D$8,$D$8,IF(R247=2,2,IF(R247=3,3,R247)))</f>
        <v/>
      </c>
      <c r="T247" s="4899" t="s">
        <v>4542</v>
      </c>
      <c r="U247" s="4900"/>
      <c r="V247" s="3180"/>
      <c r="W247" s="4901"/>
      <c r="X247" s="4902"/>
      <c r="Y247" s="4902"/>
      <c r="Z247" s="4902"/>
      <c r="AA247" s="4902"/>
      <c r="AB247" s="4902"/>
      <c r="AC247" s="4902"/>
      <c r="AD247" s="4902"/>
      <c r="AE247" s="4902"/>
      <c r="AF247" s="4903"/>
      <c r="AG247" s="4901"/>
      <c r="AH247" s="4902"/>
      <c r="AI247" s="4902"/>
      <c r="AJ247" s="4902"/>
      <c r="AK247" s="4902"/>
      <c r="AL247" s="4902"/>
      <c r="AM247" s="4902"/>
      <c r="AN247" s="4902"/>
      <c r="AO247" s="4902"/>
      <c r="AP247" s="4903"/>
      <c r="AQ247" s="4901"/>
      <c r="AR247" s="4902"/>
      <c r="AS247" s="4902"/>
      <c r="AT247" s="4902"/>
      <c r="AU247" s="4902"/>
      <c r="AV247" s="4902"/>
      <c r="AW247" s="4902"/>
      <c r="AX247" s="4902"/>
      <c r="AY247" s="4902"/>
      <c r="AZ247" s="4903"/>
      <c r="BA247" s="4901"/>
      <c r="BB247" s="4902"/>
      <c r="BC247" s="4902"/>
      <c r="BD247" s="4902"/>
      <c r="BE247" s="4902"/>
      <c r="BF247" s="4902"/>
      <c r="BG247" s="4902"/>
      <c r="BH247" s="4902"/>
      <c r="BI247" s="4902"/>
      <c r="BJ247" s="4903"/>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IF(I247="Si",VLOOKUP($D$8,TablasTec!$E$4:$F$6,2,FALSE),"")</f>
        <v/>
      </c>
      <c r="BQ247" s="962" t="str">
        <f>IF(L247="Si",VLOOKUP($D$8,TablasTec!$I$4:$J$6,2,FALSE),"")</f>
        <v/>
      </c>
      <c r="BR247" s="960" t="str">
        <f>IF(O247="Si",VLOOKUP($D$8,TablasTec!$I$7:$J$9,2,FALSE),"")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c r="A248" s="922"/>
      <c r="B248" s="922"/>
      <c r="C248" s="4909"/>
      <c r="D248" s="1436" t="s">
        <v>1766</v>
      </c>
      <c r="E248" s="986"/>
      <c r="F248" s="1002"/>
      <c r="G248" s="972" t="str">
        <f>IF(E248=0,"",VLOOKUP(E248,TablasTec!$A$14:$V$771,3,FALSE))</f>
        <v/>
      </c>
      <c r="H248" s="997" t="str">
        <f>IF($E248=0,"",VLOOKUP($E248,TablasTec!$A$14:$V$771,4,FALSE))</f>
        <v/>
      </c>
      <c r="I248" s="970" t="s">
        <v>1690</v>
      </c>
      <c r="J248" s="1401" t="str">
        <f>IF(E248=0,"",VLOOKUP(E248,TablasTec!$A$14:$V$771,5,FALSE))</f>
        <v/>
      </c>
      <c r="K248" s="998" t="str">
        <f>IF(I248="Si",IF(E248=0,"",VLOOKUP(E248,TablasTec!$A$14:$V$771,5,FALSE)),"")</f>
        <v/>
      </c>
      <c r="L248" s="970" t="s">
        <v>1690</v>
      </c>
      <c r="M248" s="1401" t="str">
        <f>IF(E248=0,"",VLOOKUP(E248,TablasTec!$A$14:$V$771,6,FALSE))</f>
        <v/>
      </c>
      <c r="N248" s="973" t="str">
        <f>IF(L248="Si",IF(E248=0,"",VLOOKUP(E248,TablasTec!$A$14:$V$771,6,FALSE)),"")</f>
        <v/>
      </c>
      <c r="O248" s="970" t="s">
        <v>1690</v>
      </c>
      <c r="P248" s="1401" t="str">
        <f>IF(E248=0,"",VLOOKUP(E248,TablasTec!$A$14:$V$771,7,FALSE))</f>
        <v/>
      </c>
      <c r="Q248" s="973" t="str">
        <f>IF(O248="Si",IF(E248=0,"",VLOOKUP(E248,TablasTec!$A$14:$V$771,7,FALSE)),"")</f>
        <v/>
      </c>
      <c r="R248" s="1018" t="str">
        <f>IF(E248=0,"",VLOOKUP(E248,TablasTec!$A$14:$V$771,8,FALSE))</f>
        <v/>
      </c>
      <c r="S248" s="987" t="str">
        <f>IF(R248=$D$8,$D$8,IF(R248=2,2,IF(R248=3,3,R248)))</f>
        <v/>
      </c>
      <c r="T248" s="4890" t="s">
        <v>4544</v>
      </c>
      <c r="U248" s="4891"/>
      <c r="V248" s="3178"/>
      <c r="W248" s="4892"/>
      <c r="X248" s="4893"/>
      <c r="Y248" s="4893"/>
      <c r="Z248" s="4893"/>
      <c r="AA248" s="4893"/>
      <c r="AB248" s="4893"/>
      <c r="AC248" s="4893"/>
      <c r="AD248" s="4893"/>
      <c r="AE248" s="4893"/>
      <c r="AF248" s="4894"/>
      <c r="AG248" s="4892"/>
      <c r="AH248" s="4893"/>
      <c r="AI248" s="4893"/>
      <c r="AJ248" s="4893"/>
      <c r="AK248" s="4893"/>
      <c r="AL248" s="4893"/>
      <c r="AM248" s="4893"/>
      <c r="AN248" s="4893"/>
      <c r="AO248" s="4893"/>
      <c r="AP248" s="4894"/>
      <c r="AQ248" s="4892"/>
      <c r="AR248" s="4893"/>
      <c r="AS248" s="4893"/>
      <c r="AT248" s="4893"/>
      <c r="AU248" s="4893"/>
      <c r="AV248" s="4893"/>
      <c r="AW248" s="4893"/>
      <c r="AX248" s="4893"/>
      <c r="AY248" s="4893"/>
      <c r="AZ248" s="4894"/>
      <c r="BA248" s="4892"/>
      <c r="BB248" s="4893"/>
      <c r="BC248" s="4893"/>
      <c r="BD248" s="4893"/>
      <c r="BE248" s="4893"/>
      <c r="BF248" s="4893"/>
      <c r="BG248" s="4893"/>
      <c r="BH248" s="4893"/>
      <c r="BI248" s="4893"/>
      <c r="BJ248" s="4894"/>
      <c r="BK248" s="997">
        <f>SUM(K244:K248)-SUM(V248:BA248)</f>
        <v>0</v>
      </c>
      <c r="BL248" s="1422"/>
      <c r="BM248" s="1423"/>
      <c r="BN248" s="991"/>
      <c r="BO248" s="992"/>
      <c r="BP248" s="993" t="str">
        <f>IF(I248="Si",VLOOKUP($D$8,TablasTec!$E$4:$F$6,2,FALSE),"")</f>
        <v/>
      </c>
      <c r="BQ248" s="963" t="str">
        <f>IF(L248="Si",VLOOKUP($D$8,TablasTec!$I$4:$J$6,2,FALSE),"")</f>
        <v/>
      </c>
      <c r="BR248" s="994" t="str">
        <f>IF(O248="Si",VLOOKUP($D$8,TablasTec!$I$7:$J$9,2,FALSE),"")</f>
        <v/>
      </c>
      <c r="BS248" s="977"/>
      <c r="BT248" s="3171" t="s">
        <v>1687</v>
      </c>
      <c r="BU248" s="3172" t="s">
        <v>4548</v>
      </c>
      <c r="BV248" s="954"/>
      <c r="BW248" s="3172" t="s">
        <v>4549</v>
      </c>
      <c r="BX248" s="3171"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09"/>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IF(I249="Si",VLOOKUP($D$8,TablasTec!$E$4:$F$6,2,FALSE),"")</f>
        <v/>
      </c>
      <c r="BQ249" s="1013" t="str">
        <f>IF(L249="Si",VLOOKUP($D$8,TablasTec!$I$4:$J$6,2,FALSE),"")</f>
        <v/>
      </c>
      <c r="BR249" s="1011" t="str">
        <f>IF(O249="Si",VLOOKUP($D$8,TablasTec!$I$7:$J$9,2,FALSE),"")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09"/>
      <c r="D250" s="1436" t="s">
        <v>1766</v>
      </c>
      <c r="E250" s="966"/>
      <c r="F250" s="1002"/>
      <c r="G250" s="972" t="str">
        <f>IF(E250=0,"",VLOOKUP(E250,TablasTec!$A$14:$V$771,3,FALSE))</f>
        <v/>
      </c>
      <c r="H250" s="1014" t="str">
        <f>IF($E250=0,"",VLOOKUP($E250,TablasTec!$A$14:$V$771,4,FALSE))</f>
        <v/>
      </c>
      <c r="I250" s="970" t="s">
        <v>1690</v>
      </c>
      <c r="J250" s="1400" t="str">
        <f>IF(E250=0,"",VLOOKUP(E250,TablasTec!$A$14:$V$771,5,FALSE))</f>
        <v/>
      </c>
      <c r="K250" s="1016" t="str">
        <f>IF(I250="Si",IF(E250=0,"",VLOOKUP(E250,TablasTec!$A$14:$V$771,5,FALSE)),"")</f>
        <v/>
      </c>
      <c r="L250" s="970" t="s">
        <v>1690</v>
      </c>
      <c r="M250" s="1400" t="str">
        <f>IF(E250=0,"",VLOOKUP(E250,TablasTec!$A$14:$V$771,6,FALSE))</f>
        <v/>
      </c>
      <c r="N250" s="973" t="str">
        <f>IF(L250="Si",IF(E250=0,"",VLOOKUP(E250,TablasTec!$A$14:$V$771,6,FALSE)),"")</f>
        <v/>
      </c>
      <c r="O250" s="970" t="s">
        <v>1690</v>
      </c>
      <c r="P250" s="1400" t="str">
        <f>IF(E250=0,"",VLOOKUP(E250,TablasTec!$A$14:$V$771,7,FALSE))</f>
        <v/>
      </c>
      <c r="Q250" s="973" t="str">
        <f>IF(O250="Si",IF(E250=0,"",VLOOKUP(E250,TablasTec!$A$14:$V$771,7,FALSE)),"")</f>
        <v/>
      </c>
      <c r="R250" s="1015" t="str">
        <f>IF(E250=0,"",VLOOKUP(E250,TablasTec!$A$14:$V$771,8,FALSE))</f>
        <v/>
      </c>
      <c r="S250" s="987" t="str">
        <f>IF(R250=$D$8,$D$8,IF(R250=2,2,IF(R250=3,3,R250)))</f>
        <v/>
      </c>
      <c r="T250" s="1016" t="str">
        <f>IF(E250=0,"",VLOOKUP(E250,TablasTec!$A$14:$V$771,9,FALSE))</f>
        <v/>
      </c>
      <c r="U250" s="1016" t="str">
        <f>IF(E250=0,"",VLOOKUP(E250,TablasTec!$A$14:$V$771,10,FALSE))</f>
        <v/>
      </c>
      <c r="V250" s="1017" t="str">
        <f>IF(E250=0,"",VLOOKUP(E250,TablasTec!$A$14:$V$771,11,FALSE))</f>
        <v/>
      </c>
      <c r="W250" s="970"/>
      <c r="X250" s="971" t="e">
        <f>VLOOKUP(E250,TablasTec!$A$14:$V$771,12,FALSE)</f>
        <v>#N/A</v>
      </c>
      <c r="Y250" s="971" t="e">
        <f>IF(W250=X250,VLOOKUP(E250,TablasTec!$A$14:$V$771,13,FALSE),0)</f>
        <v>#N/A</v>
      </c>
      <c r="Z250" s="971" t="e">
        <f>VLOOKUP(E250,TablasTec!$A$14:$V$771,14,FALSE)</f>
        <v>#N/A</v>
      </c>
      <c r="AA250" s="971" t="e">
        <f>IF(W250=Z250,VLOOKUP(E250,TablasTec!$A$14:$V$616,15,FALSE),0)</f>
        <v>#N/A</v>
      </c>
      <c r="AB250" s="971" t="e">
        <f>VLOOKUP(E250,TablasTec!$A$14:$V$771,16,FALSE)</f>
        <v>#N/A</v>
      </c>
      <c r="AC250" s="971" t="e">
        <f>IF(W250=AB250,VLOOKUP(E250,TablasTec!$A$14:$V$616,17,FALSE),0)</f>
        <v>#N/A</v>
      </c>
      <c r="AD250" s="971" t="e">
        <f>VLOOKUP(E250,TablasTec!$A$14:$V$771,18,FALSE)</f>
        <v>#N/A</v>
      </c>
      <c r="AE250" s="971" t="e">
        <f>IF(W250=AD250,VLOOKUP(E250,TablasTec!$A$14:$V$771,19,FALSE),0)</f>
        <v>#N/A</v>
      </c>
      <c r="AF250" s="989" t="str">
        <f>IF(E250=0,"",(Y250+AA250+AC250+AE250))</f>
        <v/>
      </c>
      <c r="AG250" s="970"/>
      <c r="AH250" s="988" t="e">
        <f>VLOOKUP(E250,TablasTec!$A$14:$V$771,12,FALSE)</f>
        <v>#N/A</v>
      </c>
      <c r="AI250" s="988" t="e">
        <f>IF(AG250=AH250,VLOOKUP(E250,TablasTec!$A$14:$V$771,13,FALSE),0)</f>
        <v>#N/A</v>
      </c>
      <c r="AJ250" s="988" t="e">
        <f>VLOOKUP(E250,TablasTec!$A$14:$V$771,14,FALSE)</f>
        <v>#N/A</v>
      </c>
      <c r="AK250" s="988" t="e">
        <f>IF(AG250=AJ250,VLOOKUP(E250,TablasTec!$A$14:$V$771,15,FALSE),0)</f>
        <v>#N/A</v>
      </c>
      <c r="AL250" s="988" t="e">
        <f>VLOOKUP(E250,TablasTec!$A$14:$V$771,16,FALSE)</f>
        <v>#N/A</v>
      </c>
      <c r="AM250" s="988" t="e">
        <f>IF(AG250=AL250,VLOOKUP(E250,TablasTec!$A$14:$V$771,17,FALSE),0)</f>
        <v>#N/A</v>
      </c>
      <c r="AN250" s="988" t="e">
        <f>VLOOKUP(E250,TablasTec!$A$14:$V$771,18,FALSE)</f>
        <v>#N/A</v>
      </c>
      <c r="AO250" s="988" t="e">
        <f>IF(AG250=AN250,VLOOKUP(E250,TablasTec!$A$14:$V$771,19,FALSE),0)</f>
        <v>#N/A</v>
      </c>
      <c r="AP250" s="3182" t="str">
        <f>IF(E250=0,"",(AI250+AK250+AM250+AO250))</f>
        <v/>
      </c>
      <c r="AQ250" s="970"/>
      <c r="AR250" s="988" t="e">
        <f>VLOOKUP(E250,TablasTec!$A$14:$V$771,12,FALSE)</f>
        <v>#N/A</v>
      </c>
      <c r="AS250" s="988" t="e">
        <f>IF(AQ250=AR250,VLOOKUP(E250,TablasTec!$A$14:$V$771,13,FALSE),0)</f>
        <v>#N/A</v>
      </c>
      <c r="AT250" s="988" t="e">
        <f>VLOOKUP(E250,TablasTec!$A$14:$V$771,14,FALSE)</f>
        <v>#N/A</v>
      </c>
      <c r="AU250" s="988" t="e">
        <f>IF(AQ250=AT250,VLOOKUP(E250,TablasTec!$A$14:$V$771,15,FALSE),0)</f>
        <v>#N/A</v>
      </c>
      <c r="AV250" s="988" t="e">
        <f>VLOOKUP(E250,TablasTec!$A$14:$V$771,16,FALSE)</f>
        <v>#N/A</v>
      </c>
      <c r="AW250" s="988" t="e">
        <f>IF(AQ250=AV250,VLOOKUP(E250,TablasTec!$A$14:$V$771,17,FALSE),0)</f>
        <v>#N/A</v>
      </c>
      <c r="AX250" s="988" t="e">
        <f>VLOOKUP(E250,TablasTec!$A$14:$V$771,18,FALSE)</f>
        <v>#N/A</v>
      </c>
      <c r="AY250" s="988" t="e">
        <f>IF(AQ250=AX250,VLOOKUP(E250,TablasTec!$A$14:$V$771,19,FALSE),0)</f>
        <v>#N/A</v>
      </c>
      <c r="AZ250" s="989" t="str">
        <f>IF(E250=0,"",(AS250+AU250+AW250+AY250))</f>
        <v/>
      </c>
      <c r="BA250" s="970"/>
      <c r="BB250" s="988" t="e">
        <f>VLOOKUP(E250,TablasTec!$A$14:$V$771,12,FALSE)</f>
        <v>#N/A</v>
      </c>
      <c r="BC250" s="988" t="e">
        <f>IF(BA250=BB250,VLOOKUP(E250,TablasTec!$A$14:$V$771,13,FALSE),0)</f>
        <v>#N/A</v>
      </c>
      <c r="BD250" s="988" t="e">
        <f>VLOOKUP(E250,TablasTec!$A$14:$V$771,14,FALSE)</f>
        <v>#N/A</v>
      </c>
      <c r="BE250" s="988" t="e">
        <f>IF(BA250=BD250,VLOOKUP(E250,TablasTec!$A$14:$V$771,15,FALSE),0)</f>
        <v>#N/A</v>
      </c>
      <c r="BF250" s="988" t="e">
        <f>VLOOKUP(E250,TablasTec!$A$14:$V$771,16,FALSE)</f>
        <v>#N/A</v>
      </c>
      <c r="BG250" s="988" t="e">
        <f>IF(BA250=BF250,VLOOKUP(E250,TablasTec!$A$14:$V$771,17,FALSE),0)</f>
        <v>#N/A</v>
      </c>
      <c r="BH250" s="988" t="e">
        <f>VLOOKUP(E250,TablasTec!$A$14:$V$771,18,FALSE)</f>
        <v>#N/A</v>
      </c>
      <c r="BI250" s="988" t="e">
        <f>IF(BA250=BH250,VLOOKUP(E250,TablasTec!$A$14:$V$771,19,FALSE),0)</f>
        <v>#N/A</v>
      </c>
      <c r="BJ250" s="3182" t="str">
        <f>IF(E250=0,"",(BC250+BE250+BG250+BI250))</f>
        <v/>
      </c>
      <c r="BK250" s="1016" t="str">
        <f>IF(E250=0,"",VLOOKUP(E250,TablasTec!$A$14:$V$771,20,FALSE))</f>
        <v/>
      </c>
      <c r="BL250" s="1003" t="str">
        <f>IF(E250=0,"",VLOOKUP(E250,TablasTec!$A$14:$V$771,21,FALSE))</f>
        <v/>
      </c>
      <c r="BM250" s="974" t="str">
        <f>IF(E250=0,"",VLOOKUP(E250,TablasTec!$A$14:$V$771,22,FALSE))</f>
        <v/>
      </c>
      <c r="BN250" s="975"/>
      <c r="BO250" s="976"/>
      <c r="BP250" s="961" t="str">
        <f>IF(I250="Si",VLOOKUP($D$8,TablasTec!$E$4:$F$6,2,FALSE),"")</f>
        <v/>
      </c>
      <c r="BQ250" s="962" t="str">
        <f>IF(L250="Si",VLOOKUP($D$8,TablasTec!$I$4:$J$6,2,FALSE),"")</f>
        <v/>
      </c>
      <c r="BR250" s="960" t="str">
        <f>IF(O250="Si",VLOOKUP($D$8,TablasTec!$I$7:$J$9,2,FALSE),"")</f>
        <v/>
      </c>
      <c r="BS250" s="977"/>
      <c r="BT250" s="3171" t="s">
        <v>1692</v>
      </c>
      <c r="BU250" s="3172" t="s">
        <v>4548</v>
      </c>
      <c r="BV250" s="954"/>
      <c r="BW250" s="3172" t="s">
        <v>4549</v>
      </c>
      <c r="BX250" s="3171"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c r="A251" s="922"/>
      <c r="B251" s="922"/>
      <c r="C251" s="4909"/>
      <c r="D251" s="1435" t="s">
        <v>1766</v>
      </c>
      <c r="E251" s="978"/>
      <c r="F251" s="1008"/>
      <c r="G251" s="1420" t="str">
        <f>IF(E251=0,"",VLOOKUP(E251,TablasTec!$A$14:$V$771,3,FALSE))</f>
        <v/>
      </c>
      <c r="H251" s="981" t="str">
        <f>IF($E251=0,"",VLOOKUP($E251,TablasTec!$A$14:$V$771,4,FALSE))</f>
        <v/>
      </c>
      <c r="I251" s="982" t="s">
        <v>1690</v>
      </c>
      <c r="J251" s="1398" t="str">
        <f>IF(E251=0,"",VLOOKUP(E251,TablasTec!$A$14:$V$771,5,FALSE))</f>
        <v/>
      </c>
      <c r="K251" s="984" t="str">
        <f>IF(I251="Si",IF(E251=0,"",VLOOKUP(E251,TablasTec!$A$14:$V$771,5,FALSE)),"")</f>
        <v/>
      </c>
      <c r="L251" s="982" t="s">
        <v>1690</v>
      </c>
      <c r="M251" s="1398" t="str">
        <f>IF(E251=0,"",VLOOKUP(E251,TablasTec!$A$14:$V$771,6,FALSE))</f>
        <v/>
      </c>
      <c r="N251" s="985" t="str">
        <f>IF(L251="Si",IF(E251=0,"",VLOOKUP(E251,TablasTec!$A$14:$V$771,6,FALSE)),"")</f>
        <v/>
      </c>
      <c r="O251" s="982" t="s">
        <v>1690</v>
      </c>
      <c r="P251" s="1398" t="str">
        <f>IF(E251=0,"",VLOOKUP(E251,TablasTec!$A$14:$V$771,7,FALSE))</f>
        <v/>
      </c>
      <c r="Q251" s="985" t="str">
        <f>IF(O251="Si",IF(E251=0,"",VLOOKUP(E251,TablasTec!$A$14:$V$771,7,FALSE)),"")</f>
        <v/>
      </c>
      <c r="R251" s="983" t="str">
        <f>IF(E251=0,"",VLOOKUP(E251,TablasTec!$A$14:$V$771,8,FALSE))</f>
        <v/>
      </c>
      <c r="S251" s="981" t="str">
        <f>IF(R251=$D$8,$D$8,IF(R251=2,2,IF(R251=3,3,R251)))</f>
        <v/>
      </c>
      <c r="T251" s="4883" t="s">
        <v>4540</v>
      </c>
      <c r="U251" s="4884"/>
      <c r="V251" s="4884"/>
      <c r="W251" s="4884"/>
      <c r="X251" s="4884"/>
      <c r="Y251" s="4884"/>
      <c r="Z251" s="4884"/>
      <c r="AA251" s="4884"/>
      <c r="AB251" s="4884"/>
      <c r="AC251" s="4884"/>
      <c r="AD251" s="4884"/>
      <c r="AE251" s="4884"/>
      <c r="AF251" s="4884"/>
      <c r="AG251" s="4884"/>
      <c r="AH251" s="4884"/>
      <c r="AI251" s="4884"/>
      <c r="AJ251" s="4884"/>
      <c r="AK251" s="4884"/>
      <c r="AL251" s="4884"/>
      <c r="AM251" s="4884"/>
      <c r="AN251" s="4884"/>
      <c r="AO251" s="4884"/>
      <c r="AP251" s="4884"/>
      <c r="AQ251" s="4884"/>
      <c r="AR251" s="4884"/>
      <c r="AS251" s="4884"/>
      <c r="AT251" s="4884"/>
      <c r="AU251" s="4884"/>
      <c r="AV251" s="4884"/>
      <c r="AW251" s="4884"/>
      <c r="AX251" s="4884"/>
      <c r="AY251" s="4884"/>
      <c r="AZ251" s="4884"/>
      <c r="BA251" s="4884"/>
      <c r="BB251" s="4884"/>
      <c r="BC251" s="4884"/>
      <c r="BD251" s="4884"/>
      <c r="BE251" s="4884"/>
      <c r="BF251" s="4884"/>
      <c r="BG251" s="4884"/>
      <c r="BH251" s="4884"/>
      <c r="BI251" s="4884"/>
      <c r="BJ251" s="4884"/>
      <c r="BK251" s="4885"/>
      <c r="BL251" s="1420"/>
      <c r="BM251" s="1421"/>
      <c r="BN251" s="975"/>
      <c r="BO251" s="976"/>
      <c r="BP251" s="961" t="str">
        <f>IF(I251="Si",VLOOKUP($D$8,TablasTec!$E$4:$F$6,2,FALSE),"")</f>
        <v/>
      </c>
      <c r="BQ251" s="962" t="str">
        <f>IF(L251="Si",VLOOKUP($D$8,TablasTec!$I$4:$J$6,2,FALSE),"")</f>
        <v/>
      </c>
      <c r="BR251" s="960" t="str">
        <f>IF(O251="Si",VLOOKUP($D$8,TablasTec!$I$7:$J$9,2,FALSE),"")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c r="A252" s="922"/>
      <c r="B252" s="922"/>
      <c r="C252" s="4909"/>
      <c r="D252" s="1436" t="s">
        <v>1766</v>
      </c>
      <c r="E252" s="986"/>
      <c r="F252" s="1002"/>
      <c r="G252" s="972" t="str">
        <f>IF(E252=0,"",VLOOKUP(E252,TablasTec!$A$14:$V$771,3,FALSE))</f>
        <v/>
      </c>
      <c r="H252" s="3181" t="str">
        <f>IF($E252=0,"",VLOOKUP($E252,TablasTec!$A$14:$V$771,4,FALSE))</f>
        <v/>
      </c>
      <c r="I252" s="970" t="s">
        <v>1690</v>
      </c>
      <c r="J252" s="1394" t="str">
        <f>IF(E252=0,"",VLOOKUP(E252,TablasTec!$A$14:$V$771,5,FALSE))</f>
        <v/>
      </c>
      <c r="K252" s="989" t="str">
        <f>IF(I252="Si",IF(E252=0,"",VLOOKUP(E252,TablasTec!$A$14:$V$771,5,FALSE)),"")</f>
        <v/>
      </c>
      <c r="L252" s="970" t="s">
        <v>1690</v>
      </c>
      <c r="M252" s="1394" t="str">
        <f>IF(E252=0,"",VLOOKUP(E252,TablasTec!$A$14:$V$771,6,FALSE))</f>
        <v/>
      </c>
      <c r="N252" s="973" t="str">
        <f>IF(L252="Si",IF(E252=0,"",VLOOKUP(E252,TablasTec!$A$14:$V$771,6,FALSE)),"")</f>
        <v/>
      </c>
      <c r="O252" s="970" t="s">
        <v>1690</v>
      </c>
      <c r="P252" s="1394" t="str">
        <f>IF(E252=0,"",VLOOKUP(E252,TablasTec!$A$14:$V$771,7,FALSE))</f>
        <v/>
      </c>
      <c r="Q252" s="973" t="str">
        <f>IF(O252="Si",IF(E252=0,"",VLOOKUP(E252,TablasTec!$A$14:$V$771,7,FALSE)),"")</f>
        <v/>
      </c>
      <c r="R252" s="988" t="str">
        <f>IF(E252=0,"",VLOOKUP(E252,TablasTec!$A$14:$V$771,8,FALSE))</f>
        <v/>
      </c>
      <c r="S252" s="3181" t="str">
        <f>IF(R252=$D$8,$D$8,IF(R252=2,2,IF(R252=3,3,R252)))</f>
        <v/>
      </c>
      <c r="T252" s="4896"/>
      <c r="U252" s="4897"/>
      <c r="V252" s="3179" t="str">
        <f>IF(OR(V250=0,V250=""),"N/A",V250)</f>
        <v>N/A</v>
      </c>
      <c r="W252" s="4896" t="str">
        <f xml:space="preserve"> IF(OR(AF250=0,AF250=""),"N/A",W250)</f>
        <v>N/A</v>
      </c>
      <c r="X252" s="4898"/>
      <c r="Y252" s="4898"/>
      <c r="Z252" s="4898"/>
      <c r="AA252" s="4898"/>
      <c r="AB252" s="4898"/>
      <c r="AC252" s="4898"/>
      <c r="AD252" s="4898"/>
      <c r="AE252" s="4898"/>
      <c r="AF252" s="4897"/>
      <c r="AG252" s="4896" t="str">
        <f xml:space="preserve"> IF(OR(AP250="",AP250=0),"N/A",AG250)</f>
        <v>N/A</v>
      </c>
      <c r="AH252" s="4898"/>
      <c r="AI252" s="4898"/>
      <c r="AJ252" s="4898"/>
      <c r="AK252" s="4898"/>
      <c r="AL252" s="4898"/>
      <c r="AM252" s="4898"/>
      <c r="AN252" s="4898"/>
      <c r="AO252" s="4898"/>
      <c r="AP252" s="4897"/>
      <c r="AQ252" s="4896" t="str">
        <f xml:space="preserve"> IF(OR(AZ250="",AZ250=0),"N/A",AQ250)</f>
        <v>N/A</v>
      </c>
      <c r="AR252" s="4898"/>
      <c r="AS252" s="4898"/>
      <c r="AT252" s="4898"/>
      <c r="AU252" s="4898"/>
      <c r="AV252" s="4898"/>
      <c r="AW252" s="4898"/>
      <c r="AX252" s="4898"/>
      <c r="AY252" s="4898"/>
      <c r="AZ252" s="4897"/>
      <c r="BA252" s="4896" t="str">
        <f xml:space="preserve"> IF(OR(BJ250="",BJ250=0),"N/A",BA250)</f>
        <v>N/A</v>
      </c>
      <c r="BB252" s="4898"/>
      <c r="BC252" s="4898"/>
      <c r="BD252" s="4898"/>
      <c r="BE252" s="4898"/>
      <c r="BF252" s="4898"/>
      <c r="BG252" s="4898"/>
      <c r="BH252" s="4898"/>
      <c r="BI252" s="4898"/>
      <c r="BJ252" s="4897"/>
      <c r="BK252" s="990" t="s">
        <v>4541</v>
      </c>
      <c r="BL252" s="972"/>
      <c r="BM252" s="1007"/>
      <c r="BN252" s="991"/>
      <c r="BO252" s="992"/>
      <c r="BP252" s="993" t="str">
        <f>IF(I252="Si",VLOOKUP($D$8,TablasTec!$E$4:$F$6,2,FALSE),"")</f>
        <v/>
      </c>
      <c r="BQ252" s="963" t="str">
        <f>IF(L252="Si",VLOOKUP($D$8,TablasTec!$I$4:$J$6,2,FALSE),"")</f>
        <v/>
      </c>
      <c r="BR252" s="994" t="str">
        <f>IF(O252="Si",VLOOKUP($D$8,TablasTec!$I$7:$J$9,2,FALSE),"")</f>
        <v/>
      </c>
      <c r="BS252" s="977"/>
      <c r="BT252" s="3171" t="s">
        <v>1700</v>
      </c>
      <c r="BU252" s="3172" t="s">
        <v>4548</v>
      </c>
      <c r="BV252" s="954"/>
      <c r="BW252" s="3172" t="s">
        <v>4549</v>
      </c>
      <c r="BX252" s="3171"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c r="A253" s="922"/>
      <c r="B253" s="922"/>
      <c r="C253" s="4909"/>
      <c r="D253" s="1435" t="s">
        <v>1766</v>
      </c>
      <c r="E253" s="978"/>
      <c r="F253" s="1008"/>
      <c r="G253" s="1420" t="str">
        <f>IF(E253=0,"",VLOOKUP(E253,TablasTec!$A$14:$V$771,3,FALSE))</f>
        <v/>
      </c>
      <c r="H253" s="981" t="str">
        <f>IF($E253=0,"",VLOOKUP($E253,TablasTec!$A$14:$V$771,4,FALSE))</f>
        <v/>
      </c>
      <c r="I253" s="982" t="s">
        <v>1690</v>
      </c>
      <c r="J253" s="1398" t="str">
        <f>IF(E253=0,"",VLOOKUP(E253,TablasTec!$A$14:$V$771,5,FALSE))</f>
        <v/>
      </c>
      <c r="K253" s="984" t="str">
        <f>IF(I253="Si",IF(E253=0,"",VLOOKUP(E253,TablasTec!$A$14:$V$771,5,FALSE)),"")</f>
        <v/>
      </c>
      <c r="L253" s="982" t="s">
        <v>1690</v>
      </c>
      <c r="M253" s="1398" t="str">
        <f>IF(E253=0,"",VLOOKUP(E253,TablasTec!$A$14:$V$771,6,FALSE))</f>
        <v/>
      </c>
      <c r="N253" s="985" t="str">
        <f>IF(L253="Si",IF(E253=0,"",VLOOKUP(E253,TablasTec!$A$14:$V$771,6,FALSE)),"")</f>
        <v/>
      </c>
      <c r="O253" s="982" t="s">
        <v>1690</v>
      </c>
      <c r="P253" s="1398" t="str">
        <f>IF(E253=0,"",VLOOKUP(E253,TablasTec!$A$14:$V$771,7,FALSE))</f>
        <v/>
      </c>
      <c r="Q253" s="985" t="str">
        <f>IF(O253="Si",IF(E253=0,"",VLOOKUP(E253,TablasTec!$A$14:$V$771,7,FALSE)),"")</f>
        <v/>
      </c>
      <c r="R253" s="983" t="str">
        <f>IF(E253=0,"",VLOOKUP(E253,TablasTec!$A$14:$V$771,8,FALSE))</f>
        <v/>
      </c>
      <c r="S253" s="981" t="str">
        <f>IF(R253=$D$8,$D$8,IF(R253=2,2,IF(R253=3,3,R253)))</f>
        <v/>
      </c>
      <c r="T253" s="4899" t="s">
        <v>4542</v>
      </c>
      <c r="U253" s="4900"/>
      <c r="V253" s="3180"/>
      <c r="W253" s="4901"/>
      <c r="X253" s="4902"/>
      <c r="Y253" s="4902"/>
      <c r="Z253" s="4902"/>
      <c r="AA253" s="4902"/>
      <c r="AB253" s="4902"/>
      <c r="AC253" s="4902"/>
      <c r="AD253" s="4902"/>
      <c r="AE253" s="4902"/>
      <c r="AF253" s="4903"/>
      <c r="AG253" s="4901"/>
      <c r="AH253" s="4902"/>
      <c r="AI253" s="4902"/>
      <c r="AJ253" s="4902"/>
      <c r="AK253" s="4902"/>
      <c r="AL253" s="4902"/>
      <c r="AM253" s="4902"/>
      <c r="AN253" s="4902"/>
      <c r="AO253" s="4902"/>
      <c r="AP253" s="4903"/>
      <c r="AQ253" s="4901"/>
      <c r="AR253" s="4902"/>
      <c r="AS253" s="4902"/>
      <c r="AT253" s="4902"/>
      <c r="AU253" s="4902"/>
      <c r="AV253" s="4902"/>
      <c r="AW253" s="4902"/>
      <c r="AX253" s="4902"/>
      <c r="AY253" s="4902"/>
      <c r="AZ253" s="4903"/>
      <c r="BA253" s="4901"/>
      <c r="BB253" s="4902"/>
      <c r="BC253" s="4902"/>
      <c r="BD253" s="4902"/>
      <c r="BE253" s="4902"/>
      <c r="BF253" s="4902"/>
      <c r="BG253" s="4902"/>
      <c r="BH253" s="4902"/>
      <c r="BI253" s="4902"/>
      <c r="BJ253" s="4903"/>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IF(I253="Si",VLOOKUP($D$8,TablasTec!$E$4:$F$6,2,FALSE),"")</f>
        <v/>
      </c>
      <c r="BQ253" s="962" t="str">
        <f>IF(L253="Si",VLOOKUP($D$8,TablasTec!$I$4:$J$6,2,FALSE),"")</f>
        <v/>
      </c>
      <c r="BR253" s="960" t="str">
        <f>IF(O253="Si",VLOOKUP($D$8,TablasTec!$I$7:$J$9,2,FALSE),"")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c r="A254" s="922"/>
      <c r="B254" s="922"/>
      <c r="C254" s="4909"/>
      <c r="D254" s="1436" t="s">
        <v>1766</v>
      </c>
      <c r="E254" s="986"/>
      <c r="F254" s="1002"/>
      <c r="G254" s="972" t="str">
        <f>IF(E254=0,"",VLOOKUP(E254,TablasTec!$A$14:$V$771,3,FALSE))</f>
        <v/>
      </c>
      <c r="H254" s="997" t="str">
        <f>IF($E254=0,"",VLOOKUP($E254,TablasTec!$A$14:$V$771,4,FALSE))</f>
        <v/>
      </c>
      <c r="I254" s="970" t="s">
        <v>1690</v>
      </c>
      <c r="J254" s="1401" t="str">
        <f>IF(E254=0,"",VLOOKUP(E254,TablasTec!$A$14:$V$771,5,FALSE))</f>
        <v/>
      </c>
      <c r="K254" s="998" t="str">
        <f>IF(I254="Si",IF(E254=0,"",VLOOKUP(E254,TablasTec!$A$14:$V$771,5,FALSE)),"")</f>
        <v/>
      </c>
      <c r="L254" s="970" t="s">
        <v>1690</v>
      </c>
      <c r="M254" s="1401" t="str">
        <f>IF(E254=0,"",VLOOKUP(E254,TablasTec!$A$14:$V$771,6,FALSE))</f>
        <v/>
      </c>
      <c r="N254" s="973" t="str">
        <f>IF(L254="Si",IF(E254=0,"",VLOOKUP(E254,TablasTec!$A$14:$V$771,6,FALSE)),"")</f>
        <v/>
      </c>
      <c r="O254" s="970" t="s">
        <v>1690</v>
      </c>
      <c r="P254" s="1401" t="str">
        <f>IF(E254=0,"",VLOOKUP(E254,TablasTec!$A$14:$V$771,7,FALSE))</f>
        <v/>
      </c>
      <c r="Q254" s="973" t="str">
        <f>IF(O254="Si",IF(E254=0,"",VLOOKUP(E254,TablasTec!$A$14:$V$771,7,FALSE)),"")</f>
        <v/>
      </c>
      <c r="R254" s="1018" t="str">
        <f>IF(E254=0,"",VLOOKUP(E254,TablasTec!$A$14:$V$771,8,FALSE))</f>
        <v/>
      </c>
      <c r="S254" s="987" t="str">
        <f>IF(R254=$D$8,$D$8,IF(R254=2,2,IF(R254=3,3,R254)))</f>
        <v/>
      </c>
      <c r="T254" s="4890" t="s">
        <v>4544</v>
      </c>
      <c r="U254" s="4891"/>
      <c r="V254" s="3178"/>
      <c r="W254" s="4892"/>
      <c r="X254" s="4893"/>
      <c r="Y254" s="4893"/>
      <c r="Z254" s="4893"/>
      <c r="AA254" s="4893"/>
      <c r="AB254" s="4893"/>
      <c r="AC254" s="4893"/>
      <c r="AD254" s="4893"/>
      <c r="AE254" s="4893"/>
      <c r="AF254" s="4894"/>
      <c r="AG254" s="4892"/>
      <c r="AH254" s="4893"/>
      <c r="AI254" s="4893"/>
      <c r="AJ254" s="4893"/>
      <c r="AK254" s="4893"/>
      <c r="AL254" s="4893"/>
      <c r="AM254" s="4893"/>
      <c r="AN254" s="4893"/>
      <c r="AO254" s="4893"/>
      <c r="AP254" s="4894"/>
      <c r="AQ254" s="4892"/>
      <c r="AR254" s="4893"/>
      <c r="AS254" s="4893"/>
      <c r="AT254" s="4893"/>
      <c r="AU254" s="4893"/>
      <c r="AV254" s="4893"/>
      <c r="AW254" s="4893"/>
      <c r="AX254" s="4893"/>
      <c r="AY254" s="4893"/>
      <c r="AZ254" s="4894"/>
      <c r="BA254" s="4892"/>
      <c r="BB254" s="4893"/>
      <c r="BC254" s="4893"/>
      <c r="BD254" s="4893"/>
      <c r="BE254" s="4893"/>
      <c r="BF254" s="4893"/>
      <c r="BG254" s="4893"/>
      <c r="BH254" s="4893"/>
      <c r="BI254" s="4893"/>
      <c r="BJ254" s="4894"/>
      <c r="BK254" s="997">
        <f>SUM(K250:K254)-SUM(V254:BA254)</f>
        <v>0</v>
      </c>
      <c r="BL254" s="1422"/>
      <c r="BM254" s="1423"/>
      <c r="BN254" s="991"/>
      <c r="BO254" s="992"/>
      <c r="BP254" s="993" t="str">
        <f>IF(I254="Si",VLOOKUP($D$8,TablasTec!$E$4:$F$6,2,FALSE),"")</f>
        <v/>
      </c>
      <c r="BQ254" s="963" t="str">
        <f>IF(L254="Si",VLOOKUP($D$8,TablasTec!$I$4:$J$6,2,FALSE),"")</f>
        <v/>
      </c>
      <c r="BR254" s="994" t="str">
        <f>IF(O254="Si",VLOOKUP($D$8,TablasTec!$I$7:$J$9,2,FALSE),"")</f>
        <v/>
      </c>
      <c r="BS254" s="977"/>
      <c r="BT254" s="3171" t="s">
        <v>1701</v>
      </c>
      <c r="BU254" s="3172" t="s">
        <v>4548</v>
      </c>
      <c r="BV254" s="954"/>
      <c r="BW254" s="3172" t="s">
        <v>4549</v>
      </c>
      <c r="BX254" s="3171"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09"/>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IF(I255="Si",VLOOKUP($D$8,TablasTec!$E$4:$F$6,2,FALSE),"")</f>
        <v/>
      </c>
      <c r="BQ255" s="1013" t="str">
        <f>IF(L255="Si",VLOOKUP($D$8,TablasTec!$I$4:$J$6,2,FALSE),"")</f>
        <v/>
      </c>
      <c r="BR255" s="1011" t="str">
        <f>IF(O255="Si",VLOOKUP($D$8,TablasTec!$I$7:$J$9,2,FALSE),"")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09"/>
      <c r="D256" s="1436" t="s">
        <v>1766</v>
      </c>
      <c r="E256" s="966"/>
      <c r="F256" s="1002"/>
      <c r="G256" s="972" t="str">
        <f>IF(E256=0,"",VLOOKUP(E256,TablasTec!$A$14:$V$771,3,FALSE))</f>
        <v/>
      </c>
      <c r="H256" s="1014" t="str">
        <f>IF($E256=0,"",VLOOKUP($E256,TablasTec!$A$14:$V$771,4,FALSE))</f>
        <v/>
      </c>
      <c r="I256" s="970" t="s">
        <v>1690</v>
      </c>
      <c r="J256" s="1400" t="str">
        <f>IF(E256=0,"",VLOOKUP(E256,TablasTec!$A$14:$V$771,5,FALSE))</f>
        <v/>
      </c>
      <c r="K256" s="1016" t="str">
        <f>IF(I256="Si",IF(E256=0,"",VLOOKUP(E256,TablasTec!$A$14:$V$771,5,FALSE)),"")</f>
        <v/>
      </c>
      <c r="L256" s="970" t="s">
        <v>1690</v>
      </c>
      <c r="M256" s="1400" t="str">
        <f>IF(E256=0,"",VLOOKUP(E256,TablasTec!$A$14:$V$771,6,FALSE))</f>
        <v/>
      </c>
      <c r="N256" s="973" t="str">
        <f>IF(L256="Si",IF(E256=0,"",VLOOKUP(E256,TablasTec!$A$14:$V$771,6,FALSE)),"")</f>
        <v/>
      </c>
      <c r="O256" s="970" t="s">
        <v>1690</v>
      </c>
      <c r="P256" s="1400" t="str">
        <f>IF(E256=0,"",VLOOKUP(E256,TablasTec!$A$14:$V$771,7,FALSE))</f>
        <v/>
      </c>
      <c r="Q256" s="973" t="str">
        <f>IF(O256="Si",IF(E256=0,"",VLOOKUP(E256,TablasTec!$A$14:$V$771,7,FALSE)),"")</f>
        <v/>
      </c>
      <c r="R256" s="1015" t="str">
        <f>IF(E256=0,"",VLOOKUP(E256,TablasTec!$A$14:$V$771,8,FALSE))</f>
        <v/>
      </c>
      <c r="S256" s="987" t="str">
        <f>IF(R256=$D$8,$D$8,IF(R256=2,2,IF(R256=3,3,R256)))</f>
        <v/>
      </c>
      <c r="T256" s="1016" t="str">
        <f>IF(E256=0,"",VLOOKUP(E256,TablasTec!$A$14:$V$771,9,FALSE))</f>
        <v/>
      </c>
      <c r="U256" s="1016" t="str">
        <f>IF(E256=0,"",VLOOKUP(E256,TablasTec!$A$14:$V$771,10,FALSE))</f>
        <v/>
      </c>
      <c r="V256" s="1017" t="str">
        <f>IF(E256=0,"",VLOOKUP(E256,TablasTec!$A$14:$V$771,11,FALSE))</f>
        <v/>
      </c>
      <c r="W256" s="970"/>
      <c r="X256" s="971" t="e">
        <f>VLOOKUP(E256,TablasTec!$A$14:$V$771,12,FALSE)</f>
        <v>#N/A</v>
      </c>
      <c r="Y256" s="971" t="e">
        <f>IF(W256=X256,VLOOKUP(E256,TablasTec!$A$14:$V$771,13,FALSE),0)</f>
        <v>#N/A</v>
      </c>
      <c r="Z256" s="971" t="e">
        <f>VLOOKUP(E256,TablasTec!$A$14:$V$771,14,FALSE)</f>
        <v>#N/A</v>
      </c>
      <c r="AA256" s="971" t="e">
        <f>IF(W256=Z256,VLOOKUP(E256,TablasTec!$A$14:$V$616,15,FALSE),0)</f>
        <v>#N/A</v>
      </c>
      <c r="AB256" s="971" t="e">
        <f>VLOOKUP(E256,TablasTec!$A$14:$V$771,16,FALSE)</f>
        <v>#N/A</v>
      </c>
      <c r="AC256" s="971" t="e">
        <f>IF(W256=AB256,VLOOKUP(E256,TablasTec!$A$14:$V$616,17,FALSE),0)</f>
        <v>#N/A</v>
      </c>
      <c r="AD256" s="971" t="e">
        <f>VLOOKUP(E256,TablasTec!$A$14:$V$771,18,FALSE)</f>
        <v>#N/A</v>
      </c>
      <c r="AE256" s="971" t="e">
        <f>IF(W256=AD256,VLOOKUP(E256,TablasTec!$A$14:$V$771,19,FALSE),0)</f>
        <v>#N/A</v>
      </c>
      <c r="AF256" s="989" t="str">
        <f>IF(E256=0,"",(Y256+AA256+AC256+AE256))</f>
        <v/>
      </c>
      <c r="AG256" s="970"/>
      <c r="AH256" s="988" t="e">
        <f>VLOOKUP(E256,TablasTec!$A$14:$V$771,12,FALSE)</f>
        <v>#N/A</v>
      </c>
      <c r="AI256" s="988" t="e">
        <f>IF(AG256=AH256,VLOOKUP(E256,TablasTec!$A$14:$V$771,13,FALSE),0)</f>
        <v>#N/A</v>
      </c>
      <c r="AJ256" s="988" t="e">
        <f>VLOOKUP(E256,TablasTec!$A$14:$V$771,14,FALSE)</f>
        <v>#N/A</v>
      </c>
      <c r="AK256" s="988" t="e">
        <f>IF(AG256=AJ256,VLOOKUP(E256,TablasTec!$A$14:$V$771,15,FALSE),0)</f>
        <v>#N/A</v>
      </c>
      <c r="AL256" s="988" t="e">
        <f>VLOOKUP(E256,TablasTec!$A$14:$V$771,16,FALSE)</f>
        <v>#N/A</v>
      </c>
      <c r="AM256" s="988" t="e">
        <f>IF(AG256=AL256,VLOOKUP(E256,TablasTec!$A$14:$V$771,17,FALSE),0)</f>
        <v>#N/A</v>
      </c>
      <c r="AN256" s="988" t="e">
        <f>VLOOKUP(E256,TablasTec!$A$14:$V$771,18,FALSE)</f>
        <v>#N/A</v>
      </c>
      <c r="AO256" s="988" t="e">
        <f>IF(AG256=AN256,VLOOKUP(E256,TablasTec!$A$14:$V$771,19,FALSE),0)</f>
        <v>#N/A</v>
      </c>
      <c r="AP256" s="3182" t="str">
        <f>IF(E256=0,"",(AI256+AK256+AM256+AO256))</f>
        <v/>
      </c>
      <c r="AQ256" s="970"/>
      <c r="AR256" s="988" t="e">
        <f>VLOOKUP(E256,TablasTec!$A$14:$V$771,12,FALSE)</f>
        <v>#N/A</v>
      </c>
      <c r="AS256" s="988" t="e">
        <f>IF(AQ256=AR256,VLOOKUP(E256,TablasTec!$A$14:$V$771,13,FALSE),0)</f>
        <v>#N/A</v>
      </c>
      <c r="AT256" s="988" t="e">
        <f>VLOOKUP(E256,TablasTec!$A$14:$V$771,14,FALSE)</f>
        <v>#N/A</v>
      </c>
      <c r="AU256" s="988" t="e">
        <f>IF(AQ256=AT256,VLOOKUP(E256,TablasTec!$A$14:$V$771,15,FALSE),0)</f>
        <v>#N/A</v>
      </c>
      <c r="AV256" s="988" t="e">
        <f>VLOOKUP(E256,TablasTec!$A$14:$V$771,16,FALSE)</f>
        <v>#N/A</v>
      </c>
      <c r="AW256" s="988" t="e">
        <f>IF(AQ256=AV256,VLOOKUP(E256,TablasTec!$A$14:$V$771,17,FALSE),0)</f>
        <v>#N/A</v>
      </c>
      <c r="AX256" s="988" t="e">
        <f>VLOOKUP(E256,TablasTec!$A$14:$V$771,18,FALSE)</f>
        <v>#N/A</v>
      </c>
      <c r="AY256" s="988" t="e">
        <f>IF(AQ256=AX256,VLOOKUP(E256,TablasTec!$A$14:$V$771,19,FALSE),0)</f>
        <v>#N/A</v>
      </c>
      <c r="AZ256" s="989" t="str">
        <f>IF(E256=0,"",(AS256+AU256+AW256+AY256))</f>
        <v/>
      </c>
      <c r="BA256" s="970"/>
      <c r="BB256" s="988" t="e">
        <f>VLOOKUP(E256,TablasTec!$A$14:$V$771,12,FALSE)</f>
        <v>#N/A</v>
      </c>
      <c r="BC256" s="988" t="e">
        <f>IF(BA256=BB256,VLOOKUP(E256,TablasTec!$A$14:$V$771,13,FALSE),0)</f>
        <v>#N/A</v>
      </c>
      <c r="BD256" s="988" t="e">
        <f>VLOOKUP(E256,TablasTec!$A$14:$V$771,14,FALSE)</f>
        <v>#N/A</v>
      </c>
      <c r="BE256" s="988" t="e">
        <f>IF(BA256=BD256,VLOOKUP(E256,TablasTec!$A$14:$V$771,15,FALSE),0)</f>
        <v>#N/A</v>
      </c>
      <c r="BF256" s="988" t="e">
        <f>VLOOKUP(E256,TablasTec!$A$14:$V$771,16,FALSE)</f>
        <v>#N/A</v>
      </c>
      <c r="BG256" s="988" t="e">
        <f>IF(BA256=BF256,VLOOKUP(E256,TablasTec!$A$14:$V$771,17,FALSE),0)</f>
        <v>#N/A</v>
      </c>
      <c r="BH256" s="988" t="e">
        <f>VLOOKUP(E256,TablasTec!$A$14:$V$771,18,FALSE)</f>
        <v>#N/A</v>
      </c>
      <c r="BI256" s="988" t="e">
        <f>IF(BA256=BH256,VLOOKUP(E256,TablasTec!$A$14:$V$771,19,FALSE),0)</f>
        <v>#N/A</v>
      </c>
      <c r="BJ256" s="3182" t="str">
        <f>IF(E256=0,"",(BC256+BE256+BG256+BI256))</f>
        <v/>
      </c>
      <c r="BK256" s="1016" t="str">
        <f>IF(E256=0,"",VLOOKUP(E256,TablasTec!$A$14:$V$771,20,FALSE))</f>
        <v/>
      </c>
      <c r="BL256" s="1003" t="str">
        <f>IF(E256=0,"",VLOOKUP(E256,TablasTec!$A$14:$V$771,21,FALSE))</f>
        <v/>
      </c>
      <c r="BM256" s="974" t="str">
        <f>IF(E256=0,"",VLOOKUP(E256,TablasTec!$A$14:$V$771,22,FALSE))</f>
        <v/>
      </c>
      <c r="BN256" s="975"/>
      <c r="BO256" s="976"/>
      <c r="BP256" s="961" t="str">
        <f>IF(I256="Si",VLOOKUP($D$8,TablasTec!$E$4:$F$6,2,FALSE),"")</f>
        <v/>
      </c>
      <c r="BQ256" s="962" t="str">
        <f>IF(L256="Si",VLOOKUP($D$8,TablasTec!$I$4:$J$6,2,FALSE),"")</f>
        <v/>
      </c>
      <c r="BR256" s="960" t="str">
        <f>IF(O256="Si",VLOOKUP($D$8,TablasTec!$I$7:$J$9,2,FALSE),"")</f>
        <v/>
      </c>
      <c r="BS256" s="977"/>
      <c r="BU256" s="4864"/>
      <c r="BV256" s="4864"/>
      <c r="BW256" s="4864"/>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c r="A257" s="922"/>
      <c r="B257" s="922"/>
      <c r="C257" s="4909"/>
      <c r="D257" s="1435" t="s">
        <v>1766</v>
      </c>
      <c r="E257" s="978"/>
      <c r="F257" s="1008"/>
      <c r="G257" s="1420" t="str">
        <f>IF(E257=0,"",VLOOKUP(E257,TablasTec!$A$14:$V$771,3,FALSE))</f>
        <v/>
      </c>
      <c r="H257" s="981" t="str">
        <f>IF($E257=0,"",VLOOKUP($E257,TablasTec!$A$14:$V$771,4,FALSE))</f>
        <v/>
      </c>
      <c r="I257" s="982" t="s">
        <v>1690</v>
      </c>
      <c r="J257" s="1398" t="str">
        <f>IF(E257=0,"",VLOOKUP(E257,TablasTec!$A$14:$V$771,5,FALSE))</f>
        <v/>
      </c>
      <c r="K257" s="984" t="str">
        <f>IF(I257="Si",IF(E257=0,"",VLOOKUP(E257,TablasTec!$A$14:$V$771,5,FALSE)),"")</f>
        <v/>
      </c>
      <c r="L257" s="982" t="s">
        <v>1690</v>
      </c>
      <c r="M257" s="1398" t="str">
        <f>IF(E257=0,"",VLOOKUP(E257,TablasTec!$A$14:$V$771,6,FALSE))</f>
        <v/>
      </c>
      <c r="N257" s="985" t="str">
        <f>IF(L257="Si",IF(E257=0,"",VLOOKUP(E257,TablasTec!$A$14:$V$771,6,FALSE)),"")</f>
        <v/>
      </c>
      <c r="O257" s="982" t="s">
        <v>1690</v>
      </c>
      <c r="P257" s="1398" t="str">
        <f>IF(E257=0,"",VLOOKUP(E257,TablasTec!$A$14:$V$771,7,FALSE))</f>
        <v/>
      </c>
      <c r="Q257" s="985" t="str">
        <f>IF(O257="Si",IF(E257=0,"",VLOOKUP(E257,TablasTec!$A$14:$V$771,7,FALSE)),"")</f>
        <v/>
      </c>
      <c r="R257" s="983" t="str">
        <f>IF(E257=0,"",VLOOKUP(E257,TablasTec!$A$14:$V$771,8,FALSE))</f>
        <v/>
      </c>
      <c r="S257" s="981" t="str">
        <f>IF(R257=$D$8,$D$8,IF(R257=2,2,IF(R257=3,3,R257)))</f>
        <v/>
      </c>
      <c r="T257" s="4883" t="s">
        <v>4540</v>
      </c>
      <c r="U257" s="4884"/>
      <c r="V257" s="4884"/>
      <c r="W257" s="4884"/>
      <c r="X257" s="4884"/>
      <c r="Y257" s="4884"/>
      <c r="Z257" s="4884"/>
      <c r="AA257" s="4884"/>
      <c r="AB257" s="4884"/>
      <c r="AC257" s="4884"/>
      <c r="AD257" s="4884"/>
      <c r="AE257" s="4884"/>
      <c r="AF257" s="4884"/>
      <c r="AG257" s="4884"/>
      <c r="AH257" s="4884"/>
      <c r="AI257" s="4884"/>
      <c r="AJ257" s="4884"/>
      <c r="AK257" s="4884"/>
      <c r="AL257" s="4884"/>
      <c r="AM257" s="4884"/>
      <c r="AN257" s="4884"/>
      <c r="AO257" s="4884"/>
      <c r="AP257" s="4884"/>
      <c r="AQ257" s="4884"/>
      <c r="AR257" s="4884"/>
      <c r="AS257" s="4884"/>
      <c r="AT257" s="4884"/>
      <c r="AU257" s="4884"/>
      <c r="AV257" s="4884"/>
      <c r="AW257" s="4884"/>
      <c r="AX257" s="4884"/>
      <c r="AY257" s="4884"/>
      <c r="AZ257" s="4884"/>
      <c r="BA257" s="4884"/>
      <c r="BB257" s="4884"/>
      <c r="BC257" s="4884"/>
      <c r="BD257" s="4884"/>
      <c r="BE257" s="4884"/>
      <c r="BF257" s="4884"/>
      <c r="BG257" s="4884"/>
      <c r="BH257" s="4884"/>
      <c r="BI257" s="4884"/>
      <c r="BJ257" s="4884"/>
      <c r="BK257" s="4885"/>
      <c r="BL257" s="1420"/>
      <c r="BM257" s="1421"/>
      <c r="BN257" s="975"/>
      <c r="BO257" s="976"/>
      <c r="BP257" s="961" t="str">
        <f>IF(I257="Si",VLOOKUP($D$8,TablasTec!$E$4:$F$6,2,FALSE),"")</f>
        <v/>
      </c>
      <c r="BQ257" s="962" t="str">
        <f>IF(L257="Si",VLOOKUP($D$8,TablasTec!$I$4:$J$6,2,FALSE),"")</f>
        <v/>
      </c>
      <c r="BR257" s="960" t="str">
        <f>IF(O257="Si",VLOOKUP($D$8,TablasTec!$I$7:$J$9,2,FALSE),"")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c r="A258" s="922"/>
      <c r="B258" s="922"/>
      <c r="C258" s="4909"/>
      <c r="D258" s="1436" t="s">
        <v>1766</v>
      </c>
      <c r="E258" s="986"/>
      <c r="F258" s="1002"/>
      <c r="G258" s="972" t="str">
        <f>IF(E258=0,"",VLOOKUP(E258,TablasTec!$A$14:$V$771,3,FALSE))</f>
        <v/>
      </c>
      <c r="H258" s="3181" t="str">
        <f>IF($E258=0,"",VLOOKUP($E258,TablasTec!$A$14:$V$771,4,FALSE))</f>
        <v/>
      </c>
      <c r="I258" s="970" t="s">
        <v>1690</v>
      </c>
      <c r="J258" s="1394" t="str">
        <f>IF(E258=0,"",VLOOKUP(E258,TablasTec!$A$14:$V$771,5,FALSE))</f>
        <v/>
      </c>
      <c r="K258" s="989" t="str">
        <f>IF(I258="Si",IF(E258=0,"",VLOOKUP(E258,TablasTec!$A$14:$V$771,5,FALSE)),"")</f>
        <v/>
      </c>
      <c r="L258" s="970" t="s">
        <v>1690</v>
      </c>
      <c r="M258" s="1394" t="str">
        <f>IF(E258=0,"",VLOOKUP(E258,TablasTec!$A$14:$V$771,6,FALSE))</f>
        <v/>
      </c>
      <c r="N258" s="973" t="str">
        <f>IF(L258="Si",IF(E258=0,"",VLOOKUP(E258,TablasTec!$A$14:$V$771,6,FALSE)),"")</f>
        <v/>
      </c>
      <c r="O258" s="970" t="s">
        <v>1690</v>
      </c>
      <c r="P258" s="1394" t="str">
        <f>IF(E258=0,"",VLOOKUP(E258,TablasTec!$A$14:$V$771,7,FALSE))</f>
        <v/>
      </c>
      <c r="Q258" s="973" t="str">
        <f>IF(O258="Si",IF(E258=0,"",VLOOKUP(E258,TablasTec!$A$14:$V$771,7,FALSE)),"")</f>
        <v/>
      </c>
      <c r="R258" s="988" t="str">
        <f>IF(E258=0,"",VLOOKUP(E258,TablasTec!$A$14:$V$771,8,FALSE))</f>
        <v/>
      </c>
      <c r="S258" s="3181" t="str">
        <f>IF(R258=$D$8,$D$8,IF(R258=2,2,IF(R258=3,3,R258)))</f>
        <v/>
      </c>
      <c r="T258" s="4896"/>
      <c r="U258" s="4897"/>
      <c r="V258" s="3179" t="str">
        <f>IF(OR(V256=0,V256=""),"N/A",V256)</f>
        <v>N/A</v>
      </c>
      <c r="W258" s="4896" t="str">
        <f xml:space="preserve"> IF(OR(AF256=0,AF256=""),"N/A",W256)</f>
        <v>N/A</v>
      </c>
      <c r="X258" s="4898"/>
      <c r="Y258" s="4898"/>
      <c r="Z258" s="4898"/>
      <c r="AA258" s="4898"/>
      <c r="AB258" s="4898"/>
      <c r="AC258" s="4898"/>
      <c r="AD258" s="4898"/>
      <c r="AE258" s="4898"/>
      <c r="AF258" s="4897"/>
      <c r="AG258" s="4896" t="str">
        <f xml:space="preserve"> IF(OR(AP256="",AP256=0),"N/A",AG256)</f>
        <v>N/A</v>
      </c>
      <c r="AH258" s="4898"/>
      <c r="AI258" s="4898"/>
      <c r="AJ258" s="4898"/>
      <c r="AK258" s="4898"/>
      <c r="AL258" s="4898"/>
      <c r="AM258" s="4898"/>
      <c r="AN258" s="4898"/>
      <c r="AO258" s="4898"/>
      <c r="AP258" s="4897"/>
      <c r="AQ258" s="4896" t="str">
        <f xml:space="preserve"> IF(OR(AZ256="",AZ256=0),"N/A",AQ256)</f>
        <v>N/A</v>
      </c>
      <c r="AR258" s="4898"/>
      <c r="AS258" s="4898"/>
      <c r="AT258" s="4898"/>
      <c r="AU258" s="4898"/>
      <c r="AV258" s="4898"/>
      <c r="AW258" s="4898"/>
      <c r="AX258" s="4898"/>
      <c r="AY258" s="4898"/>
      <c r="AZ258" s="4897"/>
      <c r="BA258" s="4896" t="str">
        <f xml:space="preserve"> IF(OR(BJ256="",BJ256=0),"N/A",BA256)</f>
        <v>N/A</v>
      </c>
      <c r="BB258" s="4898"/>
      <c r="BC258" s="4898"/>
      <c r="BD258" s="4898"/>
      <c r="BE258" s="4898"/>
      <c r="BF258" s="4898"/>
      <c r="BG258" s="4898"/>
      <c r="BH258" s="4898"/>
      <c r="BI258" s="4898"/>
      <c r="BJ258" s="4897"/>
      <c r="BK258" s="990" t="s">
        <v>4541</v>
      </c>
      <c r="BL258" s="972"/>
      <c r="BM258" s="1007"/>
      <c r="BN258" s="991"/>
      <c r="BO258" s="992"/>
      <c r="BP258" s="993" t="str">
        <f>IF(I258="Si",VLOOKUP($D$8,TablasTec!$E$4:$F$6,2,FALSE),"")</f>
        <v/>
      </c>
      <c r="BQ258" s="963" t="str">
        <f>IF(L258="Si",VLOOKUP($D$8,TablasTec!$I$4:$J$6,2,FALSE),"")</f>
        <v/>
      </c>
      <c r="BR258" s="994" t="str">
        <f>IF(O258="Si",VLOOKUP($D$8,TablasTec!$I$7:$J$9,2,FALSE),"")</f>
        <v/>
      </c>
      <c r="BS258" s="977"/>
      <c r="BU258" s="4863"/>
      <c r="BV258" s="4863"/>
      <c r="BW258" s="4863"/>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c r="A259" s="922"/>
      <c r="B259" s="922"/>
      <c r="C259" s="4909"/>
      <c r="D259" s="1435" t="s">
        <v>1766</v>
      </c>
      <c r="E259" s="978"/>
      <c r="F259" s="1008"/>
      <c r="G259" s="1420" t="str">
        <f>IF(E259=0,"",VLOOKUP(E259,TablasTec!$A$14:$V$771,3,FALSE))</f>
        <v/>
      </c>
      <c r="H259" s="981" t="str">
        <f>IF($E259=0,"",VLOOKUP($E259,TablasTec!$A$14:$V$771,4,FALSE))</f>
        <v/>
      </c>
      <c r="I259" s="982" t="s">
        <v>1690</v>
      </c>
      <c r="J259" s="1398" t="str">
        <f>IF(E259=0,"",VLOOKUP(E259,TablasTec!$A$14:$V$771,5,FALSE))</f>
        <v/>
      </c>
      <c r="K259" s="984" t="str">
        <f>IF(I259="Si",IF(E259=0,"",VLOOKUP(E259,TablasTec!$A$14:$V$771,5,FALSE)),"")</f>
        <v/>
      </c>
      <c r="L259" s="982" t="s">
        <v>1690</v>
      </c>
      <c r="M259" s="1398" t="str">
        <f>IF(E259=0,"",VLOOKUP(E259,TablasTec!$A$14:$V$771,6,FALSE))</f>
        <v/>
      </c>
      <c r="N259" s="985" t="str">
        <f>IF(L259="Si",IF(E259=0,"",VLOOKUP(E259,TablasTec!$A$14:$V$771,6,FALSE)),"")</f>
        <v/>
      </c>
      <c r="O259" s="982" t="s">
        <v>1690</v>
      </c>
      <c r="P259" s="1398" t="str">
        <f>IF(E259=0,"",VLOOKUP(E259,TablasTec!$A$14:$V$771,7,FALSE))</f>
        <v/>
      </c>
      <c r="Q259" s="985" t="str">
        <f>IF(O259="Si",IF(E259=0,"",VLOOKUP(E259,TablasTec!$A$14:$V$771,7,FALSE)),"")</f>
        <v/>
      </c>
      <c r="R259" s="983" t="str">
        <f>IF(E259=0,"",VLOOKUP(E259,TablasTec!$A$14:$V$771,8,FALSE))</f>
        <v/>
      </c>
      <c r="S259" s="981" t="str">
        <f>IF(R259=$D$8,$D$8,IF(R259=2,2,IF(R259=3,3,R259)))</f>
        <v/>
      </c>
      <c r="T259" s="4899" t="s">
        <v>4542</v>
      </c>
      <c r="U259" s="4900"/>
      <c r="V259" s="3180"/>
      <c r="W259" s="4901"/>
      <c r="X259" s="4902"/>
      <c r="Y259" s="4902"/>
      <c r="Z259" s="4902"/>
      <c r="AA259" s="4902"/>
      <c r="AB259" s="4902"/>
      <c r="AC259" s="4902"/>
      <c r="AD259" s="4902"/>
      <c r="AE259" s="4902"/>
      <c r="AF259" s="4903"/>
      <c r="AG259" s="4901"/>
      <c r="AH259" s="4902"/>
      <c r="AI259" s="4902"/>
      <c r="AJ259" s="4902"/>
      <c r="AK259" s="4902"/>
      <c r="AL259" s="4902"/>
      <c r="AM259" s="4902"/>
      <c r="AN259" s="4902"/>
      <c r="AO259" s="4902"/>
      <c r="AP259" s="4903"/>
      <c r="AQ259" s="4901"/>
      <c r="AR259" s="4902"/>
      <c r="AS259" s="4902"/>
      <c r="AT259" s="4902"/>
      <c r="AU259" s="4902"/>
      <c r="AV259" s="4902"/>
      <c r="AW259" s="4902"/>
      <c r="AX259" s="4902"/>
      <c r="AY259" s="4902"/>
      <c r="AZ259" s="4903"/>
      <c r="BA259" s="4901"/>
      <c r="BB259" s="4902"/>
      <c r="BC259" s="4902"/>
      <c r="BD259" s="4902"/>
      <c r="BE259" s="4902"/>
      <c r="BF259" s="4902"/>
      <c r="BG259" s="4902"/>
      <c r="BH259" s="4902"/>
      <c r="BI259" s="4902"/>
      <c r="BJ259" s="4903"/>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IF(I259="Si",VLOOKUP($D$8,TablasTec!$E$4:$F$6,2,FALSE),"")</f>
        <v/>
      </c>
      <c r="BQ259" s="962" t="str">
        <f>IF(L259="Si",VLOOKUP($D$8,TablasTec!$I$4:$J$6,2,FALSE),"")</f>
        <v/>
      </c>
      <c r="BR259" s="960" t="str">
        <f>IF(O259="Si",VLOOKUP($D$8,TablasTec!$I$7:$J$9,2,FALSE),"")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c r="A260" s="922"/>
      <c r="B260" s="922"/>
      <c r="C260" s="4909"/>
      <c r="D260" s="1436" t="s">
        <v>1766</v>
      </c>
      <c r="E260" s="986"/>
      <c r="F260" s="1002"/>
      <c r="G260" s="972" t="str">
        <f>IF(E260=0,"",VLOOKUP(E260,TablasTec!$A$14:$V$771,3,FALSE))</f>
        <v/>
      </c>
      <c r="H260" s="987" t="str">
        <f>IF($E260=0,"",VLOOKUP($E260,TablasTec!$A$14:$V$771,4,FALSE))</f>
        <v/>
      </c>
      <c r="I260" s="970" t="s">
        <v>1690</v>
      </c>
      <c r="J260" s="1394" t="str">
        <f>IF(E260=0,"",VLOOKUP(E260,TablasTec!$A$14:$V$771,5,FALSE))</f>
        <v/>
      </c>
      <c r="K260" s="989" t="str">
        <f>IF(I260="Si",IF(E260=0,"",VLOOKUP(E260,TablasTec!$A$14:$V$771,5,FALSE)),"")</f>
        <v/>
      </c>
      <c r="L260" s="970" t="s">
        <v>1690</v>
      </c>
      <c r="M260" s="1394" t="str">
        <f>IF(E260=0,"",VLOOKUP(E260,TablasTec!$A$14:$V$771,6,FALSE))</f>
        <v/>
      </c>
      <c r="N260" s="973" t="str">
        <f>IF(L260="Si",IF(E260=0,"",VLOOKUP(E260,TablasTec!$A$14:$V$771,6,FALSE)),"")</f>
        <v/>
      </c>
      <c r="O260" s="970" t="s">
        <v>1690</v>
      </c>
      <c r="P260" s="1394" t="str">
        <f>IF(E260=0,"",VLOOKUP(E260,TablasTec!$A$14:$V$771,7,FALSE))</f>
        <v/>
      </c>
      <c r="Q260" s="973" t="str">
        <f>IF(O260="Si",IF(E260=0,"",VLOOKUP(E260,TablasTec!$A$14:$V$771,7,FALSE)),"")</f>
        <v/>
      </c>
      <c r="R260" s="988" t="str">
        <f>IF(E260=0,"",VLOOKUP(E260,TablasTec!$A$14:$V$771,8,FALSE))</f>
        <v/>
      </c>
      <c r="S260" s="987" t="str">
        <f>IF(R260=$D$8,$D$8,IF(R260=2,2,IF(R260=3,3,R260)))</f>
        <v/>
      </c>
      <c r="T260" s="4904" t="s">
        <v>4544</v>
      </c>
      <c r="U260" s="4905"/>
      <c r="V260" s="3183"/>
      <c r="W260" s="4906"/>
      <c r="X260" s="4907"/>
      <c r="Y260" s="4907"/>
      <c r="Z260" s="4907"/>
      <c r="AA260" s="4907"/>
      <c r="AB260" s="4907"/>
      <c r="AC260" s="4907"/>
      <c r="AD260" s="4907"/>
      <c r="AE260" s="4907"/>
      <c r="AF260" s="4908"/>
      <c r="AG260" s="4906"/>
      <c r="AH260" s="4907"/>
      <c r="AI260" s="4907"/>
      <c r="AJ260" s="4907"/>
      <c r="AK260" s="4907"/>
      <c r="AL260" s="4907"/>
      <c r="AM260" s="4907"/>
      <c r="AN260" s="4907"/>
      <c r="AO260" s="4907"/>
      <c r="AP260" s="4908"/>
      <c r="AQ260" s="4906"/>
      <c r="AR260" s="4907"/>
      <c r="AS260" s="4907"/>
      <c r="AT260" s="4907"/>
      <c r="AU260" s="4907"/>
      <c r="AV260" s="4907"/>
      <c r="AW260" s="4907"/>
      <c r="AX260" s="4907"/>
      <c r="AY260" s="4907"/>
      <c r="AZ260" s="4908"/>
      <c r="BA260" s="4906"/>
      <c r="BB260" s="4907"/>
      <c r="BC260" s="4907"/>
      <c r="BD260" s="4907"/>
      <c r="BE260" s="4907"/>
      <c r="BF260" s="4907"/>
      <c r="BG260" s="4907"/>
      <c r="BH260" s="4907"/>
      <c r="BI260" s="4907"/>
      <c r="BJ260" s="4908"/>
      <c r="BK260" s="987">
        <f>SUM(K256:K260)-SUM(V260:BA260)</f>
        <v>0</v>
      </c>
      <c r="BL260" s="972"/>
      <c r="BM260" s="1007"/>
      <c r="BN260" s="991"/>
      <c r="BO260" s="992"/>
      <c r="BP260" s="993" t="str">
        <f>IF(I260="Si",VLOOKUP($D$8,TablasTec!$E$4:$F$6,2,FALSE),"")</f>
        <v/>
      </c>
      <c r="BQ260" s="963" t="str">
        <f>IF(L260="Si",VLOOKUP($D$8,TablasTec!$I$4:$J$6,2,FALSE),"")</f>
        <v/>
      </c>
      <c r="BR260" s="994" t="str">
        <f>IF(O260="Si",VLOOKUP($D$8,TablasTec!$I$7:$J$9,2,FALSE),"")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c r="A261" s="922"/>
      <c r="B261" s="922"/>
      <c r="C261" s="4909"/>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89"/>
      <c r="BL261" s="4889"/>
      <c r="BM261" s="4854"/>
      <c r="BN261" s="960">
        <f>SUM(K261:K264)</f>
        <v>0</v>
      </c>
      <c r="BO261" s="954">
        <f>IF(E261=0,"",(AF261+AP261+AZ261+BJ261))</f>
        <v>0</v>
      </c>
      <c r="BP261" s="961" t="str">
        <f>IF(I261="Si",VLOOKUP($D$8,TablasTec!$E$4:$F$6,2,FALSE),"")</f>
        <v/>
      </c>
      <c r="BQ261" s="962" t="str">
        <f>IF(L261="Si",VLOOKUP($D$8,TablasTec!$I$4:$J$6,2,FALSE),"")</f>
        <v/>
      </c>
      <c r="BR261" s="960" t="str">
        <f>IF(O261="Si",VLOOKUP($D$8,TablasTec!$I$7:$J$9,2,FALSE),"")</f>
        <v/>
      </c>
      <c r="BS261" s="977"/>
      <c r="BT261" s="4853" t="s">
        <v>4553</v>
      </c>
      <c r="BU261" s="4854"/>
      <c r="BV261" s="954"/>
      <c r="BW261" s="934"/>
      <c r="BX261" s="934"/>
      <c r="BY261" s="1269"/>
      <c r="BZ261" s="1287"/>
      <c r="CA261" s="922"/>
      <c r="DR261" s="922"/>
      <c r="DT261" s="1308"/>
      <c r="DU261" s="1360"/>
      <c r="DV261" s="1360"/>
      <c r="DW261" s="1360"/>
      <c r="DX261" s="1360"/>
      <c r="DY261" s="1307"/>
      <c r="DZ261" s="922"/>
      <c r="EA261" s="1453">
        <f t="shared" si="3"/>
        <v>1</v>
      </c>
    </row>
    <row r="262" spans="1:132" ht="12">
      <c r="A262" s="922"/>
      <c r="B262" s="922"/>
      <c r="C262" s="4909"/>
      <c r="D262" s="1439" t="s">
        <v>4552</v>
      </c>
      <c r="E262" s="966"/>
      <c r="F262" s="989"/>
      <c r="G262" s="989"/>
      <c r="H262" s="987" t="str">
        <f>IF(D230=0,"",IF(E262=0,"",VLOOKUP(E262,TablasTec!$A$14:$V$771,4,FALSE)))</f>
        <v/>
      </c>
      <c r="I262" s="989"/>
      <c r="J262" s="989"/>
      <c r="K262" s="1021"/>
      <c r="L262" s="989"/>
      <c r="M262" s="989"/>
      <c r="N262" s="1021"/>
      <c r="O262" s="989"/>
      <c r="P262" s="989"/>
      <c r="Q262" s="989"/>
      <c r="R262" s="988" t="str">
        <f>IF(E262=0,"",VLOOKUP(E262,TablasTec!$A$14:$V$771,8,FALSE))</f>
        <v/>
      </c>
      <c r="S262" s="1014" t="str">
        <f>IF(R262=$D$8,$D$8,IF(R262=2,2,IF(R262=3,3,R262)))</f>
        <v/>
      </c>
      <c r="T262" s="989" t="str">
        <f>IF(E262=0,"",VLOOKUP(E262,TablasTec!$A$14:$V$771,9,FALSE))</f>
        <v/>
      </c>
      <c r="U262" s="1016" t="str">
        <f>IF(E262=0,"",VLOOKUP(E262,TablasTec!$A$14:$V$771,10,FALSE))</f>
        <v/>
      </c>
      <c r="V262" s="1017"/>
      <c r="W262" s="1017"/>
      <c r="X262" s="1016"/>
      <c r="Y262" s="1016"/>
      <c r="Z262" s="1016"/>
      <c r="AA262" s="1016"/>
      <c r="AB262" s="1016"/>
      <c r="AC262" s="1016"/>
      <c r="AD262" s="1016"/>
      <c r="AE262" s="1016"/>
      <c r="AF262" s="1016"/>
      <c r="AG262" s="4886" t="str">
        <f>IF(OR(E262=TablasTec!A$678,E262=TablasTec!A$679,E263=TablasTec!A$678,E263=TablasTec!A$679,E264=TablasTec!A$678,E264=TablasTec!A$679),"Selecciona la atadura elemental:","")</f>
        <v/>
      </c>
      <c r="AH262" s="4887"/>
      <c r="AI262" s="4887"/>
      <c r="AJ262" s="4887"/>
      <c r="AK262" s="4887"/>
      <c r="AL262" s="4887"/>
      <c r="AM262" s="4887"/>
      <c r="AN262" s="4887"/>
      <c r="AO262" s="4887"/>
      <c r="AP262" s="4887"/>
      <c r="AQ262" s="4887"/>
      <c r="AR262" s="4887"/>
      <c r="AS262" s="4887"/>
      <c r="AT262" s="4887"/>
      <c r="AU262" s="4887"/>
      <c r="AV262" s="4887"/>
      <c r="AW262" s="4887"/>
      <c r="AX262" s="4887"/>
      <c r="AY262" s="4887"/>
      <c r="AZ262" s="4887"/>
      <c r="BA262" s="4887"/>
      <c r="BB262" s="4887"/>
      <c r="BC262" s="4887"/>
      <c r="BD262" s="4887"/>
      <c r="BE262" s="4887"/>
      <c r="BF262" s="4887"/>
      <c r="BG262" s="4887"/>
      <c r="BH262" s="4887"/>
      <c r="BI262" s="4887"/>
      <c r="BJ262" s="4887"/>
      <c r="BK262" s="4888"/>
      <c r="BL262" s="1424"/>
      <c r="BM262" s="1424"/>
      <c r="BN262" s="989"/>
      <c r="BO262" s="989"/>
      <c r="BP262" s="1021"/>
      <c r="BQ262" s="989"/>
      <c r="BR262" s="989"/>
      <c r="BS262" s="989"/>
      <c r="BT262" s="4855">
        <f>D230</f>
        <v>1</v>
      </c>
      <c r="BU262" s="4856"/>
      <c r="BV262" s="954">
        <f>IF(BV261=0,0,VLOOKUP(BV261,TablasTec!$M$4:$N$7,2,FALSE))</f>
        <v>0</v>
      </c>
      <c r="BW262" s="934"/>
      <c r="BX262" s="934"/>
      <c r="BY262" s="1269"/>
      <c r="BZ262" s="1287"/>
      <c r="CA262" s="922"/>
      <c r="DR262" s="922"/>
      <c r="DT262" s="1308"/>
      <c r="DU262" s="1360"/>
      <c r="DV262" s="1360"/>
      <c r="DW262" s="1360"/>
      <c r="DX262" s="1360"/>
      <c r="DY262" s="1307"/>
      <c r="DZ262" s="922"/>
      <c r="EA262" s="1453">
        <f t="shared" si="3"/>
        <v>1</v>
      </c>
    </row>
    <row r="263" spans="1:132">
      <c r="A263" s="922"/>
      <c r="B263" s="922"/>
      <c r="C263" s="4909"/>
      <c r="D263" s="1435" t="s">
        <v>4554</v>
      </c>
      <c r="E263" s="1022"/>
      <c r="F263" s="1388"/>
      <c r="G263" s="1389"/>
      <c r="H263" s="979" t="str">
        <f>IF(VALUE(D230)&gt;1,IF(E263=0,"",VLOOKUP(E263,TablasTec!$A$14:$V$771,4,FALSE)),"")</f>
        <v/>
      </c>
      <c r="I263" s="1388"/>
      <c r="J263" s="1389"/>
      <c r="K263" s="1389"/>
      <c r="L263" s="1388"/>
      <c r="M263" s="1389"/>
      <c r="N263" s="1390"/>
      <c r="O263" s="1389"/>
      <c r="P263" s="1389"/>
      <c r="Q263" s="1389"/>
      <c r="R263" s="983" t="str">
        <f>IF(E263=0,"",VLOOKUP(E263,TablasTec!$A$14:$V$771,8,FALSE))</f>
        <v/>
      </c>
      <c r="S263" s="981" t="str">
        <f>IF(R263=$D$8,$D$8,IF(R263=2,2,IF(R263=3,3,R263)))</f>
        <v/>
      </c>
      <c r="T263" s="984" t="str">
        <f>IF(E263=0,"",VLOOKUP(E263,TablasTec!$A$14:$V$771,9,FALSE))</f>
        <v/>
      </c>
      <c r="U263" s="984" t="str">
        <f>IF(E263=0,"",VLOOKUP(E263,TablasTec!$A$14:$V$771,10,FALSE))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c r="A264" s="922"/>
      <c r="B264" s="922"/>
      <c r="C264" s="4909"/>
      <c r="D264" s="1440" t="s">
        <v>4555</v>
      </c>
      <c r="E264" s="1023"/>
      <c r="F264" s="3176"/>
      <c r="G264" s="998"/>
      <c r="H264" s="997" t="str">
        <f>IF(VALUE(D230)=3,IF(E264=0,"",VLOOKUP(E264,TablasTec!$A$14:$V$771,4,FALSE)),"")</f>
        <v/>
      </c>
      <c r="I264" s="998"/>
      <c r="J264" s="998"/>
      <c r="K264" s="998"/>
      <c r="L264" s="3176"/>
      <c r="M264" s="998"/>
      <c r="N264" s="998"/>
      <c r="O264" s="3176"/>
      <c r="P264" s="998"/>
      <c r="Q264" s="998"/>
      <c r="R264" s="1018" t="str">
        <f>IF(E264=0,"",VLOOKUP(E264,TablasTec!$A$14:$V$771,8,FALSE))</f>
        <v/>
      </c>
      <c r="S264" s="997" t="str">
        <f>IF(R264=$D$8,$D$8,IF(R264=2,2,IF(R264=3,3,R264)))</f>
        <v/>
      </c>
      <c r="T264" s="998" t="str">
        <f>IF(E264=0,"",VLOOKUP(E264,TablasTec!$A$14:$V$771,9,FALSE))</f>
        <v/>
      </c>
      <c r="U264" s="998" t="str">
        <f>IF(E264=0,"",VLOOKUP(E264,TablasTec!$A$14:$V$771,10,FALSE))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IF(BV263=0,0,VLOOKUP(BV263,TablasTec!$M$4:$N$7,2,FALSE))</f>
        <v>0</v>
      </c>
      <c r="BW264" s="934"/>
      <c r="BX264" s="934"/>
      <c r="BY264" s="1269"/>
      <c r="BZ264" s="1287"/>
      <c r="CA264" s="926"/>
      <c r="DR264" s="926"/>
      <c r="DT264" s="1311"/>
      <c r="DU264" s="1416"/>
      <c r="DV264" s="1416"/>
      <c r="DW264" s="1416"/>
      <c r="DX264" s="1416"/>
      <c r="DY264" s="1312"/>
      <c r="DZ264" s="926"/>
      <c r="EA264" s="1453">
        <f t="shared" si="3"/>
        <v>1</v>
      </c>
    </row>
    <row r="265" spans="1:132">
      <c r="A265" s="926"/>
      <c r="B265" s="926"/>
      <c r="C265" s="4909"/>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c r="A266" s="922"/>
      <c r="B266" s="922"/>
      <c r="C266" s="4909"/>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c r="A267" s="922"/>
      <c r="B267" s="922"/>
      <c r="C267" s="4909"/>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3175" t="s">
        <v>1708</v>
      </c>
      <c r="U267" s="3175" t="s">
        <v>1679</v>
      </c>
      <c r="V267" s="3175" t="s">
        <v>3335</v>
      </c>
      <c r="W267" s="4881" t="s">
        <v>3336</v>
      </c>
      <c r="X267" s="4881"/>
      <c r="Y267" s="4881"/>
      <c r="Z267" s="4881"/>
      <c r="AA267" s="4881"/>
      <c r="AB267" s="4881"/>
      <c r="AC267" s="4881"/>
      <c r="AD267" s="4881"/>
      <c r="AE267" s="4881"/>
      <c r="AF267" s="4881"/>
      <c r="AG267" s="4881"/>
      <c r="AH267" s="4881"/>
      <c r="AI267" s="4881"/>
      <c r="AJ267" s="4881"/>
      <c r="AK267" s="4881"/>
      <c r="AL267" s="4881"/>
      <c r="AM267" s="4881"/>
      <c r="AN267" s="4881"/>
      <c r="AO267" s="4881"/>
      <c r="AP267" s="4881"/>
      <c r="AQ267" s="4881"/>
      <c r="AR267" s="4881"/>
      <c r="AS267" s="4881"/>
      <c r="AT267" s="4881"/>
      <c r="AU267" s="4881"/>
      <c r="AV267" s="4881"/>
      <c r="AW267" s="4881"/>
      <c r="AX267" s="4881"/>
      <c r="AY267" s="4881"/>
      <c r="AZ267" s="4881"/>
      <c r="BA267" s="4881"/>
      <c r="BB267" s="4881"/>
      <c r="BC267" s="4881"/>
      <c r="BD267" s="4881"/>
      <c r="BE267" s="4881"/>
      <c r="BF267" s="4881"/>
      <c r="BG267" s="4881"/>
      <c r="BH267" s="4881"/>
      <c r="BI267" s="4881"/>
      <c r="BJ267" s="4881"/>
      <c r="BK267" s="4881" t="s">
        <v>3337</v>
      </c>
      <c r="BL267" s="4881"/>
      <c r="BM267" s="4882"/>
      <c r="BN267" s="952" t="s">
        <v>4532</v>
      </c>
      <c r="BO267" s="952" t="s">
        <v>4533</v>
      </c>
      <c r="BP267" s="952" t="s">
        <v>4534</v>
      </c>
      <c r="BQ267" s="952" t="s">
        <v>4535</v>
      </c>
      <c r="BR267" s="952" t="s">
        <v>4536</v>
      </c>
      <c r="BS267" s="953" t="s">
        <v>4537</v>
      </c>
      <c r="BT267" s="4857" t="s">
        <v>4538</v>
      </c>
      <c r="BU267" s="4858"/>
      <c r="BV267" s="954"/>
      <c r="BW267" s="934"/>
      <c r="BX267" s="934"/>
      <c r="BY267" s="1269"/>
      <c r="BZ267" s="1287"/>
      <c r="CA267" s="922"/>
      <c r="DR267" s="922"/>
      <c r="DT267" s="1308"/>
      <c r="DU267" s="1360"/>
      <c r="DV267" s="1360"/>
      <c r="DW267" s="1360"/>
      <c r="DX267" s="1360"/>
      <c r="DY267" s="1307"/>
      <c r="DZ267" s="922"/>
      <c r="EB267" s="2127">
        <f>D267</f>
        <v>1</v>
      </c>
    </row>
    <row r="268" spans="1:13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09"/>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IF(I268="Si",VLOOKUP($D$8,TablasTec!$E$4:$F$6,2,FALSE),"")</f>
        <v/>
      </c>
      <c r="BQ268" s="962" t="str">
        <f>IF(L268="Si",VLOOKUP($D$8,TablasTec!$I$4:$J$6,2,FALSE),"")</f>
        <v/>
      </c>
      <c r="BR268" s="960" t="str">
        <f>IF(O268="Si",VLOOKUP($D$8,TablasTec!$I$7:$J$9,2,FALSE),"")</f>
        <v/>
      </c>
      <c r="BS268" s="963">
        <f>VLOOKUP(D267,TablasTec!$P$6:$R$8,3)</f>
        <v>50</v>
      </c>
      <c r="BT268" s="964">
        <f>VLOOKUP(D267,TablasTec!$P$6:$R$8,3,FALSE)</f>
        <v>50</v>
      </c>
      <c r="BU268" s="965">
        <f>VLOOKUP(D267,TablasTec!$P$6:$R$8,2,FALSE)</f>
        <v>20</v>
      </c>
      <c r="BV268" s="954">
        <f>IF(D267=0,"",VLOOKUP(D267,TablasTec!$L$4:$N$7,2,FALSE))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09"/>
      <c r="D269" s="1436" t="s">
        <v>1766</v>
      </c>
      <c r="E269" s="966"/>
      <c r="F269" s="967" t="str">
        <f>IF(E269=0,"",VLOOKUP(E269,TablasTec!$A$14:$V$771,2,FALSE))</f>
        <v/>
      </c>
      <c r="G269" s="968"/>
      <c r="H269" s="969" t="str">
        <f>IF($E269=0,"",VLOOKUP($E269,TablasTec!$A$14:$V$771,4,FALSE))</f>
        <v/>
      </c>
      <c r="I269" s="970" t="s">
        <v>1690</v>
      </c>
      <c r="J269" s="1395" t="str">
        <f>IF(E269=0,"",VLOOKUP(E269,TablasTec!$A$14:$V$771,5,FALSE))</f>
        <v/>
      </c>
      <c r="K269" s="972" t="str">
        <f>IF(I269="Si",IF(E269=0,"",VLOOKUP(E269,TablasTec!$A$14:$V$771,5,FALSE)),"")</f>
        <v/>
      </c>
      <c r="L269" s="970" t="s">
        <v>1690</v>
      </c>
      <c r="M269" s="1395" t="str">
        <f>IF(E269=0,"",VLOOKUP(E269,TablasTec!$A$14:$V$771,6,FALSE))</f>
        <v/>
      </c>
      <c r="N269" s="973" t="str">
        <f>IF(L269="Si",IF(E269=0,"",VLOOKUP(E269,TablasTec!$A$14:$V$771,6,FALSE)),"")</f>
        <v/>
      </c>
      <c r="O269" s="970" t="s">
        <v>1690</v>
      </c>
      <c r="P269" s="1395" t="str">
        <f>IF(E269=0,"",VLOOKUP(E269,TablasTec!$A$14:$V$771,7,FALSE))</f>
        <v/>
      </c>
      <c r="Q269" s="973" t="str">
        <f>IF(O269="Si",IF(E269=0,"",VLOOKUP(E269,TablasTec!$A$14:$V$771,7,FALSE)),"")</f>
        <v/>
      </c>
      <c r="R269" s="971" t="str">
        <f>IF(E269=0,"",VLOOKUP(E269,TablasTec!$A$14:$V$771,8,FALSE))</f>
        <v/>
      </c>
      <c r="S269" s="969" t="str">
        <f>IF(R269=$D$8,$D$8,IF(R269=2,2,IF(R269=3,3,R269)))</f>
        <v/>
      </c>
      <c r="T269" s="972" t="str">
        <f>IF(E269=0,"",VLOOKUP(E269,TablasTec!$A$14:$V$771,9,FALSE))</f>
        <v/>
      </c>
      <c r="U269" s="972" t="str">
        <f>IF(E269=0,"",VLOOKUP(E269,TablasTec!$A$14:$V$771,10,FALSE))</f>
        <v/>
      </c>
      <c r="V269" s="967" t="str">
        <f>IF(E269=0,"",VLOOKUP(E269,TablasTec!$A$14:$V$771,11,FALSE))</f>
        <v/>
      </c>
      <c r="W269" s="970"/>
      <c r="X269" s="971" t="e">
        <f>VLOOKUP(E269,TablasTec!$A$14:$V$771,12,FALSE)</f>
        <v>#N/A</v>
      </c>
      <c r="Y269" s="971" t="e">
        <f>IF(W269=X269,VLOOKUP(E269,TablasTec!$A$14:$V$771,13,FALSE),0)</f>
        <v>#N/A</v>
      </c>
      <c r="Z269" s="971" t="e">
        <f>VLOOKUP(E269,TablasTec!$A$14:$V$771,14,FALSE)</f>
        <v>#N/A</v>
      </c>
      <c r="AA269" s="971" t="e">
        <f>IF(W269=Z269,VLOOKUP(E269,TablasTec!$A$14:$V$616,15,FALSE),0)</f>
        <v>#N/A</v>
      </c>
      <c r="AB269" s="971" t="e">
        <f>VLOOKUP(E269,TablasTec!$A$14:$V$771,16,FALSE)</f>
        <v>#N/A</v>
      </c>
      <c r="AC269" s="971" t="e">
        <f>IF(W269=AB269,VLOOKUP(E269,TablasTec!$A$14:$V$616,17,FALSE),0)</f>
        <v>#N/A</v>
      </c>
      <c r="AD269" s="971" t="e">
        <f>VLOOKUP(E269,TablasTec!$A$14:$V$771,18,FALSE)</f>
        <v>#N/A</v>
      </c>
      <c r="AE269" s="971" t="e">
        <f>IF(W269=AD269,VLOOKUP(E269,TablasTec!$A$14:$V$771,19,FALSE),0)</f>
        <v>#N/A</v>
      </c>
      <c r="AF269" s="973" t="str">
        <f>IF(E269=0,"",(Y269+AA269+AC269+AE269))</f>
        <v/>
      </c>
      <c r="AG269" s="970"/>
      <c r="AH269" s="971" t="e">
        <f>VLOOKUP(E269,TablasTec!$A$14:$V$771,12,FALSE)</f>
        <v>#N/A</v>
      </c>
      <c r="AI269" s="971" t="e">
        <f>IF(AG269=AH269,VLOOKUP(E269,TablasTec!$A$14:$V$771,13,FALSE),0)</f>
        <v>#N/A</v>
      </c>
      <c r="AJ269" s="971" t="e">
        <f>VLOOKUP(E269,TablasTec!$A$14:$V$771,14,FALSE)</f>
        <v>#N/A</v>
      </c>
      <c r="AK269" s="971" t="e">
        <f>IF(AG269=AJ269,VLOOKUP(E269,TablasTec!$A$14:$V$771,15,FALSE),0)</f>
        <v>#N/A</v>
      </c>
      <c r="AL269" s="971" t="e">
        <f>VLOOKUP(E269,TablasTec!$A$14:$V$771,16,FALSE)</f>
        <v>#N/A</v>
      </c>
      <c r="AM269" s="971" t="e">
        <f>IF(AG269=AL269,VLOOKUP(E269,TablasTec!$A$14:$V$771,17,FALSE),0)</f>
        <v>#N/A</v>
      </c>
      <c r="AN269" s="971" t="e">
        <f>VLOOKUP(E269,TablasTec!$A$14:$V$771,18,FALSE)</f>
        <v>#N/A</v>
      </c>
      <c r="AO269" s="971" t="e">
        <f>IF(AG269=AN269,VLOOKUP(E269,TablasTec!$A$14:$V$771,19,FALSE),0)</f>
        <v>#N/A</v>
      </c>
      <c r="AP269" s="973" t="str">
        <f>IF(E269=0,"",(AI269+AK269+AM269+AO269))</f>
        <v/>
      </c>
      <c r="AQ269" s="970"/>
      <c r="AR269" s="971" t="e">
        <f>VLOOKUP(E269,TablasTec!$A$14:$V$771,12,FALSE)</f>
        <v>#N/A</v>
      </c>
      <c r="AS269" s="971" t="e">
        <f>IF(AQ269=AR269,VLOOKUP(E269,TablasTec!$A$14:$V$771,13,FALSE),0)</f>
        <v>#N/A</v>
      </c>
      <c r="AT269" s="971" t="e">
        <f>VLOOKUP(E269,TablasTec!$A$14:$V$771,14,FALSE)</f>
        <v>#N/A</v>
      </c>
      <c r="AU269" s="971" t="e">
        <f>IF(AQ269=AT269,VLOOKUP(E269,TablasTec!$A$14:$V$771,15,FALSE),0)</f>
        <v>#N/A</v>
      </c>
      <c r="AV269" s="971" t="e">
        <f>VLOOKUP(E269,TablasTec!$A$14:$V$771,16,FALSE)</f>
        <v>#N/A</v>
      </c>
      <c r="AW269" s="971" t="e">
        <f>IF(AQ269=AV269,VLOOKUP(E269,TablasTec!$A$14:$V$771,17,FALSE),0)</f>
        <v>#N/A</v>
      </c>
      <c r="AX269" s="971" t="e">
        <f>VLOOKUP(E269,TablasTec!$A$14:$V$771,18,FALSE)</f>
        <v>#N/A</v>
      </c>
      <c r="AY269" s="971" t="e">
        <f>IF(AQ269=AX269,VLOOKUP(E269,TablasTec!$A$14:$V$771,19,FALSE),0)</f>
        <v>#N/A</v>
      </c>
      <c r="AZ269" s="972" t="str">
        <f>IF(E269=0,"",(AS269+AU269+AW269+AY269))</f>
        <v/>
      </c>
      <c r="BA269" s="970"/>
      <c r="BB269" s="971" t="e">
        <f>VLOOKUP(E269,TablasTec!$A$14:$V$771,12,FALSE)</f>
        <v>#N/A</v>
      </c>
      <c r="BC269" s="971" t="e">
        <f>IF(BA269=BB269,VLOOKUP(E269,TablasTec!$A$14:$V$771,13,FALSE),0)</f>
        <v>#N/A</v>
      </c>
      <c r="BD269" s="971" t="e">
        <f>VLOOKUP(E269,TablasTec!$A$14:$V$771,14,FALSE)</f>
        <v>#N/A</v>
      </c>
      <c r="BE269" s="971" t="e">
        <f>IF(BA269=BD269,VLOOKUP(E269,TablasTec!$A$14:$V$771,15,FALSE),0)</f>
        <v>#N/A</v>
      </c>
      <c r="BF269" s="971" t="e">
        <f>VLOOKUP(E269,TablasTec!$A$14:$V$771,16,FALSE)</f>
        <v>#N/A</v>
      </c>
      <c r="BG269" s="971" t="e">
        <f>IF(BA269=BF269,VLOOKUP(E269,TablasTec!$A$14:$V$771,17,FALSE),0)</f>
        <v>#N/A</v>
      </c>
      <c r="BH269" s="971" t="e">
        <f>VLOOKUP(E269,TablasTec!$A$14:$V$771,18,FALSE)</f>
        <v>#N/A</v>
      </c>
      <c r="BI269" s="971" t="e">
        <f>IF(BA269=BH269,VLOOKUP(E269,TablasTec!$A$14:$V$771,19,FALSE),0)</f>
        <v>#N/A</v>
      </c>
      <c r="BJ269" s="973" t="str">
        <f>IF(E269=0,"",(BC269+BE269+BG269+BI269))</f>
        <v/>
      </c>
      <c r="BK269" s="972" t="str">
        <f>IF(E269=0,"",VLOOKUP(E269,TablasTec!$A$14:$V$771,20,FALSE))</f>
        <v/>
      </c>
      <c r="BL269" s="972" t="str">
        <f>IF(E269=0,"",VLOOKUP(E269,TablasTec!$A$14:$V$771,21,FALSE))</f>
        <v/>
      </c>
      <c r="BM269" s="974" t="str">
        <f>IF(E269=0,"",VLOOKUP(E269,TablasTec!$A$14:$V$771,22,FALSE))</f>
        <v/>
      </c>
      <c r="BN269" s="975"/>
      <c r="BO269" s="976"/>
      <c r="BP269" s="961" t="str">
        <f>IF(I269="Si",VLOOKUP($D$8,TablasTec!$E$4:$F$6,2,FALSE),"")</f>
        <v/>
      </c>
      <c r="BQ269" s="962" t="str">
        <f>IF(L269="Si",VLOOKUP($D$8,TablasTec!$I$4:$J$6,2,FALSE),"")</f>
        <v/>
      </c>
      <c r="BR269" s="960" t="str">
        <f>IF(O269="Si",VLOOKUP($D$8,TablasTec!$I$7:$J$9,2,FALSE),"")</f>
        <v/>
      </c>
      <c r="BS269" s="977"/>
      <c r="BT269" s="4857" t="s">
        <v>4539</v>
      </c>
      <c r="BU269" s="4858"/>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6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c r="A270" s="922"/>
      <c r="B270" s="922"/>
      <c r="C270" s="4909"/>
      <c r="D270" s="1435" t="s">
        <v>1766</v>
      </c>
      <c r="E270" s="978"/>
      <c r="F270" s="979" t="str">
        <f>IF(E270=0,"",VLOOKUP(E270,TablasTec!$A$14:$V$771,2,FALSE))</f>
        <v/>
      </c>
      <c r="G270" s="980"/>
      <c r="H270" s="981" t="str">
        <f>IF($E270=0,"",VLOOKUP($E270,TablasTec!$A$14:$V$771,4,FALSE))</f>
        <v/>
      </c>
      <c r="I270" s="982" t="s">
        <v>1690</v>
      </c>
      <c r="J270" s="1398" t="str">
        <f>IF(E270=0,"",VLOOKUP(E270,TablasTec!$A$14:$V$771,5,FALSE))</f>
        <v/>
      </c>
      <c r="K270" s="984" t="str">
        <f>IF(I270="Si",IF(E270=0,"",VLOOKUP(E270,TablasTec!$A$14:$V$771,5,FALSE)),"")</f>
        <v/>
      </c>
      <c r="L270" s="982" t="s">
        <v>1690</v>
      </c>
      <c r="M270" s="1398" t="str">
        <f>IF(E270=0,"",VLOOKUP(E270,TablasTec!$A$14:$V$771,6,FALSE))</f>
        <v/>
      </c>
      <c r="N270" s="985" t="str">
        <f>IF(L270="Si",IF(E270=0,"",VLOOKUP(E270,TablasTec!$A$14:$V$771,6,FALSE)),"")</f>
        <v/>
      </c>
      <c r="O270" s="982" t="s">
        <v>1690</v>
      </c>
      <c r="P270" s="1398" t="str">
        <f>IF(E270=0,"",VLOOKUP(E270,TablasTec!$A$14:$V$771,7,FALSE))</f>
        <v/>
      </c>
      <c r="Q270" s="985" t="str">
        <f>IF(O270="Si",IF(E270=0,"",VLOOKUP(E270,TablasTec!$A$14:$V$771,7,FALSE)),"")</f>
        <v/>
      </c>
      <c r="R270" s="983" t="str">
        <f>IF(E270=0,"",VLOOKUP(E270,TablasTec!$A$14:$V$771,8,FALSE))</f>
        <v/>
      </c>
      <c r="S270" s="981" t="str">
        <f>IF(R270=$D$8,$D$8,IF(R270=2,2,IF(R270=3,3,R270)))</f>
        <v/>
      </c>
      <c r="T270" s="4883" t="s">
        <v>4540</v>
      </c>
      <c r="U270" s="4884"/>
      <c r="V270" s="4884"/>
      <c r="W270" s="4884"/>
      <c r="X270" s="4884"/>
      <c r="Y270" s="4884"/>
      <c r="Z270" s="4884"/>
      <c r="AA270" s="4884"/>
      <c r="AB270" s="4884"/>
      <c r="AC270" s="4884"/>
      <c r="AD270" s="4884"/>
      <c r="AE270" s="4884"/>
      <c r="AF270" s="4884"/>
      <c r="AG270" s="4884"/>
      <c r="AH270" s="4884"/>
      <c r="AI270" s="4884"/>
      <c r="AJ270" s="4884"/>
      <c r="AK270" s="4884"/>
      <c r="AL270" s="4884"/>
      <c r="AM270" s="4884"/>
      <c r="AN270" s="4884"/>
      <c r="AO270" s="4884"/>
      <c r="AP270" s="4884"/>
      <c r="AQ270" s="4884"/>
      <c r="AR270" s="4884"/>
      <c r="AS270" s="4884"/>
      <c r="AT270" s="4884"/>
      <c r="AU270" s="4884"/>
      <c r="AV270" s="4884"/>
      <c r="AW270" s="4884"/>
      <c r="AX270" s="4884"/>
      <c r="AY270" s="4884"/>
      <c r="AZ270" s="4884"/>
      <c r="BA270" s="4884"/>
      <c r="BB270" s="4884"/>
      <c r="BC270" s="4884"/>
      <c r="BD270" s="4884"/>
      <c r="BE270" s="4884"/>
      <c r="BF270" s="4884"/>
      <c r="BG270" s="4884"/>
      <c r="BH270" s="4884"/>
      <c r="BI270" s="4884"/>
      <c r="BJ270" s="4884"/>
      <c r="BK270" s="4885"/>
      <c r="BL270" s="1420"/>
      <c r="BM270" s="1421"/>
      <c r="BN270" s="975"/>
      <c r="BO270" s="976"/>
      <c r="BP270" s="961" t="str">
        <f>IF(I270="Si",VLOOKUP($D$8,TablasTec!$E$4:$F$6,2,FALSE),"")</f>
        <v/>
      </c>
      <c r="BQ270" s="962" t="str">
        <f>IF(L270="Si",VLOOKUP($D$8,TablasTec!$I$4:$J$6,2,FALSE),"")</f>
        <v/>
      </c>
      <c r="BR270" s="960" t="str">
        <f>IF(O270="Si",VLOOKUP($D$8,TablasTec!$I$7:$J$9,2,FALSE),"")</f>
        <v/>
      </c>
      <c r="BS270" s="977"/>
      <c r="BT270" s="4859">
        <f>MAX(BU268,SUM(H269:H301)+IF(OR(I269="Si",I270="Si",I271="Si",I272="Si",I273="Si",I275="Si",I276="Si",I277="Si",I278="Si",I279="Si",I281="Si",I282="Si",I283="Si",I284="Si",I285="Si",I287="Si",I288="Si",I289="Si",I290="Si",I291="Si",I293="Si",I294="Si",I295="Si",I296="Si",I297="Si"),VLOOKUP($D267,TablasTec!$E$4:$F$6,2,FALSE),0)+IF(OR(L269="Si",L270="Si",L271="Si",L272="Si",L273="Si",L275="Si",L276="Si",L277="Si",L278="Si",L279="Si",L281="Si",L282="Si",L283="Si",L284="Si",L285="Si",L287="Si",L288="Si",L289="Si",L290="Si",L291="Si",L293="Si",L294="Si",L295="Si",L296="Si",L297="Si"),VLOOKUP($D267,TablasTec!$I$4:$J$6,2,FALSE),0)+IF(OR(O269="Si",O270="Si",O271="Si",O272="Si",O273="Si",O275="Si",O276="Si",O277="Si",O278="Si",O279="Si",O281="Si",O282="Si",O283="Si",O284="Si",O285="Si",O287="Si",O288="Si",O289="Si",O290="Si",O291="Si",O293="Si",O294="Si",O295="Si",O296="Si",O297="Si"),VLOOKUP($D267,TablasTec!$I$7:$J$9,2,FALSE),0)+IF(BT273="No",0,IF(D267=0,0,VLOOKUP(D267,TablasTec!$L$4:$N$7,3,FALSE)))+IF(BT275="Bajar coste de CM",0,IF(BT275="-5 CM",-5,IF(BT275="-10 CM",-10,IF(BT275="-15 CM",-15,IF(BT275="-20 CM",-20,0)))))+IF(BT277="Bajar coste de Ki",0,IF(BT277="-1 Ki",10,IF(BT277="-2 Ki",20,IF(BT277="-3 Ki",30,IF(BT277="-4 Ki",40,IF(BT277="-5 Ki",50,0)))))))</f>
        <v>20</v>
      </c>
      <c r="BU270" s="4860"/>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65"/>
      <c r="DY270" s="1307"/>
      <c r="DZ270" s="922"/>
      <c r="EA270" s="1453">
        <f t="shared" si="4"/>
        <v>1</v>
      </c>
    </row>
    <row r="271" spans="1:132">
      <c r="A271" s="922"/>
      <c r="B271" s="922"/>
      <c r="C271" s="4909"/>
      <c r="D271" s="1436" t="s">
        <v>1766</v>
      </c>
      <c r="E271" s="986"/>
      <c r="F271" s="3181" t="str">
        <f>IF(E271=0,"",VLOOKUP(E271,TablasTec!$A$14:$V$771,2,FALSE))</f>
        <v/>
      </c>
      <c r="G271" s="968"/>
      <c r="H271" s="987" t="str">
        <f>IF($E271=0,"",VLOOKUP($E271,TablasTec!$A$14:$V$771,4,FALSE))</f>
        <v/>
      </c>
      <c r="I271" s="970" t="s">
        <v>1690</v>
      </c>
      <c r="J271" s="1394" t="str">
        <f>IF(E271=0,"",VLOOKUP(E271,TablasTec!$A$14:$V$771,5,FALSE))</f>
        <v/>
      </c>
      <c r="K271" s="989" t="str">
        <f>IF(I271="Si",IF(E271=0,"",VLOOKUP(E271,TablasTec!$A$14:$V$771,5,FALSE)),"")</f>
        <v/>
      </c>
      <c r="L271" s="970" t="s">
        <v>1690</v>
      </c>
      <c r="M271" s="1394" t="str">
        <f>IF(E271=0,"",VLOOKUP(E271,TablasTec!$A$14:$V$771,6,FALSE))</f>
        <v/>
      </c>
      <c r="N271" s="973" t="str">
        <f>IF(L271="Si",IF(E271=0,"",VLOOKUP(E271,TablasTec!$A$14:$V$771,6,FALSE)),"")</f>
        <v/>
      </c>
      <c r="O271" s="970" t="s">
        <v>1690</v>
      </c>
      <c r="P271" s="1394" t="str">
        <f>IF(E271=0,"",VLOOKUP(E271,TablasTec!$A$14:$V$771,7,FALSE))</f>
        <v/>
      </c>
      <c r="Q271" s="973" t="str">
        <f>IF(O271="Si",IF(E271=0,"",VLOOKUP(E271,TablasTec!$A$14:$V$771,7,FALSE)),"")</f>
        <v/>
      </c>
      <c r="R271" s="988" t="str">
        <f>IF(E271=0,"",VLOOKUP(E271,TablasTec!$A$14:$V$771,8,FALSE))</f>
        <v/>
      </c>
      <c r="S271" s="3181" t="str">
        <f>IF(R271=$D$8,$D$8,IF(R271=2,2,IF(R271=3,3,R271)))</f>
        <v/>
      </c>
      <c r="T271" s="4896"/>
      <c r="U271" s="4897"/>
      <c r="V271" s="3179" t="str">
        <f>IF(OR(V269=0,V269=""),"N/A",V269)</f>
        <v>N/A</v>
      </c>
      <c r="W271" s="4896" t="str">
        <f xml:space="preserve"> IF(OR(AF269=0,AF269=""),"N/A",W269)</f>
        <v>N/A</v>
      </c>
      <c r="X271" s="4898"/>
      <c r="Y271" s="4898"/>
      <c r="Z271" s="4898"/>
      <c r="AA271" s="4898"/>
      <c r="AB271" s="4898"/>
      <c r="AC271" s="4898"/>
      <c r="AD271" s="4898"/>
      <c r="AE271" s="4898"/>
      <c r="AF271" s="4897"/>
      <c r="AG271" s="4896" t="str">
        <f xml:space="preserve"> IF(OR(AP269="",AP269=0),"N/A",AG269)</f>
        <v>N/A</v>
      </c>
      <c r="AH271" s="4898"/>
      <c r="AI271" s="4898"/>
      <c r="AJ271" s="4898"/>
      <c r="AK271" s="4898"/>
      <c r="AL271" s="4898"/>
      <c r="AM271" s="4898"/>
      <c r="AN271" s="4898"/>
      <c r="AO271" s="4898"/>
      <c r="AP271" s="4897"/>
      <c r="AQ271" s="4896" t="str">
        <f xml:space="preserve"> IF(OR(AZ269="",AZ269=0),"N/A",AQ269)</f>
        <v>N/A</v>
      </c>
      <c r="AR271" s="4898"/>
      <c r="AS271" s="4898"/>
      <c r="AT271" s="4898"/>
      <c r="AU271" s="4898"/>
      <c r="AV271" s="4898"/>
      <c r="AW271" s="4898"/>
      <c r="AX271" s="4898"/>
      <c r="AY271" s="4898"/>
      <c r="AZ271" s="4897"/>
      <c r="BA271" s="4896" t="str">
        <f xml:space="preserve"> IF(OR(BJ269="",BJ269=0),"N/A",BA269)</f>
        <v>N/A</v>
      </c>
      <c r="BB271" s="4898"/>
      <c r="BC271" s="4898"/>
      <c r="BD271" s="4898"/>
      <c r="BE271" s="4898"/>
      <c r="BF271" s="4898"/>
      <c r="BG271" s="4898"/>
      <c r="BH271" s="4898"/>
      <c r="BI271" s="4898"/>
      <c r="BJ271" s="4897"/>
      <c r="BK271" s="990" t="s">
        <v>4541</v>
      </c>
      <c r="BL271" s="972"/>
      <c r="BM271" s="1007"/>
      <c r="BN271" s="991"/>
      <c r="BO271" s="992"/>
      <c r="BP271" s="993" t="str">
        <f>IF(I271="Si",VLOOKUP($D$8,TablasTec!$E$4:$F$6,2,FALSE),"")</f>
        <v/>
      </c>
      <c r="BQ271" s="963" t="str">
        <f>IF(L271="Si",VLOOKUP($D$8,TablasTec!$I$4:$J$6,2,FALSE),"")</f>
        <v/>
      </c>
      <c r="BR271" s="994" t="str">
        <f>IF(O271="Si",VLOOKUP($D$8,TablasTec!$I$7:$J$9,2,FALSE),"")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65"/>
      <c r="DY271" s="1307"/>
      <c r="DZ271" s="922"/>
      <c r="EA271" s="1453">
        <f t="shared" si="4"/>
        <v>1</v>
      </c>
    </row>
    <row r="272" spans="1:132">
      <c r="A272" s="922"/>
      <c r="B272" s="922"/>
      <c r="C272" s="4909"/>
      <c r="D272" s="1435" t="s">
        <v>1766</v>
      </c>
      <c r="E272" s="978"/>
      <c r="F272" s="979" t="str">
        <f>IF(E272=0,"",VLOOKUP(E272,TablasTec!$A$14:$V$771,2,FALSE))</f>
        <v/>
      </c>
      <c r="G272" s="980"/>
      <c r="H272" s="981" t="str">
        <f>IF($E272=0,"",VLOOKUP($E272,TablasTec!$A$14:$V$771,4,FALSE))</f>
        <v/>
      </c>
      <c r="I272" s="982" t="s">
        <v>1690</v>
      </c>
      <c r="J272" s="1398" t="str">
        <f>IF(E272=0,"",VLOOKUP(E272,TablasTec!$A$14:$V$771,5,FALSE))</f>
        <v/>
      </c>
      <c r="K272" s="984" t="str">
        <f>IF(I272="Si",IF(E272=0,"",VLOOKUP(E272,TablasTec!$A$14:$V$771,5,FALSE)),"")</f>
        <v/>
      </c>
      <c r="L272" s="982" t="s">
        <v>1690</v>
      </c>
      <c r="M272" s="1398" t="str">
        <f>IF(E272=0,"",VLOOKUP(E272,TablasTec!$A$14:$V$771,6,FALSE))</f>
        <v/>
      </c>
      <c r="N272" s="985" t="str">
        <f>IF(L272="Si",IF(E272=0,"",VLOOKUP(E272,TablasTec!$A$14:$V$771,6,FALSE)),"")</f>
        <v/>
      </c>
      <c r="O272" s="982" t="s">
        <v>1690</v>
      </c>
      <c r="P272" s="1398" t="str">
        <f>IF(E272=0,"",VLOOKUP(E272,TablasTec!$A$14:$V$771,7,FALSE))</f>
        <v/>
      </c>
      <c r="Q272" s="985" t="str">
        <f>IF(O272="Si",IF(E272=0,"",VLOOKUP(E272,TablasTec!$A$14:$V$771,7,FALSE)),"")</f>
        <v/>
      </c>
      <c r="R272" s="983" t="str">
        <f>IF(E272=0,"",VLOOKUP(E272,TablasTec!$A$14:$V$771,8,FALSE))</f>
        <v/>
      </c>
      <c r="S272" s="981" t="str">
        <f>IF(R272=$D$8,$D$8,IF(R272=2,2,IF(R272=3,3,R272)))</f>
        <v/>
      </c>
      <c r="T272" s="4899" t="s">
        <v>4542</v>
      </c>
      <c r="U272" s="4900"/>
      <c r="V272" s="3180"/>
      <c r="W272" s="4901"/>
      <c r="X272" s="4902"/>
      <c r="Y272" s="4902"/>
      <c r="Z272" s="4902"/>
      <c r="AA272" s="4902"/>
      <c r="AB272" s="4902"/>
      <c r="AC272" s="4902"/>
      <c r="AD272" s="4902"/>
      <c r="AE272" s="4902"/>
      <c r="AF272" s="4903"/>
      <c r="AG272" s="4901"/>
      <c r="AH272" s="4902"/>
      <c r="AI272" s="4902"/>
      <c r="AJ272" s="4902"/>
      <c r="AK272" s="4902"/>
      <c r="AL272" s="4902"/>
      <c r="AM272" s="4902"/>
      <c r="AN272" s="4902"/>
      <c r="AO272" s="4902"/>
      <c r="AP272" s="4903"/>
      <c r="AQ272" s="4901"/>
      <c r="AR272" s="4902"/>
      <c r="AS272" s="4902"/>
      <c r="AT272" s="4902"/>
      <c r="AU272" s="4902"/>
      <c r="AV272" s="4902"/>
      <c r="AW272" s="4902"/>
      <c r="AX272" s="4902"/>
      <c r="AY272" s="4902"/>
      <c r="AZ272" s="4903"/>
      <c r="BA272" s="4901"/>
      <c r="BB272" s="4902"/>
      <c r="BC272" s="4902"/>
      <c r="BD272" s="4902"/>
      <c r="BE272" s="4902"/>
      <c r="BF272" s="4902"/>
      <c r="BG272" s="4902"/>
      <c r="BH272" s="4902"/>
      <c r="BI272" s="4902"/>
      <c r="BJ272" s="4903"/>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IF(I272="Si",VLOOKUP($D$8,TablasTec!$E$4:$F$6,2,FALSE),"")</f>
        <v/>
      </c>
      <c r="BQ272" s="962" t="str">
        <f>IF(L272="Si",VLOOKUP($D$8,TablasTec!$I$4:$J$6,2,FALSE),"")</f>
        <v/>
      </c>
      <c r="BR272" s="960" t="str">
        <f>IF(O272="Si",VLOOKUP($D$8,TablasTec!$I$7:$J$9,2,FALSE),"")</f>
        <v/>
      </c>
      <c r="BS272" s="977"/>
      <c r="BT272" s="4857" t="s">
        <v>4543</v>
      </c>
      <c r="BU272" s="4858"/>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65"/>
      <c r="DY272" s="1307"/>
      <c r="DZ272" s="922"/>
      <c r="EA272" s="1453">
        <f t="shared" si="4"/>
        <v>1</v>
      </c>
    </row>
    <row r="273" spans="1:131">
      <c r="A273" s="922"/>
      <c r="B273" s="922"/>
      <c r="C273" s="4909"/>
      <c r="D273" s="1436" t="s">
        <v>1766</v>
      </c>
      <c r="E273" s="986"/>
      <c r="F273" s="3181" t="str">
        <f>IF(E273=0,"",VLOOKUP(E273,TablasTec!$A$14:$V$771,2,FALSE))</f>
        <v/>
      </c>
      <c r="G273" s="968"/>
      <c r="H273" s="987" t="str">
        <f>IF($E273=0,"",VLOOKUP($E273,TablasTec!$A$14:$V$771,4,FALSE))</f>
        <v/>
      </c>
      <c r="I273" s="970" t="s">
        <v>1690</v>
      </c>
      <c r="J273" s="1394" t="str">
        <f>IF(E273=0,"",VLOOKUP(E273,TablasTec!$A$14:$V$771,5,FALSE))</f>
        <v/>
      </c>
      <c r="K273" s="989" t="str">
        <f>IF(I273="Si",IF(E273=0,"",VLOOKUP(E273,TablasTec!$A$14:$V$771,5,FALSE)),"")</f>
        <v/>
      </c>
      <c r="L273" s="970" t="s">
        <v>1690</v>
      </c>
      <c r="M273" s="1394" t="str">
        <f>IF(E273=0,"",VLOOKUP(E273,TablasTec!$A$14:$V$771,6,FALSE))</f>
        <v/>
      </c>
      <c r="N273" s="973" t="str">
        <f>IF(L273="Si",IF(E273=0,"",VLOOKUP(E273,TablasTec!$A$14:$V$771,6,FALSE)),"")</f>
        <v/>
      </c>
      <c r="O273" s="970" t="s">
        <v>1690</v>
      </c>
      <c r="P273" s="1394" t="str">
        <f>IF(E273=0,"",VLOOKUP(E273,TablasTec!$A$14:$V$771,7,FALSE))</f>
        <v/>
      </c>
      <c r="Q273" s="973" t="str">
        <f>IF(O273="Si",IF(E273=0,"",VLOOKUP(E273,TablasTec!$A$14:$V$771,7,FALSE)),"")</f>
        <v/>
      </c>
      <c r="R273" s="988" t="str">
        <f>IF(E273=0,"",VLOOKUP(E273,TablasTec!$A$14:$V$771,8,FALSE))</f>
        <v/>
      </c>
      <c r="S273" s="987" t="str">
        <f>IF(R273=$D$8,$D$8,IF(R273=2,2,IF(R273=3,3,R273)))</f>
        <v/>
      </c>
      <c r="T273" s="4890" t="s">
        <v>4544</v>
      </c>
      <c r="U273" s="4891"/>
      <c r="V273" s="3178"/>
      <c r="W273" s="4892"/>
      <c r="X273" s="4893"/>
      <c r="Y273" s="4893"/>
      <c r="Z273" s="4893"/>
      <c r="AA273" s="4893"/>
      <c r="AB273" s="4893"/>
      <c r="AC273" s="4893"/>
      <c r="AD273" s="4893"/>
      <c r="AE273" s="4893"/>
      <c r="AF273" s="4894"/>
      <c r="AG273" s="4892"/>
      <c r="AH273" s="4893"/>
      <c r="AI273" s="4893"/>
      <c r="AJ273" s="4893"/>
      <c r="AK273" s="4893"/>
      <c r="AL273" s="4893"/>
      <c r="AM273" s="4893"/>
      <c r="AN273" s="4893"/>
      <c r="AO273" s="4893"/>
      <c r="AP273" s="4894"/>
      <c r="AQ273" s="4892"/>
      <c r="AR273" s="4893"/>
      <c r="AS273" s="4893"/>
      <c r="AT273" s="4893"/>
      <c r="AU273" s="4893"/>
      <c r="AV273" s="4893"/>
      <c r="AW273" s="4893"/>
      <c r="AX273" s="4893"/>
      <c r="AY273" s="4893"/>
      <c r="AZ273" s="4894"/>
      <c r="BA273" s="4892"/>
      <c r="BB273" s="4893"/>
      <c r="BC273" s="4893"/>
      <c r="BD273" s="4893"/>
      <c r="BE273" s="4893"/>
      <c r="BF273" s="4893"/>
      <c r="BG273" s="4893"/>
      <c r="BH273" s="4893"/>
      <c r="BI273" s="4893"/>
      <c r="BJ273" s="4894"/>
      <c r="BK273" s="997">
        <f>SUM(K269:K273)-SUM(V273:BA273)</f>
        <v>0</v>
      </c>
      <c r="BL273" s="1422"/>
      <c r="BM273" s="1423"/>
      <c r="BN273" s="991"/>
      <c r="BO273" s="992"/>
      <c r="BP273" s="993" t="str">
        <f>IF(I273="Si",VLOOKUP($D$8,TablasTec!$E$4:$F$6,2,FALSE),"")</f>
        <v/>
      </c>
      <c r="BQ273" s="963" t="str">
        <f>IF(L273="Si",VLOOKUP($D$8,TablasTec!$I$4:$J$6,2,FALSE),"")</f>
        <v/>
      </c>
      <c r="BR273" s="994" t="str">
        <f>IF(O273="Si",VLOOKUP($D$8,TablasTec!$I$7:$J$9,2,FALSE),"")</f>
        <v/>
      </c>
      <c r="BS273" s="995"/>
      <c r="BT273" s="4861" t="s">
        <v>1690</v>
      </c>
      <c r="BU273" s="4862"/>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65"/>
      <c r="DY273" s="1307"/>
      <c r="DZ273" s="922"/>
      <c r="EA273" s="1453">
        <f t="shared" si="4"/>
        <v>1</v>
      </c>
    </row>
    <row r="274" spans="1:131">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09"/>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IF(I274="Si",VLOOKUP($D$8,TablasTec!$E$4:$F$6,2,FALSE),"")</f>
        <v/>
      </c>
      <c r="BQ274" s="962" t="str">
        <f>IF(L274="Si",VLOOKUP($D$8,TablasTec!$I$4:$J$6,2,FALSE),"")</f>
        <v/>
      </c>
      <c r="BR274" s="960" t="str">
        <f>IF(O274="Si",VLOOKUP($D$8,TablasTec!$I$7:$J$9,2,FALSE),"")</f>
        <v/>
      </c>
      <c r="BS274" s="977"/>
      <c r="BT274" s="4857" t="s">
        <v>4545</v>
      </c>
      <c r="BU274" s="4858"/>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09"/>
      <c r="D275" s="1436" t="s">
        <v>1766</v>
      </c>
      <c r="E275" s="966"/>
      <c r="F275" s="1002"/>
      <c r="G275" s="972" t="str">
        <f>IF(E275=0,"",VLOOKUP(E275,TablasTec!$A$14:$V$771,3,FALSE))</f>
        <v/>
      </c>
      <c r="H275" s="1004" t="str">
        <f>IF($E275=0,"",VLOOKUP($E275,TablasTec!$A$14:$V$771,4,FALSE))</f>
        <v/>
      </c>
      <c r="I275" s="970" t="s">
        <v>1690</v>
      </c>
      <c r="J275" s="1397" t="str">
        <f>IF(E275=0,"",VLOOKUP(E275,TablasTec!$A$14:$V$771,5,FALSE))</f>
        <v/>
      </c>
      <c r="K275" s="1003" t="str">
        <f>IF(I275="Si",IF(E275=0,"",VLOOKUP(E275,TablasTec!$A$14:$V$771,5,FALSE)),"")</f>
        <v/>
      </c>
      <c r="L275" s="970" t="s">
        <v>1690</v>
      </c>
      <c r="M275" s="1397" t="str">
        <f>IF(E275=0,"",VLOOKUP(E275,TablasTec!$A$14:$V$771,6,FALSE))</f>
        <v/>
      </c>
      <c r="N275" s="973" t="str">
        <f>IF(L275="Si",IF(E275=0,"",VLOOKUP(E275,TablasTec!$A$14:$V$771,6,FALSE)),"")</f>
        <v/>
      </c>
      <c r="O275" s="970" t="s">
        <v>1690</v>
      </c>
      <c r="P275" s="1397" t="str">
        <f>IF(E275=0,"",VLOOKUP(E275,TablasTec!$A$14:$V$771,7,FALSE))</f>
        <v/>
      </c>
      <c r="Q275" s="973" t="str">
        <f>IF(O275="Si",IF(E275=0,"",VLOOKUP(E275,TablasTec!$A$14:$V$771,7,FALSE)),"")</f>
        <v/>
      </c>
      <c r="R275" s="1005" t="str">
        <f>IF(E275=0,"",VLOOKUP(E275,TablasTec!$A$14:$V$771,8,FALSE))</f>
        <v/>
      </c>
      <c r="S275" s="1004" t="str">
        <f>IF(R275=$D$8,$D$8,IF(R275=2,2,IF(R275=3,3,R275)))</f>
        <v/>
      </c>
      <c r="T275" s="972" t="str">
        <f>IF(E275=0,"",VLOOKUP(E275,TablasTec!$A$14:$V$771,9,FALSE))</f>
        <v/>
      </c>
      <c r="U275" s="972" t="str">
        <f>IF(E275=0,"",VLOOKUP(E275,TablasTec!$A$14:$V$771,10,FALSE))</f>
        <v/>
      </c>
      <c r="V275" s="967" t="str">
        <f>IF(E275=0,"",VLOOKUP(E275,TablasTec!$A$14:$V$771,11,FALSE))</f>
        <v/>
      </c>
      <c r="W275" s="970"/>
      <c r="X275" s="971" t="e">
        <f>VLOOKUP(E275,TablasTec!$A$14:$V$771,12,FALSE)</f>
        <v>#N/A</v>
      </c>
      <c r="Y275" s="971" t="e">
        <f>IF(W275=X275,VLOOKUP(E275,TablasTec!$A$14:$V$771,13,FALSE),0)</f>
        <v>#N/A</v>
      </c>
      <c r="Z275" s="971" t="e">
        <f>VLOOKUP(E275,TablasTec!$A$14:$V$771,14,FALSE)</f>
        <v>#N/A</v>
      </c>
      <c r="AA275" s="971" t="e">
        <f>IF(W275=Z275,VLOOKUP(E275,TablasTec!$A$14:$V$616,15,FALSE),0)</f>
        <v>#N/A</v>
      </c>
      <c r="AB275" s="971" t="e">
        <f>VLOOKUP(E275,TablasTec!$A$14:$V$771,16,FALSE)</f>
        <v>#N/A</v>
      </c>
      <c r="AC275" s="971" t="e">
        <f>IF(W275=AB275,VLOOKUP(E275,TablasTec!$A$14:$V$616,17,FALSE),0)</f>
        <v>#N/A</v>
      </c>
      <c r="AD275" s="971" t="e">
        <f>VLOOKUP(E275,TablasTec!$A$14:$V$771,18,FALSE)</f>
        <v>#N/A</v>
      </c>
      <c r="AE275" s="971" t="e">
        <f>IF(W275=AD275,VLOOKUP(E275,TablasTec!$A$14:$V$771,19,FALSE),0)</f>
        <v>#N/A</v>
      </c>
      <c r="AF275" s="972" t="str">
        <f>IF(E275=0,"",(Y275+AA275+AC275+AE275))</f>
        <v/>
      </c>
      <c r="AG275" s="970"/>
      <c r="AH275" s="1005" t="e">
        <f>VLOOKUP(E275,TablasTec!$A$14:$V$771,12,FALSE)</f>
        <v>#N/A</v>
      </c>
      <c r="AI275" s="1005" t="e">
        <f>IF(AG275=AH275,VLOOKUP(E275,TablasTec!$A$14:$V$771,13,FALSE),0)</f>
        <v>#N/A</v>
      </c>
      <c r="AJ275" s="1005" t="e">
        <f>VLOOKUP(E275,TablasTec!$A$14:$V$771,14,FALSE)</f>
        <v>#N/A</v>
      </c>
      <c r="AK275" s="1005" t="e">
        <f>IF(AG275=AJ275,VLOOKUP(E275,TablasTec!$A$14:$V$771,15,FALSE),0)</f>
        <v>#N/A</v>
      </c>
      <c r="AL275" s="1005" t="e">
        <f>VLOOKUP(E275,TablasTec!$A$14:$V$771,16,FALSE)</f>
        <v>#N/A</v>
      </c>
      <c r="AM275" s="1005" t="e">
        <f>IF(AG275=AL275,VLOOKUP(E275,TablasTec!$A$14:$V$771,17,FALSE),0)</f>
        <v>#N/A</v>
      </c>
      <c r="AN275" s="1005" t="e">
        <f>VLOOKUP(E275,TablasTec!$A$14:$V$771,18,FALSE)</f>
        <v>#N/A</v>
      </c>
      <c r="AO275" s="1005" t="e">
        <f>IF(AG275=AN275,VLOOKUP(E275,TablasTec!$A$14:$V$771,19,FALSE),0)</f>
        <v>#N/A</v>
      </c>
      <c r="AP275" s="1006" t="str">
        <f>IF(E275=0,"",(AI275+AK275+AM275+AO275))</f>
        <v/>
      </c>
      <c r="AQ275" s="970"/>
      <c r="AR275" s="971" t="e">
        <f>VLOOKUP(E275,TablasTec!$A$14:$V$771,12,FALSE)</f>
        <v>#N/A</v>
      </c>
      <c r="AS275" s="971" t="e">
        <f>IF(AQ275=AR275,VLOOKUP(E275,TablasTec!$A$14:$V$771,13,FALSE),0)</f>
        <v>#N/A</v>
      </c>
      <c r="AT275" s="971" t="e">
        <f>VLOOKUP(E275,TablasTec!$A$14:$V$771,14,FALSE)</f>
        <v>#N/A</v>
      </c>
      <c r="AU275" s="971" t="e">
        <f>IF(AQ275=AT275,VLOOKUP(E275,TablasTec!$A$14:$V$771,15,FALSE),0)</f>
        <v>#N/A</v>
      </c>
      <c r="AV275" s="971" t="e">
        <f>VLOOKUP(E275,TablasTec!$A$14:$V$771,16,FALSE)</f>
        <v>#N/A</v>
      </c>
      <c r="AW275" s="971" t="e">
        <f>IF(AQ275=AV275,VLOOKUP(E275,TablasTec!$A$14:$V$771,17,FALSE),0)</f>
        <v>#N/A</v>
      </c>
      <c r="AX275" s="971" t="e">
        <f>VLOOKUP(E275,TablasTec!$A$14:$V$771,18,FALSE)</f>
        <v>#N/A</v>
      </c>
      <c r="AY275" s="971" t="e">
        <f>IF(AQ275=AX275,VLOOKUP(E275,TablasTec!$A$14:$V$771,19,FALSE),0)</f>
        <v>#N/A</v>
      </c>
      <c r="AZ275" s="972" t="str">
        <f>IF(E275=0,"",(AS275+AU275+AW275+AY275))</f>
        <v/>
      </c>
      <c r="BA275" s="970"/>
      <c r="BB275" s="971" t="e">
        <f>VLOOKUP(E275,TablasTec!$A$14:$V$771,12,FALSE)</f>
        <v>#N/A</v>
      </c>
      <c r="BC275" s="971" t="e">
        <f>IF(BA275=BB275,VLOOKUP(E275,TablasTec!$A$14:$V$771,13,FALSE),0)</f>
        <v>#N/A</v>
      </c>
      <c r="BD275" s="971" t="e">
        <f>VLOOKUP(E275,TablasTec!$A$14:$V$771,14,FALSE)</f>
        <v>#N/A</v>
      </c>
      <c r="BE275" s="971" t="e">
        <f>IF(BA275=BD275,VLOOKUP(E275,TablasTec!$A$14:$V$771,15,FALSE),0)</f>
        <v>#N/A</v>
      </c>
      <c r="BF275" s="971" t="e">
        <f>VLOOKUP(E275,TablasTec!$A$14:$V$771,16,FALSE)</f>
        <v>#N/A</v>
      </c>
      <c r="BG275" s="971" t="e">
        <f>IF(BA275=BF275,VLOOKUP(E275,TablasTec!$A$14:$V$771,17,FALSE),0)</f>
        <v>#N/A</v>
      </c>
      <c r="BH275" s="971" t="e">
        <f>VLOOKUP(E275,TablasTec!$A$14:$V$771,18,FALSE)</f>
        <v>#N/A</v>
      </c>
      <c r="BI275" s="971" t="e">
        <f>IF(BA275=BH275,VLOOKUP(E275,TablasTec!$A$14:$V$771,19,FALSE),0)</f>
        <v>#N/A</v>
      </c>
      <c r="BJ275" s="973" t="str">
        <f>IF(E275=0,"",(BC275+BE275+BG275+BI275))</f>
        <v/>
      </c>
      <c r="BK275" s="972" t="str">
        <f>IF(E275=0,"",VLOOKUP(E275,TablasTec!$A$14:$V$771,20,FALSE))</f>
        <v/>
      </c>
      <c r="BL275" s="972" t="str">
        <f>IF(E275=0,"",VLOOKUP(E275,TablasTec!$A$14:$V$771,21,FALSE))</f>
        <v/>
      </c>
      <c r="BM275" s="1007" t="str">
        <f>IF(E275=0,"",VLOOKUP(E275,TablasTec!$A$14:$V$771,22,FALSE))</f>
        <v/>
      </c>
      <c r="BN275" s="975"/>
      <c r="BO275" s="976"/>
      <c r="BP275" s="961" t="str">
        <f>IF(I275="Si",VLOOKUP($D$8,TablasTec!$E$4:$F$6,2,FALSE),"")</f>
        <v/>
      </c>
      <c r="BQ275" s="962" t="str">
        <f>IF(L275="Si",VLOOKUP($D$8,TablasTec!$I$4:$J$6,2,FALSE),"")</f>
        <v/>
      </c>
      <c r="BR275" s="960" t="str">
        <f>IF(O275="Si",VLOOKUP($D$8,TablasTec!$I$7:$J$9,2,FALSE),"")</f>
        <v/>
      </c>
      <c r="BS275" s="977"/>
      <c r="BT275" s="4861" t="s">
        <v>4525</v>
      </c>
      <c r="BU275" s="4862"/>
      <c r="BV275" s="954"/>
      <c r="BW275" s="934"/>
      <c r="BX275" s="934"/>
      <c r="BY275" s="1269"/>
      <c r="BZ275" s="1287"/>
      <c r="CA275" s="922"/>
      <c r="DR275" s="922"/>
      <c r="DT275" s="1309"/>
      <c r="DU275" s="1362"/>
      <c r="DV275" s="1359" t="str">
        <f>IF(E275="","",", "&amp;E275)&amp;IF(I275="No",""," (Mant.)")&amp;IF(L275="No",""," (Sme)")&amp;IF(O275="No",""," (SMa)")</f>
        <v/>
      </c>
      <c r="DW275" s="1360"/>
      <c r="DX275" s="1361" t="str">
        <f>IF(ISNUMBER(FIND(TablasTec!A$678,DW293)),BL299&amp;BM299,IF(ISNUMBER(FIND(TablasTec!A$679,DW293)),BL299&amp;" "&amp;BM299,""))</f>
        <v/>
      </c>
      <c r="DY275" s="1310"/>
      <c r="DZ275" s="922"/>
      <c r="EA275" s="1453">
        <f t="shared" si="4"/>
        <v>1</v>
      </c>
    </row>
    <row r="276" spans="1:131">
      <c r="A276" s="922"/>
      <c r="B276" s="922"/>
      <c r="C276" s="4909"/>
      <c r="D276" s="1435" t="s">
        <v>1766</v>
      </c>
      <c r="E276" s="978"/>
      <c r="F276" s="1008"/>
      <c r="G276" s="1420" t="str">
        <f>IF(E276=0,"",VLOOKUP(E276,TablasTec!$A$14:$V$771,3,FALSE))</f>
        <v/>
      </c>
      <c r="H276" s="981" t="str">
        <f>IF($E276=0,"",VLOOKUP($E276,TablasTec!$A$14:$V$771,4,FALSE))</f>
        <v/>
      </c>
      <c r="I276" s="982" t="s">
        <v>1690</v>
      </c>
      <c r="J276" s="1398" t="str">
        <f>IF(E276=0,"",VLOOKUP(E276,TablasTec!$A$14:$V$771,5,FALSE))</f>
        <v/>
      </c>
      <c r="K276" s="984" t="str">
        <f>IF(I276="Si",IF(E276=0,"",VLOOKUP(E276,TablasTec!$A$14:$V$771,5,FALSE)),"")</f>
        <v/>
      </c>
      <c r="L276" s="982" t="s">
        <v>1690</v>
      </c>
      <c r="M276" s="1398" t="str">
        <f>IF(E276=0,"",VLOOKUP(E276,TablasTec!$A$14:$V$771,6,FALSE))</f>
        <v/>
      </c>
      <c r="N276" s="985" t="str">
        <f>IF(L276="Si",IF(E276=0,"",VLOOKUP(E276,TablasTec!$A$14:$V$771,6,FALSE)),"")</f>
        <v/>
      </c>
      <c r="O276" s="982" t="s">
        <v>1690</v>
      </c>
      <c r="P276" s="1398" t="str">
        <f>IF(E276=0,"",VLOOKUP(E276,TablasTec!$A$14:$V$771,7,FALSE))</f>
        <v/>
      </c>
      <c r="Q276" s="985" t="str">
        <f>IF(O276="Si",IF(E276=0,"",VLOOKUP(E276,TablasTec!$A$14:$V$771,7,FALSE)),"")</f>
        <v/>
      </c>
      <c r="R276" s="983" t="str">
        <f>IF(E276=0,"",VLOOKUP(E276,TablasTec!$A$14:$V$771,8,FALSE))</f>
        <v/>
      </c>
      <c r="S276" s="981" t="str">
        <f>IF(R276=$D$8,$D$8,IF(R276=2,2,IF(R276=3,3,R276)))</f>
        <v/>
      </c>
      <c r="T276" s="4883" t="s">
        <v>4540</v>
      </c>
      <c r="U276" s="4884"/>
      <c r="V276" s="4884"/>
      <c r="W276" s="4884"/>
      <c r="X276" s="4884"/>
      <c r="Y276" s="4884"/>
      <c r="Z276" s="4884"/>
      <c r="AA276" s="4884"/>
      <c r="AB276" s="4884"/>
      <c r="AC276" s="4884"/>
      <c r="AD276" s="4884"/>
      <c r="AE276" s="4884"/>
      <c r="AF276" s="4884"/>
      <c r="AG276" s="4884"/>
      <c r="AH276" s="4884"/>
      <c r="AI276" s="4884"/>
      <c r="AJ276" s="4884"/>
      <c r="AK276" s="4884"/>
      <c r="AL276" s="4884"/>
      <c r="AM276" s="4884"/>
      <c r="AN276" s="4884"/>
      <c r="AO276" s="4884"/>
      <c r="AP276" s="4884"/>
      <c r="AQ276" s="4884"/>
      <c r="AR276" s="4884"/>
      <c r="AS276" s="4884"/>
      <c r="AT276" s="4884"/>
      <c r="AU276" s="4884"/>
      <c r="AV276" s="4884"/>
      <c r="AW276" s="4884"/>
      <c r="AX276" s="4884"/>
      <c r="AY276" s="4884"/>
      <c r="AZ276" s="4884"/>
      <c r="BA276" s="4884"/>
      <c r="BB276" s="4884"/>
      <c r="BC276" s="4884"/>
      <c r="BD276" s="4884"/>
      <c r="BE276" s="4884"/>
      <c r="BF276" s="4884"/>
      <c r="BG276" s="4884"/>
      <c r="BH276" s="4884"/>
      <c r="BI276" s="4884"/>
      <c r="BJ276" s="4884"/>
      <c r="BK276" s="4885"/>
      <c r="BL276" s="1420"/>
      <c r="BM276" s="1421"/>
      <c r="BN276" s="975"/>
      <c r="BO276" s="976"/>
      <c r="BP276" s="961" t="str">
        <f>IF(I276="Si",VLOOKUP($D$8,TablasTec!$E$4:$F$6,2,FALSE),"")</f>
        <v/>
      </c>
      <c r="BQ276" s="962" t="str">
        <f>IF(L276="Si",VLOOKUP($D$8,TablasTec!$I$4:$J$6,2,FALSE),"")</f>
        <v/>
      </c>
      <c r="BR276" s="960" t="str">
        <f>IF(O276="Si",VLOOKUP($D$8,TablasTec!$I$7:$J$9,2,FALSE),"")</f>
        <v/>
      </c>
      <c r="BS276" s="977"/>
      <c r="BT276" s="4857" t="s">
        <v>4546</v>
      </c>
      <c r="BU276" s="4858"/>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c r="A277" s="922"/>
      <c r="B277" s="922"/>
      <c r="C277" s="4909"/>
      <c r="D277" s="1436" t="s">
        <v>1766</v>
      </c>
      <c r="E277" s="986"/>
      <c r="F277" s="1002"/>
      <c r="G277" s="972" t="str">
        <f>IF(E277=0,"",VLOOKUP(E277,TablasTec!$A$14:$V$771,3,FALSE))</f>
        <v/>
      </c>
      <c r="H277" s="3181" t="str">
        <f>IF($E277=0,"",VLOOKUP($E277,TablasTec!$A$14:$V$771,4,FALSE))</f>
        <v/>
      </c>
      <c r="I277" s="970" t="s">
        <v>1690</v>
      </c>
      <c r="J277" s="1394" t="str">
        <f>IF(E277=0,"",VLOOKUP(E277,TablasTec!$A$14:$V$771,5,FALSE))</f>
        <v/>
      </c>
      <c r="K277" s="989" t="str">
        <f>IF(I277="Si",IF(E277=0,"",VLOOKUP(E277,TablasTec!$A$14:$V$771,5,FALSE)),"")</f>
        <v/>
      </c>
      <c r="L277" s="970" t="s">
        <v>1690</v>
      </c>
      <c r="M277" s="1394" t="str">
        <f>IF(E277=0,"",VLOOKUP(E277,TablasTec!$A$14:$V$771,6,FALSE))</f>
        <v/>
      </c>
      <c r="N277" s="973" t="str">
        <f>IF(L277="Si",IF(E277=0,"",VLOOKUP(E277,TablasTec!$A$14:$V$771,6,FALSE)),"")</f>
        <v/>
      </c>
      <c r="O277" s="970" t="s">
        <v>1690</v>
      </c>
      <c r="P277" s="1394" t="str">
        <f>IF(E277=0,"",VLOOKUP(E277,TablasTec!$A$14:$V$771,7,FALSE))</f>
        <v/>
      </c>
      <c r="Q277" s="973" t="str">
        <f>IF(O277="Si",IF(E277=0,"",VLOOKUP(E277,TablasTec!$A$14:$V$771,7,FALSE)),"")</f>
        <v/>
      </c>
      <c r="R277" s="988" t="str">
        <f>IF(E277=0,"",VLOOKUP(E277,TablasTec!$A$14:$V$771,8,FALSE))</f>
        <v/>
      </c>
      <c r="S277" s="3181" t="str">
        <f>IF(R277=$D$8,$D$8,IF(R277=2,2,IF(R277=3,3,R277)))</f>
        <v/>
      </c>
      <c r="T277" s="4896"/>
      <c r="U277" s="4897"/>
      <c r="V277" s="3179" t="str">
        <f>IF(OR(V275=0,V275=""),"N/A",V275)</f>
        <v>N/A</v>
      </c>
      <c r="W277" s="4896" t="str">
        <f xml:space="preserve"> IF(OR(AF275=0,AF275=""),"N/A",W275)</f>
        <v>N/A</v>
      </c>
      <c r="X277" s="4898"/>
      <c r="Y277" s="4898"/>
      <c r="Z277" s="4898"/>
      <c r="AA277" s="4898"/>
      <c r="AB277" s="4898"/>
      <c r="AC277" s="4898"/>
      <c r="AD277" s="4898"/>
      <c r="AE277" s="4898"/>
      <c r="AF277" s="4897"/>
      <c r="AG277" s="4896" t="str">
        <f xml:space="preserve"> IF(OR(AP275="",AP275=0),"N/A",AG275)</f>
        <v>N/A</v>
      </c>
      <c r="AH277" s="4898"/>
      <c r="AI277" s="4898"/>
      <c r="AJ277" s="4898"/>
      <c r="AK277" s="4898"/>
      <c r="AL277" s="4898"/>
      <c r="AM277" s="4898"/>
      <c r="AN277" s="4898"/>
      <c r="AO277" s="4898"/>
      <c r="AP277" s="4897"/>
      <c r="AQ277" s="4896" t="str">
        <f xml:space="preserve"> IF(OR(AZ275="",AZ275=0),"N/A",AQ275)</f>
        <v>N/A</v>
      </c>
      <c r="AR277" s="4898"/>
      <c r="AS277" s="4898"/>
      <c r="AT277" s="4898"/>
      <c r="AU277" s="4898"/>
      <c r="AV277" s="4898"/>
      <c r="AW277" s="4898"/>
      <c r="AX277" s="4898"/>
      <c r="AY277" s="4898"/>
      <c r="AZ277" s="4897"/>
      <c r="BA277" s="4896" t="str">
        <f xml:space="preserve"> IF(OR(BJ275="",BJ275=0),"N/A",BA275)</f>
        <v>N/A</v>
      </c>
      <c r="BB277" s="4898"/>
      <c r="BC277" s="4898"/>
      <c r="BD277" s="4898"/>
      <c r="BE277" s="4898"/>
      <c r="BF277" s="4898"/>
      <c r="BG277" s="4898"/>
      <c r="BH277" s="4898"/>
      <c r="BI277" s="4898"/>
      <c r="BJ277" s="4897"/>
      <c r="BK277" s="990" t="s">
        <v>4541</v>
      </c>
      <c r="BL277" s="972"/>
      <c r="BM277" s="1007"/>
      <c r="BN277" s="975"/>
      <c r="BO277" s="992"/>
      <c r="BP277" s="961" t="str">
        <f>IF(I277="Si",VLOOKUP($D$8,TablasTec!$E$4:$F$6,2,FALSE),"")</f>
        <v/>
      </c>
      <c r="BQ277" s="962" t="str">
        <f>IF(L277="Si",VLOOKUP($D$8,TablasTec!$I$4:$J$6,2,FALSE),"")</f>
        <v/>
      </c>
      <c r="BR277" s="960" t="str">
        <f>IF(O277="Si",VLOOKUP($D$8,TablasTec!$I$7:$J$9,2,FALSE),"")</f>
        <v/>
      </c>
      <c r="BS277" s="977"/>
      <c r="BT277" s="4861" t="s">
        <v>4519</v>
      </c>
      <c r="BU277" s="4862"/>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c r="A278" s="922"/>
      <c r="B278" s="922"/>
      <c r="C278" s="4909"/>
      <c r="D278" s="1435" t="s">
        <v>1766</v>
      </c>
      <c r="E278" s="978"/>
      <c r="F278" s="1008"/>
      <c r="G278" s="1420" t="str">
        <f>IF(E278=0,"",VLOOKUP(E278,TablasTec!$A$14:$V$771,3,FALSE))</f>
        <v/>
      </c>
      <c r="H278" s="981" t="str">
        <f>IF($E278=0,"",VLOOKUP($E278,TablasTec!$A$14:$V$771,4,FALSE))</f>
        <v/>
      </c>
      <c r="I278" s="982" t="s">
        <v>1690</v>
      </c>
      <c r="J278" s="1398" t="str">
        <f>IF(E278=0,"",VLOOKUP(E278,TablasTec!$A$14:$V$771,5,FALSE))</f>
        <v/>
      </c>
      <c r="K278" s="984" t="str">
        <f>IF(I278="Si",IF(E278=0,"",VLOOKUP(E278,TablasTec!$A$14:$V$771,5,FALSE)),"")</f>
        <v/>
      </c>
      <c r="L278" s="982" t="s">
        <v>1690</v>
      </c>
      <c r="M278" s="1398" t="str">
        <f>IF(E278=0,"",VLOOKUP(E278,TablasTec!$A$14:$V$771,6,FALSE))</f>
        <v/>
      </c>
      <c r="N278" s="985" t="str">
        <f>IF(L278="Si",IF(E278=0,"",VLOOKUP(E278,TablasTec!$A$14:$V$771,6,FALSE)),"")</f>
        <v/>
      </c>
      <c r="O278" s="982" t="s">
        <v>1690</v>
      </c>
      <c r="P278" s="1398" t="str">
        <f>IF(E278=0,"",VLOOKUP(E278,TablasTec!$A$14:$V$771,7,FALSE))</f>
        <v/>
      </c>
      <c r="Q278" s="985" t="str">
        <f>IF(O278="Si",IF(E278=0,"",VLOOKUP(E278,TablasTec!$A$14:$V$771,7,FALSE)),"")</f>
        <v/>
      </c>
      <c r="R278" s="983" t="str">
        <f>IF(E278=0,"",VLOOKUP(E278,TablasTec!$A$14:$V$771,8,FALSE))</f>
        <v/>
      </c>
      <c r="S278" s="981" t="str">
        <f>IF(R278=$D$8,$D$8,IF(R278=2,2,IF(R278=3,3,R278)))</f>
        <v/>
      </c>
      <c r="T278" s="4899" t="s">
        <v>4542</v>
      </c>
      <c r="U278" s="4900"/>
      <c r="V278" s="3180"/>
      <c r="W278" s="4901"/>
      <c r="X278" s="4902"/>
      <c r="Y278" s="4902"/>
      <c r="Z278" s="4902"/>
      <c r="AA278" s="4902"/>
      <c r="AB278" s="4902"/>
      <c r="AC278" s="4902"/>
      <c r="AD278" s="4902"/>
      <c r="AE278" s="4902"/>
      <c r="AF278" s="4903"/>
      <c r="AG278" s="4901"/>
      <c r="AH278" s="4902"/>
      <c r="AI278" s="4902"/>
      <c r="AJ278" s="4902"/>
      <c r="AK278" s="4902"/>
      <c r="AL278" s="4902"/>
      <c r="AM278" s="4902"/>
      <c r="AN278" s="4902"/>
      <c r="AO278" s="4902"/>
      <c r="AP278" s="4903"/>
      <c r="AQ278" s="4901"/>
      <c r="AR278" s="4902"/>
      <c r="AS278" s="4902"/>
      <c r="AT278" s="4902"/>
      <c r="AU278" s="4902"/>
      <c r="AV278" s="4902"/>
      <c r="AW278" s="4902"/>
      <c r="AX278" s="4902"/>
      <c r="AY278" s="4902"/>
      <c r="AZ278" s="4903"/>
      <c r="BA278" s="4901"/>
      <c r="BB278" s="4902"/>
      <c r="BC278" s="4902"/>
      <c r="BD278" s="4902"/>
      <c r="BE278" s="4902"/>
      <c r="BF278" s="4902"/>
      <c r="BG278" s="4902"/>
      <c r="BH278" s="4902"/>
      <c r="BI278" s="4902"/>
      <c r="BJ278" s="4903"/>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IF(I278="Si",VLOOKUP($D$8,TablasTec!$E$4:$F$6,2,FALSE),"")</f>
        <v/>
      </c>
      <c r="BQ278" s="962" t="str">
        <f>IF(L278="Si",VLOOKUP($D$8,TablasTec!$I$4:$J$6,2,FALSE),"")</f>
        <v/>
      </c>
      <c r="BR278" s="960" t="str">
        <f>IF(O278="Si",VLOOKUP($D$8,TablasTec!$I$7:$J$9,2,FALSE),"")</f>
        <v/>
      </c>
      <c r="BS278" s="977"/>
      <c r="BT278" s="4853" t="s">
        <v>4547</v>
      </c>
      <c r="BU278" s="4854"/>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c r="A279" s="922"/>
      <c r="B279" s="922"/>
      <c r="C279" s="4909"/>
      <c r="D279" s="1436" t="s">
        <v>1766</v>
      </c>
      <c r="E279" s="986"/>
      <c r="F279" s="1002"/>
      <c r="G279" s="972" t="str">
        <f>IF(E279=0,"",VLOOKUP(E279,TablasTec!$A$14:$V$771,3,FALSE))</f>
        <v/>
      </c>
      <c r="H279" s="987" t="str">
        <f>IF($E279=0,"",VLOOKUP($E279,TablasTec!$A$14:$V$771,4,FALSE))</f>
        <v/>
      </c>
      <c r="I279" s="970" t="s">
        <v>1690</v>
      </c>
      <c r="J279" s="1394" t="str">
        <f>IF(E279=0,"",VLOOKUP(E279,TablasTec!$A$14:$V$771,5,FALSE))</f>
        <v/>
      </c>
      <c r="K279" s="989" t="str">
        <f>IF(I279="Si",IF(E279=0,"",VLOOKUP(E279,TablasTec!$A$14:$V$771,5,FALSE)),"")</f>
        <v/>
      </c>
      <c r="L279" s="970" t="s">
        <v>1690</v>
      </c>
      <c r="M279" s="1394" t="str">
        <f>IF(E279=0,"",VLOOKUP(E279,TablasTec!$A$14:$V$771,6,FALSE))</f>
        <v/>
      </c>
      <c r="N279" s="973" t="str">
        <f>IF(L279="Si",IF(E279=0,"",VLOOKUP(E279,TablasTec!$A$14:$V$771,6,FALSE)),"")</f>
        <v/>
      </c>
      <c r="O279" s="970" t="s">
        <v>1690</v>
      </c>
      <c r="P279" s="1394" t="str">
        <f>IF(E279=0,"",VLOOKUP(E279,TablasTec!$A$14:$V$771,7,FALSE))</f>
        <v/>
      </c>
      <c r="Q279" s="973" t="str">
        <f>IF(O279="Si",IF(E279=0,"",VLOOKUP(E279,TablasTec!$A$14:$V$771,7,FALSE)),"")</f>
        <v/>
      </c>
      <c r="R279" s="988" t="str">
        <f>IF(E279=0,"",VLOOKUP(E279,TablasTec!$A$14:$V$771,8,FALSE))</f>
        <v/>
      </c>
      <c r="S279" s="987" t="str">
        <f>IF(R279=$D$8,$D$8,IF(R279=2,2,IF(R279=3,3,R279)))</f>
        <v/>
      </c>
      <c r="T279" s="4890" t="s">
        <v>4544</v>
      </c>
      <c r="U279" s="4891"/>
      <c r="V279" s="3178"/>
      <c r="W279" s="4892"/>
      <c r="X279" s="4893"/>
      <c r="Y279" s="4893"/>
      <c r="Z279" s="4893"/>
      <c r="AA279" s="4893"/>
      <c r="AB279" s="4893"/>
      <c r="AC279" s="4893"/>
      <c r="AD279" s="4893"/>
      <c r="AE279" s="4893"/>
      <c r="AF279" s="4894"/>
      <c r="AG279" s="4892"/>
      <c r="AH279" s="4893"/>
      <c r="AI279" s="4893"/>
      <c r="AJ279" s="4893"/>
      <c r="AK279" s="4893"/>
      <c r="AL279" s="4893"/>
      <c r="AM279" s="4893"/>
      <c r="AN279" s="4893"/>
      <c r="AO279" s="4893"/>
      <c r="AP279" s="4894"/>
      <c r="AQ279" s="4892"/>
      <c r="AR279" s="4893"/>
      <c r="AS279" s="4893"/>
      <c r="AT279" s="4893"/>
      <c r="AU279" s="4893"/>
      <c r="AV279" s="4893"/>
      <c r="AW279" s="4893"/>
      <c r="AX279" s="4893"/>
      <c r="AY279" s="4893"/>
      <c r="AZ279" s="4894"/>
      <c r="BA279" s="4892"/>
      <c r="BB279" s="4893"/>
      <c r="BC279" s="4893"/>
      <c r="BD279" s="4893"/>
      <c r="BE279" s="4893"/>
      <c r="BF279" s="4893"/>
      <c r="BG279" s="4893"/>
      <c r="BH279" s="4893"/>
      <c r="BI279" s="4893"/>
      <c r="BJ279" s="4894"/>
      <c r="BK279" s="997">
        <f>SUM(K275:K279)-SUM(V279:BA279)</f>
        <v>0</v>
      </c>
      <c r="BL279" s="1422"/>
      <c r="BM279" s="1423"/>
      <c r="BN279" s="975"/>
      <c r="BO279" s="992"/>
      <c r="BP279" s="961" t="str">
        <f>IF(I279="Si",VLOOKUP($D$8,TablasTec!$E$4:$F$6,2,FALSE),"")</f>
        <v/>
      </c>
      <c r="BQ279" s="962" t="str">
        <f>IF(L279="Si",VLOOKUP($D$8,TablasTec!$I$4:$J$6,2,FALSE),"")</f>
        <v/>
      </c>
      <c r="BR279" s="960" t="str">
        <f>IF(O279="Si",VLOOKUP($D$8,TablasTec!$I$7:$J$9,2,FALSE),"")</f>
        <v/>
      </c>
      <c r="BS279" s="977"/>
      <c r="BT279" s="2293">
        <f>IF(BT273="No",0,IF(D267=0,0,VLOOKUP(D267,TablasTec!$L$4:$N$7,2,FALSE)))+IF(BT275="Bajar coste de CM",0,IF(BT275="-5 CM",2,IF(BT275="-10 CM",4,IF(BT275="-15 CM",6,IF(BT275="-20 CM",8,0)))))+IF(BT277="Bajar coste de Ki",0,IF(BT277="-1 Ki",-1,IF(BT277="-2 Ki",-2,IF(BT277="-3 Ki",-3,IF(BT277="-4 Ki",-4,IF(BT277="-5 Ki",-5,0))))))-BU282-BU284-BU286-BU288-BU290-BU292</f>
        <v>0</v>
      </c>
      <c r="BU279" s="2294">
        <f>IF(BT273="No",0,IF(D267=0,0,VLOOKUP(D267,TablasTec!$L$4:$N$7,2,FALSE)))+IF(BT275="Bajar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09"/>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IF(I280="Si",VLOOKUP($D$8,TablasTec!$E$4:$F$6,2,FALSE),"")</f>
        <v/>
      </c>
      <c r="BQ280" s="1013" t="str">
        <f>IF(L280="Si",VLOOKUP($D$8,TablasTec!$I$4:$J$6,2,FALSE),"")</f>
        <v/>
      </c>
      <c r="BR280" s="1011" t="str">
        <f>IF(O280="Si",VLOOKUP($D$8,TablasTec!$I$7:$J$9,2,FALSE),"")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09"/>
      <c r="D281" s="1436" t="s">
        <v>1766</v>
      </c>
      <c r="E281" s="966"/>
      <c r="F281" s="1002"/>
      <c r="G281" s="972" t="str">
        <f>IF(E281=0,"",VLOOKUP(E281,TablasTec!$A$14:$V$771,3,FALSE))</f>
        <v/>
      </c>
      <c r="H281" s="1014" t="str">
        <f>IF($E281=0,"",VLOOKUP($E281,TablasTec!$A$14:$V$771,4,FALSE))</f>
        <v/>
      </c>
      <c r="I281" s="970" t="s">
        <v>1690</v>
      </c>
      <c r="J281" s="1400" t="str">
        <f>IF(E281=0,"",VLOOKUP(E281,TablasTec!$A$14:$V$771,5,FALSE))</f>
        <v/>
      </c>
      <c r="K281" s="1016" t="str">
        <f>IF(I281="Si",IF(E281=0,"",VLOOKUP(E281,TablasTec!$A$14:$V$771,5,FALSE)),"")</f>
        <v/>
      </c>
      <c r="L281" s="970" t="s">
        <v>1690</v>
      </c>
      <c r="M281" s="1400" t="str">
        <f>IF(E281=0,"",VLOOKUP(E281,TablasTec!$A$14:$V$771,6,FALSE))</f>
        <v/>
      </c>
      <c r="N281" s="973" t="str">
        <f>IF(L281="Si",IF(E281=0,"",VLOOKUP(E281,TablasTec!$A$14:$V$771,6,FALSE)),"")</f>
        <v/>
      </c>
      <c r="O281" s="970" t="s">
        <v>1690</v>
      </c>
      <c r="P281" s="1400" t="str">
        <f>IF(E281=0,"",VLOOKUP(E281,TablasTec!$A$14:$V$771,7,FALSE))</f>
        <v/>
      </c>
      <c r="Q281" s="973" t="str">
        <f>IF(O281="Si",IF(E281=0,"",VLOOKUP(E281,TablasTec!$A$14:$V$771,7,FALSE)),"")</f>
        <v/>
      </c>
      <c r="R281" s="1015" t="str">
        <f>IF(E281=0,"",VLOOKUP(E281,TablasTec!$A$14:$V$771,8,FALSE))</f>
        <v/>
      </c>
      <c r="S281" s="987" t="str">
        <f>IF(R281=$D$8,$D$8,IF(R281=2,2,IF(R281=3,3,R281)))</f>
        <v/>
      </c>
      <c r="T281" s="1016" t="str">
        <f>IF(E281=0,"",VLOOKUP(E281,TablasTec!$A$14:$V$771,9,FALSE))</f>
        <v/>
      </c>
      <c r="U281" s="1016" t="str">
        <f>IF(E281=0,"",VLOOKUP(E281,TablasTec!$A$14:$V$771,10,FALSE))</f>
        <v/>
      </c>
      <c r="V281" s="1017" t="str">
        <f>IF(E281=0,"",VLOOKUP(E281,TablasTec!$A$14:$V$771,11,FALSE))</f>
        <v/>
      </c>
      <c r="W281" s="970"/>
      <c r="X281" s="971" t="e">
        <f>VLOOKUP(E281,TablasTec!$A$14:$V$771,12,FALSE)</f>
        <v>#N/A</v>
      </c>
      <c r="Y281" s="971" t="e">
        <f>IF(W281=X281,VLOOKUP(E281,TablasTec!$A$14:$V$771,13,FALSE),0)</f>
        <v>#N/A</v>
      </c>
      <c r="Z281" s="971" t="e">
        <f>VLOOKUP(E281,TablasTec!$A$14:$V$771,14,FALSE)</f>
        <v>#N/A</v>
      </c>
      <c r="AA281" s="971" t="e">
        <f>IF(W281=Z281,VLOOKUP(E281,TablasTec!$A$14:$V$616,15,FALSE),0)</f>
        <v>#N/A</v>
      </c>
      <c r="AB281" s="971" t="e">
        <f>VLOOKUP(E281,TablasTec!$A$14:$V$771,16,FALSE)</f>
        <v>#N/A</v>
      </c>
      <c r="AC281" s="971" t="e">
        <f>IF(W281=AB281,VLOOKUP(E281,TablasTec!$A$14:$V$616,17,FALSE),0)</f>
        <v>#N/A</v>
      </c>
      <c r="AD281" s="971" t="e">
        <f>VLOOKUP(E281,TablasTec!$A$14:$V$771,18,FALSE)</f>
        <v>#N/A</v>
      </c>
      <c r="AE281" s="971" t="e">
        <f>IF(W281=AD281,VLOOKUP(E281,TablasTec!$A$14:$V$771,19,FALSE),0)</f>
        <v>#N/A</v>
      </c>
      <c r="AF281" s="989" t="str">
        <f>IF(E281=0,"",(Y281+AA281+AC281+AE281))</f>
        <v/>
      </c>
      <c r="AG281" s="970"/>
      <c r="AH281" s="988" t="e">
        <f>VLOOKUP(E281,TablasTec!$A$14:$V$771,12,FALSE)</f>
        <v>#N/A</v>
      </c>
      <c r="AI281" s="988" t="e">
        <f>IF(AG281=AH281,VLOOKUP(E281,TablasTec!$A$14:$V$771,13,FALSE),0)</f>
        <v>#N/A</v>
      </c>
      <c r="AJ281" s="988" t="e">
        <f>VLOOKUP(E281,TablasTec!$A$14:$V$771,14,FALSE)</f>
        <v>#N/A</v>
      </c>
      <c r="AK281" s="988" t="e">
        <f>IF(AG281=AJ281,VLOOKUP(E281,TablasTec!$A$14:$V$771,15,FALSE),0)</f>
        <v>#N/A</v>
      </c>
      <c r="AL281" s="988" t="e">
        <f>VLOOKUP(E281,TablasTec!$A$14:$V$771,16,FALSE)</f>
        <v>#N/A</v>
      </c>
      <c r="AM281" s="988" t="e">
        <f>IF(AG281=AL281,VLOOKUP(E281,TablasTec!$A$14:$V$771,17,FALSE),0)</f>
        <v>#N/A</v>
      </c>
      <c r="AN281" s="988" t="e">
        <f>VLOOKUP(E281,TablasTec!$A$14:$V$771,18,FALSE)</f>
        <v>#N/A</v>
      </c>
      <c r="AO281" s="988" t="e">
        <f>IF(AG281=AN281,VLOOKUP(E281,TablasTec!$A$14:$V$771,19,FALSE),0)</f>
        <v>#N/A</v>
      </c>
      <c r="AP281" s="3182" t="str">
        <f>IF(E281=0,"",(AI281+AK281+AM281+AO281))</f>
        <v/>
      </c>
      <c r="AQ281" s="970"/>
      <c r="AR281" s="988" t="e">
        <f>VLOOKUP(E281,TablasTec!$A$14:$V$771,12,FALSE)</f>
        <v>#N/A</v>
      </c>
      <c r="AS281" s="988" t="e">
        <f>IF(AQ281=AR281,VLOOKUP(E281,TablasTec!$A$14:$V$771,13,FALSE),0)</f>
        <v>#N/A</v>
      </c>
      <c r="AT281" s="988" t="e">
        <f>VLOOKUP(E281,TablasTec!$A$14:$V$771,14,FALSE)</f>
        <v>#N/A</v>
      </c>
      <c r="AU281" s="988" t="e">
        <f>IF(AQ281=AT281,VLOOKUP(E281,TablasTec!$A$14:$V$771,15,FALSE),0)</f>
        <v>#N/A</v>
      </c>
      <c r="AV281" s="988" t="e">
        <f>VLOOKUP(E281,TablasTec!$A$14:$V$771,16,FALSE)</f>
        <v>#N/A</v>
      </c>
      <c r="AW281" s="988" t="e">
        <f>IF(AQ281=AV281,VLOOKUP(E281,TablasTec!$A$14:$V$771,17,FALSE),0)</f>
        <v>#N/A</v>
      </c>
      <c r="AX281" s="988" t="e">
        <f>VLOOKUP(E281,TablasTec!$A$14:$V$771,18,FALSE)</f>
        <v>#N/A</v>
      </c>
      <c r="AY281" s="988" t="e">
        <f>IF(AQ281=AX281,VLOOKUP(E281,TablasTec!$A$14:$V$771,19,FALSE),0)</f>
        <v>#N/A</v>
      </c>
      <c r="AZ281" s="989" t="str">
        <f>IF(E281=0,"",(AS281+AU281+AW281+AY281))</f>
        <v/>
      </c>
      <c r="BA281" s="970"/>
      <c r="BB281" s="988" t="e">
        <f>VLOOKUP(E281,TablasTec!$A$14:$V$771,12,FALSE)</f>
        <v>#N/A</v>
      </c>
      <c r="BC281" s="988" t="e">
        <f>IF(BA281=BB281,VLOOKUP(E281,TablasTec!$A$14:$V$771,13,FALSE),0)</f>
        <v>#N/A</v>
      </c>
      <c r="BD281" s="988" t="e">
        <f>VLOOKUP(E281,TablasTec!$A$14:$V$771,14,FALSE)</f>
        <v>#N/A</v>
      </c>
      <c r="BE281" s="988" t="e">
        <f>IF(BA281=BD281,VLOOKUP(E281,TablasTec!$A$14:$V$771,15,FALSE),0)</f>
        <v>#N/A</v>
      </c>
      <c r="BF281" s="988" t="e">
        <f>VLOOKUP(E281,TablasTec!$A$14:$V$771,16,FALSE)</f>
        <v>#N/A</v>
      </c>
      <c r="BG281" s="988" t="e">
        <f>IF(BA281=BF281,VLOOKUP(E281,TablasTec!$A$14:$V$771,17,FALSE),0)</f>
        <v>#N/A</v>
      </c>
      <c r="BH281" s="988" t="e">
        <f>VLOOKUP(E281,TablasTec!$A$14:$V$771,18,FALSE)</f>
        <v>#N/A</v>
      </c>
      <c r="BI281" s="988" t="e">
        <f>IF(BA281=BH281,VLOOKUP(E281,TablasTec!$A$14:$V$771,19,FALSE),0)</f>
        <v>#N/A</v>
      </c>
      <c r="BJ281" s="3182" t="str">
        <f>IF(E281=0,"",(BC281+BE281+BG281+BI281))</f>
        <v/>
      </c>
      <c r="BK281" s="1016" t="str">
        <f>IF(E281=0,"",VLOOKUP(E281,TablasTec!$A$14:$V$771,20,FALSE))</f>
        <v/>
      </c>
      <c r="BL281" s="1003" t="str">
        <f>IF(E281=0,"",VLOOKUP(E281,TablasTec!$A$14:$V$771,21,FALSE))</f>
        <v/>
      </c>
      <c r="BM281" s="974" t="str">
        <f>IF(E281=0,"",VLOOKUP(E281,TablasTec!$A$14:$V$771,22,FALSE))</f>
        <v/>
      </c>
      <c r="BN281" s="975"/>
      <c r="BO281" s="976"/>
      <c r="BP281" s="961" t="str">
        <f>IF(I281="Si",VLOOKUP($D$8,TablasTec!$E$4:$F$6,2,FALSE),"")</f>
        <v/>
      </c>
      <c r="BQ281" s="962" t="str">
        <f>IF(L281="Si",VLOOKUP($D$8,TablasTec!$I$4:$J$6,2,FALSE),"")</f>
        <v/>
      </c>
      <c r="BR281" s="960" t="str">
        <f>IF(O281="Si",VLOOKUP($D$8,TablasTec!$I$7:$J$9,2,FALSE),"")</f>
        <v/>
      </c>
      <c r="BS281" s="977"/>
      <c r="BT281" s="3171" t="s">
        <v>1682</v>
      </c>
      <c r="BU281" s="3172" t="s">
        <v>4548</v>
      </c>
      <c r="BV281" s="954"/>
      <c r="BW281" s="3172" t="s">
        <v>4549</v>
      </c>
      <c r="BX281" s="3171"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c r="A282" s="922"/>
      <c r="B282" s="922"/>
      <c r="C282" s="4909"/>
      <c r="D282" s="1435" t="s">
        <v>1766</v>
      </c>
      <c r="E282" s="978"/>
      <c r="F282" s="1008"/>
      <c r="G282" s="1420" t="str">
        <f>IF(E282=0,"",VLOOKUP(E282,TablasTec!$A$14:$V$771,3,FALSE))</f>
        <v/>
      </c>
      <c r="H282" s="981" t="str">
        <f>IF($E282=0,"",VLOOKUP($E282,TablasTec!$A$14:$V$771,4,FALSE))</f>
        <v/>
      </c>
      <c r="I282" s="982" t="s">
        <v>1690</v>
      </c>
      <c r="J282" s="1398" t="str">
        <f>IF(E282=0,"",VLOOKUP(E282,TablasTec!$A$14:$V$771,5,FALSE))</f>
        <v/>
      </c>
      <c r="K282" s="984" t="str">
        <f>IF(I282="Si",IF(E282=0,"",VLOOKUP(E282,TablasTec!$A$14:$V$771,5,FALSE)),"")</f>
        <v/>
      </c>
      <c r="L282" s="982" t="s">
        <v>1690</v>
      </c>
      <c r="M282" s="1398" t="str">
        <f>IF(E282=0,"",VLOOKUP(E282,TablasTec!$A$14:$V$771,6,FALSE))</f>
        <v/>
      </c>
      <c r="N282" s="985" t="str">
        <f>IF(L282="Si",IF(E282=0,"",VLOOKUP(E282,TablasTec!$A$14:$V$771,6,FALSE)),"")</f>
        <v/>
      </c>
      <c r="O282" s="982" t="s">
        <v>1690</v>
      </c>
      <c r="P282" s="1398" t="str">
        <f>IF(E282=0,"",VLOOKUP(E282,TablasTec!$A$14:$V$771,7,FALSE))</f>
        <v/>
      </c>
      <c r="Q282" s="985" t="str">
        <f>IF(O282="Si",IF(E282=0,"",VLOOKUP(E282,TablasTec!$A$14:$V$771,7,FALSE)),"")</f>
        <v/>
      </c>
      <c r="R282" s="983" t="str">
        <f>IF(E282=0,"",VLOOKUP(E282,TablasTec!$A$14:$V$771,8,FALSE))</f>
        <v/>
      </c>
      <c r="S282" s="981" t="str">
        <f>IF(R282=$D$8,$D$8,IF(R282=2,2,IF(R282=3,3,R282)))</f>
        <v/>
      </c>
      <c r="T282" s="4883" t="s">
        <v>4540</v>
      </c>
      <c r="U282" s="4884"/>
      <c r="V282" s="4884"/>
      <c r="W282" s="4884"/>
      <c r="X282" s="4884"/>
      <c r="Y282" s="4884"/>
      <c r="Z282" s="4884"/>
      <c r="AA282" s="4884"/>
      <c r="AB282" s="4884"/>
      <c r="AC282" s="4884"/>
      <c r="AD282" s="4884"/>
      <c r="AE282" s="4884"/>
      <c r="AF282" s="4884"/>
      <c r="AG282" s="4884"/>
      <c r="AH282" s="4884"/>
      <c r="AI282" s="4884"/>
      <c r="AJ282" s="4884"/>
      <c r="AK282" s="4884"/>
      <c r="AL282" s="4884"/>
      <c r="AM282" s="4884"/>
      <c r="AN282" s="4884"/>
      <c r="AO282" s="4884"/>
      <c r="AP282" s="4884"/>
      <c r="AQ282" s="4884"/>
      <c r="AR282" s="4884"/>
      <c r="AS282" s="4884"/>
      <c r="AT282" s="4884"/>
      <c r="AU282" s="4884"/>
      <c r="AV282" s="4884"/>
      <c r="AW282" s="4884"/>
      <c r="AX282" s="4884"/>
      <c r="AY282" s="4884"/>
      <c r="AZ282" s="4884"/>
      <c r="BA282" s="4884"/>
      <c r="BB282" s="4884"/>
      <c r="BC282" s="4884"/>
      <c r="BD282" s="4884"/>
      <c r="BE282" s="4884"/>
      <c r="BF282" s="4884"/>
      <c r="BG282" s="4884"/>
      <c r="BH282" s="4884"/>
      <c r="BI282" s="4884"/>
      <c r="BJ282" s="4884"/>
      <c r="BK282" s="4885"/>
      <c r="BL282" s="1420"/>
      <c r="BM282" s="1421"/>
      <c r="BN282" s="975"/>
      <c r="BO282" s="976"/>
      <c r="BP282" s="961" t="str">
        <f>IF(I282="Si",VLOOKUP($D$8,TablasTec!$E$4:$F$6,2,FALSE),"")</f>
        <v/>
      </c>
      <c r="BQ282" s="962" t="str">
        <f>IF(L282="Si",VLOOKUP($D$8,TablasTec!$I$4:$J$6,2,FALSE),"")</f>
        <v/>
      </c>
      <c r="BR282" s="960" t="str">
        <f>IF(O282="Si",VLOOKUP($D$8,TablasTec!$I$7:$J$9,2,FALSE),"")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c r="A283" s="922"/>
      <c r="B283" s="922"/>
      <c r="C283" s="4909"/>
      <c r="D283" s="1436" t="s">
        <v>1766</v>
      </c>
      <c r="E283" s="986"/>
      <c r="F283" s="1002"/>
      <c r="G283" s="972" t="str">
        <f>IF(E283=0,"",VLOOKUP(E283,TablasTec!$A$14:$V$771,3,FALSE))</f>
        <v/>
      </c>
      <c r="H283" s="3181" t="str">
        <f>IF($E283=0,"",VLOOKUP($E283,TablasTec!$A$14:$V$771,4,FALSE))</f>
        <v/>
      </c>
      <c r="I283" s="970" t="s">
        <v>1690</v>
      </c>
      <c r="J283" s="1394" t="str">
        <f>IF(E283=0,"",VLOOKUP(E283,TablasTec!$A$14:$V$771,5,FALSE))</f>
        <v/>
      </c>
      <c r="K283" s="989" t="str">
        <f>IF(I283="Si",IF(E283=0,"",VLOOKUP(E283,TablasTec!$A$14:$V$771,5,FALSE)),"")</f>
        <v/>
      </c>
      <c r="L283" s="970" t="s">
        <v>1690</v>
      </c>
      <c r="M283" s="1394" t="str">
        <f>IF(E283=0,"",VLOOKUP(E283,TablasTec!$A$14:$V$771,6,FALSE))</f>
        <v/>
      </c>
      <c r="N283" s="973" t="str">
        <f>IF(L283="Si",IF(E283=0,"",VLOOKUP(E283,TablasTec!$A$14:$V$771,6,FALSE)),"")</f>
        <v/>
      </c>
      <c r="O283" s="970" t="s">
        <v>1690</v>
      </c>
      <c r="P283" s="1394" t="str">
        <f>IF(E283=0,"",VLOOKUP(E283,TablasTec!$A$14:$V$771,7,FALSE))</f>
        <v/>
      </c>
      <c r="Q283" s="973" t="str">
        <f>IF(O283="Si",IF(E283=0,"",VLOOKUP(E283,TablasTec!$A$14:$V$771,7,FALSE)),"")</f>
        <v/>
      </c>
      <c r="R283" s="988" t="str">
        <f>IF(E283=0,"",VLOOKUP(E283,TablasTec!$A$14:$V$771,8,FALSE))</f>
        <v/>
      </c>
      <c r="S283" s="3181" t="str">
        <f>IF(R283=$D$8,$D$8,IF(R283=2,2,IF(R283=3,3,R283)))</f>
        <v/>
      </c>
      <c r="T283" s="4896"/>
      <c r="U283" s="4897"/>
      <c r="V283" s="3179" t="str">
        <f>IF(OR(V281=0,V281=""),"N/A",V281)</f>
        <v>N/A</v>
      </c>
      <c r="W283" s="4896" t="str">
        <f xml:space="preserve"> IF(OR(AF281=0,AF281=""),"N/A",W281)</f>
        <v>N/A</v>
      </c>
      <c r="X283" s="4898"/>
      <c r="Y283" s="4898"/>
      <c r="Z283" s="4898"/>
      <c r="AA283" s="4898"/>
      <c r="AB283" s="4898"/>
      <c r="AC283" s="4898"/>
      <c r="AD283" s="4898"/>
      <c r="AE283" s="4898"/>
      <c r="AF283" s="4897"/>
      <c r="AG283" s="4896" t="str">
        <f xml:space="preserve"> IF(OR(AP281="",AP281=0),"N/A",AG281)</f>
        <v>N/A</v>
      </c>
      <c r="AH283" s="4898"/>
      <c r="AI283" s="4898"/>
      <c r="AJ283" s="4898"/>
      <c r="AK283" s="4898"/>
      <c r="AL283" s="4898"/>
      <c r="AM283" s="4898"/>
      <c r="AN283" s="4898"/>
      <c r="AO283" s="4898"/>
      <c r="AP283" s="4897"/>
      <c r="AQ283" s="4896" t="str">
        <f xml:space="preserve"> IF(OR(AZ281="",AZ281=0),"N/A",AQ281)</f>
        <v>N/A</v>
      </c>
      <c r="AR283" s="4898"/>
      <c r="AS283" s="4898"/>
      <c r="AT283" s="4898"/>
      <c r="AU283" s="4898"/>
      <c r="AV283" s="4898"/>
      <c r="AW283" s="4898"/>
      <c r="AX283" s="4898"/>
      <c r="AY283" s="4898"/>
      <c r="AZ283" s="4897"/>
      <c r="BA283" s="4896" t="str">
        <f xml:space="preserve"> IF(OR(BJ281="",BJ281=0),"N/A",BA281)</f>
        <v>N/A</v>
      </c>
      <c r="BB283" s="4898"/>
      <c r="BC283" s="4898"/>
      <c r="BD283" s="4898"/>
      <c r="BE283" s="4898"/>
      <c r="BF283" s="4898"/>
      <c r="BG283" s="4898"/>
      <c r="BH283" s="4898"/>
      <c r="BI283" s="4898"/>
      <c r="BJ283" s="4897"/>
      <c r="BK283" s="990" t="s">
        <v>4541</v>
      </c>
      <c r="BL283" s="972"/>
      <c r="BM283" s="1007"/>
      <c r="BN283" s="991"/>
      <c r="BO283" s="992"/>
      <c r="BP283" s="993" t="str">
        <f>IF(I283="Si",VLOOKUP($D$8,TablasTec!$E$4:$F$6,2,FALSE),"")</f>
        <v/>
      </c>
      <c r="BQ283" s="963" t="str">
        <f>IF(L283="Si",VLOOKUP($D$8,TablasTec!$I$4:$J$6,2,FALSE),"")</f>
        <v/>
      </c>
      <c r="BR283" s="994" t="str">
        <f>IF(O283="Si",VLOOKUP($D$8,TablasTec!$I$7:$J$9,2,FALSE),"")</f>
        <v/>
      </c>
      <c r="BS283" s="977"/>
      <c r="BT283" s="3171" t="s">
        <v>1809</v>
      </c>
      <c r="BU283" s="3172" t="s">
        <v>4548</v>
      </c>
      <c r="BV283" s="954"/>
      <c r="BW283" s="3172" t="s">
        <v>4549</v>
      </c>
      <c r="BX283" s="3171"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c r="A284" s="922"/>
      <c r="B284" s="922"/>
      <c r="C284" s="4909"/>
      <c r="D284" s="1435" t="s">
        <v>1766</v>
      </c>
      <c r="E284" s="978"/>
      <c r="F284" s="1008"/>
      <c r="G284" s="1420" t="str">
        <f>IF(E284=0,"",VLOOKUP(E284,TablasTec!$A$14:$V$771,3,FALSE))</f>
        <v/>
      </c>
      <c r="H284" s="981" t="str">
        <f>IF($E284=0,"",VLOOKUP($E284,TablasTec!$A$14:$V$771,4,FALSE))</f>
        <v/>
      </c>
      <c r="I284" s="982" t="s">
        <v>1690</v>
      </c>
      <c r="J284" s="1398" t="str">
        <f>IF(E284=0,"",VLOOKUP(E284,TablasTec!$A$14:$V$771,5,FALSE))</f>
        <v/>
      </c>
      <c r="K284" s="984" t="str">
        <f>IF(I284="Si",IF(E284=0,"",VLOOKUP(E284,TablasTec!$A$14:$V$771,5,FALSE)),"")</f>
        <v/>
      </c>
      <c r="L284" s="982" t="s">
        <v>1690</v>
      </c>
      <c r="M284" s="1398" t="str">
        <f>IF(E284=0,"",VLOOKUP(E284,TablasTec!$A$14:$V$771,6,FALSE))</f>
        <v/>
      </c>
      <c r="N284" s="985" t="str">
        <f>IF(L284="Si",IF(E284=0,"",VLOOKUP(E284,TablasTec!$A$14:$V$771,6,FALSE)),"")</f>
        <v/>
      </c>
      <c r="O284" s="982" t="s">
        <v>1690</v>
      </c>
      <c r="P284" s="1398" t="str">
        <f>IF(E284=0,"",VLOOKUP(E284,TablasTec!$A$14:$V$771,7,FALSE))</f>
        <v/>
      </c>
      <c r="Q284" s="985" t="str">
        <f>IF(O284="Si",IF(E284=0,"",VLOOKUP(E284,TablasTec!$A$14:$V$771,7,FALSE)),"")</f>
        <v/>
      </c>
      <c r="R284" s="983" t="str">
        <f>IF(E284=0,"",VLOOKUP(E284,TablasTec!$A$14:$V$771,8,FALSE))</f>
        <v/>
      </c>
      <c r="S284" s="981" t="str">
        <f>IF(R284=$D$8,$D$8,IF(R284=2,2,IF(R284=3,3,R284)))</f>
        <v/>
      </c>
      <c r="T284" s="4899" t="s">
        <v>4542</v>
      </c>
      <c r="U284" s="4900"/>
      <c r="V284" s="3180"/>
      <c r="W284" s="4901"/>
      <c r="X284" s="4902"/>
      <c r="Y284" s="4902"/>
      <c r="Z284" s="4902"/>
      <c r="AA284" s="4902"/>
      <c r="AB284" s="4902"/>
      <c r="AC284" s="4902"/>
      <c r="AD284" s="4902"/>
      <c r="AE284" s="4902"/>
      <c r="AF284" s="4903"/>
      <c r="AG284" s="4901"/>
      <c r="AH284" s="4902"/>
      <c r="AI284" s="4902"/>
      <c r="AJ284" s="4902"/>
      <c r="AK284" s="4902"/>
      <c r="AL284" s="4902"/>
      <c r="AM284" s="4902"/>
      <c r="AN284" s="4902"/>
      <c r="AO284" s="4902"/>
      <c r="AP284" s="4903"/>
      <c r="AQ284" s="4901"/>
      <c r="AR284" s="4902"/>
      <c r="AS284" s="4902"/>
      <c r="AT284" s="4902"/>
      <c r="AU284" s="4902"/>
      <c r="AV284" s="4902"/>
      <c r="AW284" s="4902"/>
      <c r="AX284" s="4902"/>
      <c r="AY284" s="4902"/>
      <c r="AZ284" s="4903"/>
      <c r="BA284" s="4901"/>
      <c r="BB284" s="4902"/>
      <c r="BC284" s="4902"/>
      <c r="BD284" s="4902"/>
      <c r="BE284" s="4902"/>
      <c r="BF284" s="4902"/>
      <c r="BG284" s="4902"/>
      <c r="BH284" s="4902"/>
      <c r="BI284" s="4902"/>
      <c r="BJ284" s="4903"/>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IF(I284="Si",VLOOKUP($D$8,TablasTec!$E$4:$F$6,2,FALSE),"")</f>
        <v/>
      </c>
      <c r="BQ284" s="962" t="str">
        <f>IF(L284="Si",VLOOKUP($D$8,TablasTec!$I$4:$J$6,2,FALSE),"")</f>
        <v/>
      </c>
      <c r="BR284" s="960" t="str">
        <f>IF(O284="Si",VLOOKUP($D$8,TablasTec!$I$7:$J$9,2,FALSE),"")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c r="A285" s="922"/>
      <c r="B285" s="922"/>
      <c r="C285" s="4909"/>
      <c r="D285" s="1436" t="s">
        <v>1766</v>
      </c>
      <c r="E285" s="986"/>
      <c r="F285" s="1002"/>
      <c r="G285" s="972" t="str">
        <f>IF(E285=0,"",VLOOKUP(E285,TablasTec!$A$14:$V$771,3,FALSE))</f>
        <v/>
      </c>
      <c r="H285" s="997" t="str">
        <f>IF($E285=0,"",VLOOKUP($E285,TablasTec!$A$14:$V$771,4,FALSE))</f>
        <v/>
      </c>
      <c r="I285" s="970" t="s">
        <v>1690</v>
      </c>
      <c r="J285" s="1401" t="str">
        <f>IF(E285=0,"",VLOOKUP(E285,TablasTec!$A$14:$V$771,5,FALSE))</f>
        <v/>
      </c>
      <c r="K285" s="998" t="str">
        <f>IF(I285="Si",IF(E285=0,"",VLOOKUP(E285,TablasTec!$A$14:$V$771,5,FALSE)),"")</f>
        <v/>
      </c>
      <c r="L285" s="970" t="s">
        <v>1690</v>
      </c>
      <c r="M285" s="1401" t="str">
        <f>IF(E285=0,"",VLOOKUP(E285,TablasTec!$A$14:$V$771,6,FALSE))</f>
        <v/>
      </c>
      <c r="N285" s="973" t="str">
        <f>IF(L285="Si",IF(E285=0,"",VLOOKUP(E285,TablasTec!$A$14:$V$771,6,FALSE)),"")</f>
        <v/>
      </c>
      <c r="O285" s="970" t="s">
        <v>1690</v>
      </c>
      <c r="P285" s="1401" t="str">
        <f>IF(E285=0,"",VLOOKUP(E285,TablasTec!$A$14:$V$771,7,FALSE))</f>
        <v/>
      </c>
      <c r="Q285" s="973" t="str">
        <f>IF(O285="Si",IF(E285=0,"",VLOOKUP(E285,TablasTec!$A$14:$V$771,7,FALSE)),"")</f>
        <v/>
      </c>
      <c r="R285" s="1018" t="str">
        <f>IF(E285=0,"",VLOOKUP(E285,TablasTec!$A$14:$V$771,8,FALSE))</f>
        <v/>
      </c>
      <c r="S285" s="987" t="str">
        <f>IF(R285=$D$8,$D$8,IF(R285=2,2,IF(R285=3,3,R285)))</f>
        <v/>
      </c>
      <c r="T285" s="4890" t="s">
        <v>4544</v>
      </c>
      <c r="U285" s="4891"/>
      <c r="V285" s="3178"/>
      <c r="W285" s="4892"/>
      <c r="X285" s="4893"/>
      <c r="Y285" s="4893"/>
      <c r="Z285" s="4893"/>
      <c r="AA285" s="4893"/>
      <c r="AB285" s="4893"/>
      <c r="AC285" s="4893"/>
      <c r="AD285" s="4893"/>
      <c r="AE285" s="4893"/>
      <c r="AF285" s="4894"/>
      <c r="AG285" s="4892"/>
      <c r="AH285" s="4893"/>
      <c r="AI285" s="4893"/>
      <c r="AJ285" s="4893"/>
      <c r="AK285" s="4893"/>
      <c r="AL285" s="4893"/>
      <c r="AM285" s="4893"/>
      <c r="AN285" s="4893"/>
      <c r="AO285" s="4893"/>
      <c r="AP285" s="4894"/>
      <c r="AQ285" s="4892"/>
      <c r="AR285" s="4893"/>
      <c r="AS285" s="4893"/>
      <c r="AT285" s="4893"/>
      <c r="AU285" s="4893"/>
      <c r="AV285" s="4893"/>
      <c r="AW285" s="4893"/>
      <c r="AX285" s="4893"/>
      <c r="AY285" s="4893"/>
      <c r="AZ285" s="4894"/>
      <c r="BA285" s="4892"/>
      <c r="BB285" s="4893"/>
      <c r="BC285" s="4893"/>
      <c r="BD285" s="4893"/>
      <c r="BE285" s="4893"/>
      <c r="BF285" s="4893"/>
      <c r="BG285" s="4893"/>
      <c r="BH285" s="4893"/>
      <c r="BI285" s="4893"/>
      <c r="BJ285" s="4894"/>
      <c r="BK285" s="997">
        <f>SUM(K281:K285)-SUM(V285:BA285)</f>
        <v>0</v>
      </c>
      <c r="BL285" s="1422"/>
      <c r="BM285" s="1423"/>
      <c r="BN285" s="991"/>
      <c r="BO285" s="992"/>
      <c r="BP285" s="993" t="str">
        <f>IF(I285="Si",VLOOKUP($D$8,TablasTec!$E$4:$F$6,2,FALSE),"")</f>
        <v/>
      </c>
      <c r="BQ285" s="963" t="str">
        <f>IF(L285="Si",VLOOKUP($D$8,TablasTec!$I$4:$J$6,2,FALSE),"")</f>
        <v/>
      </c>
      <c r="BR285" s="994" t="str">
        <f>IF(O285="Si",VLOOKUP($D$8,TablasTec!$I$7:$J$9,2,FALSE),"")</f>
        <v/>
      </c>
      <c r="BS285" s="977"/>
      <c r="BT285" s="3171" t="s">
        <v>1687</v>
      </c>
      <c r="BU285" s="3172" t="s">
        <v>4548</v>
      </c>
      <c r="BV285" s="954"/>
      <c r="BW285" s="3172" t="s">
        <v>4549</v>
      </c>
      <c r="BX285" s="3171"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09"/>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IF(I286="Si",VLOOKUP($D$8,TablasTec!$E$4:$F$6,2,FALSE),"")</f>
        <v/>
      </c>
      <c r="BQ286" s="1013" t="str">
        <f>IF(L286="Si",VLOOKUP($D$8,TablasTec!$I$4:$J$6,2,FALSE),"")</f>
        <v/>
      </c>
      <c r="BR286" s="1011" t="str">
        <f>IF(O286="Si",VLOOKUP($D$8,TablasTec!$I$7:$J$9,2,FALSE),"")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09"/>
      <c r="D287" s="1436" t="s">
        <v>1766</v>
      </c>
      <c r="E287" s="966"/>
      <c r="F287" s="1002"/>
      <c r="G287" s="972" t="str">
        <f>IF(E287=0,"",VLOOKUP(E287,TablasTec!$A$14:$V$771,3,FALSE))</f>
        <v/>
      </c>
      <c r="H287" s="1014" t="str">
        <f>IF($E287=0,"",VLOOKUP($E287,TablasTec!$A$14:$V$771,4,FALSE))</f>
        <v/>
      </c>
      <c r="I287" s="970" t="s">
        <v>1690</v>
      </c>
      <c r="J287" s="1400" t="str">
        <f>IF(E287=0,"",VLOOKUP(E287,TablasTec!$A$14:$V$771,5,FALSE))</f>
        <v/>
      </c>
      <c r="K287" s="1016" t="str">
        <f>IF(I287="Si",IF(E287=0,"",VLOOKUP(E287,TablasTec!$A$14:$V$771,5,FALSE)),"")</f>
        <v/>
      </c>
      <c r="L287" s="970" t="s">
        <v>1690</v>
      </c>
      <c r="M287" s="1400" t="str">
        <f>IF(E287=0,"",VLOOKUP(E287,TablasTec!$A$14:$V$771,6,FALSE))</f>
        <v/>
      </c>
      <c r="N287" s="973" t="str">
        <f>IF(L287="Si",IF(E287=0,"",VLOOKUP(E287,TablasTec!$A$14:$V$771,6,FALSE)),"")</f>
        <v/>
      </c>
      <c r="O287" s="970" t="s">
        <v>1690</v>
      </c>
      <c r="P287" s="1400" t="str">
        <f>IF(E287=0,"",VLOOKUP(E287,TablasTec!$A$14:$V$771,7,FALSE))</f>
        <v/>
      </c>
      <c r="Q287" s="973" t="str">
        <f>IF(O287="Si",IF(E287=0,"",VLOOKUP(E287,TablasTec!$A$14:$V$771,7,FALSE)),"")</f>
        <v/>
      </c>
      <c r="R287" s="1015" t="str">
        <f>IF(E287=0,"",VLOOKUP(E287,TablasTec!$A$14:$V$771,8,FALSE))</f>
        <v/>
      </c>
      <c r="S287" s="987" t="str">
        <f>IF(R287=$D$8,$D$8,IF(R287=2,2,IF(R287=3,3,R287)))</f>
        <v/>
      </c>
      <c r="T287" s="1016" t="str">
        <f>IF(E287=0,"",VLOOKUP(E287,TablasTec!$A$14:$V$771,9,FALSE))</f>
        <v/>
      </c>
      <c r="U287" s="1016" t="str">
        <f>IF(E287=0,"",VLOOKUP(E287,TablasTec!$A$14:$V$771,10,FALSE))</f>
        <v/>
      </c>
      <c r="V287" s="1017" t="str">
        <f>IF(E287=0,"",VLOOKUP(E287,TablasTec!$A$14:$V$771,11,FALSE))</f>
        <v/>
      </c>
      <c r="W287" s="970"/>
      <c r="X287" s="971" t="e">
        <f>VLOOKUP(E287,TablasTec!$A$14:$V$771,12,FALSE)</f>
        <v>#N/A</v>
      </c>
      <c r="Y287" s="971" t="e">
        <f>IF(W287=X287,VLOOKUP(E287,TablasTec!$A$14:$V$771,13,FALSE),0)</f>
        <v>#N/A</v>
      </c>
      <c r="Z287" s="971" t="e">
        <f>VLOOKUP(E287,TablasTec!$A$14:$V$771,14,FALSE)</f>
        <v>#N/A</v>
      </c>
      <c r="AA287" s="971" t="e">
        <f>IF(W287=Z287,VLOOKUP(E287,TablasTec!$A$14:$V$616,15,FALSE),0)</f>
        <v>#N/A</v>
      </c>
      <c r="AB287" s="971" t="e">
        <f>VLOOKUP(E287,TablasTec!$A$14:$V$771,16,FALSE)</f>
        <v>#N/A</v>
      </c>
      <c r="AC287" s="971" t="e">
        <f>IF(W287=AB287,VLOOKUP(E287,TablasTec!$A$14:$V$616,17,FALSE),0)</f>
        <v>#N/A</v>
      </c>
      <c r="AD287" s="971" t="e">
        <f>VLOOKUP(E287,TablasTec!$A$14:$V$771,18,FALSE)</f>
        <v>#N/A</v>
      </c>
      <c r="AE287" s="971" t="e">
        <f>IF(W287=AD287,VLOOKUP(E287,TablasTec!$A$14:$V$771,19,FALSE),0)</f>
        <v>#N/A</v>
      </c>
      <c r="AF287" s="989" t="str">
        <f>IF(E287=0,"",(Y287+AA287+AC287+AE287))</f>
        <v/>
      </c>
      <c r="AG287" s="970"/>
      <c r="AH287" s="988" t="e">
        <f>VLOOKUP(E287,TablasTec!$A$14:$V$771,12,FALSE)</f>
        <v>#N/A</v>
      </c>
      <c r="AI287" s="988" t="e">
        <f>IF(AG287=AH287,VLOOKUP(E287,TablasTec!$A$14:$V$771,13,FALSE),0)</f>
        <v>#N/A</v>
      </c>
      <c r="AJ287" s="988" t="e">
        <f>VLOOKUP(E287,TablasTec!$A$14:$V$771,14,FALSE)</f>
        <v>#N/A</v>
      </c>
      <c r="AK287" s="988" t="e">
        <f>IF(AG287=AJ287,VLOOKUP(E287,TablasTec!$A$14:$V$771,15,FALSE),0)</f>
        <v>#N/A</v>
      </c>
      <c r="AL287" s="988" t="e">
        <f>VLOOKUP(E287,TablasTec!$A$14:$V$771,16,FALSE)</f>
        <v>#N/A</v>
      </c>
      <c r="AM287" s="988" t="e">
        <f>IF(AG287=AL287,VLOOKUP(E287,TablasTec!$A$14:$V$771,17,FALSE),0)</f>
        <v>#N/A</v>
      </c>
      <c r="AN287" s="988" t="e">
        <f>VLOOKUP(E287,TablasTec!$A$14:$V$771,18,FALSE)</f>
        <v>#N/A</v>
      </c>
      <c r="AO287" s="988" t="e">
        <f>IF(AG287=AN287,VLOOKUP(E287,TablasTec!$A$14:$V$771,19,FALSE),0)</f>
        <v>#N/A</v>
      </c>
      <c r="AP287" s="3182" t="str">
        <f>IF(E287=0,"",(AI287+AK287+AM287+AO287))</f>
        <v/>
      </c>
      <c r="AQ287" s="970"/>
      <c r="AR287" s="988" t="e">
        <f>VLOOKUP(E287,TablasTec!$A$14:$V$771,12,FALSE)</f>
        <v>#N/A</v>
      </c>
      <c r="AS287" s="988" t="e">
        <f>IF(AQ287=AR287,VLOOKUP(E287,TablasTec!$A$14:$V$771,13,FALSE),0)</f>
        <v>#N/A</v>
      </c>
      <c r="AT287" s="988" t="e">
        <f>VLOOKUP(E287,TablasTec!$A$14:$V$771,14,FALSE)</f>
        <v>#N/A</v>
      </c>
      <c r="AU287" s="988" t="e">
        <f>IF(AQ287=AT287,VLOOKUP(E287,TablasTec!$A$14:$V$771,15,FALSE),0)</f>
        <v>#N/A</v>
      </c>
      <c r="AV287" s="988" t="e">
        <f>VLOOKUP(E287,TablasTec!$A$14:$V$771,16,FALSE)</f>
        <v>#N/A</v>
      </c>
      <c r="AW287" s="988" t="e">
        <f>IF(AQ287=AV287,VLOOKUP(E287,TablasTec!$A$14:$V$771,17,FALSE),0)</f>
        <v>#N/A</v>
      </c>
      <c r="AX287" s="988" t="e">
        <f>VLOOKUP(E287,TablasTec!$A$14:$V$771,18,FALSE)</f>
        <v>#N/A</v>
      </c>
      <c r="AY287" s="988" t="e">
        <f>IF(AQ287=AX287,VLOOKUP(E287,TablasTec!$A$14:$V$771,19,FALSE),0)</f>
        <v>#N/A</v>
      </c>
      <c r="AZ287" s="989" t="str">
        <f>IF(E287=0,"",(AS287+AU287+AW287+AY287))</f>
        <v/>
      </c>
      <c r="BA287" s="970"/>
      <c r="BB287" s="988" t="e">
        <f>VLOOKUP(E287,TablasTec!$A$14:$V$771,12,FALSE)</f>
        <v>#N/A</v>
      </c>
      <c r="BC287" s="988" t="e">
        <f>IF(BA287=BB287,VLOOKUP(E287,TablasTec!$A$14:$V$771,13,FALSE),0)</f>
        <v>#N/A</v>
      </c>
      <c r="BD287" s="988" t="e">
        <f>VLOOKUP(E287,TablasTec!$A$14:$V$771,14,FALSE)</f>
        <v>#N/A</v>
      </c>
      <c r="BE287" s="988" t="e">
        <f>IF(BA287=BD287,VLOOKUP(E287,TablasTec!$A$14:$V$771,15,FALSE),0)</f>
        <v>#N/A</v>
      </c>
      <c r="BF287" s="988" t="e">
        <f>VLOOKUP(E287,TablasTec!$A$14:$V$771,16,FALSE)</f>
        <v>#N/A</v>
      </c>
      <c r="BG287" s="988" t="e">
        <f>IF(BA287=BF287,VLOOKUP(E287,TablasTec!$A$14:$V$771,17,FALSE),0)</f>
        <v>#N/A</v>
      </c>
      <c r="BH287" s="988" t="e">
        <f>VLOOKUP(E287,TablasTec!$A$14:$V$771,18,FALSE)</f>
        <v>#N/A</v>
      </c>
      <c r="BI287" s="988" t="e">
        <f>IF(BA287=BH287,VLOOKUP(E287,TablasTec!$A$14:$V$771,19,FALSE),0)</f>
        <v>#N/A</v>
      </c>
      <c r="BJ287" s="3182" t="str">
        <f>IF(E287=0,"",(BC287+BE287+BG287+BI287))</f>
        <v/>
      </c>
      <c r="BK287" s="1016" t="str">
        <f>IF(E287=0,"",VLOOKUP(E287,TablasTec!$A$14:$V$771,20,FALSE))</f>
        <v/>
      </c>
      <c r="BL287" s="1003" t="str">
        <f>IF(E287=0,"",VLOOKUP(E287,TablasTec!$A$14:$V$771,21,FALSE))</f>
        <v/>
      </c>
      <c r="BM287" s="974" t="str">
        <f>IF(E287=0,"",VLOOKUP(E287,TablasTec!$A$14:$V$771,22,FALSE))</f>
        <v/>
      </c>
      <c r="BN287" s="975"/>
      <c r="BO287" s="976"/>
      <c r="BP287" s="961" t="str">
        <f>IF(I287="Si",VLOOKUP($D$8,TablasTec!$E$4:$F$6,2,FALSE),"")</f>
        <v/>
      </c>
      <c r="BQ287" s="962" t="str">
        <f>IF(L287="Si",VLOOKUP($D$8,TablasTec!$I$4:$J$6,2,FALSE),"")</f>
        <v/>
      </c>
      <c r="BR287" s="960" t="str">
        <f>IF(O287="Si",VLOOKUP($D$8,TablasTec!$I$7:$J$9,2,FALSE),"")</f>
        <v/>
      </c>
      <c r="BS287" s="977"/>
      <c r="BT287" s="3171" t="s">
        <v>1692</v>
      </c>
      <c r="BU287" s="3172" t="s">
        <v>4548</v>
      </c>
      <c r="BV287" s="954"/>
      <c r="BW287" s="3172" t="s">
        <v>4549</v>
      </c>
      <c r="BX287" s="3171"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c r="A288" s="922"/>
      <c r="B288" s="922"/>
      <c r="C288" s="4909"/>
      <c r="D288" s="1435" t="s">
        <v>1766</v>
      </c>
      <c r="E288" s="978"/>
      <c r="F288" s="1008"/>
      <c r="G288" s="1420" t="str">
        <f>IF(E288=0,"",VLOOKUP(E288,TablasTec!$A$14:$V$771,3,FALSE))</f>
        <v/>
      </c>
      <c r="H288" s="981" t="str">
        <f>IF($E288=0,"",VLOOKUP($E288,TablasTec!$A$14:$V$771,4,FALSE))</f>
        <v/>
      </c>
      <c r="I288" s="982" t="s">
        <v>1690</v>
      </c>
      <c r="J288" s="1398" t="str">
        <f>IF(E288=0,"",VLOOKUP(E288,TablasTec!$A$14:$V$771,5,FALSE))</f>
        <v/>
      </c>
      <c r="K288" s="984" t="str">
        <f>IF(I288="Si",IF(E288=0,"",VLOOKUP(E288,TablasTec!$A$14:$V$771,5,FALSE)),"")</f>
        <v/>
      </c>
      <c r="L288" s="982" t="s">
        <v>1690</v>
      </c>
      <c r="M288" s="1398" t="str">
        <f>IF(E288=0,"",VLOOKUP(E288,TablasTec!$A$14:$V$771,6,FALSE))</f>
        <v/>
      </c>
      <c r="N288" s="985" t="str">
        <f>IF(L288="Si",IF(E288=0,"",VLOOKUP(E288,TablasTec!$A$14:$V$771,6,FALSE)),"")</f>
        <v/>
      </c>
      <c r="O288" s="982" t="s">
        <v>1690</v>
      </c>
      <c r="P288" s="1398" t="str">
        <f>IF(E288=0,"",VLOOKUP(E288,TablasTec!$A$14:$V$771,7,FALSE))</f>
        <v/>
      </c>
      <c r="Q288" s="985" t="str">
        <f>IF(O288="Si",IF(E288=0,"",VLOOKUP(E288,TablasTec!$A$14:$V$771,7,FALSE)),"")</f>
        <v/>
      </c>
      <c r="R288" s="983" t="str">
        <f>IF(E288=0,"",VLOOKUP(E288,TablasTec!$A$14:$V$771,8,FALSE))</f>
        <v/>
      </c>
      <c r="S288" s="981" t="str">
        <f>IF(R288=$D$8,$D$8,IF(R288=2,2,IF(R288=3,3,R288)))</f>
        <v/>
      </c>
      <c r="T288" s="4883" t="s">
        <v>4540</v>
      </c>
      <c r="U288" s="4884"/>
      <c r="V288" s="4884"/>
      <c r="W288" s="4884"/>
      <c r="X288" s="4884"/>
      <c r="Y288" s="4884"/>
      <c r="Z288" s="4884"/>
      <c r="AA288" s="4884"/>
      <c r="AB288" s="4884"/>
      <c r="AC288" s="4884"/>
      <c r="AD288" s="4884"/>
      <c r="AE288" s="4884"/>
      <c r="AF288" s="4884"/>
      <c r="AG288" s="4884"/>
      <c r="AH288" s="4884"/>
      <c r="AI288" s="4884"/>
      <c r="AJ288" s="4884"/>
      <c r="AK288" s="4884"/>
      <c r="AL288" s="4884"/>
      <c r="AM288" s="4884"/>
      <c r="AN288" s="4884"/>
      <c r="AO288" s="4884"/>
      <c r="AP288" s="4884"/>
      <c r="AQ288" s="4884"/>
      <c r="AR288" s="4884"/>
      <c r="AS288" s="4884"/>
      <c r="AT288" s="4884"/>
      <c r="AU288" s="4884"/>
      <c r="AV288" s="4884"/>
      <c r="AW288" s="4884"/>
      <c r="AX288" s="4884"/>
      <c r="AY288" s="4884"/>
      <c r="AZ288" s="4884"/>
      <c r="BA288" s="4884"/>
      <c r="BB288" s="4884"/>
      <c r="BC288" s="4884"/>
      <c r="BD288" s="4884"/>
      <c r="BE288" s="4884"/>
      <c r="BF288" s="4884"/>
      <c r="BG288" s="4884"/>
      <c r="BH288" s="4884"/>
      <c r="BI288" s="4884"/>
      <c r="BJ288" s="4884"/>
      <c r="BK288" s="4885"/>
      <c r="BL288" s="1420"/>
      <c r="BM288" s="1421"/>
      <c r="BN288" s="975"/>
      <c r="BO288" s="976"/>
      <c r="BP288" s="961" t="str">
        <f>IF(I288="Si",VLOOKUP($D$8,TablasTec!$E$4:$F$6,2,FALSE),"")</f>
        <v/>
      </c>
      <c r="BQ288" s="962" t="str">
        <f>IF(L288="Si",VLOOKUP($D$8,TablasTec!$I$4:$J$6,2,FALSE),"")</f>
        <v/>
      </c>
      <c r="BR288" s="960" t="str">
        <f>IF(O288="Si",VLOOKUP($D$8,TablasTec!$I$7:$J$9,2,FALSE),"")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c r="A289" s="922"/>
      <c r="B289" s="922"/>
      <c r="C289" s="4909"/>
      <c r="D289" s="1436" t="s">
        <v>1766</v>
      </c>
      <c r="E289" s="986"/>
      <c r="F289" s="1002"/>
      <c r="G289" s="972" t="str">
        <f>IF(E289=0,"",VLOOKUP(E289,TablasTec!$A$14:$V$771,3,FALSE))</f>
        <v/>
      </c>
      <c r="H289" s="3181" t="str">
        <f>IF($E289=0,"",VLOOKUP($E289,TablasTec!$A$14:$V$771,4,FALSE))</f>
        <v/>
      </c>
      <c r="I289" s="970" t="s">
        <v>1690</v>
      </c>
      <c r="J289" s="1394" t="str">
        <f>IF(E289=0,"",VLOOKUP(E289,TablasTec!$A$14:$V$771,5,FALSE))</f>
        <v/>
      </c>
      <c r="K289" s="989" t="str">
        <f>IF(I289="Si",IF(E289=0,"",VLOOKUP(E289,TablasTec!$A$14:$V$771,5,FALSE)),"")</f>
        <v/>
      </c>
      <c r="L289" s="970" t="s">
        <v>1690</v>
      </c>
      <c r="M289" s="1394" t="str">
        <f>IF(E289=0,"",VLOOKUP(E289,TablasTec!$A$14:$V$771,6,FALSE))</f>
        <v/>
      </c>
      <c r="N289" s="973" t="str">
        <f>IF(L289="Si",IF(E289=0,"",VLOOKUP(E289,TablasTec!$A$14:$V$771,6,FALSE)),"")</f>
        <v/>
      </c>
      <c r="O289" s="970" t="s">
        <v>1690</v>
      </c>
      <c r="P289" s="1394" t="str">
        <f>IF(E289=0,"",VLOOKUP(E289,TablasTec!$A$14:$V$771,7,FALSE))</f>
        <v/>
      </c>
      <c r="Q289" s="973" t="str">
        <f>IF(O289="Si",IF(E289=0,"",VLOOKUP(E289,TablasTec!$A$14:$V$771,7,FALSE)),"")</f>
        <v/>
      </c>
      <c r="R289" s="988" t="str">
        <f>IF(E289=0,"",VLOOKUP(E289,TablasTec!$A$14:$V$771,8,FALSE))</f>
        <v/>
      </c>
      <c r="S289" s="3181" t="str">
        <f>IF(R289=$D$8,$D$8,IF(R289=2,2,IF(R289=3,3,R289)))</f>
        <v/>
      </c>
      <c r="T289" s="4896"/>
      <c r="U289" s="4897"/>
      <c r="V289" s="3179" t="str">
        <f>IF(OR(V287=0,V287=""),"N/A",V287)</f>
        <v>N/A</v>
      </c>
      <c r="W289" s="4896" t="str">
        <f xml:space="preserve"> IF(OR(AF287=0,AF287=""),"N/A",W287)</f>
        <v>N/A</v>
      </c>
      <c r="X289" s="4898"/>
      <c r="Y289" s="4898"/>
      <c r="Z289" s="4898"/>
      <c r="AA289" s="4898"/>
      <c r="AB289" s="4898"/>
      <c r="AC289" s="4898"/>
      <c r="AD289" s="4898"/>
      <c r="AE289" s="4898"/>
      <c r="AF289" s="4897"/>
      <c r="AG289" s="4896" t="str">
        <f xml:space="preserve"> IF(OR(AP287="",AP287=0),"N/A",AG287)</f>
        <v>N/A</v>
      </c>
      <c r="AH289" s="4898"/>
      <c r="AI289" s="4898"/>
      <c r="AJ289" s="4898"/>
      <c r="AK289" s="4898"/>
      <c r="AL289" s="4898"/>
      <c r="AM289" s="4898"/>
      <c r="AN289" s="4898"/>
      <c r="AO289" s="4898"/>
      <c r="AP289" s="4897"/>
      <c r="AQ289" s="4896" t="str">
        <f xml:space="preserve"> IF(OR(AZ287="",AZ287=0),"N/A",AQ287)</f>
        <v>N/A</v>
      </c>
      <c r="AR289" s="4898"/>
      <c r="AS289" s="4898"/>
      <c r="AT289" s="4898"/>
      <c r="AU289" s="4898"/>
      <c r="AV289" s="4898"/>
      <c r="AW289" s="4898"/>
      <c r="AX289" s="4898"/>
      <c r="AY289" s="4898"/>
      <c r="AZ289" s="4897"/>
      <c r="BA289" s="4896" t="str">
        <f xml:space="preserve"> IF(OR(BJ287="",BJ287=0),"N/A",BA287)</f>
        <v>N/A</v>
      </c>
      <c r="BB289" s="4898"/>
      <c r="BC289" s="4898"/>
      <c r="BD289" s="4898"/>
      <c r="BE289" s="4898"/>
      <c r="BF289" s="4898"/>
      <c r="BG289" s="4898"/>
      <c r="BH289" s="4898"/>
      <c r="BI289" s="4898"/>
      <c r="BJ289" s="4897"/>
      <c r="BK289" s="990" t="s">
        <v>4541</v>
      </c>
      <c r="BL289" s="972"/>
      <c r="BM289" s="1007"/>
      <c r="BN289" s="991"/>
      <c r="BO289" s="992"/>
      <c r="BP289" s="993" t="str">
        <f>IF(I289="Si",VLOOKUP($D$8,TablasTec!$E$4:$F$6,2,FALSE),"")</f>
        <v/>
      </c>
      <c r="BQ289" s="963" t="str">
        <f>IF(L289="Si",VLOOKUP($D$8,TablasTec!$I$4:$J$6,2,FALSE),"")</f>
        <v/>
      </c>
      <c r="BR289" s="994" t="str">
        <f>IF(O289="Si",VLOOKUP($D$8,TablasTec!$I$7:$J$9,2,FALSE),"")</f>
        <v/>
      </c>
      <c r="BS289" s="977"/>
      <c r="BT289" s="3171" t="s">
        <v>1700</v>
      </c>
      <c r="BU289" s="3172" t="s">
        <v>4548</v>
      </c>
      <c r="BV289" s="954"/>
      <c r="BW289" s="3172" t="s">
        <v>4549</v>
      </c>
      <c r="BX289" s="3171"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c r="A290" s="922"/>
      <c r="B290" s="922"/>
      <c r="C290" s="4909"/>
      <c r="D290" s="1435" t="s">
        <v>1766</v>
      </c>
      <c r="E290" s="978"/>
      <c r="F290" s="1008"/>
      <c r="G290" s="1420" t="str">
        <f>IF(E290=0,"",VLOOKUP(E290,TablasTec!$A$14:$V$771,3,FALSE))</f>
        <v/>
      </c>
      <c r="H290" s="981" t="str">
        <f>IF($E290=0,"",VLOOKUP($E290,TablasTec!$A$14:$V$771,4,FALSE))</f>
        <v/>
      </c>
      <c r="I290" s="982" t="s">
        <v>1690</v>
      </c>
      <c r="J290" s="1398" t="str">
        <f>IF(E290=0,"",VLOOKUP(E290,TablasTec!$A$14:$V$771,5,FALSE))</f>
        <v/>
      </c>
      <c r="K290" s="984" t="str">
        <f>IF(I290="Si",IF(E290=0,"",VLOOKUP(E290,TablasTec!$A$14:$V$771,5,FALSE)),"")</f>
        <v/>
      </c>
      <c r="L290" s="982" t="s">
        <v>1690</v>
      </c>
      <c r="M290" s="1398" t="str">
        <f>IF(E290=0,"",VLOOKUP(E290,TablasTec!$A$14:$V$771,6,FALSE))</f>
        <v/>
      </c>
      <c r="N290" s="985" t="str">
        <f>IF(L290="Si",IF(E290=0,"",VLOOKUP(E290,TablasTec!$A$14:$V$771,6,FALSE)),"")</f>
        <v/>
      </c>
      <c r="O290" s="982" t="s">
        <v>1690</v>
      </c>
      <c r="P290" s="1398" t="str">
        <f>IF(E290=0,"",VLOOKUP(E290,TablasTec!$A$14:$V$771,7,FALSE))</f>
        <v/>
      </c>
      <c r="Q290" s="985" t="str">
        <f>IF(O290="Si",IF(E290=0,"",VLOOKUP(E290,TablasTec!$A$14:$V$771,7,FALSE)),"")</f>
        <v/>
      </c>
      <c r="R290" s="983" t="str">
        <f>IF(E290=0,"",VLOOKUP(E290,TablasTec!$A$14:$V$771,8,FALSE))</f>
        <v/>
      </c>
      <c r="S290" s="981" t="str">
        <f>IF(R290=$D$8,$D$8,IF(R290=2,2,IF(R290=3,3,R290)))</f>
        <v/>
      </c>
      <c r="T290" s="4899" t="s">
        <v>4542</v>
      </c>
      <c r="U290" s="4900"/>
      <c r="V290" s="3180"/>
      <c r="W290" s="4901"/>
      <c r="X290" s="4902"/>
      <c r="Y290" s="4902"/>
      <c r="Z290" s="4902"/>
      <c r="AA290" s="4902"/>
      <c r="AB290" s="4902"/>
      <c r="AC290" s="4902"/>
      <c r="AD290" s="4902"/>
      <c r="AE290" s="4902"/>
      <c r="AF290" s="4903"/>
      <c r="AG290" s="4901"/>
      <c r="AH290" s="4902"/>
      <c r="AI290" s="4902"/>
      <c r="AJ290" s="4902"/>
      <c r="AK290" s="4902"/>
      <c r="AL290" s="4902"/>
      <c r="AM290" s="4902"/>
      <c r="AN290" s="4902"/>
      <c r="AO290" s="4902"/>
      <c r="AP290" s="4903"/>
      <c r="AQ290" s="4901"/>
      <c r="AR290" s="4902"/>
      <c r="AS290" s="4902"/>
      <c r="AT290" s="4902"/>
      <c r="AU290" s="4902"/>
      <c r="AV290" s="4902"/>
      <c r="AW290" s="4902"/>
      <c r="AX290" s="4902"/>
      <c r="AY290" s="4902"/>
      <c r="AZ290" s="4903"/>
      <c r="BA290" s="4901"/>
      <c r="BB290" s="4902"/>
      <c r="BC290" s="4902"/>
      <c r="BD290" s="4902"/>
      <c r="BE290" s="4902"/>
      <c r="BF290" s="4902"/>
      <c r="BG290" s="4902"/>
      <c r="BH290" s="4902"/>
      <c r="BI290" s="4902"/>
      <c r="BJ290" s="4903"/>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IF(I290="Si",VLOOKUP($D$8,TablasTec!$E$4:$F$6,2,FALSE),"")</f>
        <v/>
      </c>
      <c r="BQ290" s="962" t="str">
        <f>IF(L290="Si",VLOOKUP($D$8,TablasTec!$I$4:$J$6,2,FALSE),"")</f>
        <v/>
      </c>
      <c r="BR290" s="960" t="str">
        <f>IF(O290="Si",VLOOKUP($D$8,TablasTec!$I$7:$J$9,2,FALSE),"")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c r="A291" s="922"/>
      <c r="B291" s="922"/>
      <c r="C291" s="4909"/>
      <c r="D291" s="1436" t="s">
        <v>1766</v>
      </c>
      <c r="E291" s="986"/>
      <c r="F291" s="1002"/>
      <c r="G291" s="972" t="str">
        <f>IF(E291=0,"",VLOOKUP(E291,TablasTec!$A$14:$V$771,3,FALSE))</f>
        <v/>
      </c>
      <c r="H291" s="997" t="str">
        <f>IF($E291=0,"",VLOOKUP($E291,TablasTec!$A$14:$V$771,4,FALSE))</f>
        <v/>
      </c>
      <c r="I291" s="970" t="s">
        <v>1690</v>
      </c>
      <c r="J291" s="1401" t="str">
        <f>IF(E291=0,"",VLOOKUP(E291,TablasTec!$A$14:$V$771,5,FALSE))</f>
        <v/>
      </c>
      <c r="K291" s="998" t="str">
        <f>IF(I291="Si",IF(E291=0,"",VLOOKUP(E291,TablasTec!$A$14:$V$771,5,FALSE)),"")</f>
        <v/>
      </c>
      <c r="L291" s="970" t="s">
        <v>1690</v>
      </c>
      <c r="M291" s="1401" t="str">
        <f>IF(E291=0,"",VLOOKUP(E291,TablasTec!$A$14:$V$771,6,FALSE))</f>
        <v/>
      </c>
      <c r="N291" s="973" t="str">
        <f>IF(L291="Si",IF(E291=0,"",VLOOKUP(E291,TablasTec!$A$14:$V$771,6,FALSE)),"")</f>
        <v/>
      </c>
      <c r="O291" s="970" t="s">
        <v>1690</v>
      </c>
      <c r="P291" s="1401" t="str">
        <f>IF(E291=0,"",VLOOKUP(E291,TablasTec!$A$14:$V$771,7,FALSE))</f>
        <v/>
      </c>
      <c r="Q291" s="973" t="str">
        <f>IF(O291="Si",IF(E291=0,"",VLOOKUP(E291,TablasTec!$A$14:$V$771,7,FALSE)),"")</f>
        <v/>
      </c>
      <c r="R291" s="1018" t="str">
        <f>IF(E291=0,"",VLOOKUP(E291,TablasTec!$A$14:$V$771,8,FALSE))</f>
        <v/>
      </c>
      <c r="S291" s="987" t="str">
        <f>IF(R291=$D$8,$D$8,IF(R291=2,2,IF(R291=3,3,R291)))</f>
        <v/>
      </c>
      <c r="T291" s="4890" t="s">
        <v>4544</v>
      </c>
      <c r="U291" s="4891"/>
      <c r="V291" s="3178"/>
      <c r="W291" s="4892"/>
      <c r="X291" s="4893"/>
      <c r="Y291" s="4893"/>
      <c r="Z291" s="4893"/>
      <c r="AA291" s="4893"/>
      <c r="AB291" s="4893"/>
      <c r="AC291" s="4893"/>
      <c r="AD291" s="4893"/>
      <c r="AE291" s="4893"/>
      <c r="AF291" s="4894"/>
      <c r="AG291" s="4892"/>
      <c r="AH291" s="4893"/>
      <c r="AI291" s="4893"/>
      <c r="AJ291" s="4893"/>
      <c r="AK291" s="4893"/>
      <c r="AL291" s="4893"/>
      <c r="AM291" s="4893"/>
      <c r="AN291" s="4893"/>
      <c r="AO291" s="4893"/>
      <c r="AP291" s="4894"/>
      <c r="AQ291" s="4892"/>
      <c r="AR291" s="4893"/>
      <c r="AS291" s="4893"/>
      <c r="AT291" s="4893"/>
      <c r="AU291" s="4893"/>
      <c r="AV291" s="4893"/>
      <c r="AW291" s="4893"/>
      <c r="AX291" s="4893"/>
      <c r="AY291" s="4893"/>
      <c r="AZ291" s="4894"/>
      <c r="BA291" s="4892"/>
      <c r="BB291" s="4893"/>
      <c r="BC291" s="4893"/>
      <c r="BD291" s="4893"/>
      <c r="BE291" s="4893"/>
      <c r="BF291" s="4893"/>
      <c r="BG291" s="4893"/>
      <c r="BH291" s="4893"/>
      <c r="BI291" s="4893"/>
      <c r="BJ291" s="4894"/>
      <c r="BK291" s="997">
        <f>SUM(K287:K291)-SUM(V291:BA291)</f>
        <v>0</v>
      </c>
      <c r="BL291" s="1422"/>
      <c r="BM291" s="1423"/>
      <c r="BN291" s="991"/>
      <c r="BO291" s="992"/>
      <c r="BP291" s="993" t="str">
        <f>IF(I291="Si",VLOOKUP($D$8,TablasTec!$E$4:$F$6,2,FALSE),"")</f>
        <v/>
      </c>
      <c r="BQ291" s="963" t="str">
        <f>IF(L291="Si",VLOOKUP($D$8,TablasTec!$I$4:$J$6,2,FALSE),"")</f>
        <v/>
      </c>
      <c r="BR291" s="994" t="str">
        <f>IF(O291="Si",VLOOKUP($D$8,TablasTec!$I$7:$J$9,2,FALSE),"")</f>
        <v/>
      </c>
      <c r="BS291" s="977"/>
      <c r="BT291" s="3171" t="s">
        <v>1701</v>
      </c>
      <c r="BU291" s="3172" t="s">
        <v>4548</v>
      </c>
      <c r="BV291" s="954"/>
      <c r="BW291" s="3172" t="s">
        <v>4549</v>
      </c>
      <c r="BX291" s="3171"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09"/>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IF(I292="Si",VLOOKUP($D$8,TablasTec!$E$4:$F$6,2,FALSE),"")</f>
        <v/>
      </c>
      <c r="BQ292" s="1013" t="str">
        <f>IF(L292="Si",VLOOKUP($D$8,TablasTec!$I$4:$J$6,2,FALSE),"")</f>
        <v/>
      </c>
      <c r="BR292" s="1011" t="str">
        <f>IF(O292="Si",VLOOKUP($D$8,TablasTec!$I$7:$J$9,2,FALSE),"")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09"/>
      <c r="D293" s="1436" t="s">
        <v>1766</v>
      </c>
      <c r="E293" s="966"/>
      <c r="F293" s="1002"/>
      <c r="G293" s="972" t="str">
        <f>IF(E293=0,"",VLOOKUP(E293,TablasTec!$A$14:$V$771,3,FALSE))</f>
        <v/>
      </c>
      <c r="H293" s="1014" t="str">
        <f>IF($E293=0,"",VLOOKUP($E293,TablasTec!$A$14:$V$771,4,FALSE))</f>
        <v/>
      </c>
      <c r="I293" s="970" t="s">
        <v>1690</v>
      </c>
      <c r="J293" s="1400" t="str">
        <f>IF(E293=0,"",VLOOKUP(E293,TablasTec!$A$14:$V$771,5,FALSE))</f>
        <v/>
      </c>
      <c r="K293" s="1016" t="str">
        <f>IF(I293="Si",IF(E293=0,"",VLOOKUP(E293,TablasTec!$A$14:$V$771,5,FALSE)),"")</f>
        <v/>
      </c>
      <c r="L293" s="970" t="s">
        <v>1690</v>
      </c>
      <c r="M293" s="1400" t="str">
        <f>IF(E293=0,"",VLOOKUP(E293,TablasTec!$A$14:$V$771,6,FALSE))</f>
        <v/>
      </c>
      <c r="N293" s="973" t="str">
        <f>IF(L293="Si",IF(E293=0,"",VLOOKUP(E293,TablasTec!$A$14:$V$771,6,FALSE)),"")</f>
        <v/>
      </c>
      <c r="O293" s="970" t="s">
        <v>1690</v>
      </c>
      <c r="P293" s="1400" t="str">
        <f>IF(E293=0,"",VLOOKUP(E293,TablasTec!$A$14:$V$771,7,FALSE))</f>
        <v/>
      </c>
      <c r="Q293" s="973" t="str">
        <f>IF(O293="Si",IF(E293=0,"",VLOOKUP(E293,TablasTec!$A$14:$V$771,7,FALSE)),"")</f>
        <v/>
      </c>
      <c r="R293" s="1015" t="str">
        <f>IF(E293=0,"",VLOOKUP(E293,TablasTec!$A$14:$V$771,8,FALSE))</f>
        <v/>
      </c>
      <c r="S293" s="987" t="str">
        <f>IF(R293=$D$8,$D$8,IF(R293=2,2,IF(R293=3,3,R293)))</f>
        <v/>
      </c>
      <c r="T293" s="1016" t="str">
        <f>IF(E293=0,"",VLOOKUP(E293,TablasTec!$A$14:$V$771,9,FALSE))</f>
        <v/>
      </c>
      <c r="U293" s="1016" t="str">
        <f>IF(E293=0,"",VLOOKUP(E293,TablasTec!$A$14:$V$771,10,FALSE))</f>
        <v/>
      </c>
      <c r="V293" s="1017" t="str">
        <f>IF(E293=0,"",VLOOKUP(E293,TablasTec!$A$14:$V$771,11,FALSE))</f>
        <v/>
      </c>
      <c r="W293" s="970"/>
      <c r="X293" s="971" t="e">
        <f>VLOOKUP(E293,TablasTec!$A$14:$V$771,12,FALSE)</f>
        <v>#N/A</v>
      </c>
      <c r="Y293" s="971" t="e">
        <f>IF(W293=X293,VLOOKUP(E293,TablasTec!$A$14:$V$771,13,FALSE),0)</f>
        <v>#N/A</v>
      </c>
      <c r="Z293" s="971" t="e">
        <f>VLOOKUP(E293,TablasTec!$A$14:$V$771,14,FALSE)</f>
        <v>#N/A</v>
      </c>
      <c r="AA293" s="971" t="e">
        <f>IF(W293=Z293,VLOOKUP(E293,TablasTec!$A$14:$V$616,15,FALSE),0)</f>
        <v>#N/A</v>
      </c>
      <c r="AB293" s="971" t="e">
        <f>VLOOKUP(E293,TablasTec!$A$14:$V$771,16,FALSE)</f>
        <v>#N/A</v>
      </c>
      <c r="AC293" s="971" t="e">
        <f>IF(W293=AB293,VLOOKUP(E293,TablasTec!$A$14:$V$616,17,FALSE),0)</f>
        <v>#N/A</v>
      </c>
      <c r="AD293" s="971" t="e">
        <f>VLOOKUP(E293,TablasTec!$A$14:$V$771,18,FALSE)</f>
        <v>#N/A</v>
      </c>
      <c r="AE293" s="971" t="e">
        <f>IF(W293=AD293,VLOOKUP(E293,TablasTec!$A$14:$V$771,19,FALSE),0)</f>
        <v>#N/A</v>
      </c>
      <c r="AF293" s="989" t="str">
        <f>IF(E293=0,"",(Y293+AA293+AC293+AE293))</f>
        <v/>
      </c>
      <c r="AG293" s="970"/>
      <c r="AH293" s="988" t="e">
        <f>VLOOKUP(E293,TablasTec!$A$14:$V$771,12,FALSE)</f>
        <v>#N/A</v>
      </c>
      <c r="AI293" s="988" t="e">
        <f>IF(AG293=AH293,VLOOKUP(E293,TablasTec!$A$14:$V$771,13,FALSE),0)</f>
        <v>#N/A</v>
      </c>
      <c r="AJ293" s="988" t="e">
        <f>VLOOKUP(E293,TablasTec!$A$14:$V$771,14,FALSE)</f>
        <v>#N/A</v>
      </c>
      <c r="AK293" s="988" t="e">
        <f>IF(AG293=AJ293,VLOOKUP(E293,TablasTec!$A$14:$V$771,15,FALSE),0)</f>
        <v>#N/A</v>
      </c>
      <c r="AL293" s="988" t="e">
        <f>VLOOKUP(E293,TablasTec!$A$14:$V$771,16,FALSE)</f>
        <v>#N/A</v>
      </c>
      <c r="AM293" s="988" t="e">
        <f>IF(AG293=AL293,VLOOKUP(E293,TablasTec!$A$14:$V$771,17,FALSE),0)</f>
        <v>#N/A</v>
      </c>
      <c r="AN293" s="988" t="e">
        <f>VLOOKUP(E293,TablasTec!$A$14:$V$771,18,FALSE)</f>
        <v>#N/A</v>
      </c>
      <c r="AO293" s="988" t="e">
        <f>IF(AG293=AN293,VLOOKUP(E293,TablasTec!$A$14:$V$771,19,FALSE),0)</f>
        <v>#N/A</v>
      </c>
      <c r="AP293" s="3182" t="str">
        <f>IF(E293=0,"",(AI293+AK293+AM293+AO293))</f>
        <v/>
      </c>
      <c r="AQ293" s="970"/>
      <c r="AR293" s="988" t="e">
        <f>VLOOKUP(E293,TablasTec!$A$14:$V$771,12,FALSE)</f>
        <v>#N/A</v>
      </c>
      <c r="AS293" s="988" t="e">
        <f>IF(AQ293=AR293,VLOOKUP(E293,TablasTec!$A$14:$V$771,13,FALSE),0)</f>
        <v>#N/A</v>
      </c>
      <c r="AT293" s="988" t="e">
        <f>VLOOKUP(E293,TablasTec!$A$14:$V$771,14,FALSE)</f>
        <v>#N/A</v>
      </c>
      <c r="AU293" s="988" t="e">
        <f>IF(AQ293=AT293,VLOOKUP(E293,TablasTec!$A$14:$V$771,15,FALSE),0)</f>
        <v>#N/A</v>
      </c>
      <c r="AV293" s="988" t="e">
        <f>VLOOKUP(E293,TablasTec!$A$14:$V$771,16,FALSE)</f>
        <v>#N/A</v>
      </c>
      <c r="AW293" s="988" t="e">
        <f>IF(AQ293=AV293,VLOOKUP(E293,TablasTec!$A$14:$V$771,17,FALSE),0)</f>
        <v>#N/A</v>
      </c>
      <c r="AX293" s="988" t="e">
        <f>VLOOKUP(E293,TablasTec!$A$14:$V$771,18,FALSE)</f>
        <v>#N/A</v>
      </c>
      <c r="AY293" s="988" t="e">
        <f>IF(AQ293=AX293,VLOOKUP(E293,TablasTec!$A$14:$V$771,19,FALSE),0)</f>
        <v>#N/A</v>
      </c>
      <c r="AZ293" s="989" t="str">
        <f>IF(E293=0,"",(AS293+AU293+AW293+AY293))</f>
        <v/>
      </c>
      <c r="BA293" s="970"/>
      <c r="BB293" s="988" t="e">
        <f>VLOOKUP(E293,TablasTec!$A$14:$V$771,12,FALSE)</f>
        <v>#N/A</v>
      </c>
      <c r="BC293" s="988" t="e">
        <f>IF(BA293=BB293,VLOOKUP(E293,TablasTec!$A$14:$V$771,13,FALSE),0)</f>
        <v>#N/A</v>
      </c>
      <c r="BD293" s="988" t="e">
        <f>VLOOKUP(E293,TablasTec!$A$14:$V$771,14,FALSE)</f>
        <v>#N/A</v>
      </c>
      <c r="BE293" s="988" t="e">
        <f>IF(BA293=BD293,VLOOKUP(E293,TablasTec!$A$14:$V$771,15,FALSE),0)</f>
        <v>#N/A</v>
      </c>
      <c r="BF293" s="988" t="e">
        <f>VLOOKUP(E293,TablasTec!$A$14:$V$771,16,FALSE)</f>
        <v>#N/A</v>
      </c>
      <c r="BG293" s="988" t="e">
        <f>IF(BA293=BF293,VLOOKUP(E293,TablasTec!$A$14:$V$771,17,FALSE),0)</f>
        <v>#N/A</v>
      </c>
      <c r="BH293" s="988" t="e">
        <f>VLOOKUP(E293,TablasTec!$A$14:$V$771,18,FALSE)</f>
        <v>#N/A</v>
      </c>
      <c r="BI293" s="988" t="e">
        <f>IF(BA293=BH293,VLOOKUP(E293,TablasTec!$A$14:$V$771,19,FALSE),0)</f>
        <v>#N/A</v>
      </c>
      <c r="BJ293" s="3182" t="str">
        <f>IF(E293=0,"",(BC293+BE293+BG293+BI293))</f>
        <v/>
      </c>
      <c r="BK293" s="1016" t="str">
        <f>IF(E293=0,"",VLOOKUP(E293,TablasTec!$A$14:$V$771,20,FALSE))</f>
        <v/>
      </c>
      <c r="BL293" s="1003" t="str">
        <f>IF(E293=0,"",VLOOKUP(E293,TablasTec!$A$14:$V$771,21,FALSE))</f>
        <v/>
      </c>
      <c r="BM293" s="974" t="str">
        <f>IF(E293=0,"",VLOOKUP(E293,TablasTec!$A$14:$V$771,22,FALSE))</f>
        <v/>
      </c>
      <c r="BN293" s="975"/>
      <c r="BO293" s="976"/>
      <c r="BP293" s="961" t="str">
        <f>IF(I293="Si",VLOOKUP($D$8,TablasTec!$E$4:$F$6,2,FALSE),"")</f>
        <v/>
      </c>
      <c r="BQ293" s="962" t="str">
        <f>IF(L293="Si",VLOOKUP($D$8,TablasTec!$I$4:$J$6,2,FALSE),"")</f>
        <v/>
      </c>
      <c r="BR293" s="960" t="str">
        <f>IF(O293="Si",VLOOKUP($D$8,TablasTec!$I$7:$J$9,2,FALSE),"")</f>
        <v/>
      </c>
      <c r="BS293" s="977"/>
      <c r="BU293" s="4864"/>
      <c r="BV293" s="4864"/>
      <c r="BW293" s="4864"/>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c r="A294" s="922"/>
      <c r="B294" s="922"/>
      <c r="C294" s="4909"/>
      <c r="D294" s="1435" t="s">
        <v>1766</v>
      </c>
      <c r="E294" s="978"/>
      <c r="F294" s="1008"/>
      <c r="G294" s="1420" t="str">
        <f>IF(E294=0,"",VLOOKUP(E294,TablasTec!$A$14:$V$771,3,FALSE))</f>
        <v/>
      </c>
      <c r="H294" s="981" t="str">
        <f>IF($E294=0,"",VLOOKUP($E294,TablasTec!$A$14:$V$771,4,FALSE))</f>
        <v/>
      </c>
      <c r="I294" s="982" t="s">
        <v>1690</v>
      </c>
      <c r="J294" s="1398" t="str">
        <f>IF(E294=0,"",VLOOKUP(E294,TablasTec!$A$14:$V$771,5,FALSE))</f>
        <v/>
      </c>
      <c r="K294" s="984" t="str">
        <f>IF(I294="Si",IF(E294=0,"",VLOOKUP(E294,TablasTec!$A$14:$V$771,5,FALSE)),"")</f>
        <v/>
      </c>
      <c r="L294" s="982" t="s">
        <v>1690</v>
      </c>
      <c r="M294" s="1398" t="str">
        <f>IF(E294=0,"",VLOOKUP(E294,TablasTec!$A$14:$V$771,6,FALSE))</f>
        <v/>
      </c>
      <c r="N294" s="985" t="str">
        <f>IF(L294="Si",IF(E294=0,"",VLOOKUP(E294,TablasTec!$A$14:$V$771,6,FALSE)),"")</f>
        <v/>
      </c>
      <c r="O294" s="982" t="s">
        <v>1690</v>
      </c>
      <c r="P294" s="1398" t="str">
        <f>IF(E294=0,"",VLOOKUP(E294,TablasTec!$A$14:$V$771,7,FALSE))</f>
        <v/>
      </c>
      <c r="Q294" s="985" t="str">
        <f>IF(O294="Si",IF(E294=0,"",VLOOKUP(E294,TablasTec!$A$14:$V$771,7,FALSE)),"")</f>
        <v/>
      </c>
      <c r="R294" s="983" t="str">
        <f>IF(E294=0,"",VLOOKUP(E294,TablasTec!$A$14:$V$771,8,FALSE))</f>
        <v/>
      </c>
      <c r="S294" s="981" t="str">
        <f>IF(R294=$D$8,$D$8,IF(R294=2,2,IF(R294=3,3,R294)))</f>
        <v/>
      </c>
      <c r="T294" s="4883" t="s">
        <v>4540</v>
      </c>
      <c r="U294" s="4884"/>
      <c r="V294" s="4884"/>
      <c r="W294" s="4884"/>
      <c r="X294" s="4884"/>
      <c r="Y294" s="4884"/>
      <c r="Z294" s="4884"/>
      <c r="AA294" s="4884"/>
      <c r="AB294" s="4884"/>
      <c r="AC294" s="4884"/>
      <c r="AD294" s="4884"/>
      <c r="AE294" s="4884"/>
      <c r="AF294" s="4884"/>
      <c r="AG294" s="4884"/>
      <c r="AH294" s="4884"/>
      <c r="AI294" s="4884"/>
      <c r="AJ294" s="4884"/>
      <c r="AK294" s="4884"/>
      <c r="AL294" s="4884"/>
      <c r="AM294" s="4884"/>
      <c r="AN294" s="4884"/>
      <c r="AO294" s="4884"/>
      <c r="AP294" s="4884"/>
      <c r="AQ294" s="4884"/>
      <c r="AR294" s="4884"/>
      <c r="AS294" s="4884"/>
      <c r="AT294" s="4884"/>
      <c r="AU294" s="4884"/>
      <c r="AV294" s="4884"/>
      <c r="AW294" s="4884"/>
      <c r="AX294" s="4884"/>
      <c r="AY294" s="4884"/>
      <c r="AZ294" s="4884"/>
      <c r="BA294" s="4884"/>
      <c r="BB294" s="4884"/>
      <c r="BC294" s="4884"/>
      <c r="BD294" s="4884"/>
      <c r="BE294" s="4884"/>
      <c r="BF294" s="4884"/>
      <c r="BG294" s="4884"/>
      <c r="BH294" s="4884"/>
      <c r="BI294" s="4884"/>
      <c r="BJ294" s="4884"/>
      <c r="BK294" s="4885"/>
      <c r="BL294" s="1420"/>
      <c r="BM294" s="1421"/>
      <c r="BN294" s="975"/>
      <c r="BO294" s="976"/>
      <c r="BP294" s="961" t="str">
        <f>IF(I294="Si",VLOOKUP($D$8,TablasTec!$E$4:$F$6,2,FALSE),"")</f>
        <v/>
      </c>
      <c r="BQ294" s="962" t="str">
        <f>IF(L294="Si",VLOOKUP($D$8,TablasTec!$I$4:$J$6,2,FALSE),"")</f>
        <v/>
      </c>
      <c r="BR294" s="960" t="str">
        <f>IF(O294="Si",VLOOKUP($D$8,TablasTec!$I$7:$J$9,2,FALSE),"")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c r="A295" s="922"/>
      <c r="B295" s="922"/>
      <c r="C295" s="4909"/>
      <c r="D295" s="1436" t="s">
        <v>1766</v>
      </c>
      <c r="E295" s="986"/>
      <c r="F295" s="1002"/>
      <c r="G295" s="972" t="str">
        <f>IF(E295=0,"",VLOOKUP(E295,TablasTec!$A$14:$V$771,3,FALSE))</f>
        <v/>
      </c>
      <c r="H295" s="3181" t="str">
        <f>IF($E295=0,"",VLOOKUP($E295,TablasTec!$A$14:$V$771,4,FALSE))</f>
        <v/>
      </c>
      <c r="I295" s="970" t="s">
        <v>1690</v>
      </c>
      <c r="J295" s="1394" t="str">
        <f>IF(E295=0,"",VLOOKUP(E295,TablasTec!$A$14:$V$771,5,FALSE))</f>
        <v/>
      </c>
      <c r="K295" s="989" t="str">
        <f>IF(I295="Si",IF(E295=0,"",VLOOKUP(E295,TablasTec!$A$14:$V$771,5,FALSE)),"")</f>
        <v/>
      </c>
      <c r="L295" s="970" t="s">
        <v>1690</v>
      </c>
      <c r="M295" s="1394" t="str">
        <f>IF(E295=0,"",VLOOKUP(E295,TablasTec!$A$14:$V$771,6,FALSE))</f>
        <v/>
      </c>
      <c r="N295" s="973" t="str">
        <f>IF(L295="Si",IF(E295=0,"",VLOOKUP(E295,TablasTec!$A$14:$V$771,6,FALSE)),"")</f>
        <v/>
      </c>
      <c r="O295" s="970" t="s">
        <v>1690</v>
      </c>
      <c r="P295" s="1394" t="str">
        <f>IF(E295=0,"",VLOOKUP(E295,TablasTec!$A$14:$V$771,7,FALSE))</f>
        <v/>
      </c>
      <c r="Q295" s="973" t="str">
        <f>IF(O295="Si",IF(E295=0,"",VLOOKUP(E295,TablasTec!$A$14:$V$771,7,FALSE)),"")</f>
        <v/>
      </c>
      <c r="R295" s="988" t="str">
        <f>IF(E295=0,"",VLOOKUP(E295,TablasTec!$A$14:$V$771,8,FALSE))</f>
        <v/>
      </c>
      <c r="S295" s="3181" t="str">
        <f>IF(R295=$D$8,$D$8,IF(R295=2,2,IF(R295=3,3,R295)))</f>
        <v/>
      </c>
      <c r="T295" s="4896"/>
      <c r="U295" s="4897"/>
      <c r="V295" s="3179" t="str">
        <f>IF(OR(V293=0,V293=""),"N/A",V293)</f>
        <v>N/A</v>
      </c>
      <c r="W295" s="4896" t="str">
        <f xml:space="preserve"> IF(OR(AF293=0,AF293=""),"N/A",W293)</f>
        <v>N/A</v>
      </c>
      <c r="X295" s="4898"/>
      <c r="Y295" s="4898"/>
      <c r="Z295" s="4898"/>
      <c r="AA295" s="4898"/>
      <c r="AB295" s="4898"/>
      <c r="AC295" s="4898"/>
      <c r="AD295" s="4898"/>
      <c r="AE295" s="4898"/>
      <c r="AF295" s="4897"/>
      <c r="AG295" s="4896" t="str">
        <f xml:space="preserve"> IF(OR(AP293="",AP293=0),"N/A",AG293)</f>
        <v>N/A</v>
      </c>
      <c r="AH295" s="4898"/>
      <c r="AI295" s="4898"/>
      <c r="AJ295" s="4898"/>
      <c r="AK295" s="4898"/>
      <c r="AL295" s="4898"/>
      <c r="AM295" s="4898"/>
      <c r="AN295" s="4898"/>
      <c r="AO295" s="4898"/>
      <c r="AP295" s="4897"/>
      <c r="AQ295" s="4896" t="str">
        <f xml:space="preserve"> IF(OR(AZ293="",AZ293=0),"N/A",AQ293)</f>
        <v>N/A</v>
      </c>
      <c r="AR295" s="4898"/>
      <c r="AS295" s="4898"/>
      <c r="AT295" s="4898"/>
      <c r="AU295" s="4898"/>
      <c r="AV295" s="4898"/>
      <c r="AW295" s="4898"/>
      <c r="AX295" s="4898"/>
      <c r="AY295" s="4898"/>
      <c r="AZ295" s="4897"/>
      <c r="BA295" s="4896" t="str">
        <f xml:space="preserve"> IF(OR(BJ293="",BJ293=0),"N/A",BA293)</f>
        <v>N/A</v>
      </c>
      <c r="BB295" s="4898"/>
      <c r="BC295" s="4898"/>
      <c r="BD295" s="4898"/>
      <c r="BE295" s="4898"/>
      <c r="BF295" s="4898"/>
      <c r="BG295" s="4898"/>
      <c r="BH295" s="4898"/>
      <c r="BI295" s="4898"/>
      <c r="BJ295" s="4897"/>
      <c r="BK295" s="990" t="s">
        <v>4541</v>
      </c>
      <c r="BL295" s="972"/>
      <c r="BM295" s="1007"/>
      <c r="BN295" s="991"/>
      <c r="BO295" s="992"/>
      <c r="BP295" s="993" t="str">
        <f>IF(I295="Si",VLOOKUP($D$8,TablasTec!$E$4:$F$6,2,FALSE),"")</f>
        <v/>
      </c>
      <c r="BQ295" s="963" t="str">
        <f>IF(L295="Si",VLOOKUP($D$8,TablasTec!$I$4:$J$6,2,FALSE),"")</f>
        <v/>
      </c>
      <c r="BR295" s="994" t="str">
        <f>IF(O295="Si",VLOOKUP($D$8,TablasTec!$I$7:$J$9,2,FALSE),"")</f>
        <v/>
      </c>
      <c r="BS295" s="977"/>
      <c r="BU295" s="4863"/>
      <c r="BV295" s="4863"/>
      <c r="BW295" s="4863"/>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c r="A296" s="922"/>
      <c r="B296" s="922"/>
      <c r="C296" s="4909"/>
      <c r="D296" s="1435" t="s">
        <v>1766</v>
      </c>
      <c r="E296" s="978"/>
      <c r="F296" s="1008"/>
      <c r="G296" s="1420" t="str">
        <f>IF(E296=0,"",VLOOKUP(E296,TablasTec!$A$14:$V$771,3,FALSE))</f>
        <v/>
      </c>
      <c r="H296" s="981" t="str">
        <f>IF($E296=0,"",VLOOKUP($E296,TablasTec!$A$14:$V$771,4,FALSE))</f>
        <v/>
      </c>
      <c r="I296" s="982" t="s">
        <v>1690</v>
      </c>
      <c r="J296" s="1398" t="str">
        <f>IF(E296=0,"",VLOOKUP(E296,TablasTec!$A$14:$V$771,5,FALSE))</f>
        <v/>
      </c>
      <c r="K296" s="984" t="str">
        <f>IF(I296="Si",IF(E296=0,"",VLOOKUP(E296,TablasTec!$A$14:$V$771,5,FALSE)),"")</f>
        <v/>
      </c>
      <c r="L296" s="982" t="s">
        <v>1690</v>
      </c>
      <c r="M296" s="1398" t="str">
        <f>IF(E296=0,"",VLOOKUP(E296,TablasTec!$A$14:$V$771,6,FALSE))</f>
        <v/>
      </c>
      <c r="N296" s="985" t="str">
        <f>IF(L296="Si",IF(E296=0,"",VLOOKUP(E296,TablasTec!$A$14:$V$771,6,FALSE)),"")</f>
        <v/>
      </c>
      <c r="O296" s="982" t="s">
        <v>1690</v>
      </c>
      <c r="P296" s="1398" t="str">
        <f>IF(E296=0,"",VLOOKUP(E296,TablasTec!$A$14:$V$771,7,FALSE))</f>
        <v/>
      </c>
      <c r="Q296" s="985" t="str">
        <f>IF(O296="Si",IF(E296=0,"",VLOOKUP(E296,TablasTec!$A$14:$V$771,7,FALSE)),"")</f>
        <v/>
      </c>
      <c r="R296" s="983" t="str">
        <f>IF(E296=0,"",VLOOKUP(E296,TablasTec!$A$14:$V$771,8,FALSE))</f>
        <v/>
      </c>
      <c r="S296" s="981" t="str">
        <f>IF(R296=$D$8,$D$8,IF(R296=2,2,IF(R296=3,3,R296)))</f>
        <v/>
      </c>
      <c r="T296" s="4899" t="s">
        <v>4542</v>
      </c>
      <c r="U296" s="4900"/>
      <c r="V296" s="3180"/>
      <c r="W296" s="4901"/>
      <c r="X296" s="4902"/>
      <c r="Y296" s="4902"/>
      <c r="Z296" s="4902"/>
      <c r="AA296" s="4902"/>
      <c r="AB296" s="4902"/>
      <c r="AC296" s="4902"/>
      <c r="AD296" s="4902"/>
      <c r="AE296" s="4902"/>
      <c r="AF296" s="4903"/>
      <c r="AG296" s="4901"/>
      <c r="AH296" s="4902"/>
      <c r="AI296" s="4902"/>
      <c r="AJ296" s="4902"/>
      <c r="AK296" s="4902"/>
      <c r="AL296" s="4902"/>
      <c r="AM296" s="4902"/>
      <c r="AN296" s="4902"/>
      <c r="AO296" s="4902"/>
      <c r="AP296" s="4903"/>
      <c r="AQ296" s="4901"/>
      <c r="AR296" s="4902"/>
      <c r="AS296" s="4902"/>
      <c r="AT296" s="4902"/>
      <c r="AU296" s="4902"/>
      <c r="AV296" s="4902"/>
      <c r="AW296" s="4902"/>
      <c r="AX296" s="4902"/>
      <c r="AY296" s="4902"/>
      <c r="AZ296" s="4903"/>
      <c r="BA296" s="4901"/>
      <c r="BB296" s="4902"/>
      <c r="BC296" s="4902"/>
      <c r="BD296" s="4902"/>
      <c r="BE296" s="4902"/>
      <c r="BF296" s="4902"/>
      <c r="BG296" s="4902"/>
      <c r="BH296" s="4902"/>
      <c r="BI296" s="4902"/>
      <c r="BJ296" s="4903"/>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IF(I296="Si",VLOOKUP($D$8,TablasTec!$E$4:$F$6,2,FALSE),"")</f>
        <v/>
      </c>
      <c r="BQ296" s="962" t="str">
        <f>IF(L296="Si",VLOOKUP($D$8,TablasTec!$I$4:$J$6,2,FALSE),"")</f>
        <v/>
      </c>
      <c r="BR296" s="960" t="str">
        <f>IF(O296="Si",VLOOKUP($D$8,TablasTec!$I$7:$J$9,2,FALSE),"")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c r="A297" s="922"/>
      <c r="B297" s="922"/>
      <c r="C297" s="4909"/>
      <c r="D297" s="1436" t="s">
        <v>1766</v>
      </c>
      <c r="E297" s="986"/>
      <c r="F297" s="1002"/>
      <c r="G297" s="972" t="str">
        <f>IF(E297=0,"",VLOOKUP(E297,TablasTec!$A$14:$V$771,3,FALSE))</f>
        <v/>
      </c>
      <c r="H297" s="987" t="str">
        <f>IF($E297=0,"",VLOOKUP($E297,TablasTec!$A$14:$V$771,4,FALSE))</f>
        <v/>
      </c>
      <c r="I297" s="970" t="s">
        <v>1690</v>
      </c>
      <c r="J297" s="1394" t="str">
        <f>IF(E297=0,"",VLOOKUP(E297,TablasTec!$A$14:$V$771,5,FALSE))</f>
        <v/>
      </c>
      <c r="K297" s="989" t="str">
        <f>IF(I297="Si",IF(E297=0,"",VLOOKUP(E297,TablasTec!$A$14:$V$771,5,FALSE)),"")</f>
        <v/>
      </c>
      <c r="L297" s="970" t="s">
        <v>1690</v>
      </c>
      <c r="M297" s="1394" t="str">
        <f>IF(E297=0,"",VLOOKUP(E297,TablasTec!$A$14:$V$771,6,FALSE))</f>
        <v/>
      </c>
      <c r="N297" s="973" t="str">
        <f>IF(L297="Si",IF(E297=0,"",VLOOKUP(E297,TablasTec!$A$14:$V$771,6,FALSE)),"")</f>
        <v/>
      </c>
      <c r="O297" s="970" t="s">
        <v>1690</v>
      </c>
      <c r="P297" s="1394" t="str">
        <f>IF(E297=0,"",VLOOKUP(E297,TablasTec!$A$14:$V$771,7,FALSE))</f>
        <v/>
      </c>
      <c r="Q297" s="973" t="str">
        <f>IF(O297="Si",IF(E297=0,"",VLOOKUP(E297,TablasTec!$A$14:$V$771,7,FALSE)),"")</f>
        <v/>
      </c>
      <c r="R297" s="988" t="str">
        <f>IF(E297=0,"",VLOOKUP(E297,TablasTec!$A$14:$V$771,8,FALSE))</f>
        <v/>
      </c>
      <c r="S297" s="987" t="str">
        <f>IF(R297=$D$8,$D$8,IF(R297=2,2,IF(R297=3,3,R297)))</f>
        <v/>
      </c>
      <c r="T297" s="4904" t="s">
        <v>4544</v>
      </c>
      <c r="U297" s="4905"/>
      <c r="V297" s="3183"/>
      <c r="W297" s="4906"/>
      <c r="X297" s="4907"/>
      <c r="Y297" s="4907"/>
      <c r="Z297" s="4907"/>
      <c r="AA297" s="4907"/>
      <c r="AB297" s="4907"/>
      <c r="AC297" s="4907"/>
      <c r="AD297" s="4907"/>
      <c r="AE297" s="4907"/>
      <c r="AF297" s="4908"/>
      <c r="AG297" s="4906"/>
      <c r="AH297" s="4907"/>
      <c r="AI297" s="4907"/>
      <c r="AJ297" s="4907"/>
      <c r="AK297" s="4907"/>
      <c r="AL297" s="4907"/>
      <c r="AM297" s="4907"/>
      <c r="AN297" s="4907"/>
      <c r="AO297" s="4907"/>
      <c r="AP297" s="4908"/>
      <c r="AQ297" s="4906"/>
      <c r="AR297" s="4907"/>
      <c r="AS297" s="4907"/>
      <c r="AT297" s="4907"/>
      <c r="AU297" s="4907"/>
      <c r="AV297" s="4907"/>
      <c r="AW297" s="4907"/>
      <c r="AX297" s="4907"/>
      <c r="AY297" s="4907"/>
      <c r="AZ297" s="4908"/>
      <c r="BA297" s="4906"/>
      <c r="BB297" s="4907"/>
      <c r="BC297" s="4907"/>
      <c r="BD297" s="4907"/>
      <c r="BE297" s="4907"/>
      <c r="BF297" s="4907"/>
      <c r="BG297" s="4907"/>
      <c r="BH297" s="4907"/>
      <c r="BI297" s="4907"/>
      <c r="BJ297" s="4908"/>
      <c r="BK297" s="987">
        <f>SUM(K293:K297)-SUM(V297:BA297)</f>
        <v>0</v>
      </c>
      <c r="BL297" s="972"/>
      <c r="BM297" s="1007"/>
      <c r="BN297" s="991"/>
      <c r="BO297" s="992"/>
      <c r="BP297" s="993" t="str">
        <f>IF(I297="Si",VLOOKUP($D$8,TablasTec!$E$4:$F$6,2,FALSE),"")</f>
        <v/>
      </c>
      <c r="BQ297" s="963" t="str">
        <f>IF(L297="Si",VLOOKUP($D$8,TablasTec!$I$4:$J$6,2,FALSE),"")</f>
        <v/>
      </c>
      <c r="BR297" s="994" t="str">
        <f>IF(O297="Si",VLOOKUP($D$8,TablasTec!$I$7:$J$9,2,FALSE),"")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c r="A298" s="922"/>
      <c r="B298" s="922"/>
      <c r="C298" s="4909"/>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89"/>
      <c r="BL298" s="4889"/>
      <c r="BM298" s="4854"/>
      <c r="BN298" s="960">
        <f>SUM(K298:K301)</f>
        <v>0</v>
      </c>
      <c r="BO298" s="954">
        <f>IF(E298=0,"",(AF298+AP298+AZ298+BJ298))</f>
        <v>0</v>
      </c>
      <c r="BP298" s="961" t="str">
        <f>IF(I298="Si",VLOOKUP($D$8,TablasTec!$E$4:$F$6,2,FALSE),"")</f>
        <v/>
      </c>
      <c r="BQ298" s="962" t="str">
        <f>IF(L298="Si",VLOOKUP($D$8,TablasTec!$I$4:$J$6,2,FALSE),"")</f>
        <v/>
      </c>
      <c r="BR298" s="960" t="str">
        <f>IF(O298="Si",VLOOKUP($D$8,TablasTec!$I$7:$J$9,2,FALSE),"")</f>
        <v/>
      </c>
      <c r="BS298" s="977"/>
      <c r="BT298" s="4853" t="s">
        <v>4553</v>
      </c>
      <c r="BU298" s="4854"/>
      <c r="BV298" s="954"/>
      <c r="BW298" s="934"/>
      <c r="BX298" s="934"/>
      <c r="BY298" s="1269"/>
      <c r="BZ298" s="1287"/>
      <c r="CA298" s="922"/>
      <c r="DR298" s="922"/>
      <c r="DT298" s="1308"/>
      <c r="DU298" s="1360"/>
      <c r="DV298" s="1360"/>
      <c r="DW298" s="1360"/>
      <c r="DX298" s="1360"/>
      <c r="DY298" s="1307"/>
      <c r="DZ298" s="922"/>
      <c r="EA298" s="1453">
        <f t="shared" si="4"/>
        <v>1</v>
      </c>
    </row>
    <row r="299" spans="1:132" ht="12">
      <c r="A299" s="922"/>
      <c r="B299" s="922"/>
      <c r="C299" s="4909"/>
      <c r="D299" s="1439" t="s">
        <v>4552</v>
      </c>
      <c r="E299" s="966"/>
      <c r="F299" s="989"/>
      <c r="G299" s="989"/>
      <c r="H299" s="987" t="str">
        <f>IF(D267=0,"",IF(E299=0,"",VLOOKUP(E299,TablasTec!$A$14:$V$771,4,FALSE)))</f>
        <v/>
      </c>
      <c r="I299" s="989"/>
      <c r="J299" s="989"/>
      <c r="K299" s="1021"/>
      <c r="L299" s="989"/>
      <c r="M299" s="989"/>
      <c r="N299" s="1021"/>
      <c r="O299" s="989"/>
      <c r="P299" s="989"/>
      <c r="Q299" s="989"/>
      <c r="R299" s="988" t="str">
        <f>IF(E299=0,"",VLOOKUP(E299,TablasTec!$A$14:$V$771,8,FALSE))</f>
        <v/>
      </c>
      <c r="S299" s="1014" t="str">
        <f>IF(R299=$D$8,$D$8,IF(R299=2,2,IF(R299=3,3,R299)))</f>
        <v/>
      </c>
      <c r="T299" s="989" t="str">
        <f>IF(E299=0,"",VLOOKUP(E299,TablasTec!$A$14:$V$771,9,FALSE))</f>
        <v/>
      </c>
      <c r="U299" s="1016" t="str">
        <f>IF(E299=0,"",VLOOKUP(E299,TablasTec!$A$14:$V$771,10,FALSE))</f>
        <v/>
      </c>
      <c r="V299" s="1017"/>
      <c r="W299" s="1017"/>
      <c r="X299" s="1016"/>
      <c r="Y299" s="1016"/>
      <c r="Z299" s="1016"/>
      <c r="AA299" s="1016"/>
      <c r="AB299" s="1016"/>
      <c r="AC299" s="1016"/>
      <c r="AD299" s="1016"/>
      <c r="AE299" s="1016"/>
      <c r="AF299" s="1016"/>
      <c r="AG299" s="4886" t="str">
        <f>IF(OR(E299=TablasTec!A$678,E299=TablasTec!A$679,E300=TablasTec!A$678,E300=TablasTec!A$679,E301=TablasTec!A$678,E301=TablasTec!A$679),"Selecciona la atadura elemental:","")</f>
        <v/>
      </c>
      <c r="AH299" s="4887"/>
      <c r="AI299" s="4887"/>
      <c r="AJ299" s="4887"/>
      <c r="AK299" s="4887"/>
      <c r="AL299" s="4887"/>
      <c r="AM299" s="4887"/>
      <c r="AN299" s="4887"/>
      <c r="AO299" s="4887"/>
      <c r="AP299" s="4887"/>
      <c r="AQ299" s="4887"/>
      <c r="AR299" s="4887"/>
      <c r="AS299" s="4887"/>
      <c r="AT299" s="4887"/>
      <c r="AU299" s="4887"/>
      <c r="AV299" s="4887"/>
      <c r="AW299" s="4887"/>
      <c r="AX299" s="4887"/>
      <c r="AY299" s="4887"/>
      <c r="AZ299" s="4887"/>
      <c r="BA299" s="4887"/>
      <c r="BB299" s="4887"/>
      <c r="BC299" s="4887"/>
      <c r="BD299" s="4887"/>
      <c r="BE299" s="4887"/>
      <c r="BF299" s="4887"/>
      <c r="BG299" s="4887"/>
      <c r="BH299" s="4887"/>
      <c r="BI299" s="4887"/>
      <c r="BJ299" s="4887"/>
      <c r="BK299" s="4888"/>
      <c r="BL299" s="1424"/>
      <c r="BM299" s="1424"/>
      <c r="BN299" s="989"/>
      <c r="BO299" s="989"/>
      <c r="BP299" s="1021"/>
      <c r="BQ299" s="989"/>
      <c r="BR299" s="989"/>
      <c r="BS299" s="989"/>
      <c r="BT299" s="4855">
        <f>D267</f>
        <v>1</v>
      </c>
      <c r="BU299" s="4856"/>
      <c r="BV299" s="954">
        <f>IF(BV298=0,0,VLOOKUP(BV298,TablasTec!$M$4:$N$7,2,FALSE))</f>
        <v>0</v>
      </c>
      <c r="BW299" s="934"/>
      <c r="BX299" s="934"/>
      <c r="BY299" s="1269"/>
      <c r="BZ299" s="1287"/>
      <c r="CA299" s="922"/>
      <c r="DR299" s="922"/>
      <c r="DT299" s="1308"/>
      <c r="DU299" s="1360"/>
      <c r="DV299" s="1360"/>
      <c r="DW299" s="1360"/>
      <c r="DX299" s="1360"/>
      <c r="DY299" s="1307"/>
      <c r="DZ299" s="922"/>
      <c r="EA299" s="1453">
        <f t="shared" si="4"/>
        <v>1</v>
      </c>
    </row>
    <row r="300" spans="1:132">
      <c r="A300" s="922"/>
      <c r="B300" s="922"/>
      <c r="C300" s="4909"/>
      <c r="D300" s="1435" t="s">
        <v>4554</v>
      </c>
      <c r="E300" s="1022"/>
      <c r="F300" s="1388"/>
      <c r="G300" s="1389"/>
      <c r="H300" s="979" t="str">
        <f>IF(VALUE(D267)&gt;1,IF(E300=0,"",VLOOKUP(E300,TablasTec!$A$14:$V$771,4,FALSE)),"")</f>
        <v/>
      </c>
      <c r="I300" s="1388"/>
      <c r="J300" s="1389"/>
      <c r="K300" s="1389"/>
      <c r="L300" s="1388"/>
      <c r="M300" s="1389"/>
      <c r="N300" s="1390"/>
      <c r="O300" s="1389"/>
      <c r="P300" s="1389"/>
      <c r="Q300" s="1389"/>
      <c r="R300" s="983" t="str">
        <f>IF(E300=0,"",VLOOKUP(E300,TablasTec!$A$14:$V$771,8,FALSE))</f>
        <v/>
      </c>
      <c r="S300" s="981" t="str">
        <f>IF(R300=$D$8,$D$8,IF(R300=2,2,IF(R300=3,3,R300)))</f>
        <v/>
      </c>
      <c r="T300" s="984" t="str">
        <f>IF(E300=0,"",VLOOKUP(E300,TablasTec!$A$14:$V$771,9,FALSE))</f>
        <v/>
      </c>
      <c r="U300" s="984" t="str">
        <f>IF(E300=0,"",VLOOKUP(E300,TablasTec!$A$14:$V$771,10,FALSE))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c r="A301" s="922"/>
      <c r="B301" s="922"/>
      <c r="C301" s="4909"/>
      <c r="D301" s="1440" t="s">
        <v>4555</v>
      </c>
      <c r="E301" s="1023"/>
      <c r="F301" s="3176"/>
      <c r="G301" s="998"/>
      <c r="H301" s="997" t="str">
        <f>IF(VALUE(D267)=3,IF(E301=0,"",VLOOKUP(E301,TablasTec!$A$14:$V$771,4,FALSE)),"")</f>
        <v/>
      </c>
      <c r="I301" s="998"/>
      <c r="J301" s="998"/>
      <c r="K301" s="998"/>
      <c r="L301" s="3176"/>
      <c r="M301" s="998"/>
      <c r="N301" s="998"/>
      <c r="O301" s="3176"/>
      <c r="P301" s="998"/>
      <c r="Q301" s="998"/>
      <c r="R301" s="1018" t="str">
        <f>IF(E301=0,"",VLOOKUP(E301,TablasTec!$A$14:$V$771,8,FALSE))</f>
        <v/>
      </c>
      <c r="S301" s="997" t="str">
        <f>IF(R301=$D$8,$D$8,IF(R301=2,2,IF(R301=3,3,R301)))</f>
        <v/>
      </c>
      <c r="T301" s="998" t="str">
        <f>IF(E301=0,"",VLOOKUP(E301,TablasTec!$A$14:$V$771,9,FALSE))</f>
        <v/>
      </c>
      <c r="U301" s="998" t="str">
        <f>IF(E301=0,"",VLOOKUP(E301,TablasTec!$A$14:$V$771,10,FALSE))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IF(BV300=0,0,VLOOKUP(BV300,TablasTec!$M$4:$N$7,2,FALSE))</f>
        <v>0</v>
      </c>
      <c r="BW301" s="934"/>
      <c r="BX301" s="934"/>
      <c r="BY301" s="1269"/>
      <c r="BZ301" s="1287"/>
      <c r="CA301" s="926"/>
      <c r="DR301" s="926"/>
      <c r="DT301" s="1311"/>
      <c r="DU301" s="1416"/>
      <c r="DV301" s="1416"/>
      <c r="DW301" s="1416"/>
      <c r="DX301" s="1416"/>
      <c r="DY301" s="1312"/>
      <c r="DZ301" s="926"/>
      <c r="EA301" s="1453">
        <f t="shared" si="4"/>
        <v>1</v>
      </c>
    </row>
    <row r="302" spans="1:132">
      <c r="A302" s="926"/>
      <c r="B302" s="926"/>
      <c r="C302" s="4909"/>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c r="A303" s="922"/>
      <c r="B303" s="922"/>
      <c r="C303" s="4909"/>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c r="A304" s="922"/>
      <c r="B304" s="922"/>
      <c r="C304" s="4909"/>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3175" t="s">
        <v>1708</v>
      </c>
      <c r="U304" s="3175" t="s">
        <v>1679</v>
      </c>
      <c r="V304" s="3175" t="s">
        <v>3335</v>
      </c>
      <c r="W304" s="4881" t="s">
        <v>3336</v>
      </c>
      <c r="X304" s="4881"/>
      <c r="Y304" s="4881"/>
      <c r="Z304" s="4881"/>
      <c r="AA304" s="4881"/>
      <c r="AB304" s="4881"/>
      <c r="AC304" s="4881"/>
      <c r="AD304" s="4881"/>
      <c r="AE304" s="4881"/>
      <c r="AF304" s="4881"/>
      <c r="AG304" s="4881"/>
      <c r="AH304" s="4881"/>
      <c r="AI304" s="4881"/>
      <c r="AJ304" s="4881"/>
      <c r="AK304" s="4881"/>
      <c r="AL304" s="4881"/>
      <c r="AM304" s="4881"/>
      <c r="AN304" s="4881"/>
      <c r="AO304" s="4881"/>
      <c r="AP304" s="4881"/>
      <c r="AQ304" s="4881"/>
      <c r="AR304" s="4881"/>
      <c r="AS304" s="4881"/>
      <c r="AT304" s="4881"/>
      <c r="AU304" s="4881"/>
      <c r="AV304" s="4881"/>
      <c r="AW304" s="4881"/>
      <c r="AX304" s="4881"/>
      <c r="AY304" s="4881"/>
      <c r="AZ304" s="4881"/>
      <c r="BA304" s="4881"/>
      <c r="BB304" s="4881"/>
      <c r="BC304" s="4881"/>
      <c r="BD304" s="4881"/>
      <c r="BE304" s="4881"/>
      <c r="BF304" s="4881"/>
      <c r="BG304" s="4881"/>
      <c r="BH304" s="4881"/>
      <c r="BI304" s="4881"/>
      <c r="BJ304" s="4881"/>
      <c r="BK304" s="4881" t="s">
        <v>3337</v>
      </c>
      <c r="BL304" s="4881"/>
      <c r="BM304" s="4882"/>
      <c r="BN304" s="952" t="s">
        <v>4532</v>
      </c>
      <c r="BO304" s="952" t="s">
        <v>4533</v>
      </c>
      <c r="BP304" s="952" t="s">
        <v>4534</v>
      </c>
      <c r="BQ304" s="952" t="s">
        <v>4535</v>
      </c>
      <c r="BR304" s="952" t="s">
        <v>4536</v>
      </c>
      <c r="BS304" s="953" t="s">
        <v>4537</v>
      </c>
      <c r="BT304" s="4857" t="s">
        <v>4538</v>
      </c>
      <c r="BU304" s="4858"/>
      <c r="BV304" s="954"/>
      <c r="BW304" s="934"/>
      <c r="BX304" s="934"/>
      <c r="BY304" s="1269"/>
      <c r="BZ304" s="1287"/>
      <c r="CA304" s="922"/>
      <c r="DR304" s="922"/>
      <c r="DT304" s="1308"/>
      <c r="DU304" s="1360"/>
      <c r="DV304" s="1360"/>
      <c r="DW304" s="1360"/>
      <c r="DX304" s="1360"/>
      <c r="DY304" s="1307"/>
      <c r="DZ304" s="922"/>
      <c r="EB304" s="2127">
        <f>D304</f>
        <v>1</v>
      </c>
    </row>
    <row r="305" spans="1:131">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09"/>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IF(I305="Si",VLOOKUP($D$8,TablasTec!$E$4:$F$6,2,FALSE),"")</f>
        <v/>
      </c>
      <c r="BQ305" s="962" t="str">
        <f>IF(L305="Si",VLOOKUP($D$8,TablasTec!$I$4:$J$6,2,FALSE),"")</f>
        <v/>
      </c>
      <c r="BR305" s="960" t="str">
        <f>IF(O305="Si",VLOOKUP($D$8,TablasTec!$I$7:$J$9,2,FALSE),"")</f>
        <v/>
      </c>
      <c r="BS305" s="963">
        <f>VLOOKUP(D304,TablasTec!$P$6:$R$8,3)</f>
        <v>50</v>
      </c>
      <c r="BT305" s="964">
        <f>VLOOKUP(D304,TablasTec!$P$6:$R$8,3,FALSE)</f>
        <v>50</v>
      </c>
      <c r="BU305" s="965">
        <f>VLOOKUP(D304,TablasTec!$P$6:$R$8,2,FALSE)</f>
        <v>20</v>
      </c>
      <c r="BV305" s="954">
        <f>IF(D304=0,"",VLOOKUP(D304,TablasTec!$L$4:$N$7,2,FALSE))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09"/>
      <c r="D306" s="1436" t="s">
        <v>1766</v>
      </c>
      <c r="E306" s="966"/>
      <c r="F306" s="967" t="str">
        <f>IF(E306=0,"",VLOOKUP(E306,TablasTec!$A$14:$V$771,2,FALSE))</f>
        <v/>
      </c>
      <c r="G306" s="968"/>
      <c r="H306" s="969" t="str">
        <f>IF($E306=0,"",VLOOKUP($E306,TablasTec!$A$14:$V$771,4,FALSE))</f>
        <v/>
      </c>
      <c r="I306" s="970" t="s">
        <v>1690</v>
      </c>
      <c r="J306" s="1395" t="str">
        <f>IF(E306=0,"",VLOOKUP(E306,TablasTec!$A$14:$V$771,5,FALSE))</f>
        <v/>
      </c>
      <c r="K306" s="972" t="str">
        <f>IF(I306="Si",IF(E306=0,"",VLOOKUP(E306,TablasTec!$A$14:$V$771,5,FALSE)),"")</f>
        <v/>
      </c>
      <c r="L306" s="970" t="s">
        <v>1690</v>
      </c>
      <c r="M306" s="1395" t="str">
        <f>IF(E306=0,"",VLOOKUP(E306,TablasTec!$A$14:$V$771,6,FALSE))</f>
        <v/>
      </c>
      <c r="N306" s="973" t="str">
        <f>IF(L306="Si",IF(E306=0,"",VLOOKUP(E306,TablasTec!$A$14:$V$771,6,FALSE)),"")</f>
        <v/>
      </c>
      <c r="O306" s="970" t="s">
        <v>1690</v>
      </c>
      <c r="P306" s="1395" t="str">
        <f>IF(E306=0,"",VLOOKUP(E306,TablasTec!$A$14:$V$771,7,FALSE))</f>
        <v/>
      </c>
      <c r="Q306" s="973" t="str">
        <f>IF(O306="Si",IF(E306=0,"",VLOOKUP(E306,TablasTec!$A$14:$V$771,7,FALSE)),"")</f>
        <v/>
      </c>
      <c r="R306" s="971" t="str">
        <f>IF(E306=0,"",VLOOKUP(E306,TablasTec!$A$14:$V$771,8,FALSE))</f>
        <v/>
      </c>
      <c r="S306" s="969" t="str">
        <f>IF(R306=$D$8,$D$8,IF(R306=2,2,IF(R306=3,3,R306)))</f>
        <v/>
      </c>
      <c r="T306" s="972" t="str">
        <f>IF(E306=0,"",VLOOKUP(E306,TablasTec!$A$14:$V$771,9,FALSE))</f>
        <v/>
      </c>
      <c r="U306" s="972" t="str">
        <f>IF(E306=0,"",VLOOKUP(E306,TablasTec!$A$14:$V$771,10,FALSE))</f>
        <v/>
      </c>
      <c r="V306" s="967" t="str">
        <f>IF(E306=0,"",VLOOKUP(E306,TablasTec!$A$14:$V$771,11,FALSE))</f>
        <v/>
      </c>
      <c r="W306" s="970"/>
      <c r="X306" s="971" t="e">
        <f>VLOOKUP(E306,TablasTec!$A$14:$V$771,12,FALSE)</f>
        <v>#N/A</v>
      </c>
      <c r="Y306" s="971" t="e">
        <f>IF(W306=X306,VLOOKUP(E306,TablasTec!$A$14:$V$771,13,FALSE),0)</f>
        <v>#N/A</v>
      </c>
      <c r="Z306" s="971" t="e">
        <f>VLOOKUP(E306,TablasTec!$A$14:$V$771,14,FALSE)</f>
        <v>#N/A</v>
      </c>
      <c r="AA306" s="971" t="e">
        <f>IF(W306=Z306,VLOOKUP(E306,TablasTec!$A$14:$V$616,15,FALSE),0)</f>
        <v>#N/A</v>
      </c>
      <c r="AB306" s="971" t="e">
        <f>VLOOKUP(E306,TablasTec!$A$14:$V$771,16,FALSE)</f>
        <v>#N/A</v>
      </c>
      <c r="AC306" s="971" t="e">
        <f>IF(W306=AB306,VLOOKUP(E306,TablasTec!$A$14:$V$616,17,FALSE),0)</f>
        <v>#N/A</v>
      </c>
      <c r="AD306" s="971" t="e">
        <f>VLOOKUP(E306,TablasTec!$A$14:$V$771,18,FALSE)</f>
        <v>#N/A</v>
      </c>
      <c r="AE306" s="971" t="e">
        <f>IF(W306=AD306,VLOOKUP(E306,TablasTec!$A$14:$V$771,19,FALSE),0)</f>
        <v>#N/A</v>
      </c>
      <c r="AF306" s="973" t="str">
        <f>IF(E306=0,"",(Y306+AA306+AC306+AE306))</f>
        <v/>
      </c>
      <c r="AG306" s="970"/>
      <c r="AH306" s="971" t="e">
        <f>VLOOKUP(E306,TablasTec!$A$14:$V$771,12,FALSE)</f>
        <v>#N/A</v>
      </c>
      <c r="AI306" s="971" t="e">
        <f>IF(AG306=AH306,VLOOKUP(E306,TablasTec!$A$14:$V$771,13,FALSE),0)</f>
        <v>#N/A</v>
      </c>
      <c r="AJ306" s="971" t="e">
        <f>VLOOKUP(E306,TablasTec!$A$14:$V$771,14,FALSE)</f>
        <v>#N/A</v>
      </c>
      <c r="AK306" s="971" t="e">
        <f>IF(AG306=AJ306,VLOOKUP(E306,TablasTec!$A$14:$V$771,15,FALSE),0)</f>
        <v>#N/A</v>
      </c>
      <c r="AL306" s="971" t="e">
        <f>VLOOKUP(E306,TablasTec!$A$14:$V$771,16,FALSE)</f>
        <v>#N/A</v>
      </c>
      <c r="AM306" s="971" t="e">
        <f>IF(AG306=AL306,VLOOKUP(E306,TablasTec!$A$14:$V$771,17,FALSE),0)</f>
        <v>#N/A</v>
      </c>
      <c r="AN306" s="971" t="e">
        <f>VLOOKUP(E306,TablasTec!$A$14:$V$771,18,FALSE)</f>
        <v>#N/A</v>
      </c>
      <c r="AO306" s="971" t="e">
        <f>IF(AG306=AN306,VLOOKUP(E306,TablasTec!$A$14:$V$771,19,FALSE),0)</f>
        <v>#N/A</v>
      </c>
      <c r="AP306" s="973" t="str">
        <f>IF(E306=0,"",(AI306+AK306+AM306+AO306))</f>
        <v/>
      </c>
      <c r="AQ306" s="970"/>
      <c r="AR306" s="971" t="e">
        <f>VLOOKUP(E306,TablasTec!$A$14:$V$771,12,FALSE)</f>
        <v>#N/A</v>
      </c>
      <c r="AS306" s="971" t="e">
        <f>IF(AQ306=AR306,VLOOKUP(E306,TablasTec!$A$14:$V$771,13,FALSE),0)</f>
        <v>#N/A</v>
      </c>
      <c r="AT306" s="971" t="e">
        <f>VLOOKUP(E306,TablasTec!$A$14:$V$771,14,FALSE)</f>
        <v>#N/A</v>
      </c>
      <c r="AU306" s="971" t="e">
        <f>IF(AQ306=AT306,VLOOKUP(E306,TablasTec!$A$14:$V$771,15,FALSE),0)</f>
        <v>#N/A</v>
      </c>
      <c r="AV306" s="971" t="e">
        <f>VLOOKUP(E306,TablasTec!$A$14:$V$771,16,FALSE)</f>
        <v>#N/A</v>
      </c>
      <c r="AW306" s="971" t="e">
        <f>IF(AQ306=AV306,VLOOKUP(E306,TablasTec!$A$14:$V$771,17,FALSE),0)</f>
        <v>#N/A</v>
      </c>
      <c r="AX306" s="971" t="e">
        <f>VLOOKUP(E306,TablasTec!$A$14:$V$771,18,FALSE)</f>
        <v>#N/A</v>
      </c>
      <c r="AY306" s="971" t="e">
        <f>IF(AQ306=AX306,VLOOKUP(E306,TablasTec!$A$14:$V$771,19,FALSE),0)</f>
        <v>#N/A</v>
      </c>
      <c r="AZ306" s="972" t="str">
        <f>IF(E306=0,"",(AS306+AU306+AW306+AY306))</f>
        <v/>
      </c>
      <c r="BA306" s="970"/>
      <c r="BB306" s="971" t="e">
        <f>VLOOKUP(E306,TablasTec!$A$14:$V$771,12,FALSE)</f>
        <v>#N/A</v>
      </c>
      <c r="BC306" s="971" t="e">
        <f>IF(BA306=BB306,VLOOKUP(E306,TablasTec!$A$14:$V$771,13,FALSE),0)</f>
        <v>#N/A</v>
      </c>
      <c r="BD306" s="971" t="e">
        <f>VLOOKUP(E306,TablasTec!$A$14:$V$771,14,FALSE)</f>
        <v>#N/A</v>
      </c>
      <c r="BE306" s="971" t="e">
        <f>IF(BA306=BD306,VLOOKUP(E306,TablasTec!$A$14:$V$771,15,FALSE),0)</f>
        <v>#N/A</v>
      </c>
      <c r="BF306" s="971" t="e">
        <f>VLOOKUP(E306,TablasTec!$A$14:$V$771,16,FALSE)</f>
        <v>#N/A</v>
      </c>
      <c r="BG306" s="971" t="e">
        <f>IF(BA306=BF306,VLOOKUP(E306,TablasTec!$A$14:$V$771,17,FALSE),0)</f>
        <v>#N/A</v>
      </c>
      <c r="BH306" s="971" t="e">
        <f>VLOOKUP(E306,TablasTec!$A$14:$V$771,18,FALSE)</f>
        <v>#N/A</v>
      </c>
      <c r="BI306" s="971" t="e">
        <f>IF(BA306=BH306,VLOOKUP(E306,TablasTec!$A$14:$V$771,19,FALSE),0)</f>
        <v>#N/A</v>
      </c>
      <c r="BJ306" s="973" t="str">
        <f>IF(E306=0,"",(BC306+BE306+BG306+BI306))</f>
        <v/>
      </c>
      <c r="BK306" s="972" t="str">
        <f>IF(E306=0,"",VLOOKUP(E306,TablasTec!$A$14:$V$771,20,FALSE))</f>
        <v/>
      </c>
      <c r="BL306" s="972" t="str">
        <f>IF(E306=0,"",VLOOKUP(E306,TablasTec!$A$14:$V$771,21,FALSE))</f>
        <v/>
      </c>
      <c r="BM306" s="974" t="str">
        <f>IF(E306=0,"",VLOOKUP(E306,TablasTec!$A$14:$V$771,22,FALSE))</f>
        <v/>
      </c>
      <c r="BN306" s="975"/>
      <c r="BO306" s="976"/>
      <c r="BP306" s="961" t="str">
        <f>IF(I306="Si",VLOOKUP($D$8,TablasTec!$E$4:$F$6,2,FALSE),"")</f>
        <v/>
      </c>
      <c r="BQ306" s="962" t="str">
        <f>IF(L306="Si",VLOOKUP($D$8,TablasTec!$I$4:$J$6,2,FALSE),"")</f>
        <v/>
      </c>
      <c r="BR306" s="960" t="str">
        <f>IF(O306="Si",VLOOKUP($D$8,TablasTec!$I$7:$J$9,2,FALSE),"")</f>
        <v/>
      </c>
      <c r="BS306" s="977"/>
      <c r="BT306" s="4857" t="s">
        <v>4539</v>
      </c>
      <c r="BU306" s="4858"/>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6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c r="A307" s="922"/>
      <c r="B307" s="922"/>
      <c r="C307" s="4909"/>
      <c r="D307" s="1435" t="s">
        <v>1766</v>
      </c>
      <c r="E307" s="978"/>
      <c r="F307" s="979" t="str">
        <f>IF(E307=0,"",VLOOKUP(E307,TablasTec!$A$14:$V$771,2,FALSE))</f>
        <v/>
      </c>
      <c r="G307" s="980"/>
      <c r="H307" s="981" t="str">
        <f>IF($E307=0,"",VLOOKUP($E307,TablasTec!$A$14:$V$771,4,FALSE))</f>
        <v/>
      </c>
      <c r="I307" s="982" t="s">
        <v>1690</v>
      </c>
      <c r="J307" s="1398" t="str">
        <f>IF(E307=0,"",VLOOKUP(E307,TablasTec!$A$14:$V$771,5,FALSE))</f>
        <v/>
      </c>
      <c r="K307" s="984" t="str">
        <f>IF(I307="Si",IF(E307=0,"",VLOOKUP(E307,TablasTec!$A$14:$V$771,5,FALSE)),"")</f>
        <v/>
      </c>
      <c r="L307" s="982" t="s">
        <v>1690</v>
      </c>
      <c r="M307" s="1398" t="str">
        <f>IF(E307=0,"",VLOOKUP(E307,TablasTec!$A$14:$V$771,6,FALSE))</f>
        <v/>
      </c>
      <c r="N307" s="985" t="str">
        <f>IF(L307="Si",IF(E307=0,"",VLOOKUP(E307,TablasTec!$A$14:$V$771,6,FALSE)),"")</f>
        <v/>
      </c>
      <c r="O307" s="982" t="s">
        <v>1690</v>
      </c>
      <c r="P307" s="1398" t="str">
        <f>IF(E307=0,"",VLOOKUP(E307,TablasTec!$A$14:$V$771,7,FALSE))</f>
        <v/>
      </c>
      <c r="Q307" s="985" t="str">
        <f>IF(O307="Si",IF(E307=0,"",VLOOKUP(E307,TablasTec!$A$14:$V$771,7,FALSE)),"")</f>
        <v/>
      </c>
      <c r="R307" s="983" t="str">
        <f>IF(E307=0,"",VLOOKUP(E307,TablasTec!$A$14:$V$771,8,FALSE))</f>
        <v/>
      </c>
      <c r="S307" s="981" t="str">
        <f>IF(R307=$D$8,$D$8,IF(R307=2,2,IF(R307=3,3,R307)))</f>
        <v/>
      </c>
      <c r="T307" s="4883" t="s">
        <v>4540</v>
      </c>
      <c r="U307" s="4884"/>
      <c r="V307" s="4884"/>
      <c r="W307" s="4884"/>
      <c r="X307" s="4884"/>
      <c r="Y307" s="4884"/>
      <c r="Z307" s="4884"/>
      <c r="AA307" s="4884"/>
      <c r="AB307" s="4884"/>
      <c r="AC307" s="4884"/>
      <c r="AD307" s="4884"/>
      <c r="AE307" s="4884"/>
      <c r="AF307" s="4884"/>
      <c r="AG307" s="4884"/>
      <c r="AH307" s="4884"/>
      <c r="AI307" s="4884"/>
      <c r="AJ307" s="4884"/>
      <c r="AK307" s="4884"/>
      <c r="AL307" s="4884"/>
      <c r="AM307" s="4884"/>
      <c r="AN307" s="4884"/>
      <c r="AO307" s="4884"/>
      <c r="AP307" s="4884"/>
      <c r="AQ307" s="4884"/>
      <c r="AR307" s="4884"/>
      <c r="AS307" s="4884"/>
      <c r="AT307" s="4884"/>
      <c r="AU307" s="4884"/>
      <c r="AV307" s="4884"/>
      <c r="AW307" s="4884"/>
      <c r="AX307" s="4884"/>
      <c r="AY307" s="4884"/>
      <c r="AZ307" s="4884"/>
      <c r="BA307" s="4884"/>
      <c r="BB307" s="4884"/>
      <c r="BC307" s="4884"/>
      <c r="BD307" s="4884"/>
      <c r="BE307" s="4884"/>
      <c r="BF307" s="4884"/>
      <c r="BG307" s="4884"/>
      <c r="BH307" s="4884"/>
      <c r="BI307" s="4884"/>
      <c r="BJ307" s="4884"/>
      <c r="BK307" s="4885"/>
      <c r="BL307" s="1420"/>
      <c r="BM307" s="1421"/>
      <c r="BN307" s="975"/>
      <c r="BO307" s="976"/>
      <c r="BP307" s="961" t="str">
        <f>IF(I307="Si",VLOOKUP($D$8,TablasTec!$E$4:$F$6,2,FALSE),"")</f>
        <v/>
      </c>
      <c r="BQ307" s="962" t="str">
        <f>IF(L307="Si",VLOOKUP($D$8,TablasTec!$I$4:$J$6,2,FALSE),"")</f>
        <v/>
      </c>
      <c r="BR307" s="960" t="str">
        <f>IF(O307="Si",VLOOKUP($D$8,TablasTec!$I$7:$J$9,2,FALSE),"")</f>
        <v/>
      </c>
      <c r="BS307" s="977"/>
      <c r="BT307" s="4859">
        <f>MAX(BU305,SUM(H306:H338)+IF(OR(I306="Si",I307="Si",I308="Si",I309="Si",I310="Si",I312="Si",I313="Si",I314="Si",I315="Si",I316="Si",I318="Si",I319="Si",I320="Si",I321="Si",I322="Si",I324="Si",I325="Si",I326="Si",I327="Si",I328="Si",I330="Si",I331="Si",I332="Si",I333="Si",I334="Si"),VLOOKUP($D304,TablasTec!$E$4:$F$6,2,FALSE),0)+IF(OR(L306="Si",L307="Si",L308="Si",L309="Si",L310="Si",L312="Si",L313="Si",L314="Si",L315="Si",L316="Si",L318="Si",L319="Si",L320="Si",L321="Si",L322="Si",L324="Si",L325="Si",L326="Si",L327="Si",L328="Si",L330="Si",L331="Si",L332="Si",L333="Si",L334="Si"),VLOOKUP($D304,TablasTec!$I$4:$J$6,2,FALSE),0)+IF(OR(O306="Si",O307="Si",O308="Si",O309="Si",O310="Si",O312="Si",O313="Si",O314="Si",O315="Si",O316="Si",O318="Si",O319="Si",O320="Si",O321="Si",O322="Si",O324="Si",O325="Si",O326="Si",O327="Si",O328="Si",O330="Si",O331="Si",O332="Si",O333="Si",O334="Si"),VLOOKUP($D304,TablasTec!$I$7:$J$9,2,FALSE),0)+IF(BT310="No",0,IF(D304=0,0,VLOOKUP(D304,TablasTec!$L$4:$N$7,3,FALSE)))+IF(BT312="Bajar coste de CM",0,IF(BT312="-5 CM",-5,IF(BT312="-10 CM",-10,IF(BT312="-15 CM",-15,IF(BT312="-20 CM",-20,0)))))+IF(BT314="Bajar coste de Ki",0,IF(BT314="-1 Ki",10,IF(BT314="-2 Ki",20,IF(BT314="-3 Ki",30,IF(BT314="-4 Ki",40,IF(BT314="-5 Ki",50,0)))))))</f>
        <v>20</v>
      </c>
      <c r="BU307" s="4860"/>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65"/>
      <c r="DY307" s="1307"/>
      <c r="DZ307" s="922"/>
      <c r="EA307" s="1453">
        <f t="shared" si="4"/>
        <v>1</v>
      </c>
    </row>
    <row r="308" spans="1:131">
      <c r="A308" s="922"/>
      <c r="B308" s="922"/>
      <c r="C308" s="4909"/>
      <c r="D308" s="1436" t="s">
        <v>1766</v>
      </c>
      <c r="E308" s="986"/>
      <c r="F308" s="3181" t="str">
        <f>IF(E308=0,"",VLOOKUP(E308,TablasTec!$A$14:$V$771,2,FALSE))</f>
        <v/>
      </c>
      <c r="G308" s="968"/>
      <c r="H308" s="987" t="str">
        <f>IF($E308=0,"",VLOOKUP($E308,TablasTec!$A$14:$V$771,4,FALSE))</f>
        <v/>
      </c>
      <c r="I308" s="970" t="s">
        <v>1690</v>
      </c>
      <c r="J308" s="1394" t="str">
        <f>IF(E308=0,"",VLOOKUP(E308,TablasTec!$A$14:$V$771,5,FALSE))</f>
        <v/>
      </c>
      <c r="K308" s="989" t="str">
        <f>IF(I308="Si",IF(E308=0,"",VLOOKUP(E308,TablasTec!$A$14:$V$771,5,FALSE)),"")</f>
        <v/>
      </c>
      <c r="L308" s="970" t="s">
        <v>1690</v>
      </c>
      <c r="M308" s="1394" t="str">
        <f>IF(E308=0,"",VLOOKUP(E308,TablasTec!$A$14:$V$771,6,FALSE))</f>
        <v/>
      </c>
      <c r="N308" s="973" t="str">
        <f>IF(L308="Si",IF(E308=0,"",VLOOKUP(E308,TablasTec!$A$14:$V$771,6,FALSE)),"")</f>
        <v/>
      </c>
      <c r="O308" s="970" t="s">
        <v>1690</v>
      </c>
      <c r="P308" s="1394" t="str">
        <f>IF(E308=0,"",VLOOKUP(E308,TablasTec!$A$14:$V$771,7,FALSE))</f>
        <v/>
      </c>
      <c r="Q308" s="973" t="str">
        <f>IF(O308="Si",IF(E308=0,"",VLOOKUP(E308,TablasTec!$A$14:$V$771,7,FALSE)),"")</f>
        <v/>
      </c>
      <c r="R308" s="988" t="str">
        <f>IF(E308=0,"",VLOOKUP(E308,TablasTec!$A$14:$V$771,8,FALSE))</f>
        <v/>
      </c>
      <c r="S308" s="3181" t="str">
        <f>IF(R308=$D$8,$D$8,IF(R308=2,2,IF(R308=3,3,R308)))</f>
        <v/>
      </c>
      <c r="T308" s="4896"/>
      <c r="U308" s="4897"/>
      <c r="V308" s="3179" t="str">
        <f>IF(OR(V306=0,V306=""),"N/A",V306)</f>
        <v>N/A</v>
      </c>
      <c r="W308" s="4896" t="str">
        <f xml:space="preserve"> IF(OR(AF306=0,AF306=""),"N/A",W306)</f>
        <v>N/A</v>
      </c>
      <c r="X308" s="4898"/>
      <c r="Y308" s="4898"/>
      <c r="Z308" s="4898"/>
      <c r="AA308" s="4898"/>
      <c r="AB308" s="4898"/>
      <c r="AC308" s="4898"/>
      <c r="AD308" s="4898"/>
      <c r="AE308" s="4898"/>
      <c r="AF308" s="4897"/>
      <c r="AG308" s="4896" t="str">
        <f xml:space="preserve"> IF(OR(AP306="",AP306=0),"N/A",AG306)</f>
        <v>N/A</v>
      </c>
      <c r="AH308" s="4898"/>
      <c r="AI308" s="4898"/>
      <c r="AJ308" s="4898"/>
      <c r="AK308" s="4898"/>
      <c r="AL308" s="4898"/>
      <c r="AM308" s="4898"/>
      <c r="AN308" s="4898"/>
      <c r="AO308" s="4898"/>
      <c r="AP308" s="4897"/>
      <c r="AQ308" s="4896" t="str">
        <f xml:space="preserve"> IF(OR(AZ306="",AZ306=0),"N/A",AQ306)</f>
        <v>N/A</v>
      </c>
      <c r="AR308" s="4898"/>
      <c r="AS308" s="4898"/>
      <c r="AT308" s="4898"/>
      <c r="AU308" s="4898"/>
      <c r="AV308" s="4898"/>
      <c r="AW308" s="4898"/>
      <c r="AX308" s="4898"/>
      <c r="AY308" s="4898"/>
      <c r="AZ308" s="4897"/>
      <c r="BA308" s="4896" t="str">
        <f xml:space="preserve"> IF(OR(BJ306="",BJ306=0),"N/A",BA306)</f>
        <v>N/A</v>
      </c>
      <c r="BB308" s="4898"/>
      <c r="BC308" s="4898"/>
      <c r="BD308" s="4898"/>
      <c r="BE308" s="4898"/>
      <c r="BF308" s="4898"/>
      <c r="BG308" s="4898"/>
      <c r="BH308" s="4898"/>
      <c r="BI308" s="4898"/>
      <c r="BJ308" s="4897"/>
      <c r="BK308" s="990" t="s">
        <v>4541</v>
      </c>
      <c r="BL308" s="972"/>
      <c r="BM308" s="1007"/>
      <c r="BN308" s="991"/>
      <c r="BO308" s="992"/>
      <c r="BP308" s="993" t="str">
        <f>IF(I308="Si",VLOOKUP($D$8,TablasTec!$E$4:$F$6,2,FALSE),"")</f>
        <v/>
      </c>
      <c r="BQ308" s="963" t="str">
        <f>IF(L308="Si",VLOOKUP($D$8,TablasTec!$I$4:$J$6,2,FALSE),"")</f>
        <v/>
      </c>
      <c r="BR308" s="994" t="str">
        <f>IF(O308="Si",VLOOKUP($D$8,TablasTec!$I$7:$J$9,2,FALSE),"")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65"/>
      <c r="DY308" s="1307"/>
      <c r="DZ308" s="922"/>
      <c r="EA308" s="1453">
        <f t="shared" si="4"/>
        <v>1</v>
      </c>
    </row>
    <row r="309" spans="1:131">
      <c r="A309" s="922"/>
      <c r="B309" s="922"/>
      <c r="C309" s="4909"/>
      <c r="D309" s="1435" t="s">
        <v>1766</v>
      </c>
      <c r="E309" s="978"/>
      <c r="F309" s="979" t="str">
        <f>IF(E309=0,"",VLOOKUP(E309,TablasTec!$A$14:$V$771,2,FALSE))</f>
        <v/>
      </c>
      <c r="G309" s="980"/>
      <c r="H309" s="981" t="str">
        <f>IF($E309=0,"",VLOOKUP($E309,TablasTec!$A$14:$V$771,4,FALSE))</f>
        <v/>
      </c>
      <c r="I309" s="982" t="s">
        <v>1690</v>
      </c>
      <c r="J309" s="1398" t="str">
        <f>IF(E309=0,"",VLOOKUP(E309,TablasTec!$A$14:$V$771,5,FALSE))</f>
        <v/>
      </c>
      <c r="K309" s="984" t="str">
        <f>IF(I309="Si",IF(E309=0,"",VLOOKUP(E309,TablasTec!$A$14:$V$771,5,FALSE)),"")</f>
        <v/>
      </c>
      <c r="L309" s="982" t="s">
        <v>1690</v>
      </c>
      <c r="M309" s="1398" t="str">
        <f>IF(E309=0,"",VLOOKUP(E309,TablasTec!$A$14:$V$771,6,FALSE))</f>
        <v/>
      </c>
      <c r="N309" s="985" t="str">
        <f>IF(L309="Si",IF(E309=0,"",VLOOKUP(E309,TablasTec!$A$14:$V$771,6,FALSE)),"")</f>
        <v/>
      </c>
      <c r="O309" s="982" t="s">
        <v>1690</v>
      </c>
      <c r="P309" s="1398" t="str">
        <f>IF(E309=0,"",VLOOKUP(E309,TablasTec!$A$14:$V$771,7,FALSE))</f>
        <v/>
      </c>
      <c r="Q309" s="985" t="str">
        <f>IF(O309="Si",IF(E309=0,"",VLOOKUP(E309,TablasTec!$A$14:$V$771,7,FALSE)),"")</f>
        <v/>
      </c>
      <c r="R309" s="983" t="str">
        <f>IF(E309=0,"",VLOOKUP(E309,TablasTec!$A$14:$V$771,8,FALSE))</f>
        <v/>
      </c>
      <c r="S309" s="981" t="str">
        <f>IF(R309=$D$8,$D$8,IF(R309=2,2,IF(R309=3,3,R309)))</f>
        <v/>
      </c>
      <c r="T309" s="4899" t="s">
        <v>4542</v>
      </c>
      <c r="U309" s="4900"/>
      <c r="V309" s="3180"/>
      <c r="W309" s="4901"/>
      <c r="X309" s="4902"/>
      <c r="Y309" s="4902"/>
      <c r="Z309" s="4902"/>
      <c r="AA309" s="4902"/>
      <c r="AB309" s="4902"/>
      <c r="AC309" s="4902"/>
      <c r="AD309" s="4902"/>
      <c r="AE309" s="4902"/>
      <c r="AF309" s="4903"/>
      <c r="AG309" s="4901"/>
      <c r="AH309" s="4902"/>
      <c r="AI309" s="4902"/>
      <c r="AJ309" s="4902"/>
      <c r="AK309" s="4902"/>
      <c r="AL309" s="4902"/>
      <c r="AM309" s="4902"/>
      <c r="AN309" s="4902"/>
      <c r="AO309" s="4902"/>
      <c r="AP309" s="4903"/>
      <c r="AQ309" s="4901"/>
      <c r="AR309" s="4902"/>
      <c r="AS309" s="4902"/>
      <c r="AT309" s="4902"/>
      <c r="AU309" s="4902"/>
      <c r="AV309" s="4902"/>
      <c r="AW309" s="4902"/>
      <c r="AX309" s="4902"/>
      <c r="AY309" s="4902"/>
      <c r="AZ309" s="4903"/>
      <c r="BA309" s="4901"/>
      <c r="BB309" s="4902"/>
      <c r="BC309" s="4902"/>
      <c r="BD309" s="4902"/>
      <c r="BE309" s="4902"/>
      <c r="BF309" s="4902"/>
      <c r="BG309" s="4902"/>
      <c r="BH309" s="4902"/>
      <c r="BI309" s="4902"/>
      <c r="BJ309" s="4903"/>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IF(I309="Si",VLOOKUP($D$8,TablasTec!$E$4:$F$6,2,FALSE),"")</f>
        <v/>
      </c>
      <c r="BQ309" s="962" t="str">
        <f>IF(L309="Si",VLOOKUP($D$8,TablasTec!$I$4:$J$6,2,FALSE),"")</f>
        <v/>
      </c>
      <c r="BR309" s="960" t="str">
        <f>IF(O309="Si",VLOOKUP($D$8,TablasTec!$I$7:$J$9,2,FALSE),"")</f>
        <v/>
      </c>
      <c r="BS309" s="977"/>
      <c r="BT309" s="4857" t="s">
        <v>4543</v>
      </c>
      <c r="BU309" s="4858"/>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65"/>
      <c r="DY309" s="1307"/>
      <c r="DZ309" s="922"/>
      <c r="EA309" s="1453">
        <f t="shared" si="4"/>
        <v>1</v>
      </c>
    </row>
    <row r="310" spans="1:131">
      <c r="A310" s="922"/>
      <c r="B310" s="922"/>
      <c r="C310" s="4909"/>
      <c r="D310" s="1436" t="s">
        <v>1766</v>
      </c>
      <c r="E310" s="986"/>
      <c r="F310" s="3181" t="str">
        <f>IF(E310=0,"",VLOOKUP(E310,TablasTec!$A$14:$V$771,2,FALSE))</f>
        <v/>
      </c>
      <c r="G310" s="968"/>
      <c r="H310" s="987" t="str">
        <f>IF($E310=0,"",VLOOKUP($E310,TablasTec!$A$14:$V$771,4,FALSE))</f>
        <v/>
      </c>
      <c r="I310" s="970" t="s">
        <v>1690</v>
      </c>
      <c r="J310" s="1394" t="str">
        <f>IF(E310=0,"",VLOOKUP(E310,TablasTec!$A$14:$V$771,5,FALSE))</f>
        <v/>
      </c>
      <c r="K310" s="989" t="str">
        <f>IF(I310="Si",IF(E310=0,"",VLOOKUP(E310,TablasTec!$A$14:$V$771,5,FALSE)),"")</f>
        <v/>
      </c>
      <c r="L310" s="970" t="s">
        <v>1690</v>
      </c>
      <c r="M310" s="1394" t="str">
        <f>IF(E310=0,"",VLOOKUP(E310,TablasTec!$A$14:$V$771,6,FALSE))</f>
        <v/>
      </c>
      <c r="N310" s="973" t="str">
        <f>IF(L310="Si",IF(E310=0,"",VLOOKUP(E310,TablasTec!$A$14:$V$771,6,FALSE)),"")</f>
        <v/>
      </c>
      <c r="O310" s="970" t="s">
        <v>1690</v>
      </c>
      <c r="P310" s="1394" t="str">
        <f>IF(E310=0,"",VLOOKUP(E310,TablasTec!$A$14:$V$771,7,FALSE))</f>
        <v/>
      </c>
      <c r="Q310" s="973" t="str">
        <f>IF(O310="Si",IF(E310=0,"",VLOOKUP(E310,TablasTec!$A$14:$V$771,7,FALSE)),"")</f>
        <v/>
      </c>
      <c r="R310" s="988" t="str">
        <f>IF(E310=0,"",VLOOKUP(E310,TablasTec!$A$14:$V$771,8,FALSE))</f>
        <v/>
      </c>
      <c r="S310" s="987" t="str">
        <f>IF(R310=$D$8,$D$8,IF(R310=2,2,IF(R310=3,3,R310)))</f>
        <v/>
      </c>
      <c r="T310" s="4890" t="s">
        <v>4544</v>
      </c>
      <c r="U310" s="4891"/>
      <c r="V310" s="3178"/>
      <c r="W310" s="4892"/>
      <c r="X310" s="4893"/>
      <c r="Y310" s="4893"/>
      <c r="Z310" s="4893"/>
      <c r="AA310" s="4893"/>
      <c r="AB310" s="4893"/>
      <c r="AC310" s="4893"/>
      <c r="AD310" s="4893"/>
      <c r="AE310" s="4893"/>
      <c r="AF310" s="4894"/>
      <c r="AG310" s="4892"/>
      <c r="AH310" s="4893"/>
      <c r="AI310" s="4893"/>
      <c r="AJ310" s="4893"/>
      <c r="AK310" s="4893"/>
      <c r="AL310" s="4893"/>
      <c r="AM310" s="4893"/>
      <c r="AN310" s="4893"/>
      <c r="AO310" s="4893"/>
      <c r="AP310" s="4894"/>
      <c r="AQ310" s="4892"/>
      <c r="AR310" s="4893"/>
      <c r="AS310" s="4893"/>
      <c r="AT310" s="4893"/>
      <c r="AU310" s="4893"/>
      <c r="AV310" s="4893"/>
      <c r="AW310" s="4893"/>
      <c r="AX310" s="4893"/>
      <c r="AY310" s="4893"/>
      <c r="AZ310" s="4894"/>
      <c r="BA310" s="4892"/>
      <c r="BB310" s="4893"/>
      <c r="BC310" s="4893"/>
      <c r="BD310" s="4893"/>
      <c r="BE310" s="4893"/>
      <c r="BF310" s="4893"/>
      <c r="BG310" s="4893"/>
      <c r="BH310" s="4893"/>
      <c r="BI310" s="4893"/>
      <c r="BJ310" s="4894"/>
      <c r="BK310" s="997">
        <f>SUM(K306:K310)-SUM(V310:BA310)</f>
        <v>0</v>
      </c>
      <c r="BL310" s="1422"/>
      <c r="BM310" s="1423"/>
      <c r="BN310" s="991"/>
      <c r="BO310" s="992"/>
      <c r="BP310" s="993" t="str">
        <f>IF(I310="Si",VLOOKUP($D$8,TablasTec!$E$4:$F$6,2,FALSE),"")</f>
        <v/>
      </c>
      <c r="BQ310" s="963" t="str">
        <f>IF(L310="Si",VLOOKUP($D$8,TablasTec!$I$4:$J$6,2,FALSE),"")</f>
        <v/>
      </c>
      <c r="BR310" s="994" t="str">
        <f>IF(O310="Si",VLOOKUP($D$8,TablasTec!$I$7:$J$9,2,FALSE),"")</f>
        <v/>
      </c>
      <c r="BS310" s="995"/>
      <c r="BT310" s="4861" t="s">
        <v>1690</v>
      </c>
      <c r="BU310" s="4862"/>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65"/>
      <c r="DY310" s="1307"/>
      <c r="DZ310" s="922"/>
      <c r="EA310" s="1453">
        <f t="shared" si="4"/>
        <v>1</v>
      </c>
    </row>
    <row r="311" spans="1:131">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09"/>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IF(I311="Si",VLOOKUP($D$8,TablasTec!$E$4:$F$6,2,FALSE),"")</f>
        <v/>
      </c>
      <c r="BQ311" s="962" t="str">
        <f>IF(L311="Si",VLOOKUP($D$8,TablasTec!$I$4:$J$6,2,FALSE),"")</f>
        <v/>
      </c>
      <c r="BR311" s="960" t="str">
        <f>IF(O311="Si",VLOOKUP($D$8,TablasTec!$I$7:$J$9,2,FALSE),"")</f>
        <v/>
      </c>
      <c r="BS311" s="977"/>
      <c r="BT311" s="4857" t="s">
        <v>4545</v>
      </c>
      <c r="BU311" s="4858"/>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09"/>
      <c r="D312" s="1436" t="s">
        <v>1766</v>
      </c>
      <c r="E312" s="966"/>
      <c r="F312" s="1002"/>
      <c r="G312" s="972" t="str">
        <f>IF(E312=0,"",VLOOKUP(E312,TablasTec!$A$14:$V$771,3,FALSE))</f>
        <v/>
      </c>
      <c r="H312" s="1004" t="str">
        <f>IF($E312=0,"",VLOOKUP($E312,TablasTec!$A$14:$V$771,4,FALSE))</f>
        <v/>
      </c>
      <c r="I312" s="970" t="s">
        <v>1690</v>
      </c>
      <c r="J312" s="1397" t="str">
        <f>IF(E312=0,"",VLOOKUP(E312,TablasTec!$A$14:$V$771,5,FALSE))</f>
        <v/>
      </c>
      <c r="K312" s="1003" t="str">
        <f>IF(I312="Si",IF(E312=0,"",VLOOKUP(E312,TablasTec!$A$14:$V$771,5,FALSE)),"")</f>
        <v/>
      </c>
      <c r="L312" s="970" t="s">
        <v>1690</v>
      </c>
      <c r="M312" s="1397" t="str">
        <f>IF(E312=0,"",VLOOKUP(E312,TablasTec!$A$14:$V$771,6,FALSE))</f>
        <v/>
      </c>
      <c r="N312" s="973" t="str">
        <f>IF(L312="Si",IF(E312=0,"",VLOOKUP(E312,TablasTec!$A$14:$V$771,6,FALSE)),"")</f>
        <v/>
      </c>
      <c r="O312" s="970" t="s">
        <v>1690</v>
      </c>
      <c r="P312" s="1397" t="str">
        <f>IF(E312=0,"",VLOOKUP(E312,TablasTec!$A$14:$V$771,7,FALSE))</f>
        <v/>
      </c>
      <c r="Q312" s="973" t="str">
        <f>IF(O312="Si",IF(E312=0,"",VLOOKUP(E312,TablasTec!$A$14:$V$771,7,FALSE)),"")</f>
        <v/>
      </c>
      <c r="R312" s="1005" t="str">
        <f>IF(E312=0,"",VLOOKUP(E312,TablasTec!$A$14:$V$771,8,FALSE))</f>
        <v/>
      </c>
      <c r="S312" s="1004" t="str">
        <f>IF(R312=$D$8,$D$8,IF(R312=2,2,IF(R312=3,3,R312)))</f>
        <v/>
      </c>
      <c r="T312" s="972" t="str">
        <f>IF(E312=0,"",VLOOKUP(E312,TablasTec!$A$14:$V$771,9,FALSE))</f>
        <v/>
      </c>
      <c r="U312" s="972" t="str">
        <f>IF(E312=0,"",VLOOKUP(E312,TablasTec!$A$14:$V$771,10,FALSE))</f>
        <v/>
      </c>
      <c r="V312" s="967" t="str">
        <f>IF(E312=0,"",VLOOKUP(E312,TablasTec!$A$14:$V$771,11,FALSE))</f>
        <v/>
      </c>
      <c r="W312" s="970"/>
      <c r="X312" s="971" t="e">
        <f>VLOOKUP(E312,TablasTec!$A$14:$V$771,12,FALSE)</f>
        <v>#N/A</v>
      </c>
      <c r="Y312" s="971" t="e">
        <f>IF(W312=X312,VLOOKUP(E312,TablasTec!$A$14:$V$771,13,FALSE),0)</f>
        <v>#N/A</v>
      </c>
      <c r="Z312" s="971" t="e">
        <f>VLOOKUP(E312,TablasTec!$A$14:$V$771,14,FALSE)</f>
        <v>#N/A</v>
      </c>
      <c r="AA312" s="971" t="e">
        <f>IF(W312=Z312,VLOOKUP(E312,TablasTec!$A$14:$V$616,15,FALSE),0)</f>
        <v>#N/A</v>
      </c>
      <c r="AB312" s="971" t="e">
        <f>VLOOKUP(E312,TablasTec!$A$14:$V$771,16,FALSE)</f>
        <v>#N/A</v>
      </c>
      <c r="AC312" s="971" t="e">
        <f>IF(W312=AB312,VLOOKUP(E312,TablasTec!$A$14:$V$616,17,FALSE),0)</f>
        <v>#N/A</v>
      </c>
      <c r="AD312" s="971" t="e">
        <f>VLOOKUP(E312,TablasTec!$A$14:$V$771,18,FALSE)</f>
        <v>#N/A</v>
      </c>
      <c r="AE312" s="971" t="e">
        <f>IF(W312=AD312,VLOOKUP(E312,TablasTec!$A$14:$V$771,19,FALSE),0)</f>
        <v>#N/A</v>
      </c>
      <c r="AF312" s="972" t="str">
        <f>IF(E312=0,"",(Y312+AA312+AC312+AE312))</f>
        <v/>
      </c>
      <c r="AG312" s="970"/>
      <c r="AH312" s="1005" t="e">
        <f>VLOOKUP(E312,TablasTec!$A$14:$V$771,12,FALSE)</f>
        <v>#N/A</v>
      </c>
      <c r="AI312" s="1005" t="e">
        <f>IF(AG312=AH312,VLOOKUP(E312,TablasTec!$A$14:$V$771,13,FALSE),0)</f>
        <v>#N/A</v>
      </c>
      <c r="AJ312" s="1005" t="e">
        <f>VLOOKUP(E312,TablasTec!$A$14:$V$771,14,FALSE)</f>
        <v>#N/A</v>
      </c>
      <c r="AK312" s="1005" t="e">
        <f>IF(AG312=AJ312,VLOOKUP(E312,TablasTec!$A$14:$V$771,15,FALSE),0)</f>
        <v>#N/A</v>
      </c>
      <c r="AL312" s="1005" t="e">
        <f>VLOOKUP(E312,TablasTec!$A$14:$V$771,16,FALSE)</f>
        <v>#N/A</v>
      </c>
      <c r="AM312" s="1005" t="e">
        <f>IF(AG312=AL312,VLOOKUP(E312,TablasTec!$A$14:$V$771,17,FALSE),0)</f>
        <v>#N/A</v>
      </c>
      <c r="AN312" s="1005" t="e">
        <f>VLOOKUP(E312,TablasTec!$A$14:$V$771,18,FALSE)</f>
        <v>#N/A</v>
      </c>
      <c r="AO312" s="1005" t="e">
        <f>IF(AG312=AN312,VLOOKUP(E312,TablasTec!$A$14:$V$771,19,FALSE),0)</f>
        <v>#N/A</v>
      </c>
      <c r="AP312" s="1006" t="str">
        <f>IF(E312=0,"",(AI312+AK312+AM312+AO312))</f>
        <v/>
      </c>
      <c r="AQ312" s="970"/>
      <c r="AR312" s="971" t="e">
        <f>VLOOKUP(E312,TablasTec!$A$14:$V$771,12,FALSE)</f>
        <v>#N/A</v>
      </c>
      <c r="AS312" s="971" t="e">
        <f>IF(AQ312=AR312,VLOOKUP(E312,TablasTec!$A$14:$V$771,13,FALSE),0)</f>
        <v>#N/A</v>
      </c>
      <c r="AT312" s="971" t="e">
        <f>VLOOKUP(E312,TablasTec!$A$14:$V$771,14,FALSE)</f>
        <v>#N/A</v>
      </c>
      <c r="AU312" s="971" t="e">
        <f>IF(AQ312=AT312,VLOOKUP(E312,TablasTec!$A$14:$V$771,15,FALSE),0)</f>
        <v>#N/A</v>
      </c>
      <c r="AV312" s="971" t="e">
        <f>VLOOKUP(E312,TablasTec!$A$14:$V$771,16,FALSE)</f>
        <v>#N/A</v>
      </c>
      <c r="AW312" s="971" t="e">
        <f>IF(AQ312=AV312,VLOOKUP(E312,TablasTec!$A$14:$V$771,17,FALSE),0)</f>
        <v>#N/A</v>
      </c>
      <c r="AX312" s="971" t="e">
        <f>VLOOKUP(E312,TablasTec!$A$14:$V$771,18,FALSE)</f>
        <v>#N/A</v>
      </c>
      <c r="AY312" s="971" t="e">
        <f>IF(AQ312=AX312,VLOOKUP(E312,TablasTec!$A$14:$V$771,19,FALSE),0)</f>
        <v>#N/A</v>
      </c>
      <c r="AZ312" s="972" t="str">
        <f>IF(E312=0,"",(AS312+AU312+AW312+AY312))</f>
        <v/>
      </c>
      <c r="BA312" s="970"/>
      <c r="BB312" s="971" t="e">
        <f>VLOOKUP(E312,TablasTec!$A$14:$V$771,12,FALSE)</f>
        <v>#N/A</v>
      </c>
      <c r="BC312" s="971" t="e">
        <f>IF(BA312=BB312,VLOOKUP(E312,TablasTec!$A$14:$V$771,13,FALSE),0)</f>
        <v>#N/A</v>
      </c>
      <c r="BD312" s="971" t="e">
        <f>VLOOKUP(E312,TablasTec!$A$14:$V$771,14,FALSE)</f>
        <v>#N/A</v>
      </c>
      <c r="BE312" s="971" t="e">
        <f>IF(BA312=BD312,VLOOKUP(E312,TablasTec!$A$14:$V$771,15,FALSE),0)</f>
        <v>#N/A</v>
      </c>
      <c r="BF312" s="971" t="e">
        <f>VLOOKUP(E312,TablasTec!$A$14:$V$771,16,FALSE)</f>
        <v>#N/A</v>
      </c>
      <c r="BG312" s="971" t="e">
        <f>IF(BA312=BF312,VLOOKUP(E312,TablasTec!$A$14:$V$771,17,FALSE),0)</f>
        <v>#N/A</v>
      </c>
      <c r="BH312" s="971" t="e">
        <f>VLOOKUP(E312,TablasTec!$A$14:$V$771,18,FALSE)</f>
        <v>#N/A</v>
      </c>
      <c r="BI312" s="971" t="e">
        <f>IF(BA312=BH312,VLOOKUP(E312,TablasTec!$A$14:$V$771,19,FALSE),0)</f>
        <v>#N/A</v>
      </c>
      <c r="BJ312" s="973" t="str">
        <f>IF(E312=0,"",(BC312+BE312+BG312+BI312))</f>
        <v/>
      </c>
      <c r="BK312" s="972" t="str">
        <f>IF(E312=0,"",VLOOKUP(E312,TablasTec!$A$14:$V$771,20,FALSE))</f>
        <v/>
      </c>
      <c r="BL312" s="972" t="str">
        <f>IF(E312=0,"",VLOOKUP(E312,TablasTec!$A$14:$V$771,21,FALSE))</f>
        <v/>
      </c>
      <c r="BM312" s="1007" t="str">
        <f>IF(E312=0,"",VLOOKUP(E312,TablasTec!$A$14:$V$771,22,FALSE))</f>
        <v/>
      </c>
      <c r="BN312" s="975"/>
      <c r="BO312" s="976"/>
      <c r="BP312" s="961" t="str">
        <f>IF(I312="Si",VLOOKUP($D$8,TablasTec!$E$4:$F$6,2,FALSE),"")</f>
        <v/>
      </c>
      <c r="BQ312" s="962" t="str">
        <f>IF(L312="Si",VLOOKUP($D$8,TablasTec!$I$4:$J$6,2,FALSE),"")</f>
        <v/>
      </c>
      <c r="BR312" s="960" t="str">
        <f>IF(O312="Si",VLOOKUP($D$8,TablasTec!$I$7:$J$9,2,FALSE),"")</f>
        <v/>
      </c>
      <c r="BS312" s="977"/>
      <c r="BT312" s="4861" t="s">
        <v>4525</v>
      </c>
      <c r="BU312" s="4862"/>
      <c r="BV312" s="954"/>
      <c r="BW312" s="934"/>
      <c r="BX312" s="934"/>
      <c r="BY312" s="1269"/>
      <c r="BZ312" s="1287"/>
      <c r="CA312" s="922"/>
      <c r="DR312" s="922"/>
      <c r="DT312" s="1309"/>
      <c r="DU312" s="1362"/>
      <c r="DV312" s="1359" t="str">
        <f>IF(E312="","",", "&amp;E312)&amp;IF(I312="No",""," (Mant.)")&amp;IF(L312="No",""," (Sme)")&amp;IF(O312="No",""," (SMa)")</f>
        <v/>
      </c>
      <c r="DW312" s="1360"/>
      <c r="DX312" s="1361" t="str">
        <f>IF(ISNUMBER(FIND(TablasTec!A$678,DW330)),BL336&amp;BM336,IF(ISNUMBER(FIND(TablasTec!A$679,DW330)),BL336&amp;" "&amp;BM336,""))</f>
        <v/>
      </c>
      <c r="DY312" s="1310"/>
      <c r="DZ312" s="922"/>
      <c r="EA312" s="1453">
        <f t="shared" si="4"/>
        <v>1</v>
      </c>
    </row>
    <row r="313" spans="1:131">
      <c r="A313" s="922"/>
      <c r="B313" s="922"/>
      <c r="C313" s="4909"/>
      <c r="D313" s="1435" t="s">
        <v>1766</v>
      </c>
      <c r="E313" s="978"/>
      <c r="F313" s="1008"/>
      <c r="G313" s="1420" t="str">
        <f>IF(E313=0,"",VLOOKUP(E313,TablasTec!$A$14:$V$771,3,FALSE))</f>
        <v/>
      </c>
      <c r="H313" s="981" t="str">
        <f>IF($E313=0,"",VLOOKUP($E313,TablasTec!$A$14:$V$771,4,FALSE))</f>
        <v/>
      </c>
      <c r="I313" s="982" t="s">
        <v>1690</v>
      </c>
      <c r="J313" s="1398" t="str">
        <f>IF(E313=0,"",VLOOKUP(E313,TablasTec!$A$14:$V$771,5,FALSE))</f>
        <v/>
      </c>
      <c r="K313" s="984" t="str">
        <f>IF(I313="Si",IF(E313=0,"",VLOOKUP(E313,TablasTec!$A$14:$V$771,5,FALSE)),"")</f>
        <v/>
      </c>
      <c r="L313" s="982" t="s">
        <v>1690</v>
      </c>
      <c r="M313" s="1398" t="str">
        <f>IF(E313=0,"",VLOOKUP(E313,TablasTec!$A$14:$V$771,6,FALSE))</f>
        <v/>
      </c>
      <c r="N313" s="985" t="str">
        <f>IF(L313="Si",IF(E313=0,"",VLOOKUP(E313,TablasTec!$A$14:$V$771,6,FALSE)),"")</f>
        <v/>
      </c>
      <c r="O313" s="982" t="s">
        <v>1690</v>
      </c>
      <c r="P313" s="1398" t="str">
        <f>IF(E313=0,"",VLOOKUP(E313,TablasTec!$A$14:$V$771,7,FALSE))</f>
        <v/>
      </c>
      <c r="Q313" s="985" t="str">
        <f>IF(O313="Si",IF(E313=0,"",VLOOKUP(E313,TablasTec!$A$14:$V$771,7,FALSE)),"")</f>
        <v/>
      </c>
      <c r="R313" s="983" t="str">
        <f>IF(E313=0,"",VLOOKUP(E313,TablasTec!$A$14:$V$771,8,FALSE))</f>
        <v/>
      </c>
      <c r="S313" s="981" t="str">
        <f>IF(R313=$D$8,$D$8,IF(R313=2,2,IF(R313=3,3,R313)))</f>
        <v/>
      </c>
      <c r="T313" s="4883" t="s">
        <v>4540</v>
      </c>
      <c r="U313" s="4884"/>
      <c r="V313" s="4884"/>
      <c r="W313" s="4884"/>
      <c r="X313" s="4884"/>
      <c r="Y313" s="4884"/>
      <c r="Z313" s="4884"/>
      <c r="AA313" s="4884"/>
      <c r="AB313" s="4884"/>
      <c r="AC313" s="4884"/>
      <c r="AD313" s="4884"/>
      <c r="AE313" s="4884"/>
      <c r="AF313" s="4884"/>
      <c r="AG313" s="4884"/>
      <c r="AH313" s="4884"/>
      <c r="AI313" s="4884"/>
      <c r="AJ313" s="4884"/>
      <c r="AK313" s="4884"/>
      <c r="AL313" s="4884"/>
      <c r="AM313" s="4884"/>
      <c r="AN313" s="4884"/>
      <c r="AO313" s="4884"/>
      <c r="AP313" s="4884"/>
      <c r="AQ313" s="4884"/>
      <c r="AR313" s="4884"/>
      <c r="AS313" s="4884"/>
      <c r="AT313" s="4884"/>
      <c r="AU313" s="4884"/>
      <c r="AV313" s="4884"/>
      <c r="AW313" s="4884"/>
      <c r="AX313" s="4884"/>
      <c r="AY313" s="4884"/>
      <c r="AZ313" s="4884"/>
      <c r="BA313" s="4884"/>
      <c r="BB313" s="4884"/>
      <c r="BC313" s="4884"/>
      <c r="BD313" s="4884"/>
      <c r="BE313" s="4884"/>
      <c r="BF313" s="4884"/>
      <c r="BG313" s="4884"/>
      <c r="BH313" s="4884"/>
      <c r="BI313" s="4884"/>
      <c r="BJ313" s="4884"/>
      <c r="BK313" s="4885"/>
      <c r="BL313" s="1420"/>
      <c r="BM313" s="1421"/>
      <c r="BN313" s="975"/>
      <c r="BO313" s="976"/>
      <c r="BP313" s="961" t="str">
        <f>IF(I313="Si",VLOOKUP($D$8,TablasTec!$E$4:$F$6,2,FALSE),"")</f>
        <v/>
      </c>
      <c r="BQ313" s="962" t="str">
        <f>IF(L313="Si",VLOOKUP($D$8,TablasTec!$I$4:$J$6,2,FALSE),"")</f>
        <v/>
      </c>
      <c r="BR313" s="960" t="str">
        <f>IF(O313="Si",VLOOKUP($D$8,TablasTec!$I$7:$J$9,2,FALSE),"")</f>
        <v/>
      </c>
      <c r="BS313" s="977"/>
      <c r="BT313" s="4857" t="s">
        <v>4546</v>
      </c>
      <c r="BU313" s="4858"/>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c r="A314" s="922"/>
      <c r="B314" s="922"/>
      <c r="C314" s="4909"/>
      <c r="D314" s="1436" t="s">
        <v>1766</v>
      </c>
      <c r="E314" s="986"/>
      <c r="F314" s="1002"/>
      <c r="G314" s="972" t="str">
        <f>IF(E314=0,"",VLOOKUP(E314,TablasTec!$A$14:$V$771,3,FALSE))</f>
        <v/>
      </c>
      <c r="H314" s="3181" t="str">
        <f>IF($E314=0,"",VLOOKUP($E314,TablasTec!$A$14:$V$771,4,FALSE))</f>
        <v/>
      </c>
      <c r="I314" s="970" t="s">
        <v>1690</v>
      </c>
      <c r="J314" s="1394" t="str">
        <f>IF(E314=0,"",VLOOKUP(E314,TablasTec!$A$14:$V$771,5,FALSE))</f>
        <v/>
      </c>
      <c r="K314" s="989" t="str">
        <f>IF(I314="Si",IF(E314=0,"",VLOOKUP(E314,TablasTec!$A$14:$V$771,5,FALSE)),"")</f>
        <v/>
      </c>
      <c r="L314" s="970" t="s">
        <v>1690</v>
      </c>
      <c r="M314" s="1394" t="str">
        <f>IF(E314=0,"",VLOOKUP(E314,TablasTec!$A$14:$V$771,6,FALSE))</f>
        <v/>
      </c>
      <c r="N314" s="973" t="str">
        <f>IF(L314="Si",IF(E314=0,"",VLOOKUP(E314,TablasTec!$A$14:$V$771,6,FALSE)),"")</f>
        <v/>
      </c>
      <c r="O314" s="970" t="s">
        <v>1690</v>
      </c>
      <c r="P314" s="1394" t="str">
        <f>IF(E314=0,"",VLOOKUP(E314,TablasTec!$A$14:$V$771,7,FALSE))</f>
        <v/>
      </c>
      <c r="Q314" s="973" t="str">
        <f>IF(O314="Si",IF(E314=0,"",VLOOKUP(E314,TablasTec!$A$14:$V$771,7,FALSE)),"")</f>
        <v/>
      </c>
      <c r="R314" s="988" t="str">
        <f>IF(E314=0,"",VLOOKUP(E314,TablasTec!$A$14:$V$771,8,FALSE))</f>
        <v/>
      </c>
      <c r="S314" s="3181" t="str">
        <f>IF(R314=$D$8,$D$8,IF(R314=2,2,IF(R314=3,3,R314)))</f>
        <v/>
      </c>
      <c r="T314" s="4896"/>
      <c r="U314" s="4897"/>
      <c r="V314" s="3179" t="str">
        <f>IF(OR(V312=0,V312=""),"N/A",V312)</f>
        <v>N/A</v>
      </c>
      <c r="W314" s="4896" t="str">
        <f xml:space="preserve"> IF(OR(AF312=0,AF312=""),"N/A",W312)</f>
        <v>N/A</v>
      </c>
      <c r="X314" s="4898"/>
      <c r="Y314" s="4898"/>
      <c r="Z314" s="4898"/>
      <c r="AA314" s="4898"/>
      <c r="AB314" s="4898"/>
      <c r="AC314" s="4898"/>
      <c r="AD314" s="4898"/>
      <c r="AE314" s="4898"/>
      <c r="AF314" s="4897"/>
      <c r="AG314" s="4896" t="str">
        <f xml:space="preserve"> IF(OR(AP312="",AP312=0),"N/A",AG312)</f>
        <v>N/A</v>
      </c>
      <c r="AH314" s="4898"/>
      <c r="AI314" s="4898"/>
      <c r="AJ314" s="4898"/>
      <c r="AK314" s="4898"/>
      <c r="AL314" s="4898"/>
      <c r="AM314" s="4898"/>
      <c r="AN314" s="4898"/>
      <c r="AO314" s="4898"/>
      <c r="AP314" s="4897"/>
      <c r="AQ314" s="4896" t="str">
        <f xml:space="preserve"> IF(OR(AZ312="",AZ312=0),"N/A",AQ312)</f>
        <v>N/A</v>
      </c>
      <c r="AR314" s="4898"/>
      <c r="AS314" s="4898"/>
      <c r="AT314" s="4898"/>
      <c r="AU314" s="4898"/>
      <c r="AV314" s="4898"/>
      <c r="AW314" s="4898"/>
      <c r="AX314" s="4898"/>
      <c r="AY314" s="4898"/>
      <c r="AZ314" s="4897"/>
      <c r="BA314" s="4896" t="str">
        <f xml:space="preserve"> IF(OR(BJ312="",BJ312=0),"N/A",BA312)</f>
        <v>N/A</v>
      </c>
      <c r="BB314" s="4898"/>
      <c r="BC314" s="4898"/>
      <c r="BD314" s="4898"/>
      <c r="BE314" s="4898"/>
      <c r="BF314" s="4898"/>
      <c r="BG314" s="4898"/>
      <c r="BH314" s="4898"/>
      <c r="BI314" s="4898"/>
      <c r="BJ314" s="4897"/>
      <c r="BK314" s="990" t="s">
        <v>4541</v>
      </c>
      <c r="BL314" s="972"/>
      <c r="BM314" s="1007"/>
      <c r="BN314" s="975"/>
      <c r="BO314" s="992"/>
      <c r="BP314" s="961" t="str">
        <f>IF(I314="Si",VLOOKUP($D$8,TablasTec!$E$4:$F$6,2,FALSE),"")</f>
        <v/>
      </c>
      <c r="BQ314" s="962" t="str">
        <f>IF(L314="Si",VLOOKUP($D$8,TablasTec!$I$4:$J$6,2,FALSE),"")</f>
        <v/>
      </c>
      <c r="BR314" s="960" t="str">
        <f>IF(O314="Si",VLOOKUP($D$8,TablasTec!$I$7:$J$9,2,FALSE),"")</f>
        <v/>
      </c>
      <c r="BS314" s="977"/>
      <c r="BT314" s="4861" t="s">
        <v>4519</v>
      </c>
      <c r="BU314" s="4862"/>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c r="A315" s="922"/>
      <c r="B315" s="922"/>
      <c r="C315" s="4909"/>
      <c r="D315" s="1435" t="s">
        <v>1766</v>
      </c>
      <c r="E315" s="978"/>
      <c r="F315" s="1008"/>
      <c r="G315" s="1420" t="str">
        <f>IF(E315=0,"",VLOOKUP(E315,TablasTec!$A$14:$V$771,3,FALSE))</f>
        <v/>
      </c>
      <c r="H315" s="981" t="str">
        <f>IF($E315=0,"",VLOOKUP($E315,TablasTec!$A$14:$V$771,4,FALSE))</f>
        <v/>
      </c>
      <c r="I315" s="982" t="s">
        <v>1690</v>
      </c>
      <c r="J315" s="1398" t="str">
        <f>IF(E315=0,"",VLOOKUP(E315,TablasTec!$A$14:$V$771,5,FALSE))</f>
        <v/>
      </c>
      <c r="K315" s="984" t="str">
        <f>IF(I315="Si",IF(E315=0,"",VLOOKUP(E315,TablasTec!$A$14:$V$771,5,FALSE)),"")</f>
        <v/>
      </c>
      <c r="L315" s="982" t="s">
        <v>1690</v>
      </c>
      <c r="M315" s="1398" t="str">
        <f>IF(E315=0,"",VLOOKUP(E315,TablasTec!$A$14:$V$771,6,FALSE))</f>
        <v/>
      </c>
      <c r="N315" s="985" t="str">
        <f>IF(L315="Si",IF(E315=0,"",VLOOKUP(E315,TablasTec!$A$14:$V$771,6,FALSE)),"")</f>
        <v/>
      </c>
      <c r="O315" s="982" t="s">
        <v>1690</v>
      </c>
      <c r="P315" s="1398" t="str">
        <f>IF(E315=0,"",VLOOKUP(E315,TablasTec!$A$14:$V$771,7,FALSE))</f>
        <v/>
      </c>
      <c r="Q315" s="985" t="str">
        <f>IF(O315="Si",IF(E315=0,"",VLOOKUP(E315,TablasTec!$A$14:$V$771,7,FALSE)),"")</f>
        <v/>
      </c>
      <c r="R315" s="983" t="str">
        <f>IF(E315=0,"",VLOOKUP(E315,TablasTec!$A$14:$V$771,8,FALSE))</f>
        <v/>
      </c>
      <c r="S315" s="981" t="str">
        <f>IF(R315=$D$8,$D$8,IF(R315=2,2,IF(R315=3,3,R315)))</f>
        <v/>
      </c>
      <c r="T315" s="4899" t="s">
        <v>4542</v>
      </c>
      <c r="U315" s="4900"/>
      <c r="V315" s="3180"/>
      <c r="W315" s="4901"/>
      <c r="X315" s="4902"/>
      <c r="Y315" s="4902"/>
      <c r="Z315" s="4902"/>
      <c r="AA315" s="4902"/>
      <c r="AB315" s="4902"/>
      <c r="AC315" s="4902"/>
      <c r="AD315" s="4902"/>
      <c r="AE315" s="4902"/>
      <c r="AF315" s="4903"/>
      <c r="AG315" s="4901"/>
      <c r="AH315" s="4902"/>
      <c r="AI315" s="4902"/>
      <c r="AJ315" s="4902"/>
      <c r="AK315" s="4902"/>
      <c r="AL315" s="4902"/>
      <c r="AM315" s="4902"/>
      <c r="AN315" s="4902"/>
      <c r="AO315" s="4902"/>
      <c r="AP315" s="4903"/>
      <c r="AQ315" s="4901"/>
      <c r="AR315" s="4902"/>
      <c r="AS315" s="4902"/>
      <c r="AT315" s="4902"/>
      <c r="AU315" s="4902"/>
      <c r="AV315" s="4902"/>
      <c r="AW315" s="4902"/>
      <c r="AX315" s="4902"/>
      <c r="AY315" s="4902"/>
      <c r="AZ315" s="4903"/>
      <c r="BA315" s="4901"/>
      <c r="BB315" s="4902"/>
      <c r="BC315" s="4902"/>
      <c r="BD315" s="4902"/>
      <c r="BE315" s="4902"/>
      <c r="BF315" s="4902"/>
      <c r="BG315" s="4902"/>
      <c r="BH315" s="4902"/>
      <c r="BI315" s="4902"/>
      <c r="BJ315" s="4903"/>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IF(I315="Si",VLOOKUP($D$8,TablasTec!$E$4:$F$6,2,FALSE),"")</f>
        <v/>
      </c>
      <c r="BQ315" s="962" t="str">
        <f>IF(L315="Si",VLOOKUP($D$8,TablasTec!$I$4:$J$6,2,FALSE),"")</f>
        <v/>
      </c>
      <c r="BR315" s="960" t="str">
        <f>IF(O315="Si",VLOOKUP($D$8,TablasTec!$I$7:$J$9,2,FALSE),"")</f>
        <v/>
      </c>
      <c r="BS315" s="977"/>
      <c r="BT315" s="4853" t="s">
        <v>4547</v>
      </c>
      <c r="BU315" s="4854"/>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c r="A316" s="922"/>
      <c r="B316" s="922"/>
      <c r="C316" s="4909"/>
      <c r="D316" s="1436" t="s">
        <v>1766</v>
      </c>
      <c r="E316" s="986"/>
      <c r="F316" s="1002"/>
      <c r="G316" s="972" t="str">
        <f>IF(E316=0,"",VLOOKUP(E316,TablasTec!$A$14:$V$771,3,FALSE))</f>
        <v/>
      </c>
      <c r="H316" s="987" t="str">
        <f>IF($E316=0,"",VLOOKUP($E316,TablasTec!$A$14:$V$771,4,FALSE))</f>
        <v/>
      </c>
      <c r="I316" s="970" t="s">
        <v>1690</v>
      </c>
      <c r="J316" s="1394" t="str">
        <f>IF(E316=0,"",VLOOKUP(E316,TablasTec!$A$14:$V$771,5,FALSE))</f>
        <v/>
      </c>
      <c r="K316" s="989" t="str">
        <f>IF(I316="Si",IF(E316=0,"",VLOOKUP(E316,TablasTec!$A$14:$V$771,5,FALSE)),"")</f>
        <v/>
      </c>
      <c r="L316" s="970" t="s">
        <v>1690</v>
      </c>
      <c r="M316" s="1394" t="str">
        <f>IF(E316=0,"",VLOOKUP(E316,TablasTec!$A$14:$V$771,6,FALSE))</f>
        <v/>
      </c>
      <c r="N316" s="973" t="str">
        <f>IF(L316="Si",IF(E316=0,"",VLOOKUP(E316,TablasTec!$A$14:$V$771,6,FALSE)),"")</f>
        <v/>
      </c>
      <c r="O316" s="970" t="s">
        <v>1690</v>
      </c>
      <c r="P316" s="1394" t="str">
        <f>IF(E316=0,"",VLOOKUP(E316,TablasTec!$A$14:$V$771,7,FALSE))</f>
        <v/>
      </c>
      <c r="Q316" s="973" t="str">
        <f>IF(O316="Si",IF(E316=0,"",VLOOKUP(E316,TablasTec!$A$14:$V$771,7,FALSE)),"")</f>
        <v/>
      </c>
      <c r="R316" s="988" t="str">
        <f>IF(E316=0,"",VLOOKUP(E316,TablasTec!$A$14:$V$771,8,FALSE))</f>
        <v/>
      </c>
      <c r="S316" s="987" t="str">
        <f>IF(R316=$D$8,$D$8,IF(R316=2,2,IF(R316=3,3,R316)))</f>
        <v/>
      </c>
      <c r="T316" s="4890" t="s">
        <v>4544</v>
      </c>
      <c r="U316" s="4891"/>
      <c r="V316" s="3178"/>
      <c r="W316" s="4892"/>
      <c r="X316" s="4893"/>
      <c r="Y316" s="4893"/>
      <c r="Z316" s="4893"/>
      <c r="AA316" s="4893"/>
      <c r="AB316" s="4893"/>
      <c r="AC316" s="4893"/>
      <c r="AD316" s="4893"/>
      <c r="AE316" s="4893"/>
      <c r="AF316" s="4894"/>
      <c r="AG316" s="4892"/>
      <c r="AH316" s="4893"/>
      <c r="AI316" s="4893"/>
      <c r="AJ316" s="4893"/>
      <c r="AK316" s="4893"/>
      <c r="AL316" s="4893"/>
      <c r="AM316" s="4893"/>
      <c r="AN316" s="4893"/>
      <c r="AO316" s="4893"/>
      <c r="AP316" s="4894"/>
      <c r="AQ316" s="4892"/>
      <c r="AR316" s="4893"/>
      <c r="AS316" s="4893"/>
      <c r="AT316" s="4893"/>
      <c r="AU316" s="4893"/>
      <c r="AV316" s="4893"/>
      <c r="AW316" s="4893"/>
      <c r="AX316" s="4893"/>
      <c r="AY316" s="4893"/>
      <c r="AZ316" s="4894"/>
      <c r="BA316" s="4892"/>
      <c r="BB316" s="4893"/>
      <c r="BC316" s="4893"/>
      <c r="BD316" s="4893"/>
      <c r="BE316" s="4893"/>
      <c r="BF316" s="4893"/>
      <c r="BG316" s="4893"/>
      <c r="BH316" s="4893"/>
      <c r="BI316" s="4893"/>
      <c r="BJ316" s="4894"/>
      <c r="BK316" s="997">
        <f>SUM(K312:K316)-SUM(V316:BA316)</f>
        <v>0</v>
      </c>
      <c r="BL316" s="1422"/>
      <c r="BM316" s="1423"/>
      <c r="BN316" s="975"/>
      <c r="BO316" s="992"/>
      <c r="BP316" s="961" t="str">
        <f>IF(I316="Si",VLOOKUP($D$8,TablasTec!$E$4:$F$6,2,FALSE),"")</f>
        <v/>
      </c>
      <c r="BQ316" s="962" t="str">
        <f>IF(L316="Si",VLOOKUP($D$8,TablasTec!$I$4:$J$6,2,FALSE),"")</f>
        <v/>
      </c>
      <c r="BR316" s="960" t="str">
        <f>IF(O316="Si",VLOOKUP($D$8,TablasTec!$I$7:$J$9,2,FALSE),"")</f>
        <v/>
      </c>
      <c r="BS316" s="977"/>
      <c r="BT316" s="2293">
        <f>IF(BT310="No",0,IF(D304=0,0,VLOOKUP(D304,TablasTec!$L$4:$N$7,2,FALSE)))+IF(BT312="Bajar coste de CM",0,IF(BT312="-5 CM",2,IF(BT312="-10 CM",4,IF(BT312="-15 CM",6,IF(BT312="-20 CM",8,0)))))+IF(BT314="Bajar coste de Ki",0,IF(BT314="-1 Ki",-1,IF(BT314="-2 Ki",-2,IF(BT314="-3 Ki",-3,IF(BT314="-4 Ki",-4,IF(BT314="-5 Ki",-5,0))))))-BU319-BU321-BU323-BU325-BU327-BU329</f>
        <v>0</v>
      </c>
      <c r="BU316" s="2294">
        <f>IF(BT310="No",0,IF(D304=0,0,VLOOKUP(D304,TablasTec!$L$4:$N$7,2,FALSE)))+IF(BT312="Bajar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09"/>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IF(I317="Si",VLOOKUP($D$8,TablasTec!$E$4:$F$6,2,FALSE),"")</f>
        <v/>
      </c>
      <c r="BQ317" s="1013" t="str">
        <f>IF(L317="Si",VLOOKUP($D$8,TablasTec!$I$4:$J$6,2,FALSE),"")</f>
        <v/>
      </c>
      <c r="BR317" s="1011" t="str">
        <f>IF(O317="Si",VLOOKUP($D$8,TablasTec!$I$7:$J$9,2,FALSE),"")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09"/>
      <c r="D318" s="1436" t="s">
        <v>1766</v>
      </c>
      <c r="E318" s="966"/>
      <c r="F318" s="1002"/>
      <c r="G318" s="972" t="str">
        <f>IF(E318=0,"",VLOOKUP(E318,TablasTec!$A$14:$V$771,3,FALSE))</f>
        <v/>
      </c>
      <c r="H318" s="1014" t="str">
        <f>IF($E318=0,"",VLOOKUP($E318,TablasTec!$A$14:$V$771,4,FALSE))</f>
        <v/>
      </c>
      <c r="I318" s="970" t="s">
        <v>1690</v>
      </c>
      <c r="J318" s="1400" t="str">
        <f>IF(E318=0,"",VLOOKUP(E318,TablasTec!$A$14:$V$771,5,FALSE))</f>
        <v/>
      </c>
      <c r="K318" s="1016" t="str">
        <f>IF(I318="Si",IF(E318=0,"",VLOOKUP(E318,TablasTec!$A$14:$V$771,5,FALSE)),"")</f>
        <v/>
      </c>
      <c r="L318" s="970" t="s">
        <v>1690</v>
      </c>
      <c r="M318" s="1400" t="str">
        <f>IF(E318=0,"",VLOOKUP(E318,TablasTec!$A$14:$V$771,6,FALSE))</f>
        <v/>
      </c>
      <c r="N318" s="973" t="str">
        <f>IF(L318="Si",IF(E318=0,"",VLOOKUP(E318,TablasTec!$A$14:$V$771,6,FALSE)),"")</f>
        <v/>
      </c>
      <c r="O318" s="970" t="s">
        <v>1690</v>
      </c>
      <c r="P318" s="1400" t="str">
        <f>IF(E318=0,"",VLOOKUP(E318,TablasTec!$A$14:$V$771,7,FALSE))</f>
        <v/>
      </c>
      <c r="Q318" s="973" t="str">
        <f>IF(O318="Si",IF(E318=0,"",VLOOKUP(E318,TablasTec!$A$14:$V$771,7,FALSE)),"")</f>
        <v/>
      </c>
      <c r="R318" s="1015" t="str">
        <f>IF(E318=0,"",VLOOKUP(E318,TablasTec!$A$14:$V$771,8,FALSE))</f>
        <v/>
      </c>
      <c r="S318" s="987" t="str">
        <f>IF(R318=$D$8,$D$8,IF(R318=2,2,IF(R318=3,3,R318)))</f>
        <v/>
      </c>
      <c r="T318" s="1016" t="str">
        <f>IF(E318=0,"",VLOOKUP(E318,TablasTec!$A$14:$V$771,9,FALSE))</f>
        <v/>
      </c>
      <c r="U318" s="1016" t="str">
        <f>IF(E318=0,"",VLOOKUP(E318,TablasTec!$A$14:$V$771,10,FALSE))</f>
        <v/>
      </c>
      <c r="V318" s="1017" t="str">
        <f>IF(E318=0,"",VLOOKUP(E318,TablasTec!$A$14:$V$771,11,FALSE))</f>
        <v/>
      </c>
      <c r="W318" s="970"/>
      <c r="X318" s="971" t="e">
        <f>VLOOKUP(E318,TablasTec!$A$14:$V$771,12,FALSE)</f>
        <v>#N/A</v>
      </c>
      <c r="Y318" s="971" t="e">
        <f>IF(W318=X318,VLOOKUP(E318,TablasTec!$A$14:$V$771,13,FALSE),0)</f>
        <v>#N/A</v>
      </c>
      <c r="Z318" s="971" t="e">
        <f>VLOOKUP(E318,TablasTec!$A$14:$V$771,14,FALSE)</f>
        <v>#N/A</v>
      </c>
      <c r="AA318" s="971" t="e">
        <f>IF(W318=Z318,VLOOKUP(E318,TablasTec!$A$14:$V$616,15,FALSE),0)</f>
        <v>#N/A</v>
      </c>
      <c r="AB318" s="971" t="e">
        <f>VLOOKUP(E318,TablasTec!$A$14:$V$771,16,FALSE)</f>
        <v>#N/A</v>
      </c>
      <c r="AC318" s="971" t="e">
        <f>IF(W318=AB318,VLOOKUP(E318,TablasTec!$A$14:$V$616,17,FALSE),0)</f>
        <v>#N/A</v>
      </c>
      <c r="AD318" s="971" t="e">
        <f>VLOOKUP(E318,TablasTec!$A$14:$V$771,18,FALSE)</f>
        <v>#N/A</v>
      </c>
      <c r="AE318" s="971" t="e">
        <f>IF(W318=AD318,VLOOKUP(E318,TablasTec!$A$14:$V$771,19,FALSE),0)</f>
        <v>#N/A</v>
      </c>
      <c r="AF318" s="989" t="str">
        <f>IF(E318=0,"",(Y318+AA318+AC318+AE318))</f>
        <v/>
      </c>
      <c r="AG318" s="970"/>
      <c r="AH318" s="988" t="e">
        <f>VLOOKUP(E318,TablasTec!$A$14:$V$771,12,FALSE)</f>
        <v>#N/A</v>
      </c>
      <c r="AI318" s="988" t="e">
        <f>IF(AG318=AH318,VLOOKUP(E318,TablasTec!$A$14:$V$771,13,FALSE),0)</f>
        <v>#N/A</v>
      </c>
      <c r="AJ318" s="988" t="e">
        <f>VLOOKUP(E318,TablasTec!$A$14:$V$771,14,FALSE)</f>
        <v>#N/A</v>
      </c>
      <c r="AK318" s="988" t="e">
        <f>IF(AG318=AJ318,VLOOKUP(E318,TablasTec!$A$14:$V$771,15,FALSE),0)</f>
        <v>#N/A</v>
      </c>
      <c r="AL318" s="988" t="e">
        <f>VLOOKUP(E318,TablasTec!$A$14:$V$771,16,FALSE)</f>
        <v>#N/A</v>
      </c>
      <c r="AM318" s="988" t="e">
        <f>IF(AG318=AL318,VLOOKUP(E318,TablasTec!$A$14:$V$771,17,FALSE),0)</f>
        <v>#N/A</v>
      </c>
      <c r="AN318" s="988" t="e">
        <f>VLOOKUP(E318,TablasTec!$A$14:$V$771,18,FALSE)</f>
        <v>#N/A</v>
      </c>
      <c r="AO318" s="988" t="e">
        <f>IF(AG318=AN318,VLOOKUP(E318,TablasTec!$A$14:$V$771,19,FALSE),0)</f>
        <v>#N/A</v>
      </c>
      <c r="AP318" s="3182" t="str">
        <f>IF(E318=0,"",(AI318+AK318+AM318+AO318))</f>
        <v/>
      </c>
      <c r="AQ318" s="970"/>
      <c r="AR318" s="988" t="e">
        <f>VLOOKUP(E318,TablasTec!$A$14:$V$771,12,FALSE)</f>
        <v>#N/A</v>
      </c>
      <c r="AS318" s="988" t="e">
        <f>IF(AQ318=AR318,VLOOKUP(E318,TablasTec!$A$14:$V$771,13,FALSE),0)</f>
        <v>#N/A</v>
      </c>
      <c r="AT318" s="988" t="e">
        <f>VLOOKUP(E318,TablasTec!$A$14:$V$771,14,FALSE)</f>
        <v>#N/A</v>
      </c>
      <c r="AU318" s="988" t="e">
        <f>IF(AQ318=AT318,VLOOKUP(E318,TablasTec!$A$14:$V$771,15,FALSE),0)</f>
        <v>#N/A</v>
      </c>
      <c r="AV318" s="988" t="e">
        <f>VLOOKUP(E318,TablasTec!$A$14:$V$771,16,FALSE)</f>
        <v>#N/A</v>
      </c>
      <c r="AW318" s="988" t="e">
        <f>IF(AQ318=AV318,VLOOKUP(E318,TablasTec!$A$14:$V$771,17,FALSE),0)</f>
        <v>#N/A</v>
      </c>
      <c r="AX318" s="988" t="e">
        <f>VLOOKUP(E318,TablasTec!$A$14:$V$771,18,FALSE)</f>
        <v>#N/A</v>
      </c>
      <c r="AY318" s="988" t="e">
        <f>IF(AQ318=AX318,VLOOKUP(E318,TablasTec!$A$14:$V$771,19,FALSE),0)</f>
        <v>#N/A</v>
      </c>
      <c r="AZ318" s="989" t="str">
        <f>IF(E318=0,"",(AS318+AU318+AW318+AY318))</f>
        <v/>
      </c>
      <c r="BA318" s="970"/>
      <c r="BB318" s="988" t="e">
        <f>VLOOKUP(E318,TablasTec!$A$14:$V$771,12,FALSE)</f>
        <v>#N/A</v>
      </c>
      <c r="BC318" s="988" t="e">
        <f>IF(BA318=BB318,VLOOKUP(E318,TablasTec!$A$14:$V$771,13,FALSE),0)</f>
        <v>#N/A</v>
      </c>
      <c r="BD318" s="988" t="e">
        <f>VLOOKUP(E318,TablasTec!$A$14:$V$771,14,FALSE)</f>
        <v>#N/A</v>
      </c>
      <c r="BE318" s="988" t="e">
        <f>IF(BA318=BD318,VLOOKUP(E318,TablasTec!$A$14:$V$771,15,FALSE),0)</f>
        <v>#N/A</v>
      </c>
      <c r="BF318" s="988" t="e">
        <f>VLOOKUP(E318,TablasTec!$A$14:$V$771,16,FALSE)</f>
        <v>#N/A</v>
      </c>
      <c r="BG318" s="988" t="e">
        <f>IF(BA318=BF318,VLOOKUP(E318,TablasTec!$A$14:$V$771,17,FALSE),0)</f>
        <v>#N/A</v>
      </c>
      <c r="BH318" s="988" t="e">
        <f>VLOOKUP(E318,TablasTec!$A$14:$V$771,18,FALSE)</f>
        <v>#N/A</v>
      </c>
      <c r="BI318" s="988" t="e">
        <f>IF(BA318=BH318,VLOOKUP(E318,TablasTec!$A$14:$V$771,19,FALSE),0)</f>
        <v>#N/A</v>
      </c>
      <c r="BJ318" s="3182" t="str">
        <f>IF(E318=0,"",(BC318+BE318+BG318+BI318))</f>
        <v/>
      </c>
      <c r="BK318" s="1016" t="str">
        <f>IF(E318=0,"",VLOOKUP(E318,TablasTec!$A$14:$V$771,20,FALSE))</f>
        <v/>
      </c>
      <c r="BL318" s="1003" t="str">
        <f>IF(E318=0,"",VLOOKUP(E318,TablasTec!$A$14:$V$771,21,FALSE))</f>
        <v/>
      </c>
      <c r="BM318" s="974" t="str">
        <f>IF(E318=0,"",VLOOKUP(E318,TablasTec!$A$14:$V$771,22,FALSE))</f>
        <v/>
      </c>
      <c r="BN318" s="975"/>
      <c r="BO318" s="976"/>
      <c r="BP318" s="961" t="str">
        <f>IF(I318="Si",VLOOKUP($D$8,TablasTec!$E$4:$F$6,2,FALSE),"")</f>
        <v/>
      </c>
      <c r="BQ318" s="962" t="str">
        <f>IF(L318="Si",VLOOKUP($D$8,TablasTec!$I$4:$J$6,2,FALSE),"")</f>
        <v/>
      </c>
      <c r="BR318" s="960" t="str">
        <f>IF(O318="Si",VLOOKUP($D$8,TablasTec!$I$7:$J$9,2,FALSE),"")</f>
        <v/>
      </c>
      <c r="BS318" s="977"/>
      <c r="BT318" s="3171" t="s">
        <v>1682</v>
      </c>
      <c r="BU318" s="3172" t="s">
        <v>4548</v>
      </c>
      <c r="BV318" s="954"/>
      <c r="BW318" s="3172" t="s">
        <v>4549</v>
      </c>
      <c r="BX318" s="3171"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c r="A319" s="922"/>
      <c r="B319" s="922"/>
      <c r="C319" s="4909"/>
      <c r="D319" s="1435" t="s">
        <v>1766</v>
      </c>
      <c r="E319" s="978"/>
      <c r="F319" s="1008"/>
      <c r="G319" s="1420" t="str">
        <f>IF(E319=0,"",VLOOKUP(E319,TablasTec!$A$14:$V$771,3,FALSE))</f>
        <v/>
      </c>
      <c r="H319" s="981" t="str">
        <f>IF($E319=0,"",VLOOKUP($E319,TablasTec!$A$14:$V$771,4,FALSE))</f>
        <v/>
      </c>
      <c r="I319" s="982" t="s">
        <v>1690</v>
      </c>
      <c r="J319" s="1398" t="str">
        <f>IF(E319=0,"",VLOOKUP(E319,TablasTec!$A$14:$V$771,5,FALSE))</f>
        <v/>
      </c>
      <c r="K319" s="984" t="str">
        <f>IF(I319="Si",IF(E319=0,"",VLOOKUP(E319,TablasTec!$A$14:$V$771,5,FALSE)),"")</f>
        <v/>
      </c>
      <c r="L319" s="982" t="s">
        <v>1690</v>
      </c>
      <c r="M319" s="1398" t="str">
        <f>IF(E319=0,"",VLOOKUP(E319,TablasTec!$A$14:$V$771,6,FALSE))</f>
        <v/>
      </c>
      <c r="N319" s="985" t="str">
        <f>IF(L319="Si",IF(E319=0,"",VLOOKUP(E319,TablasTec!$A$14:$V$771,6,FALSE)),"")</f>
        <v/>
      </c>
      <c r="O319" s="982" t="s">
        <v>1690</v>
      </c>
      <c r="P319" s="1398" t="str">
        <f>IF(E319=0,"",VLOOKUP(E319,TablasTec!$A$14:$V$771,7,FALSE))</f>
        <v/>
      </c>
      <c r="Q319" s="985" t="str">
        <f>IF(O319="Si",IF(E319=0,"",VLOOKUP(E319,TablasTec!$A$14:$V$771,7,FALSE)),"")</f>
        <v/>
      </c>
      <c r="R319" s="983" t="str">
        <f>IF(E319=0,"",VLOOKUP(E319,TablasTec!$A$14:$V$771,8,FALSE))</f>
        <v/>
      </c>
      <c r="S319" s="981" t="str">
        <f>IF(R319=$D$8,$D$8,IF(R319=2,2,IF(R319=3,3,R319)))</f>
        <v/>
      </c>
      <c r="T319" s="4883" t="s">
        <v>4540</v>
      </c>
      <c r="U319" s="4884"/>
      <c r="V319" s="4884"/>
      <c r="W319" s="4884"/>
      <c r="X319" s="4884"/>
      <c r="Y319" s="4884"/>
      <c r="Z319" s="4884"/>
      <c r="AA319" s="4884"/>
      <c r="AB319" s="4884"/>
      <c r="AC319" s="4884"/>
      <c r="AD319" s="4884"/>
      <c r="AE319" s="4884"/>
      <c r="AF319" s="4884"/>
      <c r="AG319" s="4884"/>
      <c r="AH319" s="4884"/>
      <c r="AI319" s="4884"/>
      <c r="AJ319" s="4884"/>
      <c r="AK319" s="4884"/>
      <c r="AL319" s="4884"/>
      <c r="AM319" s="4884"/>
      <c r="AN319" s="4884"/>
      <c r="AO319" s="4884"/>
      <c r="AP319" s="4884"/>
      <c r="AQ319" s="4884"/>
      <c r="AR319" s="4884"/>
      <c r="AS319" s="4884"/>
      <c r="AT319" s="4884"/>
      <c r="AU319" s="4884"/>
      <c r="AV319" s="4884"/>
      <c r="AW319" s="4884"/>
      <c r="AX319" s="4884"/>
      <c r="AY319" s="4884"/>
      <c r="AZ319" s="4884"/>
      <c r="BA319" s="4884"/>
      <c r="BB319" s="4884"/>
      <c r="BC319" s="4884"/>
      <c r="BD319" s="4884"/>
      <c r="BE319" s="4884"/>
      <c r="BF319" s="4884"/>
      <c r="BG319" s="4884"/>
      <c r="BH319" s="4884"/>
      <c r="BI319" s="4884"/>
      <c r="BJ319" s="4884"/>
      <c r="BK319" s="4885"/>
      <c r="BL319" s="1420"/>
      <c r="BM319" s="1421"/>
      <c r="BN319" s="975"/>
      <c r="BO319" s="976"/>
      <c r="BP319" s="961" t="str">
        <f>IF(I319="Si",VLOOKUP($D$8,TablasTec!$E$4:$F$6,2,FALSE),"")</f>
        <v/>
      </c>
      <c r="BQ319" s="962" t="str">
        <f>IF(L319="Si",VLOOKUP($D$8,TablasTec!$I$4:$J$6,2,FALSE),"")</f>
        <v/>
      </c>
      <c r="BR319" s="960" t="str">
        <f>IF(O319="Si",VLOOKUP($D$8,TablasTec!$I$7:$J$9,2,FALSE),"")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c r="A320" s="922"/>
      <c r="B320" s="922"/>
      <c r="C320" s="4909"/>
      <c r="D320" s="1436" t="s">
        <v>1766</v>
      </c>
      <c r="E320" s="986"/>
      <c r="F320" s="1002"/>
      <c r="G320" s="972" t="str">
        <f>IF(E320=0,"",VLOOKUP(E320,TablasTec!$A$14:$V$771,3,FALSE))</f>
        <v/>
      </c>
      <c r="H320" s="3181" t="str">
        <f>IF($E320=0,"",VLOOKUP($E320,TablasTec!$A$14:$V$771,4,FALSE))</f>
        <v/>
      </c>
      <c r="I320" s="970" t="s">
        <v>1690</v>
      </c>
      <c r="J320" s="1394" t="str">
        <f>IF(E320=0,"",VLOOKUP(E320,TablasTec!$A$14:$V$771,5,FALSE))</f>
        <v/>
      </c>
      <c r="K320" s="989" t="str">
        <f>IF(I320="Si",IF(E320=0,"",VLOOKUP(E320,TablasTec!$A$14:$V$771,5,FALSE)),"")</f>
        <v/>
      </c>
      <c r="L320" s="970" t="s">
        <v>1690</v>
      </c>
      <c r="M320" s="1394" t="str">
        <f>IF(E320=0,"",VLOOKUP(E320,TablasTec!$A$14:$V$771,6,FALSE))</f>
        <v/>
      </c>
      <c r="N320" s="973" t="str">
        <f>IF(L320="Si",IF(E320=0,"",VLOOKUP(E320,TablasTec!$A$14:$V$771,6,FALSE)),"")</f>
        <v/>
      </c>
      <c r="O320" s="970" t="s">
        <v>1690</v>
      </c>
      <c r="P320" s="1394" t="str">
        <f>IF(E320=0,"",VLOOKUP(E320,TablasTec!$A$14:$V$771,7,FALSE))</f>
        <v/>
      </c>
      <c r="Q320" s="973" t="str">
        <f>IF(O320="Si",IF(E320=0,"",VLOOKUP(E320,TablasTec!$A$14:$V$771,7,FALSE)),"")</f>
        <v/>
      </c>
      <c r="R320" s="988" t="str">
        <f>IF(E320=0,"",VLOOKUP(E320,TablasTec!$A$14:$V$771,8,FALSE))</f>
        <v/>
      </c>
      <c r="S320" s="3181" t="str">
        <f>IF(R320=$D$8,$D$8,IF(R320=2,2,IF(R320=3,3,R320)))</f>
        <v/>
      </c>
      <c r="T320" s="4896"/>
      <c r="U320" s="4897"/>
      <c r="V320" s="3179" t="str">
        <f>IF(OR(V318=0,V318=""),"N/A",V318)</f>
        <v>N/A</v>
      </c>
      <c r="W320" s="4896" t="str">
        <f xml:space="preserve"> IF(OR(AF318=0,AF318=""),"N/A",W318)</f>
        <v>N/A</v>
      </c>
      <c r="X320" s="4898"/>
      <c r="Y320" s="4898"/>
      <c r="Z320" s="4898"/>
      <c r="AA320" s="4898"/>
      <c r="AB320" s="4898"/>
      <c r="AC320" s="4898"/>
      <c r="AD320" s="4898"/>
      <c r="AE320" s="4898"/>
      <c r="AF320" s="4897"/>
      <c r="AG320" s="4896" t="str">
        <f xml:space="preserve"> IF(OR(AP318="",AP318=0),"N/A",AG318)</f>
        <v>N/A</v>
      </c>
      <c r="AH320" s="4898"/>
      <c r="AI320" s="4898"/>
      <c r="AJ320" s="4898"/>
      <c r="AK320" s="4898"/>
      <c r="AL320" s="4898"/>
      <c r="AM320" s="4898"/>
      <c r="AN320" s="4898"/>
      <c r="AO320" s="4898"/>
      <c r="AP320" s="4897"/>
      <c r="AQ320" s="4896" t="str">
        <f xml:space="preserve"> IF(OR(AZ318="",AZ318=0),"N/A",AQ318)</f>
        <v>N/A</v>
      </c>
      <c r="AR320" s="4898"/>
      <c r="AS320" s="4898"/>
      <c r="AT320" s="4898"/>
      <c r="AU320" s="4898"/>
      <c r="AV320" s="4898"/>
      <c r="AW320" s="4898"/>
      <c r="AX320" s="4898"/>
      <c r="AY320" s="4898"/>
      <c r="AZ320" s="4897"/>
      <c r="BA320" s="4896" t="str">
        <f xml:space="preserve"> IF(OR(BJ318="",BJ318=0),"N/A",BA318)</f>
        <v>N/A</v>
      </c>
      <c r="BB320" s="4898"/>
      <c r="BC320" s="4898"/>
      <c r="BD320" s="4898"/>
      <c r="BE320" s="4898"/>
      <c r="BF320" s="4898"/>
      <c r="BG320" s="4898"/>
      <c r="BH320" s="4898"/>
      <c r="BI320" s="4898"/>
      <c r="BJ320" s="4897"/>
      <c r="BK320" s="990" t="s">
        <v>4541</v>
      </c>
      <c r="BL320" s="972"/>
      <c r="BM320" s="1007"/>
      <c r="BN320" s="991"/>
      <c r="BO320" s="992"/>
      <c r="BP320" s="993" t="str">
        <f>IF(I320="Si",VLOOKUP($D$8,TablasTec!$E$4:$F$6,2,FALSE),"")</f>
        <v/>
      </c>
      <c r="BQ320" s="963" t="str">
        <f>IF(L320="Si",VLOOKUP($D$8,TablasTec!$I$4:$J$6,2,FALSE),"")</f>
        <v/>
      </c>
      <c r="BR320" s="994" t="str">
        <f>IF(O320="Si",VLOOKUP($D$8,TablasTec!$I$7:$J$9,2,FALSE),"")</f>
        <v/>
      </c>
      <c r="BS320" s="977"/>
      <c r="BT320" s="3171" t="s">
        <v>1809</v>
      </c>
      <c r="BU320" s="3172" t="s">
        <v>4548</v>
      </c>
      <c r="BV320" s="954"/>
      <c r="BW320" s="3172" t="s">
        <v>4549</v>
      </c>
      <c r="BX320" s="3171"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c r="A321" s="922"/>
      <c r="B321" s="922"/>
      <c r="C321" s="4909"/>
      <c r="D321" s="1435" t="s">
        <v>1766</v>
      </c>
      <c r="E321" s="978"/>
      <c r="F321" s="1008"/>
      <c r="G321" s="1420" t="str">
        <f>IF(E321=0,"",VLOOKUP(E321,TablasTec!$A$14:$V$771,3,FALSE))</f>
        <v/>
      </c>
      <c r="H321" s="981" t="str">
        <f>IF($E321=0,"",VLOOKUP($E321,TablasTec!$A$14:$V$771,4,FALSE))</f>
        <v/>
      </c>
      <c r="I321" s="982" t="s">
        <v>1690</v>
      </c>
      <c r="J321" s="1398" t="str">
        <f>IF(E321=0,"",VLOOKUP(E321,TablasTec!$A$14:$V$771,5,FALSE))</f>
        <v/>
      </c>
      <c r="K321" s="984" t="str">
        <f>IF(I321="Si",IF(E321=0,"",VLOOKUP(E321,TablasTec!$A$14:$V$771,5,FALSE)),"")</f>
        <v/>
      </c>
      <c r="L321" s="982" t="s">
        <v>1690</v>
      </c>
      <c r="M321" s="1398" t="str">
        <f>IF(E321=0,"",VLOOKUP(E321,TablasTec!$A$14:$V$771,6,FALSE))</f>
        <v/>
      </c>
      <c r="N321" s="985" t="str">
        <f>IF(L321="Si",IF(E321=0,"",VLOOKUP(E321,TablasTec!$A$14:$V$771,6,FALSE)),"")</f>
        <v/>
      </c>
      <c r="O321" s="982" t="s">
        <v>1690</v>
      </c>
      <c r="P321" s="1398" t="str">
        <f>IF(E321=0,"",VLOOKUP(E321,TablasTec!$A$14:$V$771,7,FALSE))</f>
        <v/>
      </c>
      <c r="Q321" s="985" t="str">
        <f>IF(O321="Si",IF(E321=0,"",VLOOKUP(E321,TablasTec!$A$14:$V$771,7,FALSE)),"")</f>
        <v/>
      </c>
      <c r="R321" s="983" t="str">
        <f>IF(E321=0,"",VLOOKUP(E321,TablasTec!$A$14:$V$771,8,FALSE))</f>
        <v/>
      </c>
      <c r="S321" s="981" t="str">
        <f>IF(R321=$D$8,$D$8,IF(R321=2,2,IF(R321=3,3,R321)))</f>
        <v/>
      </c>
      <c r="T321" s="4899" t="s">
        <v>4542</v>
      </c>
      <c r="U321" s="4900"/>
      <c r="V321" s="3180"/>
      <c r="W321" s="4901"/>
      <c r="X321" s="4902"/>
      <c r="Y321" s="4902"/>
      <c r="Z321" s="4902"/>
      <c r="AA321" s="4902"/>
      <c r="AB321" s="4902"/>
      <c r="AC321" s="4902"/>
      <c r="AD321" s="4902"/>
      <c r="AE321" s="4902"/>
      <c r="AF321" s="4903"/>
      <c r="AG321" s="4901"/>
      <c r="AH321" s="4902"/>
      <c r="AI321" s="4902"/>
      <c r="AJ321" s="4902"/>
      <c r="AK321" s="4902"/>
      <c r="AL321" s="4902"/>
      <c r="AM321" s="4902"/>
      <c r="AN321" s="4902"/>
      <c r="AO321" s="4902"/>
      <c r="AP321" s="4903"/>
      <c r="AQ321" s="4901"/>
      <c r="AR321" s="4902"/>
      <c r="AS321" s="4902"/>
      <c r="AT321" s="4902"/>
      <c r="AU321" s="4902"/>
      <c r="AV321" s="4902"/>
      <c r="AW321" s="4902"/>
      <c r="AX321" s="4902"/>
      <c r="AY321" s="4902"/>
      <c r="AZ321" s="4903"/>
      <c r="BA321" s="4901"/>
      <c r="BB321" s="4902"/>
      <c r="BC321" s="4902"/>
      <c r="BD321" s="4902"/>
      <c r="BE321" s="4902"/>
      <c r="BF321" s="4902"/>
      <c r="BG321" s="4902"/>
      <c r="BH321" s="4902"/>
      <c r="BI321" s="4902"/>
      <c r="BJ321" s="4903"/>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IF(I321="Si",VLOOKUP($D$8,TablasTec!$E$4:$F$6,2,FALSE),"")</f>
        <v/>
      </c>
      <c r="BQ321" s="962" t="str">
        <f>IF(L321="Si",VLOOKUP($D$8,TablasTec!$I$4:$J$6,2,FALSE),"")</f>
        <v/>
      </c>
      <c r="BR321" s="960" t="str">
        <f>IF(O321="Si",VLOOKUP($D$8,TablasTec!$I$7:$J$9,2,FALSE),"")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c r="A322" s="922"/>
      <c r="B322" s="922"/>
      <c r="C322" s="4909"/>
      <c r="D322" s="1436" t="s">
        <v>1766</v>
      </c>
      <c r="E322" s="986"/>
      <c r="F322" s="1002"/>
      <c r="G322" s="972" t="str">
        <f>IF(E322=0,"",VLOOKUP(E322,TablasTec!$A$14:$V$771,3,FALSE))</f>
        <v/>
      </c>
      <c r="H322" s="997" t="str">
        <f>IF($E322=0,"",VLOOKUP($E322,TablasTec!$A$14:$V$771,4,FALSE))</f>
        <v/>
      </c>
      <c r="I322" s="970" t="s">
        <v>1690</v>
      </c>
      <c r="J322" s="1401" t="str">
        <f>IF(E322=0,"",VLOOKUP(E322,TablasTec!$A$14:$V$771,5,FALSE))</f>
        <v/>
      </c>
      <c r="K322" s="998" t="str">
        <f>IF(I322="Si",IF(E322=0,"",VLOOKUP(E322,TablasTec!$A$14:$V$771,5,FALSE)),"")</f>
        <v/>
      </c>
      <c r="L322" s="970" t="s">
        <v>1690</v>
      </c>
      <c r="M322" s="1401" t="str">
        <f>IF(E322=0,"",VLOOKUP(E322,TablasTec!$A$14:$V$771,6,FALSE))</f>
        <v/>
      </c>
      <c r="N322" s="973" t="str">
        <f>IF(L322="Si",IF(E322=0,"",VLOOKUP(E322,TablasTec!$A$14:$V$771,6,FALSE)),"")</f>
        <v/>
      </c>
      <c r="O322" s="970" t="s">
        <v>1690</v>
      </c>
      <c r="P322" s="1401" t="str">
        <f>IF(E322=0,"",VLOOKUP(E322,TablasTec!$A$14:$V$771,7,FALSE))</f>
        <v/>
      </c>
      <c r="Q322" s="973" t="str">
        <f>IF(O322="Si",IF(E322=0,"",VLOOKUP(E322,TablasTec!$A$14:$V$771,7,FALSE)),"")</f>
        <v/>
      </c>
      <c r="R322" s="1018" t="str">
        <f>IF(E322=0,"",VLOOKUP(E322,TablasTec!$A$14:$V$771,8,FALSE))</f>
        <v/>
      </c>
      <c r="S322" s="987" t="str">
        <f>IF(R322=$D$8,$D$8,IF(R322=2,2,IF(R322=3,3,R322)))</f>
        <v/>
      </c>
      <c r="T322" s="4890" t="s">
        <v>4544</v>
      </c>
      <c r="U322" s="4891"/>
      <c r="V322" s="3178"/>
      <c r="W322" s="4892"/>
      <c r="X322" s="4893"/>
      <c r="Y322" s="4893"/>
      <c r="Z322" s="4893"/>
      <c r="AA322" s="4893"/>
      <c r="AB322" s="4893"/>
      <c r="AC322" s="4893"/>
      <c r="AD322" s="4893"/>
      <c r="AE322" s="4893"/>
      <c r="AF322" s="4894"/>
      <c r="AG322" s="4892"/>
      <c r="AH322" s="4893"/>
      <c r="AI322" s="4893"/>
      <c r="AJ322" s="4893"/>
      <c r="AK322" s="4893"/>
      <c r="AL322" s="4893"/>
      <c r="AM322" s="4893"/>
      <c r="AN322" s="4893"/>
      <c r="AO322" s="4893"/>
      <c r="AP322" s="4894"/>
      <c r="AQ322" s="4892"/>
      <c r="AR322" s="4893"/>
      <c r="AS322" s="4893"/>
      <c r="AT322" s="4893"/>
      <c r="AU322" s="4893"/>
      <c r="AV322" s="4893"/>
      <c r="AW322" s="4893"/>
      <c r="AX322" s="4893"/>
      <c r="AY322" s="4893"/>
      <c r="AZ322" s="4894"/>
      <c r="BA322" s="4892"/>
      <c r="BB322" s="4893"/>
      <c r="BC322" s="4893"/>
      <c r="BD322" s="4893"/>
      <c r="BE322" s="4893"/>
      <c r="BF322" s="4893"/>
      <c r="BG322" s="4893"/>
      <c r="BH322" s="4893"/>
      <c r="BI322" s="4893"/>
      <c r="BJ322" s="4894"/>
      <c r="BK322" s="997">
        <f>SUM(K318:K322)-SUM(V322:BA322)</f>
        <v>0</v>
      </c>
      <c r="BL322" s="1422"/>
      <c r="BM322" s="1423"/>
      <c r="BN322" s="991"/>
      <c r="BO322" s="992"/>
      <c r="BP322" s="993" t="str">
        <f>IF(I322="Si",VLOOKUP($D$8,TablasTec!$E$4:$F$6,2,FALSE),"")</f>
        <v/>
      </c>
      <c r="BQ322" s="963" t="str">
        <f>IF(L322="Si",VLOOKUP($D$8,TablasTec!$I$4:$J$6,2,FALSE),"")</f>
        <v/>
      </c>
      <c r="BR322" s="994" t="str">
        <f>IF(O322="Si",VLOOKUP($D$8,TablasTec!$I$7:$J$9,2,FALSE),"")</f>
        <v/>
      </c>
      <c r="BS322" s="977"/>
      <c r="BT322" s="3171" t="s">
        <v>1687</v>
      </c>
      <c r="BU322" s="3172" t="s">
        <v>4548</v>
      </c>
      <c r="BV322" s="954"/>
      <c r="BW322" s="3172" t="s">
        <v>4549</v>
      </c>
      <c r="BX322" s="3171"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09"/>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IF(I323="Si",VLOOKUP($D$8,TablasTec!$E$4:$F$6,2,FALSE),"")</f>
        <v/>
      </c>
      <c r="BQ323" s="1013" t="str">
        <f>IF(L323="Si",VLOOKUP($D$8,TablasTec!$I$4:$J$6,2,FALSE),"")</f>
        <v/>
      </c>
      <c r="BR323" s="1011" t="str">
        <f>IF(O323="Si",VLOOKUP($D$8,TablasTec!$I$7:$J$9,2,FALSE),"")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09"/>
      <c r="D324" s="1436" t="s">
        <v>1766</v>
      </c>
      <c r="E324" s="966"/>
      <c r="F324" s="1002"/>
      <c r="G324" s="972" t="str">
        <f>IF(E324=0,"",VLOOKUP(E324,TablasTec!$A$14:$V$771,3,FALSE))</f>
        <v/>
      </c>
      <c r="H324" s="1014" t="str">
        <f>IF($E324=0,"",VLOOKUP($E324,TablasTec!$A$14:$V$771,4,FALSE))</f>
        <v/>
      </c>
      <c r="I324" s="970" t="s">
        <v>1690</v>
      </c>
      <c r="J324" s="1400" t="str">
        <f>IF(E324=0,"",VLOOKUP(E324,TablasTec!$A$14:$V$771,5,FALSE))</f>
        <v/>
      </c>
      <c r="K324" s="1016" t="str">
        <f>IF(I324="Si",IF(E324=0,"",VLOOKUP(E324,TablasTec!$A$14:$V$771,5,FALSE)),"")</f>
        <v/>
      </c>
      <c r="L324" s="970" t="s">
        <v>1690</v>
      </c>
      <c r="M324" s="1400" t="str">
        <f>IF(E324=0,"",VLOOKUP(E324,TablasTec!$A$14:$V$771,6,FALSE))</f>
        <v/>
      </c>
      <c r="N324" s="973" t="str">
        <f>IF(L324="Si",IF(E324=0,"",VLOOKUP(E324,TablasTec!$A$14:$V$771,6,FALSE)),"")</f>
        <v/>
      </c>
      <c r="O324" s="970" t="s">
        <v>1690</v>
      </c>
      <c r="P324" s="1400" t="str">
        <f>IF(E324=0,"",VLOOKUP(E324,TablasTec!$A$14:$V$771,7,FALSE))</f>
        <v/>
      </c>
      <c r="Q324" s="973" t="str">
        <f>IF(O324="Si",IF(E324=0,"",VLOOKUP(E324,TablasTec!$A$14:$V$771,7,FALSE)),"")</f>
        <v/>
      </c>
      <c r="R324" s="1015" t="str">
        <f>IF(E324=0,"",VLOOKUP(E324,TablasTec!$A$14:$V$771,8,FALSE))</f>
        <v/>
      </c>
      <c r="S324" s="987" t="str">
        <f>IF(R324=$D$8,$D$8,IF(R324=2,2,IF(R324=3,3,R324)))</f>
        <v/>
      </c>
      <c r="T324" s="1016" t="str">
        <f>IF(E324=0,"",VLOOKUP(E324,TablasTec!$A$14:$V$771,9,FALSE))</f>
        <v/>
      </c>
      <c r="U324" s="1016" t="str">
        <f>IF(E324=0,"",VLOOKUP(E324,TablasTec!$A$14:$V$771,10,FALSE))</f>
        <v/>
      </c>
      <c r="V324" s="1017" t="str">
        <f>IF(E324=0,"",VLOOKUP(E324,TablasTec!$A$14:$V$771,11,FALSE))</f>
        <v/>
      </c>
      <c r="W324" s="970"/>
      <c r="X324" s="971" t="e">
        <f>VLOOKUP(E324,TablasTec!$A$14:$V$771,12,FALSE)</f>
        <v>#N/A</v>
      </c>
      <c r="Y324" s="971" t="e">
        <f>IF(W324=X324,VLOOKUP(E324,TablasTec!$A$14:$V$771,13,FALSE),0)</f>
        <v>#N/A</v>
      </c>
      <c r="Z324" s="971" t="e">
        <f>VLOOKUP(E324,TablasTec!$A$14:$V$771,14,FALSE)</f>
        <v>#N/A</v>
      </c>
      <c r="AA324" s="971" t="e">
        <f>IF(W324=Z324,VLOOKUP(E324,TablasTec!$A$14:$V$616,15,FALSE),0)</f>
        <v>#N/A</v>
      </c>
      <c r="AB324" s="971" t="e">
        <f>VLOOKUP(E324,TablasTec!$A$14:$V$771,16,FALSE)</f>
        <v>#N/A</v>
      </c>
      <c r="AC324" s="971" t="e">
        <f>IF(W324=AB324,VLOOKUP(E324,TablasTec!$A$14:$V$616,17,FALSE),0)</f>
        <v>#N/A</v>
      </c>
      <c r="AD324" s="971" t="e">
        <f>VLOOKUP(E324,TablasTec!$A$14:$V$771,18,FALSE)</f>
        <v>#N/A</v>
      </c>
      <c r="AE324" s="971" t="e">
        <f>IF(W324=AD324,VLOOKUP(E324,TablasTec!$A$14:$V$771,19,FALSE),0)</f>
        <v>#N/A</v>
      </c>
      <c r="AF324" s="989" t="str">
        <f>IF(E324=0,"",(Y324+AA324+AC324+AE324))</f>
        <v/>
      </c>
      <c r="AG324" s="970"/>
      <c r="AH324" s="988" t="e">
        <f>VLOOKUP(E324,TablasTec!$A$14:$V$771,12,FALSE)</f>
        <v>#N/A</v>
      </c>
      <c r="AI324" s="988" t="e">
        <f>IF(AG324=AH324,VLOOKUP(E324,TablasTec!$A$14:$V$771,13,FALSE),0)</f>
        <v>#N/A</v>
      </c>
      <c r="AJ324" s="988" t="e">
        <f>VLOOKUP(E324,TablasTec!$A$14:$V$771,14,FALSE)</f>
        <v>#N/A</v>
      </c>
      <c r="AK324" s="988" t="e">
        <f>IF(AG324=AJ324,VLOOKUP(E324,TablasTec!$A$14:$V$771,15,FALSE),0)</f>
        <v>#N/A</v>
      </c>
      <c r="AL324" s="988" t="e">
        <f>VLOOKUP(E324,TablasTec!$A$14:$V$771,16,FALSE)</f>
        <v>#N/A</v>
      </c>
      <c r="AM324" s="988" t="e">
        <f>IF(AG324=AL324,VLOOKUP(E324,TablasTec!$A$14:$V$771,17,FALSE),0)</f>
        <v>#N/A</v>
      </c>
      <c r="AN324" s="988" t="e">
        <f>VLOOKUP(E324,TablasTec!$A$14:$V$771,18,FALSE)</f>
        <v>#N/A</v>
      </c>
      <c r="AO324" s="988" t="e">
        <f>IF(AG324=AN324,VLOOKUP(E324,TablasTec!$A$14:$V$771,19,FALSE),0)</f>
        <v>#N/A</v>
      </c>
      <c r="AP324" s="3182" t="str">
        <f>IF(E324=0,"",(AI324+AK324+AM324+AO324))</f>
        <v/>
      </c>
      <c r="AQ324" s="970"/>
      <c r="AR324" s="988" t="e">
        <f>VLOOKUP(E324,TablasTec!$A$14:$V$771,12,FALSE)</f>
        <v>#N/A</v>
      </c>
      <c r="AS324" s="988" t="e">
        <f>IF(AQ324=AR324,VLOOKUP(E324,TablasTec!$A$14:$V$771,13,FALSE),0)</f>
        <v>#N/A</v>
      </c>
      <c r="AT324" s="988" t="e">
        <f>VLOOKUP(E324,TablasTec!$A$14:$V$771,14,FALSE)</f>
        <v>#N/A</v>
      </c>
      <c r="AU324" s="988" t="e">
        <f>IF(AQ324=AT324,VLOOKUP(E324,TablasTec!$A$14:$V$771,15,FALSE),0)</f>
        <v>#N/A</v>
      </c>
      <c r="AV324" s="988" t="e">
        <f>VLOOKUP(E324,TablasTec!$A$14:$V$771,16,FALSE)</f>
        <v>#N/A</v>
      </c>
      <c r="AW324" s="988" t="e">
        <f>IF(AQ324=AV324,VLOOKUP(E324,TablasTec!$A$14:$V$771,17,FALSE),0)</f>
        <v>#N/A</v>
      </c>
      <c r="AX324" s="988" t="e">
        <f>VLOOKUP(E324,TablasTec!$A$14:$V$771,18,FALSE)</f>
        <v>#N/A</v>
      </c>
      <c r="AY324" s="988" t="e">
        <f>IF(AQ324=AX324,VLOOKUP(E324,TablasTec!$A$14:$V$771,19,FALSE),0)</f>
        <v>#N/A</v>
      </c>
      <c r="AZ324" s="989" t="str">
        <f>IF(E324=0,"",(AS324+AU324+AW324+AY324))</f>
        <v/>
      </c>
      <c r="BA324" s="970"/>
      <c r="BB324" s="988" t="e">
        <f>VLOOKUP(E324,TablasTec!$A$14:$V$771,12,FALSE)</f>
        <v>#N/A</v>
      </c>
      <c r="BC324" s="988" t="e">
        <f>IF(BA324=BB324,VLOOKUP(E324,TablasTec!$A$14:$V$771,13,FALSE),0)</f>
        <v>#N/A</v>
      </c>
      <c r="BD324" s="988" t="e">
        <f>VLOOKUP(E324,TablasTec!$A$14:$V$771,14,FALSE)</f>
        <v>#N/A</v>
      </c>
      <c r="BE324" s="988" t="e">
        <f>IF(BA324=BD324,VLOOKUP(E324,TablasTec!$A$14:$V$771,15,FALSE),0)</f>
        <v>#N/A</v>
      </c>
      <c r="BF324" s="988" t="e">
        <f>VLOOKUP(E324,TablasTec!$A$14:$V$771,16,FALSE)</f>
        <v>#N/A</v>
      </c>
      <c r="BG324" s="988" t="e">
        <f>IF(BA324=BF324,VLOOKUP(E324,TablasTec!$A$14:$V$771,17,FALSE),0)</f>
        <v>#N/A</v>
      </c>
      <c r="BH324" s="988" t="e">
        <f>VLOOKUP(E324,TablasTec!$A$14:$V$771,18,FALSE)</f>
        <v>#N/A</v>
      </c>
      <c r="BI324" s="988" t="e">
        <f>IF(BA324=BH324,VLOOKUP(E324,TablasTec!$A$14:$V$771,19,FALSE),0)</f>
        <v>#N/A</v>
      </c>
      <c r="BJ324" s="3182" t="str">
        <f>IF(E324=0,"",(BC324+BE324+BG324+BI324))</f>
        <v/>
      </c>
      <c r="BK324" s="1016" t="str">
        <f>IF(E324=0,"",VLOOKUP(E324,TablasTec!$A$14:$V$771,20,FALSE))</f>
        <v/>
      </c>
      <c r="BL324" s="1003" t="str">
        <f>IF(E324=0,"",VLOOKUP(E324,TablasTec!$A$14:$V$771,21,FALSE))</f>
        <v/>
      </c>
      <c r="BM324" s="974" t="str">
        <f>IF(E324=0,"",VLOOKUP(E324,TablasTec!$A$14:$V$771,22,FALSE))</f>
        <v/>
      </c>
      <c r="BN324" s="975"/>
      <c r="BO324" s="976"/>
      <c r="BP324" s="961" t="str">
        <f>IF(I324="Si",VLOOKUP($D$8,TablasTec!$E$4:$F$6,2,FALSE),"")</f>
        <v/>
      </c>
      <c r="BQ324" s="962" t="str">
        <f>IF(L324="Si",VLOOKUP($D$8,TablasTec!$I$4:$J$6,2,FALSE),"")</f>
        <v/>
      </c>
      <c r="BR324" s="960" t="str">
        <f>IF(O324="Si",VLOOKUP($D$8,TablasTec!$I$7:$J$9,2,FALSE),"")</f>
        <v/>
      </c>
      <c r="BS324" s="977"/>
      <c r="BT324" s="3171" t="s">
        <v>1692</v>
      </c>
      <c r="BU324" s="3172" t="s">
        <v>4548</v>
      </c>
      <c r="BV324" s="954"/>
      <c r="BW324" s="3172" t="s">
        <v>4549</v>
      </c>
      <c r="BX324" s="3171"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c r="A325" s="922"/>
      <c r="B325" s="922"/>
      <c r="C325" s="4909"/>
      <c r="D325" s="1435" t="s">
        <v>1766</v>
      </c>
      <c r="E325" s="978"/>
      <c r="F325" s="1008"/>
      <c r="G325" s="1420" t="str">
        <f>IF(E325=0,"",VLOOKUP(E325,TablasTec!$A$14:$V$771,3,FALSE))</f>
        <v/>
      </c>
      <c r="H325" s="981" t="str">
        <f>IF($E325=0,"",VLOOKUP($E325,TablasTec!$A$14:$V$771,4,FALSE))</f>
        <v/>
      </c>
      <c r="I325" s="982" t="s">
        <v>1690</v>
      </c>
      <c r="J325" s="1398" t="str">
        <f>IF(E325=0,"",VLOOKUP(E325,TablasTec!$A$14:$V$771,5,FALSE))</f>
        <v/>
      </c>
      <c r="K325" s="984" t="str">
        <f>IF(I325="Si",IF(E325=0,"",VLOOKUP(E325,TablasTec!$A$14:$V$771,5,FALSE)),"")</f>
        <v/>
      </c>
      <c r="L325" s="982" t="s">
        <v>1690</v>
      </c>
      <c r="M325" s="1398" t="str">
        <f>IF(E325=0,"",VLOOKUP(E325,TablasTec!$A$14:$V$771,6,FALSE))</f>
        <v/>
      </c>
      <c r="N325" s="985" t="str">
        <f>IF(L325="Si",IF(E325=0,"",VLOOKUP(E325,TablasTec!$A$14:$V$771,6,FALSE)),"")</f>
        <v/>
      </c>
      <c r="O325" s="982" t="s">
        <v>1690</v>
      </c>
      <c r="P325" s="1398" t="str">
        <f>IF(E325=0,"",VLOOKUP(E325,TablasTec!$A$14:$V$771,7,FALSE))</f>
        <v/>
      </c>
      <c r="Q325" s="985" t="str">
        <f>IF(O325="Si",IF(E325=0,"",VLOOKUP(E325,TablasTec!$A$14:$V$771,7,FALSE)),"")</f>
        <v/>
      </c>
      <c r="R325" s="983" t="str">
        <f>IF(E325=0,"",VLOOKUP(E325,TablasTec!$A$14:$V$771,8,FALSE))</f>
        <v/>
      </c>
      <c r="S325" s="981" t="str">
        <f>IF(R325=$D$8,$D$8,IF(R325=2,2,IF(R325=3,3,R325)))</f>
        <v/>
      </c>
      <c r="T325" s="4883" t="s">
        <v>4540</v>
      </c>
      <c r="U325" s="4884"/>
      <c r="V325" s="4884"/>
      <c r="W325" s="4884"/>
      <c r="X325" s="4884"/>
      <c r="Y325" s="4884"/>
      <c r="Z325" s="4884"/>
      <c r="AA325" s="4884"/>
      <c r="AB325" s="4884"/>
      <c r="AC325" s="4884"/>
      <c r="AD325" s="4884"/>
      <c r="AE325" s="4884"/>
      <c r="AF325" s="4884"/>
      <c r="AG325" s="4884"/>
      <c r="AH325" s="4884"/>
      <c r="AI325" s="4884"/>
      <c r="AJ325" s="4884"/>
      <c r="AK325" s="4884"/>
      <c r="AL325" s="4884"/>
      <c r="AM325" s="4884"/>
      <c r="AN325" s="4884"/>
      <c r="AO325" s="4884"/>
      <c r="AP325" s="4884"/>
      <c r="AQ325" s="4884"/>
      <c r="AR325" s="4884"/>
      <c r="AS325" s="4884"/>
      <c r="AT325" s="4884"/>
      <c r="AU325" s="4884"/>
      <c r="AV325" s="4884"/>
      <c r="AW325" s="4884"/>
      <c r="AX325" s="4884"/>
      <c r="AY325" s="4884"/>
      <c r="AZ325" s="4884"/>
      <c r="BA325" s="4884"/>
      <c r="BB325" s="4884"/>
      <c r="BC325" s="4884"/>
      <c r="BD325" s="4884"/>
      <c r="BE325" s="4884"/>
      <c r="BF325" s="4884"/>
      <c r="BG325" s="4884"/>
      <c r="BH325" s="4884"/>
      <c r="BI325" s="4884"/>
      <c r="BJ325" s="4884"/>
      <c r="BK325" s="4885"/>
      <c r="BL325" s="1420"/>
      <c r="BM325" s="1421"/>
      <c r="BN325" s="975"/>
      <c r="BO325" s="976"/>
      <c r="BP325" s="961" t="str">
        <f>IF(I325="Si",VLOOKUP($D$8,TablasTec!$E$4:$F$6,2,FALSE),"")</f>
        <v/>
      </c>
      <c r="BQ325" s="962" t="str">
        <f>IF(L325="Si",VLOOKUP($D$8,TablasTec!$I$4:$J$6,2,FALSE),"")</f>
        <v/>
      </c>
      <c r="BR325" s="960" t="str">
        <f>IF(O325="Si",VLOOKUP($D$8,TablasTec!$I$7:$J$9,2,FALSE),"")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c r="A326" s="922"/>
      <c r="B326" s="922"/>
      <c r="C326" s="4909"/>
      <c r="D326" s="1436" t="s">
        <v>1766</v>
      </c>
      <c r="E326" s="986"/>
      <c r="F326" s="1002"/>
      <c r="G326" s="972" t="str">
        <f>IF(E326=0,"",VLOOKUP(E326,TablasTec!$A$14:$V$771,3,FALSE))</f>
        <v/>
      </c>
      <c r="H326" s="3181" t="str">
        <f>IF($E326=0,"",VLOOKUP($E326,TablasTec!$A$14:$V$771,4,FALSE))</f>
        <v/>
      </c>
      <c r="I326" s="970" t="s">
        <v>1690</v>
      </c>
      <c r="J326" s="1394" t="str">
        <f>IF(E326=0,"",VLOOKUP(E326,TablasTec!$A$14:$V$771,5,FALSE))</f>
        <v/>
      </c>
      <c r="K326" s="989" t="str">
        <f>IF(I326="Si",IF(E326=0,"",VLOOKUP(E326,TablasTec!$A$14:$V$771,5,FALSE)),"")</f>
        <v/>
      </c>
      <c r="L326" s="970" t="s">
        <v>1690</v>
      </c>
      <c r="M326" s="1394" t="str">
        <f>IF(E326=0,"",VLOOKUP(E326,TablasTec!$A$14:$V$771,6,FALSE))</f>
        <v/>
      </c>
      <c r="N326" s="973" t="str">
        <f>IF(L326="Si",IF(E326=0,"",VLOOKUP(E326,TablasTec!$A$14:$V$771,6,FALSE)),"")</f>
        <v/>
      </c>
      <c r="O326" s="970" t="s">
        <v>1690</v>
      </c>
      <c r="P326" s="1394" t="str">
        <f>IF(E326=0,"",VLOOKUP(E326,TablasTec!$A$14:$V$771,7,FALSE))</f>
        <v/>
      </c>
      <c r="Q326" s="973" t="str">
        <f>IF(O326="Si",IF(E326=0,"",VLOOKUP(E326,TablasTec!$A$14:$V$771,7,FALSE)),"")</f>
        <v/>
      </c>
      <c r="R326" s="988" t="str">
        <f>IF(E326=0,"",VLOOKUP(E326,TablasTec!$A$14:$V$771,8,FALSE))</f>
        <v/>
      </c>
      <c r="S326" s="3181" t="str">
        <f>IF(R326=$D$8,$D$8,IF(R326=2,2,IF(R326=3,3,R326)))</f>
        <v/>
      </c>
      <c r="T326" s="4896"/>
      <c r="U326" s="4897"/>
      <c r="V326" s="3179" t="str">
        <f>IF(OR(V324=0,V324=""),"N/A",V324)</f>
        <v>N/A</v>
      </c>
      <c r="W326" s="4896" t="str">
        <f xml:space="preserve"> IF(OR(AF324=0,AF324=""),"N/A",W324)</f>
        <v>N/A</v>
      </c>
      <c r="X326" s="4898"/>
      <c r="Y326" s="4898"/>
      <c r="Z326" s="4898"/>
      <c r="AA326" s="4898"/>
      <c r="AB326" s="4898"/>
      <c r="AC326" s="4898"/>
      <c r="AD326" s="4898"/>
      <c r="AE326" s="4898"/>
      <c r="AF326" s="4897"/>
      <c r="AG326" s="4896" t="str">
        <f xml:space="preserve"> IF(OR(AP324="",AP324=0),"N/A",AG324)</f>
        <v>N/A</v>
      </c>
      <c r="AH326" s="4898"/>
      <c r="AI326" s="4898"/>
      <c r="AJ326" s="4898"/>
      <c r="AK326" s="4898"/>
      <c r="AL326" s="4898"/>
      <c r="AM326" s="4898"/>
      <c r="AN326" s="4898"/>
      <c r="AO326" s="4898"/>
      <c r="AP326" s="4897"/>
      <c r="AQ326" s="4896" t="str">
        <f xml:space="preserve"> IF(OR(AZ324="",AZ324=0),"N/A",AQ324)</f>
        <v>N/A</v>
      </c>
      <c r="AR326" s="4898"/>
      <c r="AS326" s="4898"/>
      <c r="AT326" s="4898"/>
      <c r="AU326" s="4898"/>
      <c r="AV326" s="4898"/>
      <c r="AW326" s="4898"/>
      <c r="AX326" s="4898"/>
      <c r="AY326" s="4898"/>
      <c r="AZ326" s="4897"/>
      <c r="BA326" s="4896" t="str">
        <f xml:space="preserve"> IF(OR(BJ324="",BJ324=0),"N/A",BA324)</f>
        <v>N/A</v>
      </c>
      <c r="BB326" s="4898"/>
      <c r="BC326" s="4898"/>
      <c r="BD326" s="4898"/>
      <c r="BE326" s="4898"/>
      <c r="BF326" s="4898"/>
      <c r="BG326" s="4898"/>
      <c r="BH326" s="4898"/>
      <c r="BI326" s="4898"/>
      <c r="BJ326" s="4897"/>
      <c r="BK326" s="990" t="s">
        <v>4541</v>
      </c>
      <c r="BL326" s="972"/>
      <c r="BM326" s="1007"/>
      <c r="BN326" s="991"/>
      <c r="BO326" s="992"/>
      <c r="BP326" s="993" t="str">
        <f>IF(I326="Si",VLOOKUP($D$8,TablasTec!$E$4:$F$6,2,FALSE),"")</f>
        <v/>
      </c>
      <c r="BQ326" s="963" t="str">
        <f>IF(L326="Si",VLOOKUP($D$8,TablasTec!$I$4:$J$6,2,FALSE),"")</f>
        <v/>
      </c>
      <c r="BR326" s="994" t="str">
        <f>IF(O326="Si",VLOOKUP($D$8,TablasTec!$I$7:$J$9,2,FALSE),"")</f>
        <v/>
      </c>
      <c r="BS326" s="977"/>
      <c r="BT326" s="3171" t="s">
        <v>1700</v>
      </c>
      <c r="BU326" s="3172" t="s">
        <v>4548</v>
      </c>
      <c r="BV326" s="954"/>
      <c r="BW326" s="3172" t="s">
        <v>4549</v>
      </c>
      <c r="BX326" s="3171"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c r="A327" s="922"/>
      <c r="B327" s="922"/>
      <c r="C327" s="4909"/>
      <c r="D327" s="1435" t="s">
        <v>1766</v>
      </c>
      <c r="E327" s="978"/>
      <c r="F327" s="1008"/>
      <c r="G327" s="1420" t="str">
        <f>IF(E327=0,"",VLOOKUP(E327,TablasTec!$A$14:$V$771,3,FALSE))</f>
        <v/>
      </c>
      <c r="H327" s="981" t="str">
        <f>IF($E327=0,"",VLOOKUP($E327,TablasTec!$A$14:$V$771,4,FALSE))</f>
        <v/>
      </c>
      <c r="I327" s="982" t="s">
        <v>1690</v>
      </c>
      <c r="J327" s="1398" t="str">
        <f>IF(E327=0,"",VLOOKUP(E327,TablasTec!$A$14:$V$771,5,FALSE))</f>
        <v/>
      </c>
      <c r="K327" s="984" t="str">
        <f>IF(I327="Si",IF(E327=0,"",VLOOKUP(E327,TablasTec!$A$14:$V$771,5,FALSE)),"")</f>
        <v/>
      </c>
      <c r="L327" s="982" t="s">
        <v>1690</v>
      </c>
      <c r="M327" s="1398" t="str">
        <f>IF(E327=0,"",VLOOKUP(E327,TablasTec!$A$14:$V$771,6,FALSE))</f>
        <v/>
      </c>
      <c r="N327" s="985" t="str">
        <f>IF(L327="Si",IF(E327=0,"",VLOOKUP(E327,TablasTec!$A$14:$V$771,6,FALSE)),"")</f>
        <v/>
      </c>
      <c r="O327" s="982" t="s">
        <v>1690</v>
      </c>
      <c r="P327" s="1398" t="str">
        <f>IF(E327=0,"",VLOOKUP(E327,TablasTec!$A$14:$V$771,7,FALSE))</f>
        <v/>
      </c>
      <c r="Q327" s="985" t="str">
        <f>IF(O327="Si",IF(E327=0,"",VLOOKUP(E327,TablasTec!$A$14:$V$771,7,FALSE)),"")</f>
        <v/>
      </c>
      <c r="R327" s="983" t="str">
        <f>IF(E327=0,"",VLOOKUP(E327,TablasTec!$A$14:$V$771,8,FALSE))</f>
        <v/>
      </c>
      <c r="S327" s="981" t="str">
        <f>IF(R327=$D$8,$D$8,IF(R327=2,2,IF(R327=3,3,R327)))</f>
        <v/>
      </c>
      <c r="T327" s="4899" t="s">
        <v>4542</v>
      </c>
      <c r="U327" s="4900"/>
      <c r="V327" s="3180"/>
      <c r="W327" s="4901"/>
      <c r="X327" s="4902"/>
      <c r="Y327" s="4902"/>
      <c r="Z327" s="4902"/>
      <c r="AA327" s="4902"/>
      <c r="AB327" s="4902"/>
      <c r="AC327" s="4902"/>
      <c r="AD327" s="4902"/>
      <c r="AE327" s="4902"/>
      <c r="AF327" s="4903"/>
      <c r="AG327" s="4901"/>
      <c r="AH327" s="4902"/>
      <c r="AI327" s="4902"/>
      <c r="AJ327" s="4902"/>
      <c r="AK327" s="4902"/>
      <c r="AL327" s="4902"/>
      <c r="AM327" s="4902"/>
      <c r="AN327" s="4902"/>
      <c r="AO327" s="4902"/>
      <c r="AP327" s="4903"/>
      <c r="AQ327" s="4901"/>
      <c r="AR327" s="4902"/>
      <c r="AS327" s="4902"/>
      <c r="AT327" s="4902"/>
      <c r="AU327" s="4902"/>
      <c r="AV327" s="4902"/>
      <c r="AW327" s="4902"/>
      <c r="AX327" s="4902"/>
      <c r="AY327" s="4902"/>
      <c r="AZ327" s="4903"/>
      <c r="BA327" s="4901"/>
      <c r="BB327" s="4902"/>
      <c r="BC327" s="4902"/>
      <c r="BD327" s="4902"/>
      <c r="BE327" s="4902"/>
      <c r="BF327" s="4902"/>
      <c r="BG327" s="4902"/>
      <c r="BH327" s="4902"/>
      <c r="BI327" s="4902"/>
      <c r="BJ327" s="4903"/>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IF(I327="Si",VLOOKUP($D$8,TablasTec!$E$4:$F$6,2,FALSE),"")</f>
        <v/>
      </c>
      <c r="BQ327" s="962" t="str">
        <f>IF(L327="Si",VLOOKUP($D$8,TablasTec!$I$4:$J$6,2,FALSE),"")</f>
        <v/>
      </c>
      <c r="BR327" s="960" t="str">
        <f>IF(O327="Si",VLOOKUP($D$8,TablasTec!$I$7:$J$9,2,FALSE),"")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c r="A328" s="922"/>
      <c r="B328" s="922"/>
      <c r="C328" s="4909"/>
      <c r="D328" s="1436" t="s">
        <v>1766</v>
      </c>
      <c r="E328" s="986"/>
      <c r="F328" s="1002"/>
      <c r="G328" s="972" t="str">
        <f>IF(E328=0,"",VLOOKUP(E328,TablasTec!$A$14:$V$771,3,FALSE))</f>
        <v/>
      </c>
      <c r="H328" s="997" t="str">
        <f>IF($E328=0,"",VLOOKUP($E328,TablasTec!$A$14:$V$771,4,FALSE))</f>
        <v/>
      </c>
      <c r="I328" s="970" t="s">
        <v>1690</v>
      </c>
      <c r="J328" s="1401" t="str">
        <f>IF(E328=0,"",VLOOKUP(E328,TablasTec!$A$14:$V$771,5,FALSE))</f>
        <v/>
      </c>
      <c r="K328" s="998" t="str">
        <f>IF(I328="Si",IF(E328=0,"",VLOOKUP(E328,TablasTec!$A$14:$V$771,5,FALSE)),"")</f>
        <v/>
      </c>
      <c r="L328" s="970" t="s">
        <v>1690</v>
      </c>
      <c r="M328" s="1401" t="str">
        <f>IF(E328=0,"",VLOOKUP(E328,TablasTec!$A$14:$V$771,6,FALSE))</f>
        <v/>
      </c>
      <c r="N328" s="973" t="str">
        <f>IF(L328="Si",IF(E328=0,"",VLOOKUP(E328,TablasTec!$A$14:$V$771,6,FALSE)),"")</f>
        <v/>
      </c>
      <c r="O328" s="970" t="s">
        <v>1690</v>
      </c>
      <c r="P328" s="1401" t="str">
        <f>IF(E328=0,"",VLOOKUP(E328,TablasTec!$A$14:$V$771,7,FALSE))</f>
        <v/>
      </c>
      <c r="Q328" s="973" t="str">
        <f>IF(O328="Si",IF(E328=0,"",VLOOKUP(E328,TablasTec!$A$14:$V$771,7,FALSE)),"")</f>
        <v/>
      </c>
      <c r="R328" s="1018" t="str">
        <f>IF(E328=0,"",VLOOKUP(E328,TablasTec!$A$14:$V$771,8,FALSE))</f>
        <v/>
      </c>
      <c r="S328" s="987" t="str">
        <f>IF(R328=$D$8,$D$8,IF(R328=2,2,IF(R328=3,3,R328)))</f>
        <v/>
      </c>
      <c r="T328" s="4890" t="s">
        <v>4544</v>
      </c>
      <c r="U328" s="4891"/>
      <c r="V328" s="3178"/>
      <c r="W328" s="4892"/>
      <c r="X328" s="4893"/>
      <c r="Y328" s="4893"/>
      <c r="Z328" s="4893"/>
      <c r="AA328" s="4893"/>
      <c r="AB328" s="4893"/>
      <c r="AC328" s="4893"/>
      <c r="AD328" s="4893"/>
      <c r="AE328" s="4893"/>
      <c r="AF328" s="4894"/>
      <c r="AG328" s="4892"/>
      <c r="AH328" s="4893"/>
      <c r="AI328" s="4893"/>
      <c r="AJ328" s="4893"/>
      <c r="AK328" s="4893"/>
      <c r="AL328" s="4893"/>
      <c r="AM328" s="4893"/>
      <c r="AN328" s="4893"/>
      <c r="AO328" s="4893"/>
      <c r="AP328" s="4894"/>
      <c r="AQ328" s="4892"/>
      <c r="AR328" s="4893"/>
      <c r="AS328" s="4893"/>
      <c r="AT328" s="4893"/>
      <c r="AU328" s="4893"/>
      <c r="AV328" s="4893"/>
      <c r="AW328" s="4893"/>
      <c r="AX328" s="4893"/>
      <c r="AY328" s="4893"/>
      <c r="AZ328" s="4894"/>
      <c r="BA328" s="4892"/>
      <c r="BB328" s="4893"/>
      <c r="BC328" s="4893"/>
      <c r="BD328" s="4893"/>
      <c r="BE328" s="4893"/>
      <c r="BF328" s="4893"/>
      <c r="BG328" s="4893"/>
      <c r="BH328" s="4893"/>
      <c r="BI328" s="4893"/>
      <c r="BJ328" s="4894"/>
      <c r="BK328" s="997">
        <f>SUM(K324:K328)-SUM(V328:BA328)</f>
        <v>0</v>
      </c>
      <c r="BL328" s="1422"/>
      <c r="BM328" s="1423"/>
      <c r="BN328" s="991"/>
      <c r="BO328" s="992"/>
      <c r="BP328" s="993" t="str">
        <f>IF(I328="Si",VLOOKUP($D$8,TablasTec!$E$4:$F$6,2,FALSE),"")</f>
        <v/>
      </c>
      <c r="BQ328" s="963" t="str">
        <f>IF(L328="Si",VLOOKUP($D$8,TablasTec!$I$4:$J$6,2,FALSE),"")</f>
        <v/>
      </c>
      <c r="BR328" s="994" t="str">
        <f>IF(O328="Si",VLOOKUP($D$8,TablasTec!$I$7:$J$9,2,FALSE),"")</f>
        <v/>
      </c>
      <c r="BS328" s="977"/>
      <c r="BT328" s="3171" t="s">
        <v>1701</v>
      </c>
      <c r="BU328" s="3172" t="s">
        <v>4548</v>
      </c>
      <c r="BV328" s="954"/>
      <c r="BW328" s="3172" t="s">
        <v>4549</v>
      </c>
      <c r="BX328" s="3171"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09"/>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IF(I329="Si",VLOOKUP($D$8,TablasTec!$E$4:$F$6,2,FALSE),"")</f>
        <v/>
      </c>
      <c r="BQ329" s="1013" t="str">
        <f>IF(L329="Si",VLOOKUP($D$8,TablasTec!$I$4:$J$6,2,FALSE),"")</f>
        <v/>
      </c>
      <c r="BR329" s="1011" t="str">
        <f>IF(O329="Si",VLOOKUP($D$8,TablasTec!$I$7:$J$9,2,FALSE),"")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09"/>
      <c r="D330" s="1436" t="s">
        <v>1766</v>
      </c>
      <c r="E330" s="966"/>
      <c r="F330" s="1002"/>
      <c r="G330" s="972" t="str">
        <f>IF(E330=0,"",VLOOKUP(E330,TablasTec!$A$14:$V$771,3,FALSE))</f>
        <v/>
      </c>
      <c r="H330" s="1014" t="str">
        <f>IF($E330=0,"",VLOOKUP($E330,TablasTec!$A$14:$V$771,4,FALSE))</f>
        <v/>
      </c>
      <c r="I330" s="970" t="s">
        <v>1690</v>
      </c>
      <c r="J330" s="1400" t="str">
        <f>IF(E330=0,"",VLOOKUP(E330,TablasTec!$A$14:$V$771,5,FALSE))</f>
        <v/>
      </c>
      <c r="K330" s="1016" t="str">
        <f>IF(I330="Si",IF(E330=0,"",VLOOKUP(E330,TablasTec!$A$14:$V$771,5,FALSE)),"")</f>
        <v/>
      </c>
      <c r="L330" s="970" t="s">
        <v>1690</v>
      </c>
      <c r="M330" s="1400" t="str">
        <f>IF(E330=0,"",VLOOKUP(E330,TablasTec!$A$14:$V$771,6,FALSE))</f>
        <v/>
      </c>
      <c r="N330" s="973" t="str">
        <f>IF(L330="Si",IF(E330=0,"",VLOOKUP(E330,TablasTec!$A$14:$V$771,6,FALSE)),"")</f>
        <v/>
      </c>
      <c r="O330" s="970" t="s">
        <v>1690</v>
      </c>
      <c r="P330" s="1400" t="str">
        <f>IF(E330=0,"",VLOOKUP(E330,TablasTec!$A$14:$V$771,7,FALSE))</f>
        <v/>
      </c>
      <c r="Q330" s="973" t="str">
        <f>IF(O330="Si",IF(E330=0,"",VLOOKUP(E330,TablasTec!$A$14:$V$771,7,FALSE)),"")</f>
        <v/>
      </c>
      <c r="R330" s="1015" t="str">
        <f>IF(E330=0,"",VLOOKUP(E330,TablasTec!$A$14:$V$771,8,FALSE))</f>
        <v/>
      </c>
      <c r="S330" s="987" t="str">
        <f>IF(R330=$D$8,$D$8,IF(R330=2,2,IF(R330=3,3,R330)))</f>
        <v/>
      </c>
      <c r="T330" s="1016" t="str">
        <f>IF(E330=0,"",VLOOKUP(E330,TablasTec!$A$14:$V$771,9,FALSE))</f>
        <v/>
      </c>
      <c r="U330" s="1016" t="str">
        <f>IF(E330=0,"",VLOOKUP(E330,TablasTec!$A$14:$V$771,10,FALSE))</f>
        <v/>
      </c>
      <c r="V330" s="1017" t="str">
        <f>IF(E330=0,"",VLOOKUP(E330,TablasTec!$A$14:$V$771,11,FALSE))</f>
        <v/>
      </c>
      <c r="W330" s="970"/>
      <c r="X330" s="971" t="e">
        <f>VLOOKUP(E330,TablasTec!$A$14:$V$771,12,FALSE)</f>
        <v>#N/A</v>
      </c>
      <c r="Y330" s="971" t="e">
        <f>IF(W330=X330,VLOOKUP(E330,TablasTec!$A$14:$V$771,13,FALSE),0)</f>
        <v>#N/A</v>
      </c>
      <c r="Z330" s="971" t="e">
        <f>VLOOKUP(E330,TablasTec!$A$14:$V$771,14,FALSE)</f>
        <v>#N/A</v>
      </c>
      <c r="AA330" s="971" t="e">
        <f>IF(W330=Z330,VLOOKUP(E330,TablasTec!$A$14:$V$616,15,FALSE),0)</f>
        <v>#N/A</v>
      </c>
      <c r="AB330" s="971" t="e">
        <f>VLOOKUP(E330,TablasTec!$A$14:$V$771,16,FALSE)</f>
        <v>#N/A</v>
      </c>
      <c r="AC330" s="971" t="e">
        <f>IF(W330=AB330,VLOOKUP(E330,TablasTec!$A$14:$V$616,17,FALSE),0)</f>
        <v>#N/A</v>
      </c>
      <c r="AD330" s="971" t="e">
        <f>VLOOKUP(E330,TablasTec!$A$14:$V$771,18,FALSE)</f>
        <v>#N/A</v>
      </c>
      <c r="AE330" s="971" t="e">
        <f>IF(W330=AD330,VLOOKUP(E330,TablasTec!$A$14:$V$771,19,FALSE),0)</f>
        <v>#N/A</v>
      </c>
      <c r="AF330" s="989" t="str">
        <f>IF(E330=0,"",(Y330+AA330+AC330+AE330))</f>
        <v/>
      </c>
      <c r="AG330" s="970"/>
      <c r="AH330" s="988" t="e">
        <f>VLOOKUP(E330,TablasTec!$A$14:$V$771,12,FALSE)</f>
        <v>#N/A</v>
      </c>
      <c r="AI330" s="988" t="e">
        <f>IF(AG330=AH330,VLOOKUP(E330,TablasTec!$A$14:$V$771,13,FALSE),0)</f>
        <v>#N/A</v>
      </c>
      <c r="AJ330" s="988" t="e">
        <f>VLOOKUP(E330,TablasTec!$A$14:$V$771,14,FALSE)</f>
        <v>#N/A</v>
      </c>
      <c r="AK330" s="988" t="e">
        <f>IF(AG330=AJ330,VLOOKUP(E330,TablasTec!$A$14:$V$771,15,FALSE),0)</f>
        <v>#N/A</v>
      </c>
      <c r="AL330" s="988" t="e">
        <f>VLOOKUP(E330,TablasTec!$A$14:$V$771,16,FALSE)</f>
        <v>#N/A</v>
      </c>
      <c r="AM330" s="988" t="e">
        <f>IF(AG330=AL330,VLOOKUP(E330,TablasTec!$A$14:$V$771,17,FALSE),0)</f>
        <v>#N/A</v>
      </c>
      <c r="AN330" s="988" t="e">
        <f>VLOOKUP(E330,TablasTec!$A$14:$V$771,18,FALSE)</f>
        <v>#N/A</v>
      </c>
      <c r="AO330" s="988" t="e">
        <f>IF(AG330=AN330,VLOOKUP(E330,TablasTec!$A$14:$V$771,19,FALSE),0)</f>
        <v>#N/A</v>
      </c>
      <c r="AP330" s="3182" t="str">
        <f>IF(E330=0,"",(AI330+AK330+AM330+AO330))</f>
        <v/>
      </c>
      <c r="AQ330" s="970"/>
      <c r="AR330" s="988" t="e">
        <f>VLOOKUP(E330,TablasTec!$A$14:$V$771,12,FALSE)</f>
        <v>#N/A</v>
      </c>
      <c r="AS330" s="988" t="e">
        <f>IF(AQ330=AR330,VLOOKUP(E330,TablasTec!$A$14:$V$771,13,FALSE),0)</f>
        <v>#N/A</v>
      </c>
      <c r="AT330" s="988" t="e">
        <f>VLOOKUP(E330,TablasTec!$A$14:$V$771,14,FALSE)</f>
        <v>#N/A</v>
      </c>
      <c r="AU330" s="988" t="e">
        <f>IF(AQ330=AT330,VLOOKUP(E330,TablasTec!$A$14:$V$771,15,FALSE),0)</f>
        <v>#N/A</v>
      </c>
      <c r="AV330" s="988" t="e">
        <f>VLOOKUP(E330,TablasTec!$A$14:$V$771,16,FALSE)</f>
        <v>#N/A</v>
      </c>
      <c r="AW330" s="988" t="e">
        <f>IF(AQ330=AV330,VLOOKUP(E330,TablasTec!$A$14:$V$771,17,FALSE),0)</f>
        <v>#N/A</v>
      </c>
      <c r="AX330" s="988" t="e">
        <f>VLOOKUP(E330,TablasTec!$A$14:$V$771,18,FALSE)</f>
        <v>#N/A</v>
      </c>
      <c r="AY330" s="988" t="e">
        <f>IF(AQ330=AX330,VLOOKUP(E330,TablasTec!$A$14:$V$771,19,FALSE),0)</f>
        <v>#N/A</v>
      </c>
      <c r="AZ330" s="989" t="str">
        <f>IF(E330=0,"",(AS330+AU330+AW330+AY330))</f>
        <v/>
      </c>
      <c r="BA330" s="970"/>
      <c r="BB330" s="988" t="e">
        <f>VLOOKUP(E330,TablasTec!$A$14:$V$771,12,FALSE)</f>
        <v>#N/A</v>
      </c>
      <c r="BC330" s="988" t="e">
        <f>IF(BA330=BB330,VLOOKUP(E330,TablasTec!$A$14:$V$771,13,FALSE),0)</f>
        <v>#N/A</v>
      </c>
      <c r="BD330" s="988" t="e">
        <f>VLOOKUP(E330,TablasTec!$A$14:$V$771,14,FALSE)</f>
        <v>#N/A</v>
      </c>
      <c r="BE330" s="988" t="e">
        <f>IF(BA330=BD330,VLOOKUP(E330,TablasTec!$A$14:$V$771,15,FALSE),0)</f>
        <v>#N/A</v>
      </c>
      <c r="BF330" s="988" t="e">
        <f>VLOOKUP(E330,TablasTec!$A$14:$V$771,16,FALSE)</f>
        <v>#N/A</v>
      </c>
      <c r="BG330" s="988" t="e">
        <f>IF(BA330=BF330,VLOOKUP(E330,TablasTec!$A$14:$V$771,17,FALSE),0)</f>
        <v>#N/A</v>
      </c>
      <c r="BH330" s="988" t="e">
        <f>VLOOKUP(E330,TablasTec!$A$14:$V$771,18,FALSE)</f>
        <v>#N/A</v>
      </c>
      <c r="BI330" s="988" t="e">
        <f>IF(BA330=BH330,VLOOKUP(E330,TablasTec!$A$14:$V$771,19,FALSE),0)</f>
        <v>#N/A</v>
      </c>
      <c r="BJ330" s="3182" t="str">
        <f>IF(E330=0,"",(BC330+BE330+BG330+BI330))</f>
        <v/>
      </c>
      <c r="BK330" s="1016" t="str">
        <f>IF(E330=0,"",VLOOKUP(E330,TablasTec!$A$14:$V$771,20,FALSE))</f>
        <v/>
      </c>
      <c r="BL330" s="1003" t="str">
        <f>IF(E330=0,"",VLOOKUP(E330,TablasTec!$A$14:$V$771,21,FALSE))</f>
        <v/>
      </c>
      <c r="BM330" s="974" t="str">
        <f>IF(E330=0,"",VLOOKUP(E330,TablasTec!$A$14:$V$771,22,FALSE))</f>
        <v/>
      </c>
      <c r="BN330" s="975"/>
      <c r="BO330" s="976"/>
      <c r="BP330" s="961" t="str">
        <f>IF(I330="Si",VLOOKUP($D$8,TablasTec!$E$4:$F$6,2,FALSE),"")</f>
        <v/>
      </c>
      <c r="BQ330" s="962" t="str">
        <f>IF(L330="Si",VLOOKUP($D$8,TablasTec!$I$4:$J$6,2,FALSE),"")</f>
        <v/>
      </c>
      <c r="BR330" s="960" t="str">
        <f>IF(O330="Si",VLOOKUP($D$8,TablasTec!$I$7:$J$9,2,FALSE),"")</f>
        <v/>
      </c>
      <c r="BS330" s="977"/>
      <c r="BU330" s="4864"/>
      <c r="BV330" s="4864"/>
      <c r="BW330" s="4864"/>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c r="A331" s="922"/>
      <c r="B331" s="922"/>
      <c r="C331" s="4909"/>
      <c r="D331" s="1435" t="s">
        <v>1766</v>
      </c>
      <c r="E331" s="978"/>
      <c r="F331" s="1008"/>
      <c r="G331" s="1420" t="str">
        <f>IF(E331=0,"",VLOOKUP(E331,TablasTec!$A$14:$V$771,3,FALSE))</f>
        <v/>
      </c>
      <c r="H331" s="981" t="str">
        <f>IF($E331=0,"",VLOOKUP($E331,TablasTec!$A$14:$V$771,4,FALSE))</f>
        <v/>
      </c>
      <c r="I331" s="982" t="s">
        <v>1690</v>
      </c>
      <c r="J331" s="1398" t="str">
        <f>IF(E331=0,"",VLOOKUP(E331,TablasTec!$A$14:$V$771,5,FALSE))</f>
        <v/>
      </c>
      <c r="K331" s="984" t="str">
        <f>IF(I331="Si",IF(E331=0,"",VLOOKUP(E331,TablasTec!$A$14:$V$771,5,FALSE)),"")</f>
        <v/>
      </c>
      <c r="L331" s="982" t="s">
        <v>1690</v>
      </c>
      <c r="M331" s="1398" t="str">
        <f>IF(E331=0,"",VLOOKUP(E331,TablasTec!$A$14:$V$771,6,FALSE))</f>
        <v/>
      </c>
      <c r="N331" s="985" t="str">
        <f>IF(L331="Si",IF(E331=0,"",VLOOKUP(E331,TablasTec!$A$14:$V$771,6,FALSE)),"")</f>
        <v/>
      </c>
      <c r="O331" s="982" t="s">
        <v>1690</v>
      </c>
      <c r="P331" s="1398" t="str">
        <f>IF(E331=0,"",VLOOKUP(E331,TablasTec!$A$14:$V$771,7,FALSE))</f>
        <v/>
      </c>
      <c r="Q331" s="985" t="str">
        <f>IF(O331="Si",IF(E331=0,"",VLOOKUP(E331,TablasTec!$A$14:$V$771,7,FALSE)),"")</f>
        <v/>
      </c>
      <c r="R331" s="983" t="str">
        <f>IF(E331=0,"",VLOOKUP(E331,TablasTec!$A$14:$V$771,8,FALSE))</f>
        <v/>
      </c>
      <c r="S331" s="981" t="str">
        <f>IF(R331=$D$8,$D$8,IF(R331=2,2,IF(R331=3,3,R331)))</f>
        <v/>
      </c>
      <c r="T331" s="4883" t="s">
        <v>4540</v>
      </c>
      <c r="U331" s="4884"/>
      <c r="V331" s="4884"/>
      <c r="W331" s="4884"/>
      <c r="X331" s="4884"/>
      <c r="Y331" s="4884"/>
      <c r="Z331" s="4884"/>
      <c r="AA331" s="4884"/>
      <c r="AB331" s="4884"/>
      <c r="AC331" s="4884"/>
      <c r="AD331" s="4884"/>
      <c r="AE331" s="4884"/>
      <c r="AF331" s="4884"/>
      <c r="AG331" s="4884"/>
      <c r="AH331" s="4884"/>
      <c r="AI331" s="4884"/>
      <c r="AJ331" s="4884"/>
      <c r="AK331" s="4884"/>
      <c r="AL331" s="4884"/>
      <c r="AM331" s="4884"/>
      <c r="AN331" s="4884"/>
      <c r="AO331" s="4884"/>
      <c r="AP331" s="4884"/>
      <c r="AQ331" s="4884"/>
      <c r="AR331" s="4884"/>
      <c r="AS331" s="4884"/>
      <c r="AT331" s="4884"/>
      <c r="AU331" s="4884"/>
      <c r="AV331" s="4884"/>
      <c r="AW331" s="4884"/>
      <c r="AX331" s="4884"/>
      <c r="AY331" s="4884"/>
      <c r="AZ331" s="4884"/>
      <c r="BA331" s="4884"/>
      <c r="BB331" s="4884"/>
      <c r="BC331" s="4884"/>
      <c r="BD331" s="4884"/>
      <c r="BE331" s="4884"/>
      <c r="BF331" s="4884"/>
      <c r="BG331" s="4884"/>
      <c r="BH331" s="4884"/>
      <c r="BI331" s="4884"/>
      <c r="BJ331" s="4884"/>
      <c r="BK331" s="4885"/>
      <c r="BL331" s="1420"/>
      <c r="BM331" s="1421"/>
      <c r="BN331" s="975"/>
      <c r="BO331" s="976"/>
      <c r="BP331" s="961" t="str">
        <f>IF(I331="Si",VLOOKUP($D$8,TablasTec!$E$4:$F$6,2,FALSE),"")</f>
        <v/>
      </c>
      <c r="BQ331" s="962" t="str">
        <f>IF(L331="Si",VLOOKUP($D$8,TablasTec!$I$4:$J$6,2,FALSE),"")</f>
        <v/>
      </c>
      <c r="BR331" s="960" t="str">
        <f>IF(O331="Si",VLOOKUP($D$8,TablasTec!$I$7:$J$9,2,FALSE),"")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c r="A332" s="922"/>
      <c r="B332" s="922"/>
      <c r="C332" s="4909"/>
      <c r="D332" s="1436" t="s">
        <v>1766</v>
      </c>
      <c r="E332" s="986"/>
      <c r="F332" s="1002"/>
      <c r="G332" s="972" t="str">
        <f>IF(E332=0,"",VLOOKUP(E332,TablasTec!$A$14:$V$771,3,FALSE))</f>
        <v/>
      </c>
      <c r="H332" s="3181" t="str">
        <f>IF($E332=0,"",VLOOKUP($E332,TablasTec!$A$14:$V$771,4,FALSE))</f>
        <v/>
      </c>
      <c r="I332" s="970" t="s">
        <v>1690</v>
      </c>
      <c r="J332" s="1394" t="str">
        <f>IF(E332=0,"",VLOOKUP(E332,TablasTec!$A$14:$V$771,5,FALSE))</f>
        <v/>
      </c>
      <c r="K332" s="989" t="str">
        <f>IF(I332="Si",IF(E332=0,"",VLOOKUP(E332,TablasTec!$A$14:$V$771,5,FALSE)),"")</f>
        <v/>
      </c>
      <c r="L332" s="970" t="s">
        <v>1690</v>
      </c>
      <c r="M332" s="1394" t="str">
        <f>IF(E332=0,"",VLOOKUP(E332,TablasTec!$A$14:$V$771,6,FALSE))</f>
        <v/>
      </c>
      <c r="N332" s="973" t="str">
        <f>IF(L332="Si",IF(E332=0,"",VLOOKUP(E332,TablasTec!$A$14:$V$771,6,FALSE)),"")</f>
        <v/>
      </c>
      <c r="O332" s="970" t="s">
        <v>1690</v>
      </c>
      <c r="P332" s="1394" t="str">
        <f>IF(E332=0,"",VLOOKUP(E332,TablasTec!$A$14:$V$771,7,FALSE))</f>
        <v/>
      </c>
      <c r="Q332" s="973" t="str">
        <f>IF(O332="Si",IF(E332=0,"",VLOOKUP(E332,TablasTec!$A$14:$V$771,7,FALSE)),"")</f>
        <v/>
      </c>
      <c r="R332" s="988" t="str">
        <f>IF(E332=0,"",VLOOKUP(E332,TablasTec!$A$14:$V$771,8,FALSE))</f>
        <v/>
      </c>
      <c r="S332" s="3181" t="str">
        <f>IF(R332=$D$8,$D$8,IF(R332=2,2,IF(R332=3,3,R332)))</f>
        <v/>
      </c>
      <c r="T332" s="4896"/>
      <c r="U332" s="4897"/>
      <c r="V332" s="3179" t="str">
        <f>IF(OR(V330=0,V330=""),"N/A",V330)</f>
        <v>N/A</v>
      </c>
      <c r="W332" s="4896" t="str">
        <f xml:space="preserve"> IF(OR(AF330=0,AF330=""),"N/A",W330)</f>
        <v>N/A</v>
      </c>
      <c r="X332" s="4898"/>
      <c r="Y332" s="4898"/>
      <c r="Z332" s="4898"/>
      <c r="AA332" s="4898"/>
      <c r="AB332" s="4898"/>
      <c r="AC332" s="4898"/>
      <c r="AD332" s="4898"/>
      <c r="AE332" s="4898"/>
      <c r="AF332" s="4897"/>
      <c r="AG332" s="4896" t="str">
        <f xml:space="preserve"> IF(OR(AP330="",AP330=0),"N/A",AG330)</f>
        <v>N/A</v>
      </c>
      <c r="AH332" s="4898"/>
      <c r="AI332" s="4898"/>
      <c r="AJ332" s="4898"/>
      <c r="AK332" s="4898"/>
      <c r="AL332" s="4898"/>
      <c r="AM332" s="4898"/>
      <c r="AN332" s="4898"/>
      <c r="AO332" s="4898"/>
      <c r="AP332" s="4897"/>
      <c r="AQ332" s="4896" t="str">
        <f xml:space="preserve"> IF(OR(AZ330="",AZ330=0),"N/A",AQ330)</f>
        <v>N/A</v>
      </c>
      <c r="AR332" s="4898"/>
      <c r="AS332" s="4898"/>
      <c r="AT332" s="4898"/>
      <c r="AU332" s="4898"/>
      <c r="AV332" s="4898"/>
      <c r="AW332" s="4898"/>
      <c r="AX332" s="4898"/>
      <c r="AY332" s="4898"/>
      <c r="AZ332" s="4897"/>
      <c r="BA332" s="4896" t="str">
        <f xml:space="preserve"> IF(OR(BJ330="",BJ330=0),"N/A",BA330)</f>
        <v>N/A</v>
      </c>
      <c r="BB332" s="4898"/>
      <c r="BC332" s="4898"/>
      <c r="BD332" s="4898"/>
      <c r="BE332" s="4898"/>
      <c r="BF332" s="4898"/>
      <c r="BG332" s="4898"/>
      <c r="BH332" s="4898"/>
      <c r="BI332" s="4898"/>
      <c r="BJ332" s="4897"/>
      <c r="BK332" s="990" t="s">
        <v>4541</v>
      </c>
      <c r="BL332" s="972"/>
      <c r="BM332" s="1007"/>
      <c r="BN332" s="991"/>
      <c r="BO332" s="992"/>
      <c r="BP332" s="993" t="str">
        <f>IF(I332="Si",VLOOKUP($D$8,TablasTec!$E$4:$F$6,2,FALSE),"")</f>
        <v/>
      </c>
      <c r="BQ332" s="963" t="str">
        <f>IF(L332="Si",VLOOKUP($D$8,TablasTec!$I$4:$J$6,2,FALSE),"")</f>
        <v/>
      </c>
      <c r="BR332" s="994" t="str">
        <f>IF(O332="Si",VLOOKUP($D$8,TablasTec!$I$7:$J$9,2,FALSE),"")</f>
        <v/>
      </c>
      <c r="BS332" s="977"/>
      <c r="BU332" s="4863"/>
      <c r="BV332" s="4863"/>
      <c r="BW332" s="4863"/>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c r="A333" s="922"/>
      <c r="B333" s="922"/>
      <c r="C333" s="4909"/>
      <c r="D333" s="1435" t="s">
        <v>1766</v>
      </c>
      <c r="E333" s="978"/>
      <c r="F333" s="1008"/>
      <c r="G333" s="1420" t="str">
        <f>IF(E333=0,"",VLOOKUP(E333,TablasTec!$A$14:$V$771,3,FALSE))</f>
        <v/>
      </c>
      <c r="H333" s="981" t="str">
        <f>IF($E333=0,"",VLOOKUP($E333,TablasTec!$A$14:$V$771,4,FALSE))</f>
        <v/>
      </c>
      <c r="I333" s="982" t="s">
        <v>1690</v>
      </c>
      <c r="J333" s="1398" t="str">
        <f>IF(E333=0,"",VLOOKUP(E333,TablasTec!$A$14:$V$771,5,FALSE))</f>
        <v/>
      </c>
      <c r="K333" s="984" t="str">
        <f>IF(I333="Si",IF(E333=0,"",VLOOKUP(E333,TablasTec!$A$14:$V$771,5,FALSE)),"")</f>
        <v/>
      </c>
      <c r="L333" s="982" t="s">
        <v>1690</v>
      </c>
      <c r="M333" s="1398" t="str">
        <f>IF(E333=0,"",VLOOKUP(E333,TablasTec!$A$14:$V$771,6,FALSE))</f>
        <v/>
      </c>
      <c r="N333" s="985" t="str">
        <f>IF(L333="Si",IF(E333=0,"",VLOOKUP(E333,TablasTec!$A$14:$V$771,6,FALSE)),"")</f>
        <v/>
      </c>
      <c r="O333" s="982" t="s">
        <v>1690</v>
      </c>
      <c r="P333" s="1398" t="str">
        <f>IF(E333=0,"",VLOOKUP(E333,TablasTec!$A$14:$V$771,7,FALSE))</f>
        <v/>
      </c>
      <c r="Q333" s="985" t="str">
        <f>IF(O333="Si",IF(E333=0,"",VLOOKUP(E333,TablasTec!$A$14:$V$771,7,FALSE)),"")</f>
        <v/>
      </c>
      <c r="R333" s="983" t="str">
        <f>IF(E333=0,"",VLOOKUP(E333,TablasTec!$A$14:$V$771,8,FALSE))</f>
        <v/>
      </c>
      <c r="S333" s="981" t="str">
        <f>IF(R333=$D$8,$D$8,IF(R333=2,2,IF(R333=3,3,R333)))</f>
        <v/>
      </c>
      <c r="T333" s="4899" t="s">
        <v>4542</v>
      </c>
      <c r="U333" s="4900"/>
      <c r="V333" s="3180"/>
      <c r="W333" s="4901"/>
      <c r="X333" s="4902"/>
      <c r="Y333" s="4902"/>
      <c r="Z333" s="4902"/>
      <c r="AA333" s="4902"/>
      <c r="AB333" s="4902"/>
      <c r="AC333" s="4902"/>
      <c r="AD333" s="4902"/>
      <c r="AE333" s="4902"/>
      <c r="AF333" s="4903"/>
      <c r="AG333" s="4901"/>
      <c r="AH333" s="4902"/>
      <c r="AI333" s="4902"/>
      <c r="AJ333" s="4902"/>
      <c r="AK333" s="4902"/>
      <c r="AL333" s="4902"/>
      <c r="AM333" s="4902"/>
      <c r="AN333" s="4902"/>
      <c r="AO333" s="4902"/>
      <c r="AP333" s="4903"/>
      <c r="AQ333" s="4901"/>
      <c r="AR333" s="4902"/>
      <c r="AS333" s="4902"/>
      <c r="AT333" s="4902"/>
      <c r="AU333" s="4902"/>
      <c r="AV333" s="4902"/>
      <c r="AW333" s="4902"/>
      <c r="AX333" s="4902"/>
      <c r="AY333" s="4902"/>
      <c r="AZ333" s="4903"/>
      <c r="BA333" s="4901"/>
      <c r="BB333" s="4902"/>
      <c r="BC333" s="4902"/>
      <c r="BD333" s="4902"/>
      <c r="BE333" s="4902"/>
      <c r="BF333" s="4902"/>
      <c r="BG333" s="4902"/>
      <c r="BH333" s="4902"/>
      <c r="BI333" s="4902"/>
      <c r="BJ333" s="4903"/>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IF(I333="Si",VLOOKUP($D$8,TablasTec!$E$4:$F$6,2,FALSE),"")</f>
        <v/>
      </c>
      <c r="BQ333" s="962" t="str">
        <f>IF(L333="Si",VLOOKUP($D$8,TablasTec!$I$4:$J$6,2,FALSE),"")</f>
        <v/>
      </c>
      <c r="BR333" s="960" t="str">
        <f>IF(O333="Si",VLOOKUP($D$8,TablasTec!$I$7:$J$9,2,FALSE),"")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c r="A334" s="922"/>
      <c r="B334" s="922"/>
      <c r="C334" s="4909"/>
      <c r="D334" s="1436" t="s">
        <v>1766</v>
      </c>
      <c r="E334" s="986"/>
      <c r="F334" s="1002"/>
      <c r="G334" s="972" t="str">
        <f>IF(E334=0,"",VLOOKUP(E334,TablasTec!$A$14:$V$771,3,FALSE))</f>
        <v/>
      </c>
      <c r="H334" s="987" t="str">
        <f>IF($E334=0,"",VLOOKUP($E334,TablasTec!$A$14:$V$771,4,FALSE))</f>
        <v/>
      </c>
      <c r="I334" s="970" t="s">
        <v>1690</v>
      </c>
      <c r="J334" s="1394" t="str">
        <f>IF(E334=0,"",VLOOKUP(E334,TablasTec!$A$14:$V$771,5,FALSE))</f>
        <v/>
      </c>
      <c r="K334" s="989" t="str">
        <f>IF(I334="Si",IF(E334=0,"",VLOOKUP(E334,TablasTec!$A$14:$V$771,5,FALSE)),"")</f>
        <v/>
      </c>
      <c r="L334" s="970" t="s">
        <v>1690</v>
      </c>
      <c r="M334" s="1394" t="str">
        <f>IF(E334=0,"",VLOOKUP(E334,TablasTec!$A$14:$V$771,6,FALSE))</f>
        <v/>
      </c>
      <c r="N334" s="973" t="str">
        <f>IF(L334="Si",IF(E334=0,"",VLOOKUP(E334,TablasTec!$A$14:$V$771,6,FALSE)),"")</f>
        <v/>
      </c>
      <c r="O334" s="970" t="s">
        <v>1690</v>
      </c>
      <c r="P334" s="1394" t="str">
        <f>IF(E334=0,"",VLOOKUP(E334,TablasTec!$A$14:$V$771,7,FALSE))</f>
        <v/>
      </c>
      <c r="Q334" s="973" t="str">
        <f>IF(O334="Si",IF(E334=0,"",VLOOKUP(E334,TablasTec!$A$14:$V$771,7,FALSE)),"")</f>
        <v/>
      </c>
      <c r="R334" s="988" t="str">
        <f>IF(E334=0,"",VLOOKUP(E334,TablasTec!$A$14:$V$771,8,FALSE))</f>
        <v/>
      </c>
      <c r="S334" s="987" t="str">
        <f>IF(R334=$D$8,$D$8,IF(R334=2,2,IF(R334=3,3,R334)))</f>
        <v/>
      </c>
      <c r="T334" s="4904" t="s">
        <v>4544</v>
      </c>
      <c r="U334" s="4905"/>
      <c r="V334" s="3183"/>
      <c r="W334" s="4906"/>
      <c r="X334" s="4907"/>
      <c r="Y334" s="4907"/>
      <c r="Z334" s="4907"/>
      <c r="AA334" s="4907"/>
      <c r="AB334" s="4907"/>
      <c r="AC334" s="4907"/>
      <c r="AD334" s="4907"/>
      <c r="AE334" s="4907"/>
      <c r="AF334" s="4908"/>
      <c r="AG334" s="4906"/>
      <c r="AH334" s="4907"/>
      <c r="AI334" s="4907"/>
      <c r="AJ334" s="4907"/>
      <c r="AK334" s="4907"/>
      <c r="AL334" s="4907"/>
      <c r="AM334" s="4907"/>
      <c r="AN334" s="4907"/>
      <c r="AO334" s="4907"/>
      <c r="AP334" s="4908"/>
      <c r="AQ334" s="4906"/>
      <c r="AR334" s="4907"/>
      <c r="AS334" s="4907"/>
      <c r="AT334" s="4907"/>
      <c r="AU334" s="4907"/>
      <c r="AV334" s="4907"/>
      <c r="AW334" s="4907"/>
      <c r="AX334" s="4907"/>
      <c r="AY334" s="4907"/>
      <c r="AZ334" s="4908"/>
      <c r="BA334" s="4906"/>
      <c r="BB334" s="4907"/>
      <c r="BC334" s="4907"/>
      <c r="BD334" s="4907"/>
      <c r="BE334" s="4907"/>
      <c r="BF334" s="4907"/>
      <c r="BG334" s="4907"/>
      <c r="BH334" s="4907"/>
      <c r="BI334" s="4907"/>
      <c r="BJ334" s="4908"/>
      <c r="BK334" s="987">
        <f>SUM(K330:K334)-SUM(V334:BA334)</f>
        <v>0</v>
      </c>
      <c r="BL334" s="972"/>
      <c r="BM334" s="1007"/>
      <c r="BN334" s="991"/>
      <c r="BO334" s="992"/>
      <c r="BP334" s="993" t="str">
        <f>IF(I334="Si",VLOOKUP($D$8,TablasTec!$E$4:$F$6,2,FALSE),"")</f>
        <v/>
      </c>
      <c r="BQ334" s="963" t="str">
        <f>IF(L334="Si",VLOOKUP($D$8,TablasTec!$I$4:$J$6,2,FALSE),"")</f>
        <v/>
      </c>
      <c r="BR334" s="994" t="str">
        <f>IF(O334="Si",VLOOKUP($D$8,TablasTec!$I$7:$J$9,2,FALSE),"")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c r="A335" s="922"/>
      <c r="B335" s="922"/>
      <c r="C335" s="4909"/>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89"/>
      <c r="BL335" s="4889"/>
      <c r="BM335" s="4854"/>
      <c r="BN335" s="960">
        <f>SUM(K335:K338)</f>
        <v>0</v>
      </c>
      <c r="BO335" s="954">
        <f>IF(E335=0,"",(AF335+AP335+AZ335+BJ335))</f>
        <v>0</v>
      </c>
      <c r="BP335" s="961" t="str">
        <f>IF(I335="Si",VLOOKUP($D$8,TablasTec!$E$4:$F$6,2,FALSE),"")</f>
        <v/>
      </c>
      <c r="BQ335" s="962" t="str">
        <f>IF(L335="Si",VLOOKUP($D$8,TablasTec!$I$4:$J$6,2,FALSE),"")</f>
        <v/>
      </c>
      <c r="BR335" s="960" t="str">
        <f>IF(O335="Si",VLOOKUP($D$8,TablasTec!$I$7:$J$9,2,FALSE),"")</f>
        <v/>
      </c>
      <c r="BS335" s="977"/>
      <c r="BT335" s="4853" t="s">
        <v>4553</v>
      </c>
      <c r="BU335" s="4854"/>
      <c r="BV335" s="954"/>
      <c r="BW335" s="934"/>
      <c r="BX335" s="934"/>
      <c r="BY335" s="1269"/>
      <c r="BZ335" s="1287"/>
      <c r="CA335" s="922"/>
      <c r="DR335" s="922"/>
      <c r="DT335" s="1308"/>
      <c r="DU335" s="1360"/>
      <c r="DV335" s="1360"/>
      <c r="DW335" s="1360"/>
      <c r="DX335" s="1360"/>
      <c r="DY335" s="1307"/>
      <c r="DZ335" s="922"/>
      <c r="EA335" s="1453">
        <f t="shared" si="5"/>
        <v>1</v>
      </c>
    </row>
    <row r="336" spans="1:131" ht="12">
      <c r="A336" s="922"/>
      <c r="B336" s="922"/>
      <c r="C336" s="4909"/>
      <c r="D336" s="1439" t="s">
        <v>4552</v>
      </c>
      <c r="E336" s="966"/>
      <c r="F336" s="989"/>
      <c r="G336" s="989"/>
      <c r="H336" s="987" t="str">
        <f>IF(D304=0,"",IF(E336=0,"",VLOOKUP(E336,TablasTec!$A$14:$V$771,4,FALSE)))</f>
        <v/>
      </c>
      <c r="I336" s="989"/>
      <c r="J336" s="989"/>
      <c r="K336" s="1021"/>
      <c r="L336" s="989"/>
      <c r="M336" s="989"/>
      <c r="N336" s="1021"/>
      <c r="O336" s="989"/>
      <c r="P336" s="989"/>
      <c r="Q336" s="989"/>
      <c r="R336" s="988" t="str">
        <f>IF(E336=0,"",VLOOKUP(E336,TablasTec!$A$14:$V$771,8,FALSE))</f>
        <v/>
      </c>
      <c r="S336" s="1014" t="str">
        <f>IF(R336=$D$8,$D$8,IF(R336=2,2,IF(R336=3,3,R336)))</f>
        <v/>
      </c>
      <c r="T336" s="989" t="str">
        <f>IF(E336=0,"",VLOOKUP(E336,TablasTec!$A$14:$V$771,9,FALSE))</f>
        <v/>
      </c>
      <c r="U336" s="1016" t="str">
        <f>IF(E336=0,"",VLOOKUP(E336,TablasTec!$A$14:$V$771,10,FALSE))</f>
        <v/>
      </c>
      <c r="V336" s="1017"/>
      <c r="W336" s="1017"/>
      <c r="X336" s="1016"/>
      <c r="Y336" s="1016"/>
      <c r="Z336" s="1016"/>
      <c r="AA336" s="1016"/>
      <c r="AB336" s="1016"/>
      <c r="AC336" s="1016"/>
      <c r="AD336" s="1016"/>
      <c r="AE336" s="1016"/>
      <c r="AF336" s="1016"/>
      <c r="AG336" s="4886" t="str">
        <f>IF(OR(E336=TablasTec!A$678,E336=TablasTec!A$679,E337=TablasTec!A$678,E337=TablasTec!A$679,E338=TablasTec!A$678,E338=TablasTec!A$679),"Selecciona la atadura elemental:","")</f>
        <v/>
      </c>
      <c r="AH336" s="4887"/>
      <c r="AI336" s="4887"/>
      <c r="AJ336" s="4887"/>
      <c r="AK336" s="4887"/>
      <c r="AL336" s="4887"/>
      <c r="AM336" s="4887"/>
      <c r="AN336" s="4887"/>
      <c r="AO336" s="4887"/>
      <c r="AP336" s="4887"/>
      <c r="AQ336" s="4887"/>
      <c r="AR336" s="4887"/>
      <c r="AS336" s="4887"/>
      <c r="AT336" s="4887"/>
      <c r="AU336" s="4887"/>
      <c r="AV336" s="4887"/>
      <c r="AW336" s="4887"/>
      <c r="AX336" s="4887"/>
      <c r="AY336" s="4887"/>
      <c r="AZ336" s="4887"/>
      <c r="BA336" s="4887"/>
      <c r="BB336" s="4887"/>
      <c r="BC336" s="4887"/>
      <c r="BD336" s="4887"/>
      <c r="BE336" s="4887"/>
      <c r="BF336" s="4887"/>
      <c r="BG336" s="4887"/>
      <c r="BH336" s="4887"/>
      <c r="BI336" s="4887"/>
      <c r="BJ336" s="4887"/>
      <c r="BK336" s="4888"/>
      <c r="BL336" s="1424"/>
      <c r="BM336" s="1424"/>
      <c r="BN336" s="989"/>
      <c r="BO336" s="989"/>
      <c r="BP336" s="1021"/>
      <c r="BQ336" s="989"/>
      <c r="BR336" s="989"/>
      <c r="BS336" s="989"/>
      <c r="BT336" s="4855">
        <f>D304</f>
        <v>1</v>
      </c>
      <c r="BU336" s="4856"/>
      <c r="BV336" s="954">
        <f>IF(BV335=0,0,VLOOKUP(BV335,TablasTec!$M$4:$N$7,2,FALSE))</f>
        <v>0</v>
      </c>
      <c r="BW336" s="934"/>
      <c r="BX336" s="934"/>
      <c r="BY336" s="1269"/>
      <c r="BZ336" s="1287"/>
      <c r="CA336" s="922"/>
      <c r="DR336" s="922"/>
      <c r="DT336" s="1308"/>
      <c r="DU336" s="1360"/>
      <c r="DV336" s="1360"/>
      <c r="DW336" s="1360"/>
      <c r="DX336" s="1360"/>
      <c r="DY336" s="1307"/>
      <c r="DZ336" s="922"/>
      <c r="EA336" s="1453">
        <f t="shared" si="5"/>
        <v>1</v>
      </c>
    </row>
    <row r="337" spans="1:132">
      <c r="A337" s="922"/>
      <c r="B337" s="922"/>
      <c r="C337" s="4909"/>
      <c r="D337" s="1435" t="s">
        <v>4554</v>
      </c>
      <c r="E337" s="1022"/>
      <c r="F337" s="1388"/>
      <c r="G337" s="1389"/>
      <c r="H337" s="979" t="str">
        <f>IF(VALUE(D304)&gt;1,IF(E337=0,"",VLOOKUP(E337,TablasTec!$A$14:$V$771,4,FALSE)),"")</f>
        <v/>
      </c>
      <c r="I337" s="1388"/>
      <c r="J337" s="1389"/>
      <c r="K337" s="1389"/>
      <c r="L337" s="1388"/>
      <c r="M337" s="1389"/>
      <c r="N337" s="1390"/>
      <c r="O337" s="1389"/>
      <c r="P337" s="1389"/>
      <c r="Q337" s="1389"/>
      <c r="R337" s="983" t="str">
        <f>IF(E337=0,"",VLOOKUP(E337,TablasTec!$A$14:$V$771,8,FALSE))</f>
        <v/>
      </c>
      <c r="S337" s="981" t="str">
        <f>IF(R337=$D$8,$D$8,IF(R337=2,2,IF(R337=3,3,R337)))</f>
        <v/>
      </c>
      <c r="T337" s="984" t="str">
        <f>IF(E337=0,"",VLOOKUP(E337,TablasTec!$A$14:$V$771,9,FALSE))</f>
        <v/>
      </c>
      <c r="U337" s="984" t="str">
        <f>IF(E337=0,"",VLOOKUP(E337,TablasTec!$A$14:$V$771,10,FALSE))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c r="A338" s="922"/>
      <c r="B338" s="922"/>
      <c r="C338" s="4909"/>
      <c r="D338" s="1440" t="s">
        <v>4555</v>
      </c>
      <c r="E338" s="1023"/>
      <c r="F338" s="3176"/>
      <c r="G338" s="998"/>
      <c r="H338" s="997" t="str">
        <f>IF(VALUE(D304)=3,IF(E338=0,"",VLOOKUP(E338,TablasTec!$A$14:$V$771,4,FALSE)),"")</f>
        <v/>
      </c>
      <c r="I338" s="998"/>
      <c r="J338" s="998"/>
      <c r="K338" s="998"/>
      <c r="L338" s="3176"/>
      <c r="M338" s="998"/>
      <c r="N338" s="998"/>
      <c r="O338" s="3176"/>
      <c r="P338" s="998"/>
      <c r="Q338" s="998"/>
      <c r="R338" s="1018" t="str">
        <f>IF(E338=0,"",VLOOKUP(E338,TablasTec!$A$14:$V$771,8,FALSE))</f>
        <v/>
      </c>
      <c r="S338" s="997" t="str">
        <f>IF(R338=$D$8,$D$8,IF(R338=2,2,IF(R338=3,3,R338)))</f>
        <v/>
      </c>
      <c r="T338" s="998" t="str">
        <f>IF(E338=0,"",VLOOKUP(E338,TablasTec!$A$14:$V$771,9,FALSE))</f>
        <v/>
      </c>
      <c r="U338" s="998" t="str">
        <f>IF(E338=0,"",VLOOKUP(E338,TablasTec!$A$14:$V$771,10,FALSE))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IF(BV337=0,0,VLOOKUP(BV337,TablasTec!$M$4:$N$7,2,FALSE))</f>
        <v>0</v>
      </c>
      <c r="BW338" s="934"/>
      <c r="BX338" s="934"/>
      <c r="BY338" s="1269"/>
      <c r="BZ338" s="1287"/>
      <c r="CA338" s="926"/>
      <c r="DR338" s="926"/>
      <c r="DT338" s="1311"/>
      <c r="DU338" s="1416"/>
      <c r="DV338" s="1416"/>
      <c r="DW338" s="1416"/>
      <c r="DX338" s="1416"/>
      <c r="DY338" s="1312"/>
      <c r="DZ338" s="926"/>
      <c r="EA338" s="1453">
        <f t="shared" si="5"/>
        <v>1</v>
      </c>
    </row>
    <row r="339" spans="1:132">
      <c r="A339" s="926"/>
      <c r="B339" s="926"/>
      <c r="C339" s="4909"/>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c r="A340" s="922"/>
      <c r="B340" s="922"/>
      <c r="C340" s="4909"/>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c r="A341" s="922"/>
      <c r="B341" s="922"/>
      <c r="C341" s="4909"/>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3175" t="s">
        <v>1708</v>
      </c>
      <c r="U341" s="3175" t="s">
        <v>1679</v>
      </c>
      <c r="V341" s="3175" t="s">
        <v>3335</v>
      </c>
      <c r="W341" s="4881" t="s">
        <v>3336</v>
      </c>
      <c r="X341" s="4881"/>
      <c r="Y341" s="4881"/>
      <c r="Z341" s="4881"/>
      <c r="AA341" s="4881"/>
      <c r="AB341" s="4881"/>
      <c r="AC341" s="4881"/>
      <c r="AD341" s="4881"/>
      <c r="AE341" s="4881"/>
      <c r="AF341" s="4881"/>
      <c r="AG341" s="4881"/>
      <c r="AH341" s="4881"/>
      <c r="AI341" s="4881"/>
      <c r="AJ341" s="4881"/>
      <c r="AK341" s="4881"/>
      <c r="AL341" s="4881"/>
      <c r="AM341" s="4881"/>
      <c r="AN341" s="4881"/>
      <c r="AO341" s="4881"/>
      <c r="AP341" s="4881"/>
      <c r="AQ341" s="4881"/>
      <c r="AR341" s="4881"/>
      <c r="AS341" s="4881"/>
      <c r="AT341" s="4881"/>
      <c r="AU341" s="4881"/>
      <c r="AV341" s="4881"/>
      <c r="AW341" s="4881"/>
      <c r="AX341" s="4881"/>
      <c r="AY341" s="4881"/>
      <c r="AZ341" s="4881"/>
      <c r="BA341" s="4881"/>
      <c r="BB341" s="4881"/>
      <c r="BC341" s="4881"/>
      <c r="BD341" s="4881"/>
      <c r="BE341" s="4881"/>
      <c r="BF341" s="4881"/>
      <c r="BG341" s="4881"/>
      <c r="BH341" s="4881"/>
      <c r="BI341" s="4881"/>
      <c r="BJ341" s="4881"/>
      <c r="BK341" s="4881" t="s">
        <v>3337</v>
      </c>
      <c r="BL341" s="4881"/>
      <c r="BM341" s="4882"/>
      <c r="BN341" s="952" t="s">
        <v>4532</v>
      </c>
      <c r="BO341" s="952" t="s">
        <v>4533</v>
      </c>
      <c r="BP341" s="952" t="s">
        <v>4534</v>
      </c>
      <c r="BQ341" s="952" t="s">
        <v>4535</v>
      </c>
      <c r="BR341" s="952" t="s">
        <v>4536</v>
      </c>
      <c r="BS341" s="953" t="s">
        <v>4537</v>
      </c>
      <c r="BT341" s="4857" t="s">
        <v>4538</v>
      </c>
      <c r="BU341" s="4858"/>
      <c r="BV341" s="954"/>
      <c r="BW341" s="934"/>
      <c r="BX341" s="934"/>
      <c r="BY341" s="1269"/>
      <c r="BZ341" s="1287"/>
      <c r="CA341" s="922"/>
      <c r="DR341" s="922"/>
      <c r="DT341" s="1308"/>
      <c r="DU341" s="1360"/>
      <c r="DV341" s="1360"/>
      <c r="DW341" s="1360"/>
      <c r="DX341" s="1360"/>
      <c r="DY341" s="1307"/>
      <c r="DZ341" s="922"/>
      <c r="EB341" s="2127">
        <f>D341</f>
        <v>1</v>
      </c>
    </row>
    <row r="342" spans="1:13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09"/>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IF(I342="Si",VLOOKUP($D$8,TablasTec!$E$4:$F$6,2,FALSE),"")</f>
        <v/>
      </c>
      <c r="BQ342" s="962" t="str">
        <f>IF(L342="Si",VLOOKUP($D$8,TablasTec!$I$4:$J$6,2,FALSE),"")</f>
        <v/>
      </c>
      <c r="BR342" s="960" t="str">
        <f>IF(O342="Si",VLOOKUP($D$8,TablasTec!$I$7:$J$9,2,FALSE),"")</f>
        <v/>
      </c>
      <c r="BS342" s="963">
        <f>VLOOKUP(D341,TablasTec!$P$6:$R$8,3)</f>
        <v>50</v>
      </c>
      <c r="BT342" s="964">
        <f>VLOOKUP(D341,TablasTec!$P$6:$R$8,3,FALSE)</f>
        <v>50</v>
      </c>
      <c r="BU342" s="965">
        <f>VLOOKUP(D341,TablasTec!$P$6:$R$8,2,FALSE)</f>
        <v>20</v>
      </c>
      <c r="BV342" s="954">
        <f>IF(D341=0,"",VLOOKUP(D341,TablasTec!$L$4:$N$7,2,FALSE))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09"/>
      <c r="D343" s="1436" t="s">
        <v>1766</v>
      </c>
      <c r="E343" s="966"/>
      <c r="F343" s="967" t="str">
        <f>IF(E343=0,"",VLOOKUP(E343,TablasTec!$A$14:$V$771,2,FALSE))</f>
        <v/>
      </c>
      <c r="G343" s="968"/>
      <c r="H343" s="969" t="str">
        <f>IF($E343=0,"",VLOOKUP($E343,TablasTec!$A$14:$V$771,4,FALSE))</f>
        <v/>
      </c>
      <c r="I343" s="970" t="s">
        <v>1690</v>
      </c>
      <c r="J343" s="1395" t="str">
        <f>IF(E343=0,"",VLOOKUP(E343,TablasTec!$A$14:$V$771,5,FALSE))</f>
        <v/>
      </c>
      <c r="K343" s="972" t="str">
        <f>IF(I343="Si",IF(E343=0,"",VLOOKUP(E343,TablasTec!$A$14:$V$771,5,FALSE)),"")</f>
        <v/>
      </c>
      <c r="L343" s="970" t="s">
        <v>1690</v>
      </c>
      <c r="M343" s="1395" t="str">
        <f>IF(E343=0,"",VLOOKUP(E343,TablasTec!$A$14:$V$771,6,FALSE))</f>
        <v/>
      </c>
      <c r="N343" s="973" t="str">
        <f>IF(L343="Si",IF(E343=0,"",VLOOKUP(E343,TablasTec!$A$14:$V$771,6,FALSE)),"")</f>
        <v/>
      </c>
      <c r="O343" s="970" t="s">
        <v>1690</v>
      </c>
      <c r="P343" s="1395" t="str">
        <f>IF(E343=0,"",VLOOKUP(E343,TablasTec!$A$14:$V$771,7,FALSE))</f>
        <v/>
      </c>
      <c r="Q343" s="973" t="str">
        <f>IF(O343="Si",IF(E343=0,"",VLOOKUP(E343,TablasTec!$A$14:$V$771,7,FALSE)),"")</f>
        <v/>
      </c>
      <c r="R343" s="971" t="str">
        <f>IF(E343=0,"",VLOOKUP(E343,TablasTec!$A$14:$V$771,8,FALSE))</f>
        <v/>
      </c>
      <c r="S343" s="969" t="str">
        <f>IF(R343=$D$8,$D$8,IF(R343=2,2,IF(R343=3,3,R343)))</f>
        <v/>
      </c>
      <c r="T343" s="972" t="str">
        <f>IF(E343=0,"",VLOOKUP(E343,TablasTec!$A$14:$V$771,9,FALSE))</f>
        <v/>
      </c>
      <c r="U343" s="972" t="str">
        <f>IF(E343=0,"",VLOOKUP(E343,TablasTec!$A$14:$V$771,10,FALSE))</f>
        <v/>
      </c>
      <c r="V343" s="967" t="str">
        <f>IF(E343=0,"",VLOOKUP(E343,TablasTec!$A$14:$V$771,11,FALSE))</f>
        <v/>
      </c>
      <c r="W343" s="970"/>
      <c r="X343" s="971" t="e">
        <f>VLOOKUP(E343,TablasTec!$A$14:$V$771,12,FALSE)</f>
        <v>#N/A</v>
      </c>
      <c r="Y343" s="971" t="e">
        <f>IF(W343=X343,VLOOKUP(E343,TablasTec!$A$14:$V$771,13,FALSE),0)</f>
        <v>#N/A</v>
      </c>
      <c r="Z343" s="971" t="e">
        <f>VLOOKUP(E343,TablasTec!$A$14:$V$771,14,FALSE)</f>
        <v>#N/A</v>
      </c>
      <c r="AA343" s="971" t="e">
        <f>IF(W343=Z343,VLOOKUP(E343,TablasTec!$A$14:$V$616,15,FALSE),0)</f>
        <v>#N/A</v>
      </c>
      <c r="AB343" s="971" t="e">
        <f>VLOOKUP(E343,TablasTec!$A$14:$V$771,16,FALSE)</f>
        <v>#N/A</v>
      </c>
      <c r="AC343" s="971" t="e">
        <f>IF(W343=AB343,VLOOKUP(E343,TablasTec!$A$14:$V$616,17,FALSE),0)</f>
        <v>#N/A</v>
      </c>
      <c r="AD343" s="971" t="e">
        <f>VLOOKUP(E343,TablasTec!$A$14:$V$771,18,FALSE)</f>
        <v>#N/A</v>
      </c>
      <c r="AE343" s="971" t="e">
        <f>IF(W343=AD343,VLOOKUP(E343,TablasTec!$A$14:$V$771,19,FALSE),0)</f>
        <v>#N/A</v>
      </c>
      <c r="AF343" s="973" t="str">
        <f>IF(E343=0,"",(Y343+AA343+AC343+AE343))</f>
        <v/>
      </c>
      <c r="AG343" s="970"/>
      <c r="AH343" s="971" t="e">
        <f>VLOOKUP(E343,TablasTec!$A$14:$V$771,12,FALSE)</f>
        <v>#N/A</v>
      </c>
      <c r="AI343" s="971" t="e">
        <f>IF(AG343=AH343,VLOOKUP(E343,TablasTec!$A$14:$V$771,13,FALSE),0)</f>
        <v>#N/A</v>
      </c>
      <c r="AJ343" s="971" t="e">
        <f>VLOOKUP(E343,TablasTec!$A$14:$V$771,14,FALSE)</f>
        <v>#N/A</v>
      </c>
      <c r="AK343" s="971" t="e">
        <f>IF(AG343=AJ343,VLOOKUP(E343,TablasTec!$A$14:$V$771,15,FALSE),0)</f>
        <v>#N/A</v>
      </c>
      <c r="AL343" s="971" t="e">
        <f>VLOOKUP(E343,TablasTec!$A$14:$V$771,16,FALSE)</f>
        <v>#N/A</v>
      </c>
      <c r="AM343" s="971" t="e">
        <f>IF(AG343=AL343,VLOOKUP(E343,TablasTec!$A$14:$V$771,17,FALSE),0)</f>
        <v>#N/A</v>
      </c>
      <c r="AN343" s="971" t="e">
        <f>VLOOKUP(E343,TablasTec!$A$14:$V$771,18,FALSE)</f>
        <v>#N/A</v>
      </c>
      <c r="AO343" s="971" t="e">
        <f>IF(AG343=AN343,VLOOKUP(E343,TablasTec!$A$14:$V$771,19,FALSE),0)</f>
        <v>#N/A</v>
      </c>
      <c r="AP343" s="973" t="str">
        <f>IF(E343=0,"",(AI343+AK343+AM343+AO343))</f>
        <v/>
      </c>
      <c r="AQ343" s="970"/>
      <c r="AR343" s="971" t="e">
        <f>VLOOKUP(E343,TablasTec!$A$14:$V$771,12,FALSE)</f>
        <v>#N/A</v>
      </c>
      <c r="AS343" s="971" t="e">
        <f>IF(AQ343=AR343,VLOOKUP(E343,TablasTec!$A$14:$V$771,13,FALSE),0)</f>
        <v>#N/A</v>
      </c>
      <c r="AT343" s="971" t="e">
        <f>VLOOKUP(E343,TablasTec!$A$14:$V$771,14,FALSE)</f>
        <v>#N/A</v>
      </c>
      <c r="AU343" s="971" t="e">
        <f>IF(AQ343=AT343,VLOOKUP(E343,TablasTec!$A$14:$V$771,15,FALSE),0)</f>
        <v>#N/A</v>
      </c>
      <c r="AV343" s="971" t="e">
        <f>VLOOKUP(E343,TablasTec!$A$14:$V$771,16,FALSE)</f>
        <v>#N/A</v>
      </c>
      <c r="AW343" s="971" t="e">
        <f>IF(AQ343=AV343,VLOOKUP(E343,TablasTec!$A$14:$V$771,17,FALSE),0)</f>
        <v>#N/A</v>
      </c>
      <c r="AX343" s="971" t="e">
        <f>VLOOKUP(E343,TablasTec!$A$14:$V$771,18,FALSE)</f>
        <v>#N/A</v>
      </c>
      <c r="AY343" s="971" t="e">
        <f>IF(AQ343=AX343,VLOOKUP(E343,TablasTec!$A$14:$V$771,19,FALSE),0)</f>
        <v>#N/A</v>
      </c>
      <c r="AZ343" s="972" t="str">
        <f>IF(E343=0,"",(AS343+AU343+AW343+AY343))</f>
        <v/>
      </c>
      <c r="BA343" s="970"/>
      <c r="BB343" s="971" t="e">
        <f>VLOOKUP(E343,TablasTec!$A$14:$V$771,12,FALSE)</f>
        <v>#N/A</v>
      </c>
      <c r="BC343" s="971" t="e">
        <f>IF(BA343=BB343,VLOOKUP(E343,TablasTec!$A$14:$V$771,13,FALSE),0)</f>
        <v>#N/A</v>
      </c>
      <c r="BD343" s="971" t="e">
        <f>VLOOKUP(E343,TablasTec!$A$14:$V$771,14,FALSE)</f>
        <v>#N/A</v>
      </c>
      <c r="BE343" s="971" t="e">
        <f>IF(BA343=BD343,VLOOKUP(E343,TablasTec!$A$14:$V$771,15,FALSE),0)</f>
        <v>#N/A</v>
      </c>
      <c r="BF343" s="971" t="e">
        <f>VLOOKUP(E343,TablasTec!$A$14:$V$771,16,FALSE)</f>
        <v>#N/A</v>
      </c>
      <c r="BG343" s="971" t="e">
        <f>IF(BA343=BF343,VLOOKUP(E343,TablasTec!$A$14:$V$771,17,FALSE),0)</f>
        <v>#N/A</v>
      </c>
      <c r="BH343" s="971" t="e">
        <f>VLOOKUP(E343,TablasTec!$A$14:$V$771,18,FALSE)</f>
        <v>#N/A</v>
      </c>
      <c r="BI343" s="971" t="e">
        <f>IF(BA343=BH343,VLOOKUP(E343,TablasTec!$A$14:$V$771,19,FALSE),0)</f>
        <v>#N/A</v>
      </c>
      <c r="BJ343" s="973" t="str">
        <f>IF(E343=0,"",(BC343+BE343+BG343+BI343))</f>
        <v/>
      </c>
      <c r="BK343" s="972" t="str">
        <f>IF(E343=0,"",VLOOKUP(E343,TablasTec!$A$14:$V$771,20,FALSE))</f>
        <v/>
      </c>
      <c r="BL343" s="972" t="str">
        <f>IF(E343=0,"",VLOOKUP(E343,TablasTec!$A$14:$V$771,21,FALSE))</f>
        <v/>
      </c>
      <c r="BM343" s="974" t="str">
        <f>IF(E343=0,"",VLOOKUP(E343,TablasTec!$A$14:$V$771,22,FALSE))</f>
        <v/>
      </c>
      <c r="BN343" s="975"/>
      <c r="BO343" s="976"/>
      <c r="BP343" s="961" t="str">
        <f>IF(I343="Si",VLOOKUP($D$8,TablasTec!$E$4:$F$6,2,FALSE),"")</f>
        <v/>
      </c>
      <c r="BQ343" s="962" t="str">
        <f>IF(L343="Si",VLOOKUP($D$8,TablasTec!$I$4:$J$6,2,FALSE),"")</f>
        <v/>
      </c>
      <c r="BR343" s="960" t="str">
        <f>IF(O343="Si",VLOOKUP($D$8,TablasTec!$I$7:$J$9,2,FALSE),"")</f>
        <v/>
      </c>
      <c r="BS343" s="977"/>
      <c r="BT343" s="4857" t="s">
        <v>4539</v>
      </c>
      <c r="BU343" s="4858"/>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6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c r="A344" s="922"/>
      <c r="B344" s="922"/>
      <c r="C344" s="4909"/>
      <c r="D344" s="1435" t="s">
        <v>1766</v>
      </c>
      <c r="E344" s="978"/>
      <c r="F344" s="979" t="str">
        <f>IF(E344=0,"",VLOOKUP(E344,TablasTec!$A$14:$V$771,2,FALSE))</f>
        <v/>
      </c>
      <c r="G344" s="980"/>
      <c r="H344" s="981" t="str">
        <f>IF($E344=0,"",VLOOKUP($E344,TablasTec!$A$14:$V$771,4,FALSE))</f>
        <v/>
      </c>
      <c r="I344" s="982" t="s">
        <v>1690</v>
      </c>
      <c r="J344" s="1398" t="str">
        <f>IF(E344=0,"",VLOOKUP(E344,TablasTec!$A$14:$V$771,5,FALSE))</f>
        <v/>
      </c>
      <c r="K344" s="984" t="str">
        <f>IF(I344="Si",IF(E344=0,"",VLOOKUP(E344,TablasTec!$A$14:$V$771,5,FALSE)),"")</f>
        <v/>
      </c>
      <c r="L344" s="982" t="s">
        <v>1690</v>
      </c>
      <c r="M344" s="1398" t="str">
        <f>IF(E344=0,"",VLOOKUP(E344,TablasTec!$A$14:$V$771,6,FALSE))</f>
        <v/>
      </c>
      <c r="N344" s="985" t="str">
        <f>IF(L344="Si",IF(E344=0,"",VLOOKUP(E344,TablasTec!$A$14:$V$771,6,FALSE)),"")</f>
        <v/>
      </c>
      <c r="O344" s="982" t="s">
        <v>1690</v>
      </c>
      <c r="P344" s="1398" t="str">
        <f>IF(E344=0,"",VLOOKUP(E344,TablasTec!$A$14:$V$771,7,FALSE))</f>
        <v/>
      </c>
      <c r="Q344" s="985" t="str">
        <f>IF(O344="Si",IF(E344=0,"",VLOOKUP(E344,TablasTec!$A$14:$V$771,7,FALSE)),"")</f>
        <v/>
      </c>
      <c r="R344" s="983" t="str">
        <f>IF(E344=0,"",VLOOKUP(E344,TablasTec!$A$14:$V$771,8,FALSE))</f>
        <v/>
      </c>
      <c r="S344" s="981" t="str">
        <f>IF(R344=$D$8,$D$8,IF(R344=2,2,IF(R344=3,3,R344)))</f>
        <v/>
      </c>
      <c r="T344" s="4883" t="s">
        <v>4540</v>
      </c>
      <c r="U344" s="4884"/>
      <c r="V344" s="4884"/>
      <c r="W344" s="4884"/>
      <c r="X344" s="4884"/>
      <c r="Y344" s="4884"/>
      <c r="Z344" s="4884"/>
      <c r="AA344" s="4884"/>
      <c r="AB344" s="4884"/>
      <c r="AC344" s="4884"/>
      <c r="AD344" s="4884"/>
      <c r="AE344" s="4884"/>
      <c r="AF344" s="4884"/>
      <c r="AG344" s="4884"/>
      <c r="AH344" s="4884"/>
      <c r="AI344" s="4884"/>
      <c r="AJ344" s="4884"/>
      <c r="AK344" s="4884"/>
      <c r="AL344" s="4884"/>
      <c r="AM344" s="4884"/>
      <c r="AN344" s="4884"/>
      <c r="AO344" s="4884"/>
      <c r="AP344" s="4884"/>
      <c r="AQ344" s="4884"/>
      <c r="AR344" s="4884"/>
      <c r="AS344" s="4884"/>
      <c r="AT344" s="4884"/>
      <c r="AU344" s="4884"/>
      <c r="AV344" s="4884"/>
      <c r="AW344" s="4884"/>
      <c r="AX344" s="4884"/>
      <c r="AY344" s="4884"/>
      <c r="AZ344" s="4884"/>
      <c r="BA344" s="4884"/>
      <c r="BB344" s="4884"/>
      <c r="BC344" s="4884"/>
      <c r="BD344" s="4884"/>
      <c r="BE344" s="4884"/>
      <c r="BF344" s="4884"/>
      <c r="BG344" s="4884"/>
      <c r="BH344" s="4884"/>
      <c r="BI344" s="4884"/>
      <c r="BJ344" s="4884"/>
      <c r="BK344" s="4885"/>
      <c r="BL344" s="1420"/>
      <c r="BM344" s="1421"/>
      <c r="BN344" s="975"/>
      <c r="BO344" s="976"/>
      <c r="BP344" s="961" t="str">
        <f>IF(I344="Si",VLOOKUP($D$8,TablasTec!$E$4:$F$6,2,FALSE),"")</f>
        <v/>
      </c>
      <c r="BQ344" s="962" t="str">
        <f>IF(L344="Si",VLOOKUP($D$8,TablasTec!$I$4:$J$6,2,FALSE),"")</f>
        <v/>
      </c>
      <c r="BR344" s="960" t="str">
        <f>IF(O344="Si",VLOOKUP($D$8,TablasTec!$I$7:$J$9,2,FALSE),"")</f>
        <v/>
      </c>
      <c r="BS344" s="977"/>
      <c r="BT344" s="4859">
        <f>MAX(BU342,SUM(H343:H375)+IF(OR(I343="Si",I344="Si",I345="Si",I346="Si",I347="Si",I349="Si",I350="Si",I351="Si",I352="Si",I353="Si",I355="Si",I356="Si",I357="Si",I358="Si",I359="Si",I361="Si",I362="Si",I363="Si",I364="Si",I365="Si",I367="Si",I368="Si",I369="Si",I370="Si",I371="Si"),VLOOKUP($D341,TablasTec!$E$4:$F$6,2,FALSE),0)+IF(OR(L343="Si",L344="Si",L345="Si",L346="Si",L347="Si",L349="Si",L350="Si",L351="Si",L352="Si",L353="Si",L355="Si",L356="Si",L357="Si",L358="Si",L359="Si",L361="Si",L362="Si",L363="Si",L364="Si",L365="Si",L367="Si",L368="Si",L369="Si",L370="Si",L371="Si"),VLOOKUP($D341,TablasTec!$I$4:$J$6,2,FALSE),0)+IF(OR(O343="Si",O344="Si",O345="Si",O346="Si",O347="Si",O349="Si",O350="Si",O351="Si",O352="Si",O353="Si",O355="Si",O356="Si",O357="Si",O358="Si",O359="Si",O361="Si",O362="Si",O363="Si",O364="Si",O365="Si",O367="Si",O368="Si",O369="Si",O370="Si",O371="Si"),VLOOKUP($D341,TablasTec!$I$7:$J$9,2,FALSE),0)+IF(BT347="No",0,IF(D341=0,0,VLOOKUP(D341,TablasTec!$L$4:$N$7,3,FALSE)))+IF(BT349="Bajar coste de CM",0,IF(BT349="-5 CM",-5,IF(BT349="-10 CM",-10,IF(BT349="-15 CM",-15,IF(BT349="-20 CM",-20,0)))))+IF(BT351="Bajar coste de Ki",0,IF(BT351="-1 Ki",10,IF(BT351="-2 Ki",20,IF(BT351="-3 Ki",30,IF(BT351="-4 Ki",40,IF(BT351="-5 Ki",50,0)))))))</f>
        <v>20</v>
      </c>
      <c r="BU344" s="4860"/>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65"/>
      <c r="DY344" s="1307"/>
      <c r="DZ344" s="922"/>
      <c r="EA344" s="1453">
        <f t="shared" si="5"/>
        <v>1</v>
      </c>
    </row>
    <row r="345" spans="1:132">
      <c r="A345" s="922"/>
      <c r="B345" s="922"/>
      <c r="C345" s="4909"/>
      <c r="D345" s="1436" t="s">
        <v>1766</v>
      </c>
      <c r="E345" s="986"/>
      <c r="F345" s="3181" t="str">
        <f>IF(E345=0,"",VLOOKUP(E345,TablasTec!$A$14:$V$771,2,FALSE))</f>
        <v/>
      </c>
      <c r="G345" s="968"/>
      <c r="H345" s="987" t="str">
        <f>IF($E345=0,"",VLOOKUP($E345,TablasTec!$A$14:$V$771,4,FALSE))</f>
        <v/>
      </c>
      <c r="I345" s="970" t="s">
        <v>1690</v>
      </c>
      <c r="J345" s="1394" t="str">
        <f>IF(E345=0,"",VLOOKUP(E345,TablasTec!$A$14:$V$771,5,FALSE))</f>
        <v/>
      </c>
      <c r="K345" s="989" t="str">
        <f>IF(I345="Si",IF(E345=0,"",VLOOKUP(E345,TablasTec!$A$14:$V$771,5,FALSE)),"")</f>
        <v/>
      </c>
      <c r="L345" s="970" t="s">
        <v>1690</v>
      </c>
      <c r="M345" s="1394" t="str">
        <f>IF(E345=0,"",VLOOKUP(E345,TablasTec!$A$14:$V$771,6,FALSE))</f>
        <v/>
      </c>
      <c r="N345" s="973" t="str">
        <f>IF(L345="Si",IF(E345=0,"",VLOOKUP(E345,TablasTec!$A$14:$V$771,6,FALSE)),"")</f>
        <v/>
      </c>
      <c r="O345" s="970" t="s">
        <v>1690</v>
      </c>
      <c r="P345" s="1394" t="str">
        <f>IF(E345=0,"",VLOOKUP(E345,TablasTec!$A$14:$V$771,7,FALSE))</f>
        <v/>
      </c>
      <c r="Q345" s="973" t="str">
        <f>IF(O345="Si",IF(E345=0,"",VLOOKUP(E345,TablasTec!$A$14:$V$771,7,FALSE)),"")</f>
        <v/>
      </c>
      <c r="R345" s="988" t="str">
        <f>IF(E345=0,"",VLOOKUP(E345,TablasTec!$A$14:$V$771,8,FALSE))</f>
        <v/>
      </c>
      <c r="S345" s="3181" t="str">
        <f>IF(R345=$D$8,$D$8,IF(R345=2,2,IF(R345=3,3,R345)))</f>
        <v/>
      </c>
      <c r="T345" s="4896"/>
      <c r="U345" s="4897"/>
      <c r="V345" s="3179" t="str">
        <f>IF(OR(V343=0,V343=""),"N/A",V343)</f>
        <v>N/A</v>
      </c>
      <c r="W345" s="4896" t="str">
        <f xml:space="preserve"> IF(OR(AF343=0,AF343=""),"N/A",W343)</f>
        <v>N/A</v>
      </c>
      <c r="X345" s="4898"/>
      <c r="Y345" s="4898"/>
      <c r="Z345" s="4898"/>
      <c r="AA345" s="4898"/>
      <c r="AB345" s="4898"/>
      <c r="AC345" s="4898"/>
      <c r="AD345" s="4898"/>
      <c r="AE345" s="4898"/>
      <c r="AF345" s="4897"/>
      <c r="AG345" s="4896" t="str">
        <f xml:space="preserve"> IF(OR(AP343="",AP343=0),"N/A",AG343)</f>
        <v>N/A</v>
      </c>
      <c r="AH345" s="4898"/>
      <c r="AI345" s="4898"/>
      <c r="AJ345" s="4898"/>
      <c r="AK345" s="4898"/>
      <c r="AL345" s="4898"/>
      <c r="AM345" s="4898"/>
      <c r="AN345" s="4898"/>
      <c r="AO345" s="4898"/>
      <c r="AP345" s="4897"/>
      <c r="AQ345" s="4896" t="str">
        <f xml:space="preserve"> IF(OR(AZ343="",AZ343=0),"N/A",AQ343)</f>
        <v>N/A</v>
      </c>
      <c r="AR345" s="4898"/>
      <c r="AS345" s="4898"/>
      <c r="AT345" s="4898"/>
      <c r="AU345" s="4898"/>
      <c r="AV345" s="4898"/>
      <c r="AW345" s="4898"/>
      <c r="AX345" s="4898"/>
      <c r="AY345" s="4898"/>
      <c r="AZ345" s="4897"/>
      <c r="BA345" s="4896" t="str">
        <f xml:space="preserve"> IF(OR(BJ343="",BJ343=0),"N/A",BA343)</f>
        <v>N/A</v>
      </c>
      <c r="BB345" s="4898"/>
      <c r="BC345" s="4898"/>
      <c r="BD345" s="4898"/>
      <c r="BE345" s="4898"/>
      <c r="BF345" s="4898"/>
      <c r="BG345" s="4898"/>
      <c r="BH345" s="4898"/>
      <c r="BI345" s="4898"/>
      <c r="BJ345" s="4897"/>
      <c r="BK345" s="990" t="s">
        <v>4541</v>
      </c>
      <c r="BL345" s="972"/>
      <c r="BM345" s="1007"/>
      <c r="BN345" s="991"/>
      <c r="BO345" s="992"/>
      <c r="BP345" s="993" t="str">
        <f>IF(I345="Si",VLOOKUP($D$8,TablasTec!$E$4:$F$6,2,FALSE),"")</f>
        <v/>
      </c>
      <c r="BQ345" s="963" t="str">
        <f>IF(L345="Si",VLOOKUP($D$8,TablasTec!$I$4:$J$6,2,FALSE),"")</f>
        <v/>
      </c>
      <c r="BR345" s="994" t="str">
        <f>IF(O345="Si",VLOOKUP($D$8,TablasTec!$I$7:$J$9,2,FALSE),"")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65"/>
      <c r="DY345" s="1307"/>
      <c r="DZ345" s="922"/>
      <c r="EA345" s="1453">
        <f t="shared" si="5"/>
        <v>1</v>
      </c>
    </row>
    <row r="346" spans="1:132">
      <c r="A346" s="922"/>
      <c r="B346" s="922"/>
      <c r="C346" s="4909"/>
      <c r="D346" s="1435" t="s">
        <v>1766</v>
      </c>
      <c r="E346" s="978"/>
      <c r="F346" s="979" t="str">
        <f>IF(E346=0,"",VLOOKUP(E346,TablasTec!$A$14:$V$771,2,FALSE))</f>
        <v/>
      </c>
      <c r="G346" s="980"/>
      <c r="H346" s="981" t="str">
        <f>IF($E346=0,"",VLOOKUP($E346,TablasTec!$A$14:$V$771,4,FALSE))</f>
        <v/>
      </c>
      <c r="I346" s="982" t="s">
        <v>1690</v>
      </c>
      <c r="J346" s="1398" t="str">
        <f>IF(E346=0,"",VLOOKUP(E346,TablasTec!$A$14:$V$771,5,FALSE))</f>
        <v/>
      </c>
      <c r="K346" s="984" t="str">
        <f>IF(I346="Si",IF(E346=0,"",VLOOKUP(E346,TablasTec!$A$14:$V$771,5,FALSE)),"")</f>
        <v/>
      </c>
      <c r="L346" s="982" t="s">
        <v>1690</v>
      </c>
      <c r="M346" s="1398" t="str">
        <f>IF(E346=0,"",VLOOKUP(E346,TablasTec!$A$14:$V$771,6,FALSE))</f>
        <v/>
      </c>
      <c r="N346" s="985" t="str">
        <f>IF(L346="Si",IF(E346=0,"",VLOOKUP(E346,TablasTec!$A$14:$V$771,6,FALSE)),"")</f>
        <v/>
      </c>
      <c r="O346" s="982" t="s">
        <v>1690</v>
      </c>
      <c r="P346" s="1398" t="str">
        <f>IF(E346=0,"",VLOOKUP(E346,TablasTec!$A$14:$V$771,7,FALSE))</f>
        <v/>
      </c>
      <c r="Q346" s="985" t="str">
        <f>IF(O346="Si",IF(E346=0,"",VLOOKUP(E346,TablasTec!$A$14:$V$771,7,FALSE)),"")</f>
        <v/>
      </c>
      <c r="R346" s="983" t="str">
        <f>IF(E346=0,"",VLOOKUP(E346,TablasTec!$A$14:$V$771,8,FALSE))</f>
        <v/>
      </c>
      <c r="S346" s="981" t="str">
        <f>IF(R346=$D$8,$D$8,IF(R346=2,2,IF(R346=3,3,R346)))</f>
        <v/>
      </c>
      <c r="T346" s="4899" t="s">
        <v>4542</v>
      </c>
      <c r="U346" s="4900"/>
      <c r="V346" s="3180"/>
      <c r="W346" s="4901"/>
      <c r="X346" s="4902"/>
      <c r="Y346" s="4902"/>
      <c r="Z346" s="4902"/>
      <c r="AA346" s="4902"/>
      <c r="AB346" s="4902"/>
      <c r="AC346" s="4902"/>
      <c r="AD346" s="4902"/>
      <c r="AE346" s="4902"/>
      <c r="AF346" s="4903"/>
      <c r="AG346" s="4901"/>
      <c r="AH346" s="4902"/>
      <c r="AI346" s="4902"/>
      <c r="AJ346" s="4902"/>
      <c r="AK346" s="4902"/>
      <c r="AL346" s="4902"/>
      <c r="AM346" s="4902"/>
      <c r="AN346" s="4902"/>
      <c r="AO346" s="4902"/>
      <c r="AP346" s="4903"/>
      <c r="AQ346" s="4901"/>
      <c r="AR346" s="4902"/>
      <c r="AS346" s="4902"/>
      <c r="AT346" s="4902"/>
      <c r="AU346" s="4902"/>
      <c r="AV346" s="4902"/>
      <c r="AW346" s="4902"/>
      <c r="AX346" s="4902"/>
      <c r="AY346" s="4902"/>
      <c r="AZ346" s="4903"/>
      <c r="BA346" s="4901"/>
      <c r="BB346" s="4902"/>
      <c r="BC346" s="4902"/>
      <c r="BD346" s="4902"/>
      <c r="BE346" s="4902"/>
      <c r="BF346" s="4902"/>
      <c r="BG346" s="4902"/>
      <c r="BH346" s="4902"/>
      <c r="BI346" s="4902"/>
      <c r="BJ346" s="4903"/>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IF(I346="Si",VLOOKUP($D$8,TablasTec!$E$4:$F$6,2,FALSE),"")</f>
        <v/>
      </c>
      <c r="BQ346" s="962" t="str">
        <f>IF(L346="Si",VLOOKUP($D$8,TablasTec!$I$4:$J$6,2,FALSE),"")</f>
        <v/>
      </c>
      <c r="BR346" s="960" t="str">
        <f>IF(O346="Si",VLOOKUP($D$8,TablasTec!$I$7:$J$9,2,FALSE),"")</f>
        <v/>
      </c>
      <c r="BS346" s="977"/>
      <c r="BT346" s="4857" t="s">
        <v>4543</v>
      </c>
      <c r="BU346" s="4858"/>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65"/>
      <c r="DY346" s="1307"/>
      <c r="DZ346" s="922"/>
      <c r="EA346" s="1453">
        <f t="shared" si="5"/>
        <v>1</v>
      </c>
    </row>
    <row r="347" spans="1:132">
      <c r="A347" s="922"/>
      <c r="B347" s="922"/>
      <c r="C347" s="4909"/>
      <c r="D347" s="1436" t="s">
        <v>1766</v>
      </c>
      <c r="E347" s="986"/>
      <c r="F347" s="3181" t="str">
        <f>IF(E347=0,"",VLOOKUP(E347,TablasTec!$A$14:$V$771,2,FALSE))</f>
        <v/>
      </c>
      <c r="G347" s="968"/>
      <c r="H347" s="987" t="str">
        <f>IF($E347=0,"",VLOOKUP($E347,TablasTec!$A$14:$V$771,4,FALSE))</f>
        <v/>
      </c>
      <c r="I347" s="970" t="s">
        <v>1690</v>
      </c>
      <c r="J347" s="1394" t="str">
        <f>IF(E347=0,"",VLOOKUP(E347,TablasTec!$A$14:$V$771,5,FALSE))</f>
        <v/>
      </c>
      <c r="K347" s="989" t="str">
        <f>IF(I347="Si",IF(E347=0,"",VLOOKUP(E347,TablasTec!$A$14:$V$771,5,FALSE)),"")</f>
        <v/>
      </c>
      <c r="L347" s="970" t="s">
        <v>1690</v>
      </c>
      <c r="M347" s="1394" t="str">
        <f>IF(E347=0,"",VLOOKUP(E347,TablasTec!$A$14:$V$771,6,FALSE))</f>
        <v/>
      </c>
      <c r="N347" s="973" t="str">
        <f>IF(L347="Si",IF(E347=0,"",VLOOKUP(E347,TablasTec!$A$14:$V$771,6,FALSE)),"")</f>
        <v/>
      </c>
      <c r="O347" s="970" t="s">
        <v>1690</v>
      </c>
      <c r="P347" s="1394" t="str">
        <f>IF(E347=0,"",VLOOKUP(E347,TablasTec!$A$14:$V$771,7,FALSE))</f>
        <v/>
      </c>
      <c r="Q347" s="973" t="str">
        <f>IF(O347="Si",IF(E347=0,"",VLOOKUP(E347,TablasTec!$A$14:$V$771,7,FALSE)),"")</f>
        <v/>
      </c>
      <c r="R347" s="988" t="str">
        <f>IF(E347=0,"",VLOOKUP(E347,TablasTec!$A$14:$V$771,8,FALSE))</f>
        <v/>
      </c>
      <c r="S347" s="987" t="str">
        <f>IF(R347=$D$8,$D$8,IF(R347=2,2,IF(R347=3,3,R347)))</f>
        <v/>
      </c>
      <c r="T347" s="4890" t="s">
        <v>4544</v>
      </c>
      <c r="U347" s="4891"/>
      <c r="V347" s="3178"/>
      <c r="W347" s="4892"/>
      <c r="X347" s="4893"/>
      <c r="Y347" s="4893"/>
      <c r="Z347" s="4893"/>
      <c r="AA347" s="4893"/>
      <c r="AB347" s="4893"/>
      <c r="AC347" s="4893"/>
      <c r="AD347" s="4893"/>
      <c r="AE347" s="4893"/>
      <c r="AF347" s="4894"/>
      <c r="AG347" s="4892"/>
      <c r="AH347" s="4893"/>
      <c r="AI347" s="4893"/>
      <c r="AJ347" s="4893"/>
      <c r="AK347" s="4893"/>
      <c r="AL347" s="4893"/>
      <c r="AM347" s="4893"/>
      <c r="AN347" s="4893"/>
      <c r="AO347" s="4893"/>
      <c r="AP347" s="4894"/>
      <c r="AQ347" s="4892"/>
      <c r="AR347" s="4893"/>
      <c r="AS347" s="4893"/>
      <c r="AT347" s="4893"/>
      <c r="AU347" s="4893"/>
      <c r="AV347" s="4893"/>
      <c r="AW347" s="4893"/>
      <c r="AX347" s="4893"/>
      <c r="AY347" s="4893"/>
      <c r="AZ347" s="4894"/>
      <c r="BA347" s="4892"/>
      <c r="BB347" s="4893"/>
      <c r="BC347" s="4893"/>
      <c r="BD347" s="4893"/>
      <c r="BE347" s="4893"/>
      <c r="BF347" s="4893"/>
      <c r="BG347" s="4893"/>
      <c r="BH347" s="4893"/>
      <c r="BI347" s="4893"/>
      <c r="BJ347" s="4894"/>
      <c r="BK347" s="997">
        <f>SUM(K343:K347)-SUM(V347:BA347)</f>
        <v>0</v>
      </c>
      <c r="BL347" s="1422"/>
      <c r="BM347" s="1423"/>
      <c r="BN347" s="991"/>
      <c r="BO347" s="992"/>
      <c r="BP347" s="993" t="str">
        <f>IF(I347="Si",VLOOKUP($D$8,TablasTec!$E$4:$F$6,2,FALSE),"")</f>
        <v/>
      </c>
      <c r="BQ347" s="963" t="str">
        <f>IF(L347="Si",VLOOKUP($D$8,TablasTec!$I$4:$J$6,2,FALSE),"")</f>
        <v/>
      </c>
      <c r="BR347" s="994" t="str">
        <f>IF(O347="Si",VLOOKUP($D$8,TablasTec!$I$7:$J$9,2,FALSE),"")</f>
        <v/>
      </c>
      <c r="BS347" s="995"/>
      <c r="BT347" s="4861" t="s">
        <v>1690</v>
      </c>
      <c r="BU347" s="4862"/>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65"/>
      <c r="DY347" s="1307"/>
      <c r="DZ347" s="922"/>
      <c r="EA347" s="1453">
        <f t="shared" si="5"/>
        <v>1</v>
      </c>
    </row>
    <row r="348" spans="1:13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09"/>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IF(I348="Si",VLOOKUP($D$8,TablasTec!$E$4:$F$6,2,FALSE),"")</f>
        <v/>
      </c>
      <c r="BQ348" s="962" t="str">
        <f>IF(L348="Si",VLOOKUP($D$8,TablasTec!$I$4:$J$6,2,FALSE),"")</f>
        <v/>
      </c>
      <c r="BR348" s="960" t="str">
        <f>IF(O348="Si",VLOOKUP($D$8,TablasTec!$I$7:$J$9,2,FALSE),"")</f>
        <v/>
      </c>
      <c r="BS348" s="977"/>
      <c r="BT348" s="4857" t="s">
        <v>4545</v>
      </c>
      <c r="BU348" s="4858"/>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09"/>
      <c r="D349" s="1436" t="s">
        <v>1766</v>
      </c>
      <c r="E349" s="966"/>
      <c r="F349" s="1002"/>
      <c r="G349" s="972" t="str">
        <f>IF(E349=0,"",VLOOKUP(E349,TablasTec!$A$14:$V$771,3,FALSE))</f>
        <v/>
      </c>
      <c r="H349" s="1004" t="str">
        <f>IF($E349=0,"",VLOOKUP($E349,TablasTec!$A$14:$V$771,4,FALSE))</f>
        <v/>
      </c>
      <c r="I349" s="970" t="s">
        <v>1690</v>
      </c>
      <c r="J349" s="1397" t="str">
        <f>IF(E349=0,"",VLOOKUP(E349,TablasTec!$A$14:$V$771,5,FALSE))</f>
        <v/>
      </c>
      <c r="K349" s="1003" t="str">
        <f>IF(I349="Si",IF(E349=0,"",VLOOKUP(E349,TablasTec!$A$14:$V$771,5,FALSE)),"")</f>
        <v/>
      </c>
      <c r="L349" s="970" t="s">
        <v>1690</v>
      </c>
      <c r="M349" s="1397" t="str">
        <f>IF(E349=0,"",VLOOKUP(E349,TablasTec!$A$14:$V$771,6,FALSE))</f>
        <v/>
      </c>
      <c r="N349" s="973" t="str">
        <f>IF(L349="Si",IF(E349=0,"",VLOOKUP(E349,TablasTec!$A$14:$V$771,6,FALSE)),"")</f>
        <v/>
      </c>
      <c r="O349" s="970" t="s">
        <v>1690</v>
      </c>
      <c r="P349" s="1397" t="str">
        <f>IF(E349=0,"",VLOOKUP(E349,TablasTec!$A$14:$V$771,7,FALSE))</f>
        <v/>
      </c>
      <c r="Q349" s="973" t="str">
        <f>IF(O349="Si",IF(E349=0,"",VLOOKUP(E349,TablasTec!$A$14:$V$771,7,FALSE)),"")</f>
        <v/>
      </c>
      <c r="R349" s="1005" t="str">
        <f>IF(E349=0,"",VLOOKUP(E349,TablasTec!$A$14:$V$771,8,FALSE))</f>
        <v/>
      </c>
      <c r="S349" s="1004" t="str">
        <f>IF(R349=$D$8,$D$8,IF(R349=2,2,IF(R349=3,3,R349)))</f>
        <v/>
      </c>
      <c r="T349" s="972" t="str">
        <f>IF(E349=0,"",VLOOKUP(E349,TablasTec!$A$14:$V$771,9,FALSE))</f>
        <v/>
      </c>
      <c r="U349" s="972" t="str">
        <f>IF(E349=0,"",VLOOKUP(E349,TablasTec!$A$14:$V$771,10,FALSE))</f>
        <v/>
      </c>
      <c r="V349" s="967" t="str">
        <f>IF(E349=0,"",VLOOKUP(E349,TablasTec!$A$14:$V$771,11,FALSE))</f>
        <v/>
      </c>
      <c r="W349" s="970"/>
      <c r="X349" s="971" t="e">
        <f>VLOOKUP(E349,TablasTec!$A$14:$V$771,12,FALSE)</f>
        <v>#N/A</v>
      </c>
      <c r="Y349" s="971" t="e">
        <f>IF(W349=X349,VLOOKUP(E349,TablasTec!$A$14:$V$771,13,FALSE),0)</f>
        <v>#N/A</v>
      </c>
      <c r="Z349" s="971" t="e">
        <f>VLOOKUP(E349,TablasTec!$A$14:$V$771,14,FALSE)</f>
        <v>#N/A</v>
      </c>
      <c r="AA349" s="971" t="e">
        <f>IF(W349=Z349,VLOOKUP(E349,TablasTec!$A$14:$V$616,15,FALSE),0)</f>
        <v>#N/A</v>
      </c>
      <c r="AB349" s="971" t="e">
        <f>VLOOKUP(E349,TablasTec!$A$14:$V$771,16,FALSE)</f>
        <v>#N/A</v>
      </c>
      <c r="AC349" s="971" t="e">
        <f>IF(W349=AB349,VLOOKUP(E349,TablasTec!$A$14:$V$616,17,FALSE),0)</f>
        <v>#N/A</v>
      </c>
      <c r="AD349" s="971" t="e">
        <f>VLOOKUP(E349,TablasTec!$A$14:$V$771,18,FALSE)</f>
        <v>#N/A</v>
      </c>
      <c r="AE349" s="971" t="e">
        <f>IF(W349=AD349,VLOOKUP(E349,TablasTec!$A$14:$V$771,19,FALSE),0)</f>
        <v>#N/A</v>
      </c>
      <c r="AF349" s="972" t="str">
        <f>IF(E349=0,"",(Y349+AA349+AC349+AE349))</f>
        <v/>
      </c>
      <c r="AG349" s="970"/>
      <c r="AH349" s="1005" t="e">
        <f>VLOOKUP(E349,TablasTec!$A$14:$V$771,12,FALSE)</f>
        <v>#N/A</v>
      </c>
      <c r="AI349" s="1005" t="e">
        <f>IF(AG349=AH349,VLOOKUP(E349,TablasTec!$A$14:$V$771,13,FALSE),0)</f>
        <v>#N/A</v>
      </c>
      <c r="AJ349" s="1005" t="e">
        <f>VLOOKUP(E349,TablasTec!$A$14:$V$771,14,FALSE)</f>
        <v>#N/A</v>
      </c>
      <c r="AK349" s="1005" t="e">
        <f>IF(AG349=AJ349,VLOOKUP(E349,TablasTec!$A$14:$V$771,15,FALSE),0)</f>
        <v>#N/A</v>
      </c>
      <c r="AL349" s="1005" t="e">
        <f>VLOOKUP(E349,TablasTec!$A$14:$V$771,16,FALSE)</f>
        <v>#N/A</v>
      </c>
      <c r="AM349" s="1005" t="e">
        <f>IF(AG349=AL349,VLOOKUP(E349,TablasTec!$A$14:$V$771,17,FALSE),0)</f>
        <v>#N/A</v>
      </c>
      <c r="AN349" s="1005" t="e">
        <f>VLOOKUP(E349,TablasTec!$A$14:$V$771,18,FALSE)</f>
        <v>#N/A</v>
      </c>
      <c r="AO349" s="1005" t="e">
        <f>IF(AG349=AN349,VLOOKUP(E349,TablasTec!$A$14:$V$771,19,FALSE),0)</f>
        <v>#N/A</v>
      </c>
      <c r="AP349" s="1006" t="str">
        <f>IF(E349=0,"",(AI349+AK349+AM349+AO349))</f>
        <v/>
      </c>
      <c r="AQ349" s="970"/>
      <c r="AR349" s="971" t="e">
        <f>VLOOKUP(E349,TablasTec!$A$14:$V$771,12,FALSE)</f>
        <v>#N/A</v>
      </c>
      <c r="AS349" s="971" t="e">
        <f>IF(AQ349=AR349,VLOOKUP(E349,TablasTec!$A$14:$V$771,13,FALSE),0)</f>
        <v>#N/A</v>
      </c>
      <c r="AT349" s="971" t="e">
        <f>VLOOKUP(E349,TablasTec!$A$14:$V$771,14,FALSE)</f>
        <v>#N/A</v>
      </c>
      <c r="AU349" s="971" t="e">
        <f>IF(AQ349=AT349,VLOOKUP(E349,TablasTec!$A$14:$V$771,15,FALSE),0)</f>
        <v>#N/A</v>
      </c>
      <c r="AV349" s="971" t="e">
        <f>VLOOKUP(E349,TablasTec!$A$14:$V$771,16,FALSE)</f>
        <v>#N/A</v>
      </c>
      <c r="AW349" s="971" t="e">
        <f>IF(AQ349=AV349,VLOOKUP(E349,TablasTec!$A$14:$V$771,17,FALSE),0)</f>
        <v>#N/A</v>
      </c>
      <c r="AX349" s="971" t="e">
        <f>VLOOKUP(E349,TablasTec!$A$14:$V$771,18,FALSE)</f>
        <v>#N/A</v>
      </c>
      <c r="AY349" s="971" t="e">
        <f>IF(AQ349=AX349,VLOOKUP(E349,TablasTec!$A$14:$V$771,19,FALSE),0)</f>
        <v>#N/A</v>
      </c>
      <c r="AZ349" s="972" t="str">
        <f>IF(E349=0,"",(AS349+AU349+AW349+AY349))</f>
        <v/>
      </c>
      <c r="BA349" s="970"/>
      <c r="BB349" s="971" t="e">
        <f>VLOOKUP(E349,TablasTec!$A$14:$V$771,12,FALSE)</f>
        <v>#N/A</v>
      </c>
      <c r="BC349" s="971" t="e">
        <f>IF(BA349=BB349,VLOOKUP(E349,TablasTec!$A$14:$V$771,13,FALSE),0)</f>
        <v>#N/A</v>
      </c>
      <c r="BD349" s="971" t="e">
        <f>VLOOKUP(E349,TablasTec!$A$14:$V$771,14,FALSE)</f>
        <v>#N/A</v>
      </c>
      <c r="BE349" s="971" t="e">
        <f>IF(BA349=BD349,VLOOKUP(E349,TablasTec!$A$14:$V$771,15,FALSE),0)</f>
        <v>#N/A</v>
      </c>
      <c r="BF349" s="971" t="e">
        <f>VLOOKUP(E349,TablasTec!$A$14:$V$771,16,FALSE)</f>
        <v>#N/A</v>
      </c>
      <c r="BG349" s="971" t="e">
        <f>IF(BA349=BF349,VLOOKUP(E349,TablasTec!$A$14:$V$771,17,FALSE),0)</f>
        <v>#N/A</v>
      </c>
      <c r="BH349" s="971" t="e">
        <f>VLOOKUP(E349,TablasTec!$A$14:$V$771,18,FALSE)</f>
        <v>#N/A</v>
      </c>
      <c r="BI349" s="971" t="e">
        <f>IF(BA349=BH349,VLOOKUP(E349,TablasTec!$A$14:$V$771,19,FALSE),0)</f>
        <v>#N/A</v>
      </c>
      <c r="BJ349" s="973" t="str">
        <f>IF(E349=0,"",(BC349+BE349+BG349+BI349))</f>
        <v/>
      </c>
      <c r="BK349" s="972" t="str">
        <f>IF(E349=0,"",VLOOKUP(E349,TablasTec!$A$14:$V$771,20,FALSE))</f>
        <v/>
      </c>
      <c r="BL349" s="972" t="str">
        <f>IF(E349=0,"",VLOOKUP(E349,TablasTec!$A$14:$V$771,21,FALSE))</f>
        <v/>
      </c>
      <c r="BM349" s="1007" t="str">
        <f>IF(E349=0,"",VLOOKUP(E349,TablasTec!$A$14:$V$771,22,FALSE))</f>
        <v/>
      </c>
      <c r="BN349" s="975"/>
      <c r="BO349" s="976"/>
      <c r="BP349" s="961" t="str">
        <f>IF(I349="Si",VLOOKUP($D$8,TablasTec!$E$4:$F$6,2,FALSE),"")</f>
        <v/>
      </c>
      <c r="BQ349" s="962" t="str">
        <f>IF(L349="Si",VLOOKUP($D$8,TablasTec!$I$4:$J$6,2,FALSE),"")</f>
        <v/>
      </c>
      <c r="BR349" s="960" t="str">
        <f>IF(O349="Si",VLOOKUP($D$8,TablasTec!$I$7:$J$9,2,FALSE),"")</f>
        <v/>
      </c>
      <c r="BS349" s="977"/>
      <c r="BT349" s="4861" t="s">
        <v>4525</v>
      </c>
      <c r="BU349" s="4862"/>
      <c r="BV349" s="954"/>
      <c r="BW349" s="934"/>
      <c r="BX349" s="934"/>
      <c r="BY349" s="1269"/>
      <c r="BZ349" s="1287"/>
      <c r="CA349" s="922"/>
      <c r="DR349" s="922"/>
      <c r="DT349" s="1309"/>
      <c r="DU349" s="1362"/>
      <c r="DV349" s="1359" t="str">
        <f>IF(E349="","",", "&amp;E349)&amp;IF(I349="No",""," (Mant.)")&amp;IF(L349="No",""," (Sme)")&amp;IF(O349="No",""," (SMa)")</f>
        <v/>
      </c>
      <c r="DW349" s="1360"/>
      <c r="DX349" s="1361" t="str">
        <f>IF(ISNUMBER(FIND(TablasTec!A$678,DW367)),BL373&amp;BM373,IF(ISNUMBER(FIND(TablasTec!A$679,DW367)),BL373&amp;" "&amp;BM373,""))</f>
        <v/>
      </c>
      <c r="DY349" s="1310"/>
      <c r="DZ349" s="922"/>
      <c r="EA349" s="1453">
        <f t="shared" si="5"/>
        <v>1</v>
      </c>
    </row>
    <row r="350" spans="1:132">
      <c r="A350" s="922"/>
      <c r="B350" s="922"/>
      <c r="C350" s="4909"/>
      <c r="D350" s="1435" t="s">
        <v>1766</v>
      </c>
      <c r="E350" s="978"/>
      <c r="F350" s="1008"/>
      <c r="G350" s="1420" t="str">
        <f>IF(E350=0,"",VLOOKUP(E350,TablasTec!$A$14:$V$771,3,FALSE))</f>
        <v/>
      </c>
      <c r="H350" s="981" t="str">
        <f>IF($E350=0,"",VLOOKUP($E350,TablasTec!$A$14:$V$771,4,FALSE))</f>
        <v/>
      </c>
      <c r="I350" s="982" t="s">
        <v>1690</v>
      </c>
      <c r="J350" s="1398" t="str">
        <f>IF(E350=0,"",VLOOKUP(E350,TablasTec!$A$14:$V$771,5,FALSE))</f>
        <v/>
      </c>
      <c r="K350" s="984" t="str">
        <f>IF(I350="Si",IF(E350=0,"",VLOOKUP(E350,TablasTec!$A$14:$V$771,5,FALSE)),"")</f>
        <v/>
      </c>
      <c r="L350" s="982" t="s">
        <v>1690</v>
      </c>
      <c r="M350" s="1398" t="str">
        <f>IF(E350=0,"",VLOOKUP(E350,TablasTec!$A$14:$V$771,6,FALSE))</f>
        <v/>
      </c>
      <c r="N350" s="985" t="str">
        <f>IF(L350="Si",IF(E350=0,"",VLOOKUP(E350,TablasTec!$A$14:$V$771,6,FALSE)),"")</f>
        <v/>
      </c>
      <c r="O350" s="982" t="s">
        <v>1690</v>
      </c>
      <c r="P350" s="1398" t="str">
        <f>IF(E350=0,"",VLOOKUP(E350,TablasTec!$A$14:$V$771,7,FALSE))</f>
        <v/>
      </c>
      <c r="Q350" s="985" t="str">
        <f>IF(O350="Si",IF(E350=0,"",VLOOKUP(E350,TablasTec!$A$14:$V$771,7,FALSE)),"")</f>
        <v/>
      </c>
      <c r="R350" s="983" t="str">
        <f>IF(E350=0,"",VLOOKUP(E350,TablasTec!$A$14:$V$771,8,FALSE))</f>
        <v/>
      </c>
      <c r="S350" s="981" t="str">
        <f>IF(R350=$D$8,$D$8,IF(R350=2,2,IF(R350=3,3,R350)))</f>
        <v/>
      </c>
      <c r="T350" s="4883" t="s">
        <v>4540</v>
      </c>
      <c r="U350" s="4884"/>
      <c r="V350" s="4884"/>
      <c r="W350" s="4884"/>
      <c r="X350" s="4884"/>
      <c r="Y350" s="4884"/>
      <c r="Z350" s="4884"/>
      <c r="AA350" s="4884"/>
      <c r="AB350" s="4884"/>
      <c r="AC350" s="4884"/>
      <c r="AD350" s="4884"/>
      <c r="AE350" s="4884"/>
      <c r="AF350" s="4884"/>
      <c r="AG350" s="4884"/>
      <c r="AH350" s="4884"/>
      <c r="AI350" s="4884"/>
      <c r="AJ350" s="4884"/>
      <c r="AK350" s="4884"/>
      <c r="AL350" s="4884"/>
      <c r="AM350" s="4884"/>
      <c r="AN350" s="4884"/>
      <c r="AO350" s="4884"/>
      <c r="AP350" s="4884"/>
      <c r="AQ350" s="4884"/>
      <c r="AR350" s="4884"/>
      <c r="AS350" s="4884"/>
      <c r="AT350" s="4884"/>
      <c r="AU350" s="4884"/>
      <c r="AV350" s="4884"/>
      <c r="AW350" s="4884"/>
      <c r="AX350" s="4884"/>
      <c r="AY350" s="4884"/>
      <c r="AZ350" s="4884"/>
      <c r="BA350" s="4884"/>
      <c r="BB350" s="4884"/>
      <c r="BC350" s="4884"/>
      <c r="BD350" s="4884"/>
      <c r="BE350" s="4884"/>
      <c r="BF350" s="4884"/>
      <c r="BG350" s="4884"/>
      <c r="BH350" s="4884"/>
      <c r="BI350" s="4884"/>
      <c r="BJ350" s="4884"/>
      <c r="BK350" s="4885"/>
      <c r="BL350" s="1420"/>
      <c r="BM350" s="1421"/>
      <c r="BN350" s="975"/>
      <c r="BO350" s="976"/>
      <c r="BP350" s="961" t="str">
        <f>IF(I350="Si",VLOOKUP($D$8,TablasTec!$E$4:$F$6,2,FALSE),"")</f>
        <v/>
      </c>
      <c r="BQ350" s="962" t="str">
        <f>IF(L350="Si",VLOOKUP($D$8,TablasTec!$I$4:$J$6,2,FALSE),"")</f>
        <v/>
      </c>
      <c r="BR350" s="960" t="str">
        <f>IF(O350="Si",VLOOKUP($D$8,TablasTec!$I$7:$J$9,2,FALSE),"")</f>
        <v/>
      </c>
      <c r="BS350" s="977"/>
      <c r="BT350" s="4857" t="s">
        <v>4546</v>
      </c>
      <c r="BU350" s="4858"/>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c r="A351" s="922"/>
      <c r="B351" s="922"/>
      <c r="C351" s="4909"/>
      <c r="D351" s="1436" t="s">
        <v>1766</v>
      </c>
      <c r="E351" s="986"/>
      <c r="F351" s="1002"/>
      <c r="G351" s="972" t="str">
        <f>IF(E351=0,"",VLOOKUP(E351,TablasTec!$A$14:$V$771,3,FALSE))</f>
        <v/>
      </c>
      <c r="H351" s="3181" t="str">
        <f>IF($E351=0,"",VLOOKUP($E351,TablasTec!$A$14:$V$771,4,FALSE))</f>
        <v/>
      </c>
      <c r="I351" s="970" t="s">
        <v>1690</v>
      </c>
      <c r="J351" s="1394" t="str">
        <f>IF(E351=0,"",VLOOKUP(E351,TablasTec!$A$14:$V$771,5,FALSE))</f>
        <v/>
      </c>
      <c r="K351" s="989" t="str">
        <f>IF(I351="Si",IF(E351=0,"",VLOOKUP(E351,TablasTec!$A$14:$V$771,5,FALSE)),"")</f>
        <v/>
      </c>
      <c r="L351" s="970" t="s">
        <v>1690</v>
      </c>
      <c r="M351" s="1394" t="str">
        <f>IF(E351=0,"",VLOOKUP(E351,TablasTec!$A$14:$V$771,6,FALSE))</f>
        <v/>
      </c>
      <c r="N351" s="973" t="str">
        <f>IF(L351="Si",IF(E351=0,"",VLOOKUP(E351,TablasTec!$A$14:$V$771,6,FALSE)),"")</f>
        <v/>
      </c>
      <c r="O351" s="970" t="s">
        <v>1690</v>
      </c>
      <c r="P351" s="1394" t="str">
        <f>IF(E351=0,"",VLOOKUP(E351,TablasTec!$A$14:$V$771,7,FALSE))</f>
        <v/>
      </c>
      <c r="Q351" s="973" t="str">
        <f>IF(O351="Si",IF(E351=0,"",VLOOKUP(E351,TablasTec!$A$14:$V$771,7,FALSE)),"")</f>
        <v/>
      </c>
      <c r="R351" s="988" t="str">
        <f>IF(E351=0,"",VLOOKUP(E351,TablasTec!$A$14:$V$771,8,FALSE))</f>
        <v/>
      </c>
      <c r="S351" s="3181" t="str">
        <f>IF(R351=$D$8,$D$8,IF(R351=2,2,IF(R351=3,3,R351)))</f>
        <v/>
      </c>
      <c r="T351" s="4896"/>
      <c r="U351" s="4897"/>
      <c r="V351" s="3179" t="str">
        <f>IF(OR(V349=0,V349=""),"N/A",V349)</f>
        <v>N/A</v>
      </c>
      <c r="W351" s="4896" t="str">
        <f xml:space="preserve"> IF(OR(AF349=0,AF349=""),"N/A",W349)</f>
        <v>N/A</v>
      </c>
      <c r="X351" s="4898"/>
      <c r="Y351" s="4898"/>
      <c r="Z351" s="4898"/>
      <c r="AA351" s="4898"/>
      <c r="AB351" s="4898"/>
      <c r="AC351" s="4898"/>
      <c r="AD351" s="4898"/>
      <c r="AE351" s="4898"/>
      <c r="AF351" s="4897"/>
      <c r="AG351" s="4896" t="str">
        <f xml:space="preserve"> IF(OR(AP349="",AP349=0),"N/A",AG349)</f>
        <v>N/A</v>
      </c>
      <c r="AH351" s="4898"/>
      <c r="AI351" s="4898"/>
      <c r="AJ351" s="4898"/>
      <c r="AK351" s="4898"/>
      <c r="AL351" s="4898"/>
      <c r="AM351" s="4898"/>
      <c r="AN351" s="4898"/>
      <c r="AO351" s="4898"/>
      <c r="AP351" s="4897"/>
      <c r="AQ351" s="4896" t="str">
        <f xml:space="preserve"> IF(OR(AZ349="",AZ349=0),"N/A",AQ349)</f>
        <v>N/A</v>
      </c>
      <c r="AR351" s="4898"/>
      <c r="AS351" s="4898"/>
      <c r="AT351" s="4898"/>
      <c r="AU351" s="4898"/>
      <c r="AV351" s="4898"/>
      <c r="AW351" s="4898"/>
      <c r="AX351" s="4898"/>
      <c r="AY351" s="4898"/>
      <c r="AZ351" s="4897"/>
      <c r="BA351" s="4896" t="str">
        <f xml:space="preserve"> IF(OR(BJ349="",BJ349=0),"N/A",BA349)</f>
        <v>N/A</v>
      </c>
      <c r="BB351" s="4898"/>
      <c r="BC351" s="4898"/>
      <c r="BD351" s="4898"/>
      <c r="BE351" s="4898"/>
      <c r="BF351" s="4898"/>
      <c r="BG351" s="4898"/>
      <c r="BH351" s="4898"/>
      <c r="BI351" s="4898"/>
      <c r="BJ351" s="4897"/>
      <c r="BK351" s="990" t="s">
        <v>4541</v>
      </c>
      <c r="BL351" s="972"/>
      <c r="BM351" s="1007"/>
      <c r="BN351" s="975"/>
      <c r="BO351" s="992"/>
      <c r="BP351" s="961" t="str">
        <f>IF(I351="Si",VLOOKUP($D$8,TablasTec!$E$4:$F$6,2,FALSE),"")</f>
        <v/>
      </c>
      <c r="BQ351" s="962" t="str">
        <f>IF(L351="Si",VLOOKUP($D$8,TablasTec!$I$4:$J$6,2,FALSE),"")</f>
        <v/>
      </c>
      <c r="BR351" s="960" t="str">
        <f>IF(O351="Si",VLOOKUP($D$8,TablasTec!$I$7:$J$9,2,FALSE),"")</f>
        <v/>
      </c>
      <c r="BS351" s="977"/>
      <c r="BT351" s="4861" t="s">
        <v>4519</v>
      </c>
      <c r="BU351" s="4862"/>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c r="A352" s="922"/>
      <c r="B352" s="922"/>
      <c r="C352" s="4909"/>
      <c r="D352" s="1435" t="s">
        <v>1766</v>
      </c>
      <c r="E352" s="978"/>
      <c r="F352" s="1008"/>
      <c r="G352" s="1420" t="str">
        <f>IF(E352=0,"",VLOOKUP(E352,TablasTec!$A$14:$V$771,3,FALSE))</f>
        <v/>
      </c>
      <c r="H352" s="981" t="str">
        <f>IF($E352=0,"",VLOOKUP($E352,TablasTec!$A$14:$V$771,4,FALSE))</f>
        <v/>
      </c>
      <c r="I352" s="982" t="s">
        <v>1690</v>
      </c>
      <c r="J352" s="1398" t="str">
        <f>IF(E352=0,"",VLOOKUP(E352,TablasTec!$A$14:$V$771,5,FALSE))</f>
        <v/>
      </c>
      <c r="K352" s="984" t="str">
        <f>IF(I352="Si",IF(E352=0,"",VLOOKUP(E352,TablasTec!$A$14:$V$771,5,FALSE)),"")</f>
        <v/>
      </c>
      <c r="L352" s="982" t="s">
        <v>1690</v>
      </c>
      <c r="M352" s="1398" t="str">
        <f>IF(E352=0,"",VLOOKUP(E352,TablasTec!$A$14:$V$771,6,FALSE))</f>
        <v/>
      </c>
      <c r="N352" s="985" t="str">
        <f>IF(L352="Si",IF(E352=0,"",VLOOKUP(E352,TablasTec!$A$14:$V$771,6,FALSE)),"")</f>
        <v/>
      </c>
      <c r="O352" s="982" t="s">
        <v>1690</v>
      </c>
      <c r="P352" s="1398" t="str">
        <f>IF(E352=0,"",VLOOKUP(E352,TablasTec!$A$14:$V$771,7,FALSE))</f>
        <v/>
      </c>
      <c r="Q352" s="985" t="str">
        <f>IF(O352="Si",IF(E352=0,"",VLOOKUP(E352,TablasTec!$A$14:$V$771,7,FALSE)),"")</f>
        <v/>
      </c>
      <c r="R352" s="983" t="str">
        <f>IF(E352=0,"",VLOOKUP(E352,TablasTec!$A$14:$V$771,8,FALSE))</f>
        <v/>
      </c>
      <c r="S352" s="981" t="str">
        <f>IF(R352=$D$8,$D$8,IF(R352=2,2,IF(R352=3,3,R352)))</f>
        <v/>
      </c>
      <c r="T352" s="4899" t="s">
        <v>4542</v>
      </c>
      <c r="U352" s="4900"/>
      <c r="V352" s="3180"/>
      <c r="W352" s="4901"/>
      <c r="X352" s="4902"/>
      <c r="Y352" s="4902"/>
      <c r="Z352" s="4902"/>
      <c r="AA352" s="4902"/>
      <c r="AB352" s="4902"/>
      <c r="AC352" s="4902"/>
      <c r="AD352" s="4902"/>
      <c r="AE352" s="4902"/>
      <c r="AF352" s="4903"/>
      <c r="AG352" s="4901"/>
      <c r="AH352" s="4902"/>
      <c r="AI352" s="4902"/>
      <c r="AJ352" s="4902"/>
      <c r="AK352" s="4902"/>
      <c r="AL352" s="4902"/>
      <c r="AM352" s="4902"/>
      <c r="AN352" s="4902"/>
      <c r="AO352" s="4902"/>
      <c r="AP352" s="4903"/>
      <c r="AQ352" s="4901"/>
      <c r="AR352" s="4902"/>
      <c r="AS352" s="4902"/>
      <c r="AT352" s="4902"/>
      <c r="AU352" s="4902"/>
      <c r="AV352" s="4902"/>
      <c r="AW352" s="4902"/>
      <c r="AX352" s="4902"/>
      <c r="AY352" s="4902"/>
      <c r="AZ352" s="4903"/>
      <c r="BA352" s="4901"/>
      <c r="BB352" s="4902"/>
      <c r="BC352" s="4902"/>
      <c r="BD352" s="4902"/>
      <c r="BE352" s="4902"/>
      <c r="BF352" s="4902"/>
      <c r="BG352" s="4902"/>
      <c r="BH352" s="4902"/>
      <c r="BI352" s="4902"/>
      <c r="BJ352" s="4903"/>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IF(I352="Si",VLOOKUP($D$8,TablasTec!$E$4:$F$6,2,FALSE),"")</f>
        <v/>
      </c>
      <c r="BQ352" s="962" t="str">
        <f>IF(L352="Si",VLOOKUP($D$8,TablasTec!$I$4:$J$6,2,FALSE),"")</f>
        <v/>
      </c>
      <c r="BR352" s="960" t="str">
        <f>IF(O352="Si",VLOOKUP($D$8,TablasTec!$I$7:$J$9,2,FALSE),"")</f>
        <v/>
      </c>
      <c r="BS352" s="977"/>
      <c r="BT352" s="4853" t="s">
        <v>4547</v>
      </c>
      <c r="BU352" s="4854"/>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c r="A353" s="922"/>
      <c r="B353" s="922"/>
      <c r="C353" s="4909"/>
      <c r="D353" s="1436" t="s">
        <v>1766</v>
      </c>
      <c r="E353" s="986"/>
      <c r="F353" s="1002"/>
      <c r="G353" s="972" t="str">
        <f>IF(E353=0,"",VLOOKUP(E353,TablasTec!$A$14:$V$771,3,FALSE))</f>
        <v/>
      </c>
      <c r="H353" s="987" t="str">
        <f>IF($E353=0,"",VLOOKUP($E353,TablasTec!$A$14:$V$771,4,FALSE))</f>
        <v/>
      </c>
      <c r="I353" s="970" t="s">
        <v>1690</v>
      </c>
      <c r="J353" s="1394" t="str">
        <f>IF(E353=0,"",VLOOKUP(E353,TablasTec!$A$14:$V$771,5,FALSE))</f>
        <v/>
      </c>
      <c r="K353" s="989" t="str">
        <f>IF(I353="Si",IF(E353=0,"",VLOOKUP(E353,TablasTec!$A$14:$V$771,5,FALSE)),"")</f>
        <v/>
      </c>
      <c r="L353" s="970" t="s">
        <v>1690</v>
      </c>
      <c r="M353" s="1394" t="str">
        <f>IF(E353=0,"",VLOOKUP(E353,TablasTec!$A$14:$V$771,6,FALSE))</f>
        <v/>
      </c>
      <c r="N353" s="973" t="str">
        <f>IF(L353="Si",IF(E353=0,"",VLOOKUP(E353,TablasTec!$A$14:$V$771,6,FALSE)),"")</f>
        <v/>
      </c>
      <c r="O353" s="970" t="s">
        <v>1690</v>
      </c>
      <c r="P353" s="1394" t="str">
        <f>IF(E353=0,"",VLOOKUP(E353,TablasTec!$A$14:$V$771,7,FALSE))</f>
        <v/>
      </c>
      <c r="Q353" s="973" t="str">
        <f>IF(O353="Si",IF(E353=0,"",VLOOKUP(E353,TablasTec!$A$14:$V$771,7,FALSE)),"")</f>
        <v/>
      </c>
      <c r="R353" s="988" t="str">
        <f>IF(E353=0,"",VLOOKUP(E353,TablasTec!$A$14:$V$771,8,FALSE))</f>
        <v/>
      </c>
      <c r="S353" s="987" t="str">
        <f>IF(R353=$D$8,$D$8,IF(R353=2,2,IF(R353=3,3,R353)))</f>
        <v/>
      </c>
      <c r="T353" s="4890" t="s">
        <v>4544</v>
      </c>
      <c r="U353" s="4891"/>
      <c r="V353" s="3178"/>
      <c r="W353" s="4892"/>
      <c r="X353" s="4893"/>
      <c r="Y353" s="4893"/>
      <c r="Z353" s="4893"/>
      <c r="AA353" s="4893"/>
      <c r="AB353" s="4893"/>
      <c r="AC353" s="4893"/>
      <c r="AD353" s="4893"/>
      <c r="AE353" s="4893"/>
      <c r="AF353" s="4894"/>
      <c r="AG353" s="4892"/>
      <c r="AH353" s="4893"/>
      <c r="AI353" s="4893"/>
      <c r="AJ353" s="4893"/>
      <c r="AK353" s="4893"/>
      <c r="AL353" s="4893"/>
      <c r="AM353" s="4893"/>
      <c r="AN353" s="4893"/>
      <c r="AO353" s="4893"/>
      <c r="AP353" s="4894"/>
      <c r="AQ353" s="4892"/>
      <c r="AR353" s="4893"/>
      <c r="AS353" s="4893"/>
      <c r="AT353" s="4893"/>
      <c r="AU353" s="4893"/>
      <c r="AV353" s="4893"/>
      <c r="AW353" s="4893"/>
      <c r="AX353" s="4893"/>
      <c r="AY353" s="4893"/>
      <c r="AZ353" s="4894"/>
      <c r="BA353" s="4892"/>
      <c r="BB353" s="4893"/>
      <c r="BC353" s="4893"/>
      <c r="BD353" s="4893"/>
      <c r="BE353" s="4893"/>
      <c r="BF353" s="4893"/>
      <c r="BG353" s="4893"/>
      <c r="BH353" s="4893"/>
      <c r="BI353" s="4893"/>
      <c r="BJ353" s="4894"/>
      <c r="BK353" s="997">
        <f>SUM(K349:K353)-SUM(V353:BA353)</f>
        <v>0</v>
      </c>
      <c r="BL353" s="1422"/>
      <c r="BM353" s="1423"/>
      <c r="BN353" s="975"/>
      <c r="BO353" s="992"/>
      <c r="BP353" s="961" t="str">
        <f>IF(I353="Si",VLOOKUP($D$8,TablasTec!$E$4:$F$6,2,FALSE),"")</f>
        <v/>
      </c>
      <c r="BQ353" s="962" t="str">
        <f>IF(L353="Si",VLOOKUP($D$8,TablasTec!$I$4:$J$6,2,FALSE),"")</f>
        <v/>
      </c>
      <c r="BR353" s="960" t="str">
        <f>IF(O353="Si",VLOOKUP($D$8,TablasTec!$I$7:$J$9,2,FALSE),"")</f>
        <v/>
      </c>
      <c r="BS353" s="977"/>
      <c r="BT353" s="2293">
        <f>IF(BT347="No",0,IF(D341=0,0,VLOOKUP(D341,TablasTec!$L$4:$N$7,2,FALSE)))+IF(BT349="Bajar coste de CM",0,IF(BT349="-5 CM",2,IF(BT349="-10 CM",4,IF(BT349="-15 CM",6,IF(BT349="-20 CM",8,0)))))+IF(BT351="Bajar coste de Ki",0,IF(BT351="-1 Ki",-1,IF(BT351="-2 Ki",-2,IF(BT351="-3 Ki",-3,IF(BT351="-4 Ki",-4,IF(BT351="-5 Ki",-5,0))))))-BU356-BU358-BU360-BU362-BU364-BU366</f>
        <v>0</v>
      </c>
      <c r="BU353" s="2294">
        <f>IF(BT347="No",0,IF(D341=0,0,VLOOKUP(D341,TablasTec!$L$4:$N$7,2,FALSE)))+IF(BT349="Bajar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09"/>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IF(I354="Si",VLOOKUP($D$8,TablasTec!$E$4:$F$6,2,FALSE),"")</f>
        <v/>
      </c>
      <c r="BQ354" s="1013" t="str">
        <f>IF(L354="Si",VLOOKUP($D$8,TablasTec!$I$4:$J$6,2,FALSE),"")</f>
        <v/>
      </c>
      <c r="BR354" s="1011" t="str">
        <f>IF(O354="Si",VLOOKUP($D$8,TablasTec!$I$7:$J$9,2,FALSE),"")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09"/>
      <c r="D355" s="1436" t="s">
        <v>1766</v>
      </c>
      <c r="E355" s="966"/>
      <c r="F355" s="1002"/>
      <c r="G355" s="972" t="str">
        <f>IF(E355=0,"",VLOOKUP(E355,TablasTec!$A$14:$V$771,3,FALSE))</f>
        <v/>
      </c>
      <c r="H355" s="1014" t="str">
        <f>IF($E355=0,"",VLOOKUP($E355,TablasTec!$A$14:$V$771,4,FALSE))</f>
        <v/>
      </c>
      <c r="I355" s="970" t="s">
        <v>1690</v>
      </c>
      <c r="J355" s="1400" t="str">
        <f>IF(E355=0,"",VLOOKUP(E355,TablasTec!$A$14:$V$771,5,FALSE))</f>
        <v/>
      </c>
      <c r="K355" s="1016" t="str">
        <f>IF(I355="Si",IF(E355=0,"",VLOOKUP(E355,TablasTec!$A$14:$V$771,5,FALSE)),"")</f>
        <v/>
      </c>
      <c r="L355" s="970" t="s">
        <v>1690</v>
      </c>
      <c r="M355" s="1400" t="str">
        <f>IF(E355=0,"",VLOOKUP(E355,TablasTec!$A$14:$V$771,6,FALSE))</f>
        <v/>
      </c>
      <c r="N355" s="973" t="str">
        <f>IF(L355="Si",IF(E355=0,"",VLOOKUP(E355,TablasTec!$A$14:$V$771,6,FALSE)),"")</f>
        <v/>
      </c>
      <c r="O355" s="970" t="s">
        <v>1690</v>
      </c>
      <c r="P355" s="1400" t="str">
        <f>IF(E355=0,"",VLOOKUP(E355,TablasTec!$A$14:$V$771,7,FALSE))</f>
        <v/>
      </c>
      <c r="Q355" s="973" t="str">
        <f>IF(O355="Si",IF(E355=0,"",VLOOKUP(E355,TablasTec!$A$14:$V$771,7,FALSE)),"")</f>
        <v/>
      </c>
      <c r="R355" s="1015" t="str">
        <f>IF(E355=0,"",VLOOKUP(E355,TablasTec!$A$14:$V$771,8,FALSE))</f>
        <v/>
      </c>
      <c r="S355" s="987" t="str">
        <f>IF(R355=$D$8,$D$8,IF(R355=2,2,IF(R355=3,3,R355)))</f>
        <v/>
      </c>
      <c r="T355" s="1016" t="str">
        <f>IF(E355=0,"",VLOOKUP(E355,TablasTec!$A$14:$V$771,9,FALSE))</f>
        <v/>
      </c>
      <c r="U355" s="1016" t="str">
        <f>IF(E355=0,"",VLOOKUP(E355,TablasTec!$A$14:$V$771,10,FALSE))</f>
        <v/>
      </c>
      <c r="V355" s="1017" t="str">
        <f>IF(E355=0,"",VLOOKUP(E355,TablasTec!$A$14:$V$771,11,FALSE))</f>
        <v/>
      </c>
      <c r="W355" s="970"/>
      <c r="X355" s="971" t="e">
        <f>VLOOKUP(E355,TablasTec!$A$14:$V$771,12,FALSE)</f>
        <v>#N/A</v>
      </c>
      <c r="Y355" s="971" t="e">
        <f>IF(W355=X355,VLOOKUP(E355,TablasTec!$A$14:$V$771,13,FALSE),0)</f>
        <v>#N/A</v>
      </c>
      <c r="Z355" s="971" t="e">
        <f>VLOOKUP(E355,TablasTec!$A$14:$V$771,14,FALSE)</f>
        <v>#N/A</v>
      </c>
      <c r="AA355" s="971" t="e">
        <f>IF(W355=Z355,VLOOKUP(E355,TablasTec!$A$14:$V$616,15,FALSE),0)</f>
        <v>#N/A</v>
      </c>
      <c r="AB355" s="971" t="e">
        <f>VLOOKUP(E355,TablasTec!$A$14:$V$771,16,FALSE)</f>
        <v>#N/A</v>
      </c>
      <c r="AC355" s="971" t="e">
        <f>IF(W355=AB355,VLOOKUP(E355,TablasTec!$A$14:$V$616,17,FALSE),0)</f>
        <v>#N/A</v>
      </c>
      <c r="AD355" s="971" t="e">
        <f>VLOOKUP(E355,TablasTec!$A$14:$V$771,18,FALSE)</f>
        <v>#N/A</v>
      </c>
      <c r="AE355" s="971" t="e">
        <f>IF(W355=AD355,VLOOKUP(E355,TablasTec!$A$14:$V$771,19,FALSE),0)</f>
        <v>#N/A</v>
      </c>
      <c r="AF355" s="989" t="str">
        <f>IF(E355=0,"",(Y355+AA355+AC355+AE355))</f>
        <v/>
      </c>
      <c r="AG355" s="970"/>
      <c r="AH355" s="988" t="e">
        <f>VLOOKUP(E355,TablasTec!$A$14:$V$771,12,FALSE)</f>
        <v>#N/A</v>
      </c>
      <c r="AI355" s="988" t="e">
        <f>IF(AG355=AH355,VLOOKUP(E355,TablasTec!$A$14:$V$771,13,FALSE),0)</f>
        <v>#N/A</v>
      </c>
      <c r="AJ355" s="988" t="e">
        <f>VLOOKUP(E355,TablasTec!$A$14:$V$771,14,FALSE)</f>
        <v>#N/A</v>
      </c>
      <c r="AK355" s="988" t="e">
        <f>IF(AG355=AJ355,VLOOKUP(E355,TablasTec!$A$14:$V$771,15,FALSE),0)</f>
        <v>#N/A</v>
      </c>
      <c r="AL355" s="988" t="e">
        <f>VLOOKUP(E355,TablasTec!$A$14:$V$771,16,FALSE)</f>
        <v>#N/A</v>
      </c>
      <c r="AM355" s="988" t="e">
        <f>IF(AG355=AL355,VLOOKUP(E355,TablasTec!$A$14:$V$771,17,FALSE),0)</f>
        <v>#N/A</v>
      </c>
      <c r="AN355" s="988" t="e">
        <f>VLOOKUP(E355,TablasTec!$A$14:$V$771,18,FALSE)</f>
        <v>#N/A</v>
      </c>
      <c r="AO355" s="988" t="e">
        <f>IF(AG355=AN355,VLOOKUP(E355,TablasTec!$A$14:$V$771,19,FALSE),0)</f>
        <v>#N/A</v>
      </c>
      <c r="AP355" s="3182" t="str">
        <f>IF(E355=0,"",(AI355+AK355+AM355+AO355))</f>
        <v/>
      </c>
      <c r="AQ355" s="970"/>
      <c r="AR355" s="988" t="e">
        <f>VLOOKUP(E355,TablasTec!$A$14:$V$771,12,FALSE)</f>
        <v>#N/A</v>
      </c>
      <c r="AS355" s="988" t="e">
        <f>IF(AQ355=AR355,VLOOKUP(E355,TablasTec!$A$14:$V$771,13,FALSE),0)</f>
        <v>#N/A</v>
      </c>
      <c r="AT355" s="988" t="e">
        <f>VLOOKUP(E355,TablasTec!$A$14:$V$771,14,FALSE)</f>
        <v>#N/A</v>
      </c>
      <c r="AU355" s="988" t="e">
        <f>IF(AQ355=AT355,VLOOKUP(E355,TablasTec!$A$14:$V$771,15,FALSE),0)</f>
        <v>#N/A</v>
      </c>
      <c r="AV355" s="988" t="e">
        <f>VLOOKUP(E355,TablasTec!$A$14:$V$771,16,FALSE)</f>
        <v>#N/A</v>
      </c>
      <c r="AW355" s="988" t="e">
        <f>IF(AQ355=AV355,VLOOKUP(E355,TablasTec!$A$14:$V$771,17,FALSE),0)</f>
        <v>#N/A</v>
      </c>
      <c r="AX355" s="988" t="e">
        <f>VLOOKUP(E355,TablasTec!$A$14:$V$771,18,FALSE)</f>
        <v>#N/A</v>
      </c>
      <c r="AY355" s="988" t="e">
        <f>IF(AQ355=AX355,VLOOKUP(E355,TablasTec!$A$14:$V$771,19,FALSE),0)</f>
        <v>#N/A</v>
      </c>
      <c r="AZ355" s="989" t="str">
        <f>IF(E355=0,"",(AS355+AU355+AW355+AY355))</f>
        <v/>
      </c>
      <c r="BA355" s="970"/>
      <c r="BB355" s="988" t="e">
        <f>VLOOKUP(E355,TablasTec!$A$14:$V$771,12,FALSE)</f>
        <v>#N/A</v>
      </c>
      <c r="BC355" s="988" t="e">
        <f>IF(BA355=BB355,VLOOKUP(E355,TablasTec!$A$14:$V$771,13,FALSE),0)</f>
        <v>#N/A</v>
      </c>
      <c r="BD355" s="988" t="e">
        <f>VLOOKUP(E355,TablasTec!$A$14:$V$771,14,FALSE)</f>
        <v>#N/A</v>
      </c>
      <c r="BE355" s="988" t="e">
        <f>IF(BA355=BD355,VLOOKUP(E355,TablasTec!$A$14:$V$771,15,FALSE),0)</f>
        <v>#N/A</v>
      </c>
      <c r="BF355" s="988" t="e">
        <f>VLOOKUP(E355,TablasTec!$A$14:$V$771,16,FALSE)</f>
        <v>#N/A</v>
      </c>
      <c r="BG355" s="988" t="e">
        <f>IF(BA355=BF355,VLOOKUP(E355,TablasTec!$A$14:$V$771,17,FALSE),0)</f>
        <v>#N/A</v>
      </c>
      <c r="BH355" s="988" t="e">
        <f>VLOOKUP(E355,TablasTec!$A$14:$V$771,18,FALSE)</f>
        <v>#N/A</v>
      </c>
      <c r="BI355" s="988" t="e">
        <f>IF(BA355=BH355,VLOOKUP(E355,TablasTec!$A$14:$V$771,19,FALSE),0)</f>
        <v>#N/A</v>
      </c>
      <c r="BJ355" s="3182" t="str">
        <f>IF(E355=0,"",(BC355+BE355+BG355+BI355))</f>
        <v/>
      </c>
      <c r="BK355" s="1016" t="str">
        <f>IF(E355=0,"",VLOOKUP(E355,TablasTec!$A$14:$V$771,20,FALSE))</f>
        <v/>
      </c>
      <c r="BL355" s="1003" t="str">
        <f>IF(E355=0,"",VLOOKUP(E355,TablasTec!$A$14:$V$771,21,FALSE))</f>
        <v/>
      </c>
      <c r="BM355" s="974" t="str">
        <f>IF(E355=0,"",VLOOKUP(E355,TablasTec!$A$14:$V$771,22,FALSE))</f>
        <v/>
      </c>
      <c r="BN355" s="975"/>
      <c r="BO355" s="976"/>
      <c r="BP355" s="961" t="str">
        <f>IF(I355="Si",VLOOKUP($D$8,TablasTec!$E$4:$F$6,2,FALSE),"")</f>
        <v/>
      </c>
      <c r="BQ355" s="962" t="str">
        <f>IF(L355="Si",VLOOKUP($D$8,TablasTec!$I$4:$J$6,2,FALSE),"")</f>
        <v/>
      </c>
      <c r="BR355" s="960" t="str">
        <f>IF(O355="Si",VLOOKUP($D$8,TablasTec!$I$7:$J$9,2,FALSE),"")</f>
        <v/>
      </c>
      <c r="BS355" s="977"/>
      <c r="BT355" s="3171" t="s">
        <v>1682</v>
      </c>
      <c r="BU355" s="3172" t="s">
        <v>4548</v>
      </c>
      <c r="BV355" s="954"/>
      <c r="BW355" s="3172" t="s">
        <v>4549</v>
      </c>
      <c r="BX355" s="3171"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c r="A356" s="922"/>
      <c r="B356" s="922"/>
      <c r="C356" s="4909"/>
      <c r="D356" s="1435" t="s">
        <v>1766</v>
      </c>
      <c r="E356" s="978"/>
      <c r="F356" s="1008"/>
      <c r="G356" s="1420" t="str">
        <f>IF(E356=0,"",VLOOKUP(E356,TablasTec!$A$14:$V$771,3,FALSE))</f>
        <v/>
      </c>
      <c r="H356" s="981" t="str">
        <f>IF($E356=0,"",VLOOKUP($E356,TablasTec!$A$14:$V$771,4,FALSE))</f>
        <v/>
      </c>
      <c r="I356" s="982" t="s">
        <v>1690</v>
      </c>
      <c r="J356" s="1398" t="str">
        <f>IF(E356=0,"",VLOOKUP(E356,TablasTec!$A$14:$V$771,5,FALSE))</f>
        <v/>
      </c>
      <c r="K356" s="984" t="str">
        <f>IF(I356="Si",IF(E356=0,"",VLOOKUP(E356,TablasTec!$A$14:$V$771,5,FALSE)),"")</f>
        <v/>
      </c>
      <c r="L356" s="982" t="s">
        <v>1690</v>
      </c>
      <c r="M356" s="1398" t="str">
        <f>IF(E356=0,"",VLOOKUP(E356,TablasTec!$A$14:$V$771,6,FALSE))</f>
        <v/>
      </c>
      <c r="N356" s="985" t="str">
        <f>IF(L356="Si",IF(E356=0,"",VLOOKUP(E356,TablasTec!$A$14:$V$771,6,FALSE)),"")</f>
        <v/>
      </c>
      <c r="O356" s="982" t="s">
        <v>1690</v>
      </c>
      <c r="P356" s="1398" t="str">
        <f>IF(E356=0,"",VLOOKUP(E356,TablasTec!$A$14:$V$771,7,FALSE))</f>
        <v/>
      </c>
      <c r="Q356" s="985" t="str">
        <f>IF(O356="Si",IF(E356=0,"",VLOOKUP(E356,TablasTec!$A$14:$V$771,7,FALSE)),"")</f>
        <v/>
      </c>
      <c r="R356" s="983" t="str">
        <f>IF(E356=0,"",VLOOKUP(E356,TablasTec!$A$14:$V$771,8,FALSE))</f>
        <v/>
      </c>
      <c r="S356" s="981" t="str">
        <f>IF(R356=$D$8,$D$8,IF(R356=2,2,IF(R356=3,3,R356)))</f>
        <v/>
      </c>
      <c r="T356" s="4883" t="s">
        <v>4540</v>
      </c>
      <c r="U356" s="4884"/>
      <c r="V356" s="4884"/>
      <c r="W356" s="4884"/>
      <c r="X356" s="4884"/>
      <c r="Y356" s="4884"/>
      <c r="Z356" s="4884"/>
      <c r="AA356" s="4884"/>
      <c r="AB356" s="4884"/>
      <c r="AC356" s="4884"/>
      <c r="AD356" s="4884"/>
      <c r="AE356" s="4884"/>
      <c r="AF356" s="4884"/>
      <c r="AG356" s="4884"/>
      <c r="AH356" s="4884"/>
      <c r="AI356" s="4884"/>
      <c r="AJ356" s="4884"/>
      <c r="AK356" s="4884"/>
      <c r="AL356" s="4884"/>
      <c r="AM356" s="4884"/>
      <c r="AN356" s="4884"/>
      <c r="AO356" s="4884"/>
      <c r="AP356" s="4884"/>
      <c r="AQ356" s="4884"/>
      <c r="AR356" s="4884"/>
      <c r="AS356" s="4884"/>
      <c r="AT356" s="4884"/>
      <c r="AU356" s="4884"/>
      <c r="AV356" s="4884"/>
      <c r="AW356" s="4884"/>
      <c r="AX356" s="4884"/>
      <c r="AY356" s="4884"/>
      <c r="AZ356" s="4884"/>
      <c r="BA356" s="4884"/>
      <c r="BB356" s="4884"/>
      <c r="BC356" s="4884"/>
      <c r="BD356" s="4884"/>
      <c r="BE356" s="4884"/>
      <c r="BF356" s="4884"/>
      <c r="BG356" s="4884"/>
      <c r="BH356" s="4884"/>
      <c r="BI356" s="4884"/>
      <c r="BJ356" s="4884"/>
      <c r="BK356" s="4885"/>
      <c r="BL356" s="1420"/>
      <c r="BM356" s="1421"/>
      <c r="BN356" s="975"/>
      <c r="BO356" s="976"/>
      <c r="BP356" s="961" t="str">
        <f>IF(I356="Si",VLOOKUP($D$8,TablasTec!$E$4:$F$6,2,FALSE),"")</f>
        <v/>
      </c>
      <c r="BQ356" s="962" t="str">
        <f>IF(L356="Si",VLOOKUP($D$8,TablasTec!$I$4:$J$6,2,FALSE),"")</f>
        <v/>
      </c>
      <c r="BR356" s="960" t="str">
        <f>IF(O356="Si",VLOOKUP($D$8,TablasTec!$I$7:$J$9,2,FALSE),"")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c r="A357" s="922"/>
      <c r="B357" s="922"/>
      <c r="C357" s="4909"/>
      <c r="D357" s="1436" t="s">
        <v>1766</v>
      </c>
      <c r="E357" s="986"/>
      <c r="F357" s="1002"/>
      <c r="G357" s="972" t="str">
        <f>IF(E357=0,"",VLOOKUP(E357,TablasTec!$A$14:$V$771,3,FALSE))</f>
        <v/>
      </c>
      <c r="H357" s="3181" t="str">
        <f>IF($E357=0,"",VLOOKUP($E357,TablasTec!$A$14:$V$771,4,FALSE))</f>
        <v/>
      </c>
      <c r="I357" s="970" t="s">
        <v>1690</v>
      </c>
      <c r="J357" s="1394" t="str">
        <f>IF(E357=0,"",VLOOKUP(E357,TablasTec!$A$14:$V$771,5,FALSE))</f>
        <v/>
      </c>
      <c r="K357" s="989" t="str">
        <f>IF(I357="Si",IF(E357=0,"",VLOOKUP(E357,TablasTec!$A$14:$V$771,5,FALSE)),"")</f>
        <v/>
      </c>
      <c r="L357" s="970" t="s">
        <v>1690</v>
      </c>
      <c r="M357" s="1394" t="str">
        <f>IF(E357=0,"",VLOOKUP(E357,TablasTec!$A$14:$V$771,6,FALSE))</f>
        <v/>
      </c>
      <c r="N357" s="973" t="str">
        <f>IF(L357="Si",IF(E357=0,"",VLOOKUP(E357,TablasTec!$A$14:$V$771,6,FALSE)),"")</f>
        <v/>
      </c>
      <c r="O357" s="970" t="s">
        <v>1690</v>
      </c>
      <c r="P357" s="1394" t="str">
        <f>IF(E357=0,"",VLOOKUP(E357,TablasTec!$A$14:$V$771,7,FALSE))</f>
        <v/>
      </c>
      <c r="Q357" s="973" t="str">
        <f>IF(O357="Si",IF(E357=0,"",VLOOKUP(E357,TablasTec!$A$14:$V$771,7,FALSE)),"")</f>
        <v/>
      </c>
      <c r="R357" s="988" t="str">
        <f>IF(E357=0,"",VLOOKUP(E357,TablasTec!$A$14:$V$771,8,FALSE))</f>
        <v/>
      </c>
      <c r="S357" s="3181" t="str">
        <f>IF(R357=$D$8,$D$8,IF(R357=2,2,IF(R357=3,3,R357)))</f>
        <v/>
      </c>
      <c r="T357" s="4896"/>
      <c r="U357" s="4897"/>
      <c r="V357" s="3179" t="str">
        <f>IF(OR(V355=0,V355=""),"N/A",V355)</f>
        <v>N/A</v>
      </c>
      <c r="W357" s="4896" t="str">
        <f xml:space="preserve"> IF(OR(AF355=0,AF355=""),"N/A",W355)</f>
        <v>N/A</v>
      </c>
      <c r="X357" s="4898"/>
      <c r="Y357" s="4898"/>
      <c r="Z357" s="4898"/>
      <c r="AA357" s="4898"/>
      <c r="AB357" s="4898"/>
      <c r="AC357" s="4898"/>
      <c r="AD357" s="4898"/>
      <c r="AE357" s="4898"/>
      <c r="AF357" s="4897"/>
      <c r="AG357" s="4896" t="str">
        <f xml:space="preserve"> IF(OR(AP355="",AP355=0),"N/A",AG355)</f>
        <v>N/A</v>
      </c>
      <c r="AH357" s="4898"/>
      <c r="AI357" s="4898"/>
      <c r="AJ357" s="4898"/>
      <c r="AK357" s="4898"/>
      <c r="AL357" s="4898"/>
      <c r="AM357" s="4898"/>
      <c r="AN357" s="4898"/>
      <c r="AO357" s="4898"/>
      <c r="AP357" s="4897"/>
      <c r="AQ357" s="4896" t="str">
        <f xml:space="preserve"> IF(OR(AZ355="",AZ355=0),"N/A",AQ355)</f>
        <v>N/A</v>
      </c>
      <c r="AR357" s="4898"/>
      <c r="AS357" s="4898"/>
      <c r="AT357" s="4898"/>
      <c r="AU357" s="4898"/>
      <c r="AV357" s="4898"/>
      <c r="AW357" s="4898"/>
      <c r="AX357" s="4898"/>
      <c r="AY357" s="4898"/>
      <c r="AZ357" s="4897"/>
      <c r="BA357" s="4896" t="str">
        <f xml:space="preserve"> IF(OR(BJ355="",BJ355=0),"N/A",BA355)</f>
        <v>N/A</v>
      </c>
      <c r="BB357" s="4898"/>
      <c r="BC357" s="4898"/>
      <c r="BD357" s="4898"/>
      <c r="BE357" s="4898"/>
      <c r="BF357" s="4898"/>
      <c r="BG357" s="4898"/>
      <c r="BH357" s="4898"/>
      <c r="BI357" s="4898"/>
      <c r="BJ357" s="4897"/>
      <c r="BK357" s="990" t="s">
        <v>4541</v>
      </c>
      <c r="BL357" s="972"/>
      <c r="BM357" s="1007"/>
      <c r="BN357" s="991"/>
      <c r="BO357" s="992"/>
      <c r="BP357" s="993" t="str">
        <f>IF(I357="Si",VLOOKUP($D$8,TablasTec!$E$4:$F$6,2,FALSE),"")</f>
        <v/>
      </c>
      <c r="BQ357" s="963" t="str">
        <f>IF(L357="Si",VLOOKUP($D$8,TablasTec!$I$4:$J$6,2,FALSE),"")</f>
        <v/>
      </c>
      <c r="BR357" s="994" t="str">
        <f>IF(O357="Si",VLOOKUP($D$8,TablasTec!$I$7:$J$9,2,FALSE),"")</f>
        <v/>
      </c>
      <c r="BS357" s="977"/>
      <c r="BT357" s="3171" t="s">
        <v>1809</v>
      </c>
      <c r="BU357" s="3172" t="s">
        <v>4548</v>
      </c>
      <c r="BV357" s="954"/>
      <c r="BW357" s="3172" t="s">
        <v>4549</v>
      </c>
      <c r="BX357" s="3171"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c r="A358" s="922"/>
      <c r="B358" s="922"/>
      <c r="C358" s="4909"/>
      <c r="D358" s="1435" t="s">
        <v>1766</v>
      </c>
      <c r="E358" s="978"/>
      <c r="F358" s="1008"/>
      <c r="G358" s="1420" t="str">
        <f>IF(E358=0,"",VLOOKUP(E358,TablasTec!$A$14:$V$771,3,FALSE))</f>
        <v/>
      </c>
      <c r="H358" s="981" t="str">
        <f>IF($E358=0,"",VLOOKUP($E358,TablasTec!$A$14:$V$771,4,FALSE))</f>
        <v/>
      </c>
      <c r="I358" s="982" t="s">
        <v>1690</v>
      </c>
      <c r="J358" s="1398" t="str">
        <f>IF(E358=0,"",VLOOKUP(E358,TablasTec!$A$14:$V$771,5,FALSE))</f>
        <v/>
      </c>
      <c r="K358" s="984" t="str">
        <f>IF(I358="Si",IF(E358=0,"",VLOOKUP(E358,TablasTec!$A$14:$V$771,5,FALSE)),"")</f>
        <v/>
      </c>
      <c r="L358" s="982" t="s">
        <v>1690</v>
      </c>
      <c r="M358" s="1398" t="str">
        <f>IF(E358=0,"",VLOOKUP(E358,TablasTec!$A$14:$V$771,6,FALSE))</f>
        <v/>
      </c>
      <c r="N358" s="985" t="str">
        <f>IF(L358="Si",IF(E358=0,"",VLOOKUP(E358,TablasTec!$A$14:$V$771,6,FALSE)),"")</f>
        <v/>
      </c>
      <c r="O358" s="982" t="s">
        <v>1690</v>
      </c>
      <c r="P358" s="1398" t="str">
        <f>IF(E358=0,"",VLOOKUP(E358,TablasTec!$A$14:$V$771,7,FALSE))</f>
        <v/>
      </c>
      <c r="Q358" s="985" t="str">
        <f>IF(O358="Si",IF(E358=0,"",VLOOKUP(E358,TablasTec!$A$14:$V$771,7,FALSE)),"")</f>
        <v/>
      </c>
      <c r="R358" s="983" t="str">
        <f>IF(E358=0,"",VLOOKUP(E358,TablasTec!$A$14:$V$771,8,FALSE))</f>
        <v/>
      </c>
      <c r="S358" s="981" t="str">
        <f>IF(R358=$D$8,$D$8,IF(R358=2,2,IF(R358=3,3,R358)))</f>
        <v/>
      </c>
      <c r="T358" s="4899" t="s">
        <v>4542</v>
      </c>
      <c r="U358" s="4900"/>
      <c r="V358" s="3180"/>
      <c r="W358" s="4901"/>
      <c r="X358" s="4902"/>
      <c r="Y358" s="4902"/>
      <c r="Z358" s="4902"/>
      <c r="AA358" s="4902"/>
      <c r="AB358" s="4902"/>
      <c r="AC358" s="4902"/>
      <c r="AD358" s="4902"/>
      <c r="AE358" s="4902"/>
      <c r="AF358" s="4903"/>
      <c r="AG358" s="4901"/>
      <c r="AH358" s="4902"/>
      <c r="AI358" s="4902"/>
      <c r="AJ358" s="4902"/>
      <c r="AK358" s="4902"/>
      <c r="AL358" s="4902"/>
      <c r="AM358" s="4902"/>
      <c r="AN358" s="4902"/>
      <c r="AO358" s="4902"/>
      <c r="AP358" s="4903"/>
      <c r="AQ358" s="4901"/>
      <c r="AR358" s="4902"/>
      <c r="AS358" s="4902"/>
      <c r="AT358" s="4902"/>
      <c r="AU358" s="4902"/>
      <c r="AV358" s="4902"/>
      <c r="AW358" s="4902"/>
      <c r="AX358" s="4902"/>
      <c r="AY358" s="4902"/>
      <c r="AZ358" s="4903"/>
      <c r="BA358" s="4901"/>
      <c r="BB358" s="4902"/>
      <c r="BC358" s="4902"/>
      <c r="BD358" s="4902"/>
      <c r="BE358" s="4902"/>
      <c r="BF358" s="4902"/>
      <c r="BG358" s="4902"/>
      <c r="BH358" s="4902"/>
      <c r="BI358" s="4902"/>
      <c r="BJ358" s="4903"/>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IF(I358="Si",VLOOKUP($D$8,TablasTec!$E$4:$F$6,2,FALSE),"")</f>
        <v/>
      </c>
      <c r="BQ358" s="962" t="str">
        <f>IF(L358="Si",VLOOKUP($D$8,TablasTec!$I$4:$J$6,2,FALSE),"")</f>
        <v/>
      </c>
      <c r="BR358" s="960" t="str">
        <f>IF(O358="Si",VLOOKUP($D$8,TablasTec!$I$7:$J$9,2,FALSE),"")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c r="A359" s="922"/>
      <c r="B359" s="922"/>
      <c r="C359" s="4909"/>
      <c r="D359" s="1436" t="s">
        <v>1766</v>
      </c>
      <c r="E359" s="986"/>
      <c r="F359" s="1002"/>
      <c r="G359" s="972" t="str">
        <f>IF(E359=0,"",VLOOKUP(E359,TablasTec!$A$14:$V$771,3,FALSE))</f>
        <v/>
      </c>
      <c r="H359" s="997" t="str">
        <f>IF($E359=0,"",VLOOKUP($E359,TablasTec!$A$14:$V$771,4,FALSE))</f>
        <v/>
      </c>
      <c r="I359" s="970" t="s">
        <v>1690</v>
      </c>
      <c r="J359" s="1401" t="str">
        <f>IF(E359=0,"",VLOOKUP(E359,TablasTec!$A$14:$V$771,5,FALSE))</f>
        <v/>
      </c>
      <c r="K359" s="998" t="str">
        <f>IF(I359="Si",IF(E359=0,"",VLOOKUP(E359,TablasTec!$A$14:$V$771,5,FALSE)),"")</f>
        <v/>
      </c>
      <c r="L359" s="970" t="s">
        <v>1690</v>
      </c>
      <c r="M359" s="1401" t="str">
        <f>IF(E359=0,"",VLOOKUP(E359,TablasTec!$A$14:$V$771,6,FALSE))</f>
        <v/>
      </c>
      <c r="N359" s="973" t="str">
        <f>IF(L359="Si",IF(E359=0,"",VLOOKUP(E359,TablasTec!$A$14:$V$771,6,FALSE)),"")</f>
        <v/>
      </c>
      <c r="O359" s="970" t="s">
        <v>1690</v>
      </c>
      <c r="P359" s="1401" t="str">
        <f>IF(E359=0,"",VLOOKUP(E359,TablasTec!$A$14:$V$771,7,FALSE))</f>
        <v/>
      </c>
      <c r="Q359" s="973" t="str">
        <f>IF(O359="Si",IF(E359=0,"",VLOOKUP(E359,TablasTec!$A$14:$V$771,7,FALSE)),"")</f>
        <v/>
      </c>
      <c r="R359" s="1018" t="str">
        <f>IF(E359=0,"",VLOOKUP(E359,TablasTec!$A$14:$V$771,8,FALSE))</f>
        <v/>
      </c>
      <c r="S359" s="987" t="str">
        <f>IF(R359=$D$8,$D$8,IF(R359=2,2,IF(R359=3,3,R359)))</f>
        <v/>
      </c>
      <c r="T359" s="4890" t="s">
        <v>4544</v>
      </c>
      <c r="U359" s="4891"/>
      <c r="V359" s="3178"/>
      <c r="W359" s="4892"/>
      <c r="X359" s="4893"/>
      <c r="Y359" s="4893"/>
      <c r="Z359" s="4893"/>
      <c r="AA359" s="4893"/>
      <c r="AB359" s="4893"/>
      <c r="AC359" s="4893"/>
      <c r="AD359" s="4893"/>
      <c r="AE359" s="4893"/>
      <c r="AF359" s="4894"/>
      <c r="AG359" s="4892"/>
      <c r="AH359" s="4893"/>
      <c r="AI359" s="4893"/>
      <c r="AJ359" s="4893"/>
      <c r="AK359" s="4893"/>
      <c r="AL359" s="4893"/>
      <c r="AM359" s="4893"/>
      <c r="AN359" s="4893"/>
      <c r="AO359" s="4893"/>
      <c r="AP359" s="4894"/>
      <c r="AQ359" s="4892"/>
      <c r="AR359" s="4893"/>
      <c r="AS359" s="4893"/>
      <c r="AT359" s="4893"/>
      <c r="AU359" s="4893"/>
      <c r="AV359" s="4893"/>
      <c r="AW359" s="4893"/>
      <c r="AX359" s="4893"/>
      <c r="AY359" s="4893"/>
      <c r="AZ359" s="4894"/>
      <c r="BA359" s="4892"/>
      <c r="BB359" s="4893"/>
      <c r="BC359" s="4893"/>
      <c r="BD359" s="4893"/>
      <c r="BE359" s="4893"/>
      <c r="BF359" s="4893"/>
      <c r="BG359" s="4893"/>
      <c r="BH359" s="4893"/>
      <c r="BI359" s="4893"/>
      <c r="BJ359" s="4894"/>
      <c r="BK359" s="997">
        <f>SUM(K355:K359)-SUM(V359:BA359)</f>
        <v>0</v>
      </c>
      <c r="BL359" s="1422"/>
      <c r="BM359" s="1423"/>
      <c r="BN359" s="991"/>
      <c r="BO359" s="992"/>
      <c r="BP359" s="993" t="str">
        <f>IF(I359="Si",VLOOKUP($D$8,TablasTec!$E$4:$F$6,2,FALSE),"")</f>
        <v/>
      </c>
      <c r="BQ359" s="963" t="str">
        <f>IF(L359="Si",VLOOKUP($D$8,TablasTec!$I$4:$J$6,2,FALSE),"")</f>
        <v/>
      </c>
      <c r="BR359" s="994" t="str">
        <f>IF(O359="Si",VLOOKUP($D$8,TablasTec!$I$7:$J$9,2,FALSE),"")</f>
        <v/>
      </c>
      <c r="BS359" s="977"/>
      <c r="BT359" s="3171" t="s">
        <v>1687</v>
      </c>
      <c r="BU359" s="3172" t="s">
        <v>4548</v>
      </c>
      <c r="BV359" s="954"/>
      <c r="BW359" s="3172" t="s">
        <v>4549</v>
      </c>
      <c r="BX359" s="3171"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09"/>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IF(I360="Si",VLOOKUP($D$8,TablasTec!$E$4:$F$6,2,FALSE),"")</f>
        <v/>
      </c>
      <c r="BQ360" s="1013" t="str">
        <f>IF(L360="Si",VLOOKUP($D$8,TablasTec!$I$4:$J$6,2,FALSE),"")</f>
        <v/>
      </c>
      <c r="BR360" s="1011" t="str">
        <f>IF(O360="Si",VLOOKUP($D$8,TablasTec!$I$7:$J$9,2,FALSE),"")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09"/>
      <c r="D361" s="1436" t="s">
        <v>1766</v>
      </c>
      <c r="E361" s="966"/>
      <c r="F361" s="1002"/>
      <c r="G361" s="972" t="str">
        <f>IF(E361=0,"",VLOOKUP(E361,TablasTec!$A$14:$V$771,3,FALSE))</f>
        <v/>
      </c>
      <c r="H361" s="1014" t="str">
        <f>IF($E361=0,"",VLOOKUP($E361,TablasTec!$A$14:$V$771,4,FALSE))</f>
        <v/>
      </c>
      <c r="I361" s="970" t="s">
        <v>1690</v>
      </c>
      <c r="J361" s="1400" t="str">
        <f>IF(E361=0,"",VLOOKUP(E361,TablasTec!$A$14:$V$771,5,FALSE))</f>
        <v/>
      </c>
      <c r="K361" s="1016" t="str">
        <f>IF(I361="Si",IF(E361=0,"",VLOOKUP(E361,TablasTec!$A$14:$V$771,5,FALSE)),"")</f>
        <v/>
      </c>
      <c r="L361" s="970" t="s">
        <v>1690</v>
      </c>
      <c r="M361" s="1400" t="str">
        <f>IF(E361=0,"",VLOOKUP(E361,TablasTec!$A$14:$V$771,6,FALSE))</f>
        <v/>
      </c>
      <c r="N361" s="973" t="str">
        <f>IF(L361="Si",IF(E361=0,"",VLOOKUP(E361,TablasTec!$A$14:$V$771,6,FALSE)),"")</f>
        <v/>
      </c>
      <c r="O361" s="970" t="s">
        <v>1690</v>
      </c>
      <c r="P361" s="1400" t="str">
        <f>IF(E361=0,"",VLOOKUP(E361,TablasTec!$A$14:$V$771,7,FALSE))</f>
        <v/>
      </c>
      <c r="Q361" s="973" t="str">
        <f>IF(O361="Si",IF(E361=0,"",VLOOKUP(E361,TablasTec!$A$14:$V$771,7,FALSE)),"")</f>
        <v/>
      </c>
      <c r="R361" s="1015" t="str">
        <f>IF(E361=0,"",VLOOKUP(E361,TablasTec!$A$14:$V$771,8,FALSE))</f>
        <v/>
      </c>
      <c r="S361" s="987" t="str">
        <f>IF(R361=$D$8,$D$8,IF(R361=2,2,IF(R361=3,3,R361)))</f>
        <v/>
      </c>
      <c r="T361" s="1016" t="str">
        <f>IF(E361=0,"",VLOOKUP(E361,TablasTec!$A$14:$V$771,9,FALSE))</f>
        <v/>
      </c>
      <c r="U361" s="1016" t="str">
        <f>IF(E361=0,"",VLOOKUP(E361,TablasTec!$A$14:$V$771,10,FALSE))</f>
        <v/>
      </c>
      <c r="V361" s="1017" t="str">
        <f>IF(E361=0,"",VLOOKUP(E361,TablasTec!$A$14:$V$771,11,FALSE))</f>
        <v/>
      </c>
      <c r="W361" s="970"/>
      <c r="X361" s="971" t="e">
        <f>VLOOKUP(E361,TablasTec!$A$14:$V$771,12,FALSE)</f>
        <v>#N/A</v>
      </c>
      <c r="Y361" s="971" t="e">
        <f>IF(W361=X361,VLOOKUP(E361,TablasTec!$A$14:$V$771,13,FALSE),0)</f>
        <v>#N/A</v>
      </c>
      <c r="Z361" s="971" t="e">
        <f>VLOOKUP(E361,TablasTec!$A$14:$V$771,14,FALSE)</f>
        <v>#N/A</v>
      </c>
      <c r="AA361" s="971" t="e">
        <f>IF(W361=Z361,VLOOKUP(E361,TablasTec!$A$14:$V$616,15,FALSE),0)</f>
        <v>#N/A</v>
      </c>
      <c r="AB361" s="971" t="e">
        <f>VLOOKUP(E361,TablasTec!$A$14:$V$771,16,FALSE)</f>
        <v>#N/A</v>
      </c>
      <c r="AC361" s="971" t="e">
        <f>IF(W361=AB361,VLOOKUP(E361,TablasTec!$A$14:$V$616,17,FALSE),0)</f>
        <v>#N/A</v>
      </c>
      <c r="AD361" s="971" t="e">
        <f>VLOOKUP(E361,TablasTec!$A$14:$V$771,18,FALSE)</f>
        <v>#N/A</v>
      </c>
      <c r="AE361" s="971" t="e">
        <f>IF(W361=AD361,VLOOKUP(E361,TablasTec!$A$14:$V$771,19,FALSE),0)</f>
        <v>#N/A</v>
      </c>
      <c r="AF361" s="989" t="str">
        <f>IF(E361=0,"",(Y361+AA361+AC361+AE361))</f>
        <v/>
      </c>
      <c r="AG361" s="970"/>
      <c r="AH361" s="988" t="e">
        <f>VLOOKUP(E361,TablasTec!$A$14:$V$771,12,FALSE)</f>
        <v>#N/A</v>
      </c>
      <c r="AI361" s="988" t="e">
        <f>IF(AG361=AH361,VLOOKUP(E361,TablasTec!$A$14:$V$771,13,FALSE),0)</f>
        <v>#N/A</v>
      </c>
      <c r="AJ361" s="988" t="e">
        <f>VLOOKUP(E361,TablasTec!$A$14:$V$771,14,FALSE)</f>
        <v>#N/A</v>
      </c>
      <c r="AK361" s="988" t="e">
        <f>IF(AG361=AJ361,VLOOKUP(E361,TablasTec!$A$14:$V$771,15,FALSE),0)</f>
        <v>#N/A</v>
      </c>
      <c r="AL361" s="988" t="e">
        <f>VLOOKUP(E361,TablasTec!$A$14:$V$771,16,FALSE)</f>
        <v>#N/A</v>
      </c>
      <c r="AM361" s="988" t="e">
        <f>IF(AG361=AL361,VLOOKUP(E361,TablasTec!$A$14:$V$771,17,FALSE),0)</f>
        <v>#N/A</v>
      </c>
      <c r="AN361" s="988" t="e">
        <f>VLOOKUP(E361,TablasTec!$A$14:$V$771,18,FALSE)</f>
        <v>#N/A</v>
      </c>
      <c r="AO361" s="988" t="e">
        <f>IF(AG361=AN361,VLOOKUP(E361,TablasTec!$A$14:$V$771,19,FALSE),0)</f>
        <v>#N/A</v>
      </c>
      <c r="AP361" s="3182" t="str">
        <f>IF(E361=0,"",(AI361+AK361+AM361+AO361))</f>
        <v/>
      </c>
      <c r="AQ361" s="970"/>
      <c r="AR361" s="988" t="e">
        <f>VLOOKUP(E361,TablasTec!$A$14:$V$771,12,FALSE)</f>
        <v>#N/A</v>
      </c>
      <c r="AS361" s="988" t="e">
        <f>IF(AQ361=AR361,VLOOKUP(E361,TablasTec!$A$14:$V$771,13,FALSE),0)</f>
        <v>#N/A</v>
      </c>
      <c r="AT361" s="988" t="e">
        <f>VLOOKUP(E361,TablasTec!$A$14:$V$771,14,FALSE)</f>
        <v>#N/A</v>
      </c>
      <c r="AU361" s="988" t="e">
        <f>IF(AQ361=AT361,VLOOKUP(E361,TablasTec!$A$14:$V$771,15,FALSE),0)</f>
        <v>#N/A</v>
      </c>
      <c r="AV361" s="988" t="e">
        <f>VLOOKUP(E361,TablasTec!$A$14:$V$771,16,FALSE)</f>
        <v>#N/A</v>
      </c>
      <c r="AW361" s="988" t="e">
        <f>IF(AQ361=AV361,VLOOKUP(E361,TablasTec!$A$14:$V$771,17,FALSE),0)</f>
        <v>#N/A</v>
      </c>
      <c r="AX361" s="988" t="e">
        <f>VLOOKUP(E361,TablasTec!$A$14:$V$771,18,FALSE)</f>
        <v>#N/A</v>
      </c>
      <c r="AY361" s="988" t="e">
        <f>IF(AQ361=AX361,VLOOKUP(E361,TablasTec!$A$14:$V$771,19,FALSE),0)</f>
        <v>#N/A</v>
      </c>
      <c r="AZ361" s="989" t="str">
        <f>IF(E361=0,"",(AS361+AU361+AW361+AY361))</f>
        <v/>
      </c>
      <c r="BA361" s="970"/>
      <c r="BB361" s="988" t="e">
        <f>VLOOKUP(E361,TablasTec!$A$14:$V$771,12,FALSE)</f>
        <v>#N/A</v>
      </c>
      <c r="BC361" s="988" t="e">
        <f>IF(BA361=BB361,VLOOKUP(E361,TablasTec!$A$14:$V$771,13,FALSE),0)</f>
        <v>#N/A</v>
      </c>
      <c r="BD361" s="988" t="e">
        <f>VLOOKUP(E361,TablasTec!$A$14:$V$771,14,FALSE)</f>
        <v>#N/A</v>
      </c>
      <c r="BE361" s="988" t="e">
        <f>IF(BA361=BD361,VLOOKUP(E361,TablasTec!$A$14:$V$771,15,FALSE),0)</f>
        <v>#N/A</v>
      </c>
      <c r="BF361" s="988" t="e">
        <f>VLOOKUP(E361,TablasTec!$A$14:$V$771,16,FALSE)</f>
        <v>#N/A</v>
      </c>
      <c r="BG361" s="988" t="e">
        <f>IF(BA361=BF361,VLOOKUP(E361,TablasTec!$A$14:$V$771,17,FALSE),0)</f>
        <v>#N/A</v>
      </c>
      <c r="BH361" s="988" t="e">
        <f>VLOOKUP(E361,TablasTec!$A$14:$V$771,18,FALSE)</f>
        <v>#N/A</v>
      </c>
      <c r="BI361" s="988" t="e">
        <f>IF(BA361=BH361,VLOOKUP(E361,TablasTec!$A$14:$V$771,19,FALSE),0)</f>
        <v>#N/A</v>
      </c>
      <c r="BJ361" s="3182" t="str">
        <f>IF(E361=0,"",(BC361+BE361+BG361+BI361))</f>
        <v/>
      </c>
      <c r="BK361" s="1016" t="str">
        <f>IF(E361=0,"",VLOOKUP(E361,TablasTec!$A$14:$V$771,20,FALSE))</f>
        <v/>
      </c>
      <c r="BL361" s="1003" t="str">
        <f>IF(E361=0,"",VLOOKUP(E361,TablasTec!$A$14:$V$771,21,FALSE))</f>
        <v/>
      </c>
      <c r="BM361" s="974" t="str">
        <f>IF(E361=0,"",VLOOKUP(E361,TablasTec!$A$14:$V$771,22,FALSE))</f>
        <v/>
      </c>
      <c r="BN361" s="975"/>
      <c r="BO361" s="976"/>
      <c r="BP361" s="961" t="str">
        <f>IF(I361="Si",VLOOKUP($D$8,TablasTec!$E$4:$F$6,2,FALSE),"")</f>
        <v/>
      </c>
      <c r="BQ361" s="962" t="str">
        <f>IF(L361="Si",VLOOKUP($D$8,TablasTec!$I$4:$J$6,2,FALSE),"")</f>
        <v/>
      </c>
      <c r="BR361" s="960" t="str">
        <f>IF(O361="Si",VLOOKUP($D$8,TablasTec!$I$7:$J$9,2,FALSE),"")</f>
        <v/>
      </c>
      <c r="BS361" s="977"/>
      <c r="BT361" s="3171" t="s">
        <v>1692</v>
      </c>
      <c r="BU361" s="3172" t="s">
        <v>4548</v>
      </c>
      <c r="BV361" s="954"/>
      <c r="BW361" s="3172" t="s">
        <v>4549</v>
      </c>
      <c r="BX361" s="3171"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c r="A362" s="922"/>
      <c r="B362" s="922"/>
      <c r="C362" s="4909"/>
      <c r="D362" s="1435" t="s">
        <v>1766</v>
      </c>
      <c r="E362" s="978"/>
      <c r="F362" s="1008"/>
      <c r="G362" s="1420" t="str">
        <f>IF(E362=0,"",VLOOKUP(E362,TablasTec!$A$14:$V$771,3,FALSE))</f>
        <v/>
      </c>
      <c r="H362" s="981" t="str">
        <f>IF($E362=0,"",VLOOKUP($E362,TablasTec!$A$14:$V$771,4,FALSE))</f>
        <v/>
      </c>
      <c r="I362" s="982" t="s">
        <v>1690</v>
      </c>
      <c r="J362" s="1398" t="str">
        <f>IF(E362=0,"",VLOOKUP(E362,TablasTec!$A$14:$V$771,5,FALSE))</f>
        <v/>
      </c>
      <c r="K362" s="984" t="str">
        <f>IF(I362="Si",IF(E362=0,"",VLOOKUP(E362,TablasTec!$A$14:$V$771,5,FALSE)),"")</f>
        <v/>
      </c>
      <c r="L362" s="982" t="s">
        <v>1690</v>
      </c>
      <c r="M362" s="1398" t="str">
        <f>IF(E362=0,"",VLOOKUP(E362,TablasTec!$A$14:$V$771,6,FALSE))</f>
        <v/>
      </c>
      <c r="N362" s="985" t="str">
        <f>IF(L362="Si",IF(E362=0,"",VLOOKUP(E362,TablasTec!$A$14:$V$771,6,FALSE)),"")</f>
        <v/>
      </c>
      <c r="O362" s="982" t="s">
        <v>1690</v>
      </c>
      <c r="P362" s="1398" t="str">
        <f>IF(E362=0,"",VLOOKUP(E362,TablasTec!$A$14:$V$771,7,FALSE))</f>
        <v/>
      </c>
      <c r="Q362" s="985" t="str">
        <f>IF(O362="Si",IF(E362=0,"",VLOOKUP(E362,TablasTec!$A$14:$V$771,7,FALSE)),"")</f>
        <v/>
      </c>
      <c r="R362" s="983" t="str">
        <f>IF(E362=0,"",VLOOKUP(E362,TablasTec!$A$14:$V$771,8,FALSE))</f>
        <v/>
      </c>
      <c r="S362" s="981" t="str">
        <f>IF(R362=$D$8,$D$8,IF(R362=2,2,IF(R362=3,3,R362)))</f>
        <v/>
      </c>
      <c r="T362" s="4883" t="s">
        <v>4540</v>
      </c>
      <c r="U362" s="4884"/>
      <c r="V362" s="4884"/>
      <c r="W362" s="4884"/>
      <c r="X362" s="4884"/>
      <c r="Y362" s="4884"/>
      <c r="Z362" s="4884"/>
      <c r="AA362" s="4884"/>
      <c r="AB362" s="4884"/>
      <c r="AC362" s="4884"/>
      <c r="AD362" s="4884"/>
      <c r="AE362" s="4884"/>
      <c r="AF362" s="4884"/>
      <c r="AG362" s="4884"/>
      <c r="AH362" s="4884"/>
      <c r="AI362" s="4884"/>
      <c r="AJ362" s="4884"/>
      <c r="AK362" s="4884"/>
      <c r="AL362" s="4884"/>
      <c r="AM362" s="4884"/>
      <c r="AN362" s="4884"/>
      <c r="AO362" s="4884"/>
      <c r="AP362" s="4884"/>
      <c r="AQ362" s="4884"/>
      <c r="AR362" s="4884"/>
      <c r="AS362" s="4884"/>
      <c r="AT362" s="4884"/>
      <c r="AU362" s="4884"/>
      <c r="AV362" s="4884"/>
      <c r="AW362" s="4884"/>
      <c r="AX362" s="4884"/>
      <c r="AY362" s="4884"/>
      <c r="AZ362" s="4884"/>
      <c r="BA362" s="4884"/>
      <c r="BB362" s="4884"/>
      <c r="BC362" s="4884"/>
      <c r="BD362" s="4884"/>
      <c r="BE362" s="4884"/>
      <c r="BF362" s="4884"/>
      <c r="BG362" s="4884"/>
      <c r="BH362" s="4884"/>
      <c r="BI362" s="4884"/>
      <c r="BJ362" s="4884"/>
      <c r="BK362" s="4885"/>
      <c r="BL362" s="1420"/>
      <c r="BM362" s="1421"/>
      <c r="BN362" s="975"/>
      <c r="BO362" s="976"/>
      <c r="BP362" s="961" t="str">
        <f>IF(I362="Si",VLOOKUP($D$8,TablasTec!$E$4:$F$6,2,FALSE),"")</f>
        <v/>
      </c>
      <c r="BQ362" s="962" t="str">
        <f>IF(L362="Si",VLOOKUP($D$8,TablasTec!$I$4:$J$6,2,FALSE),"")</f>
        <v/>
      </c>
      <c r="BR362" s="960" t="str">
        <f>IF(O362="Si",VLOOKUP($D$8,TablasTec!$I$7:$J$9,2,FALSE),"")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c r="A363" s="922"/>
      <c r="B363" s="922"/>
      <c r="C363" s="4909"/>
      <c r="D363" s="1436" t="s">
        <v>1766</v>
      </c>
      <c r="E363" s="986"/>
      <c r="F363" s="1002"/>
      <c r="G363" s="972" t="str">
        <f>IF(E363=0,"",VLOOKUP(E363,TablasTec!$A$14:$V$771,3,FALSE))</f>
        <v/>
      </c>
      <c r="H363" s="3181" t="str">
        <f>IF($E363=0,"",VLOOKUP($E363,TablasTec!$A$14:$V$771,4,FALSE))</f>
        <v/>
      </c>
      <c r="I363" s="970" t="s">
        <v>1690</v>
      </c>
      <c r="J363" s="1394" t="str">
        <f>IF(E363=0,"",VLOOKUP(E363,TablasTec!$A$14:$V$771,5,FALSE))</f>
        <v/>
      </c>
      <c r="K363" s="989" t="str">
        <f>IF(I363="Si",IF(E363=0,"",VLOOKUP(E363,TablasTec!$A$14:$V$771,5,FALSE)),"")</f>
        <v/>
      </c>
      <c r="L363" s="970" t="s">
        <v>1690</v>
      </c>
      <c r="M363" s="1394" t="str">
        <f>IF(E363=0,"",VLOOKUP(E363,TablasTec!$A$14:$V$771,6,FALSE))</f>
        <v/>
      </c>
      <c r="N363" s="973" t="str">
        <f>IF(L363="Si",IF(E363=0,"",VLOOKUP(E363,TablasTec!$A$14:$V$771,6,FALSE)),"")</f>
        <v/>
      </c>
      <c r="O363" s="970" t="s">
        <v>1690</v>
      </c>
      <c r="P363" s="1394" t="str">
        <f>IF(E363=0,"",VLOOKUP(E363,TablasTec!$A$14:$V$771,7,FALSE))</f>
        <v/>
      </c>
      <c r="Q363" s="973" t="str">
        <f>IF(O363="Si",IF(E363=0,"",VLOOKUP(E363,TablasTec!$A$14:$V$771,7,FALSE)),"")</f>
        <v/>
      </c>
      <c r="R363" s="988" t="str">
        <f>IF(E363=0,"",VLOOKUP(E363,TablasTec!$A$14:$V$771,8,FALSE))</f>
        <v/>
      </c>
      <c r="S363" s="3181" t="str">
        <f>IF(R363=$D$8,$D$8,IF(R363=2,2,IF(R363=3,3,R363)))</f>
        <v/>
      </c>
      <c r="T363" s="4896"/>
      <c r="U363" s="4897"/>
      <c r="V363" s="3179" t="str">
        <f>IF(OR(V361=0,V361=""),"N/A",V361)</f>
        <v>N/A</v>
      </c>
      <c r="W363" s="4896" t="str">
        <f xml:space="preserve"> IF(OR(AF361=0,AF361=""),"N/A",W361)</f>
        <v>N/A</v>
      </c>
      <c r="X363" s="4898"/>
      <c r="Y363" s="4898"/>
      <c r="Z363" s="4898"/>
      <c r="AA363" s="4898"/>
      <c r="AB363" s="4898"/>
      <c r="AC363" s="4898"/>
      <c r="AD363" s="4898"/>
      <c r="AE363" s="4898"/>
      <c r="AF363" s="4897"/>
      <c r="AG363" s="4896" t="str">
        <f xml:space="preserve"> IF(OR(AP361="",AP361=0),"N/A",AG361)</f>
        <v>N/A</v>
      </c>
      <c r="AH363" s="4898"/>
      <c r="AI363" s="4898"/>
      <c r="AJ363" s="4898"/>
      <c r="AK363" s="4898"/>
      <c r="AL363" s="4898"/>
      <c r="AM363" s="4898"/>
      <c r="AN363" s="4898"/>
      <c r="AO363" s="4898"/>
      <c r="AP363" s="4897"/>
      <c r="AQ363" s="4896" t="str">
        <f xml:space="preserve"> IF(OR(AZ361="",AZ361=0),"N/A",AQ361)</f>
        <v>N/A</v>
      </c>
      <c r="AR363" s="4898"/>
      <c r="AS363" s="4898"/>
      <c r="AT363" s="4898"/>
      <c r="AU363" s="4898"/>
      <c r="AV363" s="4898"/>
      <c r="AW363" s="4898"/>
      <c r="AX363" s="4898"/>
      <c r="AY363" s="4898"/>
      <c r="AZ363" s="4897"/>
      <c r="BA363" s="4896" t="str">
        <f xml:space="preserve"> IF(OR(BJ361="",BJ361=0),"N/A",BA361)</f>
        <v>N/A</v>
      </c>
      <c r="BB363" s="4898"/>
      <c r="BC363" s="4898"/>
      <c r="BD363" s="4898"/>
      <c r="BE363" s="4898"/>
      <c r="BF363" s="4898"/>
      <c r="BG363" s="4898"/>
      <c r="BH363" s="4898"/>
      <c r="BI363" s="4898"/>
      <c r="BJ363" s="4897"/>
      <c r="BK363" s="990" t="s">
        <v>4541</v>
      </c>
      <c r="BL363" s="972"/>
      <c r="BM363" s="1007"/>
      <c r="BN363" s="991"/>
      <c r="BO363" s="992"/>
      <c r="BP363" s="993" t="str">
        <f>IF(I363="Si",VLOOKUP($D$8,TablasTec!$E$4:$F$6,2,FALSE),"")</f>
        <v/>
      </c>
      <c r="BQ363" s="963" t="str">
        <f>IF(L363="Si",VLOOKUP($D$8,TablasTec!$I$4:$J$6,2,FALSE),"")</f>
        <v/>
      </c>
      <c r="BR363" s="994" t="str">
        <f>IF(O363="Si",VLOOKUP($D$8,TablasTec!$I$7:$J$9,2,FALSE),"")</f>
        <v/>
      </c>
      <c r="BS363" s="977"/>
      <c r="BT363" s="3171" t="s">
        <v>1700</v>
      </c>
      <c r="BU363" s="3172" t="s">
        <v>4548</v>
      </c>
      <c r="BV363" s="954"/>
      <c r="BW363" s="3172" t="s">
        <v>4549</v>
      </c>
      <c r="BX363" s="3171"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c r="A364" s="922"/>
      <c r="B364" s="922"/>
      <c r="C364" s="4909"/>
      <c r="D364" s="1435" t="s">
        <v>1766</v>
      </c>
      <c r="E364" s="978"/>
      <c r="F364" s="1008"/>
      <c r="G364" s="1420" t="str">
        <f>IF(E364=0,"",VLOOKUP(E364,TablasTec!$A$14:$V$771,3,FALSE))</f>
        <v/>
      </c>
      <c r="H364" s="981" t="str">
        <f>IF($E364=0,"",VLOOKUP($E364,TablasTec!$A$14:$V$771,4,FALSE))</f>
        <v/>
      </c>
      <c r="I364" s="982" t="s">
        <v>1690</v>
      </c>
      <c r="J364" s="1398" t="str">
        <f>IF(E364=0,"",VLOOKUP(E364,TablasTec!$A$14:$V$771,5,FALSE))</f>
        <v/>
      </c>
      <c r="K364" s="984" t="str">
        <f>IF(I364="Si",IF(E364=0,"",VLOOKUP(E364,TablasTec!$A$14:$V$771,5,FALSE)),"")</f>
        <v/>
      </c>
      <c r="L364" s="982" t="s">
        <v>1690</v>
      </c>
      <c r="M364" s="1398" t="str">
        <f>IF(E364=0,"",VLOOKUP(E364,TablasTec!$A$14:$V$771,6,FALSE))</f>
        <v/>
      </c>
      <c r="N364" s="985" t="str">
        <f>IF(L364="Si",IF(E364=0,"",VLOOKUP(E364,TablasTec!$A$14:$V$771,6,FALSE)),"")</f>
        <v/>
      </c>
      <c r="O364" s="982" t="s">
        <v>1690</v>
      </c>
      <c r="P364" s="1398" t="str">
        <f>IF(E364=0,"",VLOOKUP(E364,TablasTec!$A$14:$V$771,7,FALSE))</f>
        <v/>
      </c>
      <c r="Q364" s="985" t="str">
        <f>IF(O364="Si",IF(E364=0,"",VLOOKUP(E364,TablasTec!$A$14:$V$771,7,FALSE)),"")</f>
        <v/>
      </c>
      <c r="R364" s="983" t="str">
        <f>IF(E364=0,"",VLOOKUP(E364,TablasTec!$A$14:$V$771,8,FALSE))</f>
        <v/>
      </c>
      <c r="S364" s="981" t="str">
        <f>IF(R364=$D$8,$D$8,IF(R364=2,2,IF(R364=3,3,R364)))</f>
        <v/>
      </c>
      <c r="T364" s="4899" t="s">
        <v>4542</v>
      </c>
      <c r="U364" s="4900"/>
      <c r="V364" s="3180"/>
      <c r="W364" s="4901"/>
      <c r="X364" s="4902"/>
      <c r="Y364" s="4902"/>
      <c r="Z364" s="4902"/>
      <c r="AA364" s="4902"/>
      <c r="AB364" s="4902"/>
      <c r="AC364" s="4902"/>
      <c r="AD364" s="4902"/>
      <c r="AE364" s="4902"/>
      <c r="AF364" s="4903"/>
      <c r="AG364" s="4901"/>
      <c r="AH364" s="4902"/>
      <c r="AI364" s="4902"/>
      <c r="AJ364" s="4902"/>
      <c r="AK364" s="4902"/>
      <c r="AL364" s="4902"/>
      <c r="AM364" s="4902"/>
      <c r="AN364" s="4902"/>
      <c r="AO364" s="4902"/>
      <c r="AP364" s="4903"/>
      <c r="AQ364" s="4901"/>
      <c r="AR364" s="4902"/>
      <c r="AS364" s="4902"/>
      <c r="AT364" s="4902"/>
      <c r="AU364" s="4902"/>
      <c r="AV364" s="4902"/>
      <c r="AW364" s="4902"/>
      <c r="AX364" s="4902"/>
      <c r="AY364" s="4902"/>
      <c r="AZ364" s="4903"/>
      <c r="BA364" s="4901"/>
      <c r="BB364" s="4902"/>
      <c r="BC364" s="4902"/>
      <c r="BD364" s="4902"/>
      <c r="BE364" s="4902"/>
      <c r="BF364" s="4902"/>
      <c r="BG364" s="4902"/>
      <c r="BH364" s="4902"/>
      <c r="BI364" s="4902"/>
      <c r="BJ364" s="4903"/>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IF(I364="Si",VLOOKUP($D$8,TablasTec!$E$4:$F$6,2,FALSE),"")</f>
        <v/>
      </c>
      <c r="BQ364" s="962" t="str">
        <f>IF(L364="Si",VLOOKUP($D$8,TablasTec!$I$4:$J$6,2,FALSE),"")</f>
        <v/>
      </c>
      <c r="BR364" s="960" t="str">
        <f>IF(O364="Si",VLOOKUP($D$8,TablasTec!$I$7:$J$9,2,FALSE),"")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c r="A365" s="922"/>
      <c r="B365" s="922"/>
      <c r="C365" s="4909"/>
      <c r="D365" s="1436" t="s">
        <v>1766</v>
      </c>
      <c r="E365" s="986"/>
      <c r="F365" s="1002"/>
      <c r="G365" s="972" t="str">
        <f>IF(E365=0,"",VLOOKUP(E365,TablasTec!$A$14:$V$771,3,FALSE))</f>
        <v/>
      </c>
      <c r="H365" s="997" t="str">
        <f>IF($E365=0,"",VLOOKUP($E365,TablasTec!$A$14:$V$771,4,FALSE))</f>
        <v/>
      </c>
      <c r="I365" s="970" t="s">
        <v>1690</v>
      </c>
      <c r="J365" s="1401" t="str">
        <f>IF(E365=0,"",VLOOKUP(E365,TablasTec!$A$14:$V$771,5,FALSE))</f>
        <v/>
      </c>
      <c r="K365" s="998" t="str">
        <f>IF(I365="Si",IF(E365=0,"",VLOOKUP(E365,TablasTec!$A$14:$V$771,5,FALSE)),"")</f>
        <v/>
      </c>
      <c r="L365" s="970" t="s">
        <v>1690</v>
      </c>
      <c r="M365" s="1401" t="str">
        <f>IF(E365=0,"",VLOOKUP(E365,TablasTec!$A$14:$V$771,6,FALSE))</f>
        <v/>
      </c>
      <c r="N365" s="973" t="str">
        <f>IF(L365="Si",IF(E365=0,"",VLOOKUP(E365,TablasTec!$A$14:$V$771,6,FALSE)),"")</f>
        <v/>
      </c>
      <c r="O365" s="970" t="s">
        <v>1690</v>
      </c>
      <c r="P365" s="1401" t="str">
        <f>IF(E365=0,"",VLOOKUP(E365,TablasTec!$A$14:$V$771,7,FALSE))</f>
        <v/>
      </c>
      <c r="Q365" s="973" t="str">
        <f>IF(O365="Si",IF(E365=0,"",VLOOKUP(E365,TablasTec!$A$14:$V$771,7,FALSE)),"")</f>
        <v/>
      </c>
      <c r="R365" s="1018" t="str">
        <f>IF(E365=0,"",VLOOKUP(E365,TablasTec!$A$14:$V$771,8,FALSE))</f>
        <v/>
      </c>
      <c r="S365" s="987" t="str">
        <f>IF(R365=$D$8,$D$8,IF(R365=2,2,IF(R365=3,3,R365)))</f>
        <v/>
      </c>
      <c r="T365" s="4890" t="s">
        <v>4544</v>
      </c>
      <c r="U365" s="4891"/>
      <c r="V365" s="3178"/>
      <c r="W365" s="4892"/>
      <c r="X365" s="4893"/>
      <c r="Y365" s="4893"/>
      <c r="Z365" s="4893"/>
      <c r="AA365" s="4893"/>
      <c r="AB365" s="4893"/>
      <c r="AC365" s="4893"/>
      <c r="AD365" s="4893"/>
      <c r="AE365" s="4893"/>
      <c r="AF365" s="4894"/>
      <c r="AG365" s="4892"/>
      <c r="AH365" s="4893"/>
      <c r="AI365" s="4893"/>
      <c r="AJ365" s="4893"/>
      <c r="AK365" s="4893"/>
      <c r="AL365" s="4893"/>
      <c r="AM365" s="4893"/>
      <c r="AN365" s="4893"/>
      <c r="AO365" s="4893"/>
      <c r="AP365" s="4894"/>
      <c r="AQ365" s="4892"/>
      <c r="AR365" s="4893"/>
      <c r="AS365" s="4893"/>
      <c r="AT365" s="4893"/>
      <c r="AU365" s="4893"/>
      <c r="AV365" s="4893"/>
      <c r="AW365" s="4893"/>
      <c r="AX365" s="4893"/>
      <c r="AY365" s="4893"/>
      <c r="AZ365" s="4894"/>
      <c r="BA365" s="4892"/>
      <c r="BB365" s="4893"/>
      <c r="BC365" s="4893"/>
      <c r="BD365" s="4893"/>
      <c r="BE365" s="4893"/>
      <c r="BF365" s="4893"/>
      <c r="BG365" s="4893"/>
      <c r="BH365" s="4893"/>
      <c r="BI365" s="4893"/>
      <c r="BJ365" s="4894"/>
      <c r="BK365" s="997">
        <f>SUM(K361:K365)-SUM(V365:BA365)</f>
        <v>0</v>
      </c>
      <c r="BL365" s="1422"/>
      <c r="BM365" s="1423"/>
      <c r="BN365" s="991"/>
      <c r="BO365" s="992"/>
      <c r="BP365" s="993" t="str">
        <f>IF(I365="Si",VLOOKUP($D$8,TablasTec!$E$4:$F$6,2,FALSE),"")</f>
        <v/>
      </c>
      <c r="BQ365" s="963" t="str">
        <f>IF(L365="Si",VLOOKUP($D$8,TablasTec!$I$4:$J$6,2,FALSE),"")</f>
        <v/>
      </c>
      <c r="BR365" s="994" t="str">
        <f>IF(O365="Si",VLOOKUP($D$8,TablasTec!$I$7:$J$9,2,FALSE),"")</f>
        <v/>
      </c>
      <c r="BS365" s="977"/>
      <c r="BT365" s="3171" t="s">
        <v>1701</v>
      </c>
      <c r="BU365" s="3172" t="s">
        <v>4548</v>
      </c>
      <c r="BV365" s="954"/>
      <c r="BW365" s="3172" t="s">
        <v>4549</v>
      </c>
      <c r="BX365" s="3171"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09"/>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IF(I366="Si",VLOOKUP($D$8,TablasTec!$E$4:$F$6,2,FALSE),"")</f>
        <v/>
      </c>
      <c r="BQ366" s="1013" t="str">
        <f>IF(L366="Si",VLOOKUP($D$8,TablasTec!$I$4:$J$6,2,FALSE),"")</f>
        <v/>
      </c>
      <c r="BR366" s="1011" t="str">
        <f>IF(O366="Si",VLOOKUP($D$8,TablasTec!$I$7:$J$9,2,FALSE),"")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09"/>
      <c r="D367" s="1436" t="s">
        <v>1766</v>
      </c>
      <c r="E367" s="966"/>
      <c r="F367" s="1002"/>
      <c r="G367" s="972" t="str">
        <f>IF(E367=0,"",VLOOKUP(E367,TablasTec!$A$14:$V$771,3,FALSE))</f>
        <v/>
      </c>
      <c r="H367" s="1014" t="str">
        <f>IF($E367=0,"",VLOOKUP($E367,TablasTec!$A$14:$V$771,4,FALSE))</f>
        <v/>
      </c>
      <c r="I367" s="970" t="s">
        <v>1690</v>
      </c>
      <c r="J367" s="1400" t="str">
        <f>IF(E367=0,"",VLOOKUP(E367,TablasTec!$A$14:$V$771,5,FALSE))</f>
        <v/>
      </c>
      <c r="K367" s="1016" t="str">
        <f>IF(I367="Si",IF(E367=0,"",VLOOKUP(E367,TablasTec!$A$14:$V$771,5,FALSE)),"")</f>
        <v/>
      </c>
      <c r="L367" s="970" t="s">
        <v>1690</v>
      </c>
      <c r="M367" s="1400" t="str">
        <f>IF(E367=0,"",VLOOKUP(E367,TablasTec!$A$14:$V$771,6,FALSE))</f>
        <v/>
      </c>
      <c r="N367" s="973" t="str">
        <f>IF(L367="Si",IF(E367=0,"",VLOOKUP(E367,TablasTec!$A$14:$V$771,6,FALSE)),"")</f>
        <v/>
      </c>
      <c r="O367" s="970" t="s">
        <v>1690</v>
      </c>
      <c r="P367" s="1400" t="str">
        <f>IF(E367=0,"",VLOOKUP(E367,TablasTec!$A$14:$V$771,7,FALSE))</f>
        <v/>
      </c>
      <c r="Q367" s="973" t="str">
        <f>IF(O367="Si",IF(E367=0,"",VLOOKUP(E367,TablasTec!$A$14:$V$771,7,FALSE)),"")</f>
        <v/>
      </c>
      <c r="R367" s="1015" t="str">
        <f>IF(E367=0,"",VLOOKUP(E367,TablasTec!$A$14:$V$771,8,FALSE))</f>
        <v/>
      </c>
      <c r="S367" s="987" t="str">
        <f>IF(R367=$D$8,$D$8,IF(R367=2,2,IF(R367=3,3,R367)))</f>
        <v/>
      </c>
      <c r="T367" s="1016" t="str">
        <f>IF(E367=0,"",VLOOKUP(E367,TablasTec!$A$14:$V$771,9,FALSE))</f>
        <v/>
      </c>
      <c r="U367" s="1016" t="str">
        <f>IF(E367=0,"",VLOOKUP(E367,TablasTec!$A$14:$V$771,10,FALSE))</f>
        <v/>
      </c>
      <c r="V367" s="1017" t="str">
        <f>IF(E367=0,"",VLOOKUP(E367,TablasTec!$A$14:$V$771,11,FALSE))</f>
        <v/>
      </c>
      <c r="W367" s="970"/>
      <c r="X367" s="971" t="e">
        <f>VLOOKUP(E367,TablasTec!$A$14:$V$771,12,FALSE)</f>
        <v>#N/A</v>
      </c>
      <c r="Y367" s="971" t="e">
        <f>IF(W367=X367,VLOOKUP(E367,TablasTec!$A$14:$V$771,13,FALSE),0)</f>
        <v>#N/A</v>
      </c>
      <c r="Z367" s="971" t="e">
        <f>VLOOKUP(E367,TablasTec!$A$14:$V$771,14,FALSE)</f>
        <v>#N/A</v>
      </c>
      <c r="AA367" s="971" t="e">
        <f>IF(W367=Z367,VLOOKUP(E367,TablasTec!$A$14:$V$616,15,FALSE),0)</f>
        <v>#N/A</v>
      </c>
      <c r="AB367" s="971" t="e">
        <f>VLOOKUP(E367,TablasTec!$A$14:$V$771,16,FALSE)</f>
        <v>#N/A</v>
      </c>
      <c r="AC367" s="971" t="e">
        <f>IF(W367=AB367,VLOOKUP(E367,TablasTec!$A$14:$V$616,17,FALSE),0)</f>
        <v>#N/A</v>
      </c>
      <c r="AD367" s="971" t="e">
        <f>VLOOKUP(E367,TablasTec!$A$14:$V$771,18,FALSE)</f>
        <v>#N/A</v>
      </c>
      <c r="AE367" s="971" t="e">
        <f>IF(W367=AD367,VLOOKUP(E367,TablasTec!$A$14:$V$771,19,FALSE),0)</f>
        <v>#N/A</v>
      </c>
      <c r="AF367" s="989" t="str">
        <f>IF(E367=0,"",(Y367+AA367+AC367+AE367))</f>
        <v/>
      </c>
      <c r="AG367" s="970"/>
      <c r="AH367" s="988" t="e">
        <f>VLOOKUP(E367,TablasTec!$A$14:$V$771,12,FALSE)</f>
        <v>#N/A</v>
      </c>
      <c r="AI367" s="988" t="e">
        <f>IF(AG367=AH367,VLOOKUP(E367,TablasTec!$A$14:$V$771,13,FALSE),0)</f>
        <v>#N/A</v>
      </c>
      <c r="AJ367" s="988" t="e">
        <f>VLOOKUP(E367,TablasTec!$A$14:$V$771,14,FALSE)</f>
        <v>#N/A</v>
      </c>
      <c r="AK367" s="988" t="e">
        <f>IF(AG367=AJ367,VLOOKUP(E367,TablasTec!$A$14:$V$771,15,FALSE),0)</f>
        <v>#N/A</v>
      </c>
      <c r="AL367" s="988" t="e">
        <f>VLOOKUP(E367,TablasTec!$A$14:$V$771,16,FALSE)</f>
        <v>#N/A</v>
      </c>
      <c r="AM367" s="988" t="e">
        <f>IF(AG367=AL367,VLOOKUP(E367,TablasTec!$A$14:$V$771,17,FALSE),0)</f>
        <v>#N/A</v>
      </c>
      <c r="AN367" s="988" t="e">
        <f>VLOOKUP(E367,TablasTec!$A$14:$V$771,18,FALSE)</f>
        <v>#N/A</v>
      </c>
      <c r="AO367" s="988" t="e">
        <f>IF(AG367=AN367,VLOOKUP(E367,TablasTec!$A$14:$V$771,19,FALSE),0)</f>
        <v>#N/A</v>
      </c>
      <c r="AP367" s="3182" t="str">
        <f>IF(E367=0,"",(AI367+AK367+AM367+AO367))</f>
        <v/>
      </c>
      <c r="AQ367" s="970"/>
      <c r="AR367" s="988" t="e">
        <f>VLOOKUP(E367,TablasTec!$A$14:$V$771,12,FALSE)</f>
        <v>#N/A</v>
      </c>
      <c r="AS367" s="988" t="e">
        <f>IF(AQ367=AR367,VLOOKUP(E367,TablasTec!$A$14:$V$771,13,FALSE),0)</f>
        <v>#N/A</v>
      </c>
      <c r="AT367" s="988" t="e">
        <f>VLOOKUP(E367,TablasTec!$A$14:$V$771,14,FALSE)</f>
        <v>#N/A</v>
      </c>
      <c r="AU367" s="988" t="e">
        <f>IF(AQ367=AT367,VLOOKUP(E367,TablasTec!$A$14:$V$771,15,FALSE),0)</f>
        <v>#N/A</v>
      </c>
      <c r="AV367" s="988" t="e">
        <f>VLOOKUP(E367,TablasTec!$A$14:$V$771,16,FALSE)</f>
        <v>#N/A</v>
      </c>
      <c r="AW367" s="988" t="e">
        <f>IF(AQ367=AV367,VLOOKUP(E367,TablasTec!$A$14:$V$771,17,FALSE),0)</f>
        <v>#N/A</v>
      </c>
      <c r="AX367" s="988" t="e">
        <f>VLOOKUP(E367,TablasTec!$A$14:$V$771,18,FALSE)</f>
        <v>#N/A</v>
      </c>
      <c r="AY367" s="988" t="e">
        <f>IF(AQ367=AX367,VLOOKUP(E367,TablasTec!$A$14:$V$771,19,FALSE),0)</f>
        <v>#N/A</v>
      </c>
      <c r="AZ367" s="989" t="str">
        <f>IF(E367=0,"",(AS367+AU367+AW367+AY367))</f>
        <v/>
      </c>
      <c r="BA367" s="970"/>
      <c r="BB367" s="988" t="e">
        <f>VLOOKUP(E367,TablasTec!$A$14:$V$771,12,FALSE)</f>
        <v>#N/A</v>
      </c>
      <c r="BC367" s="988" t="e">
        <f>IF(BA367=BB367,VLOOKUP(E367,TablasTec!$A$14:$V$771,13,FALSE),0)</f>
        <v>#N/A</v>
      </c>
      <c r="BD367" s="988" t="e">
        <f>VLOOKUP(E367,TablasTec!$A$14:$V$771,14,FALSE)</f>
        <v>#N/A</v>
      </c>
      <c r="BE367" s="988" t="e">
        <f>IF(BA367=BD367,VLOOKUP(E367,TablasTec!$A$14:$V$771,15,FALSE),0)</f>
        <v>#N/A</v>
      </c>
      <c r="BF367" s="988" t="e">
        <f>VLOOKUP(E367,TablasTec!$A$14:$V$771,16,FALSE)</f>
        <v>#N/A</v>
      </c>
      <c r="BG367" s="988" t="e">
        <f>IF(BA367=BF367,VLOOKUP(E367,TablasTec!$A$14:$V$771,17,FALSE),0)</f>
        <v>#N/A</v>
      </c>
      <c r="BH367" s="988" t="e">
        <f>VLOOKUP(E367,TablasTec!$A$14:$V$771,18,FALSE)</f>
        <v>#N/A</v>
      </c>
      <c r="BI367" s="988" t="e">
        <f>IF(BA367=BH367,VLOOKUP(E367,TablasTec!$A$14:$V$771,19,FALSE),0)</f>
        <v>#N/A</v>
      </c>
      <c r="BJ367" s="3182" t="str">
        <f>IF(E367=0,"",(BC367+BE367+BG367+BI367))</f>
        <v/>
      </c>
      <c r="BK367" s="1016" t="str">
        <f>IF(E367=0,"",VLOOKUP(E367,TablasTec!$A$14:$V$771,20,FALSE))</f>
        <v/>
      </c>
      <c r="BL367" s="1003" t="str">
        <f>IF(E367=0,"",VLOOKUP(E367,TablasTec!$A$14:$V$771,21,FALSE))</f>
        <v/>
      </c>
      <c r="BM367" s="974" t="str">
        <f>IF(E367=0,"",VLOOKUP(E367,TablasTec!$A$14:$V$771,22,FALSE))</f>
        <v/>
      </c>
      <c r="BN367" s="975"/>
      <c r="BO367" s="976"/>
      <c r="BP367" s="961" t="str">
        <f>IF(I367="Si",VLOOKUP($D$8,TablasTec!$E$4:$F$6,2,FALSE),"")</f>
        <v/>
      </c>
      <c r="BQ367" s="962" t="str">
        <f>IF(L367="Si",VLOOKUP($D$8,TablasTec!$I$4:$J$6,2,FALSE),"")</f>
        <v/>
      </c>
      <c r="BR367" s="960" t="str">
        <f>IF(O367="Si",VLOOKUP($D$8,TablasTec!$I$7:$J$9,2,FALSE),"")</f>
        <v/>
      </c>
      <c r="BS367" s="977"/>
      <c r="BU367" s="4864"/>
      <c r="BV367" s="4864"/>
      <c r="BW367" s="4864"/>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c r="A368" s="922"/>
      <c r="B368" s="922"/>
      <c r="C368" s="4909"/>
      <c r="D368" s="1435" t="s">
        <v>1766</v>
      </c>
      <c r="E368" s="978"/>
      <c r="F368" s="1008"/>
      <c r="G368" s="1420" t="str">
        <f>IF(E368=0,"",VLOOKUP(E368,TablasTec!$A$14:$V$771,3,FALSE))</f>
        <v/>
      </c>
      <c r="H368" s="981" t="str">
        <f>IF($E368=0,"",VLOOKUP($E368,TablasTec!$A$14:$V$771,4,FALSE))</f>
        <v/>
      </c>
      <c r="I368" s="982" t="s">
        <v>1690</v>
      </c>
      <c r="J368" s="1398" t="str">
        <f>IF(E368=0,"",VLOOKUP(E368,TablasTec!$A$14:$V$771,5,FALSE))</f>
        <v/>
      </c>
      <c r="K368" s="984" t="str">
        <f>IF(I368="Si",IF(E368=0,"",VLOOKUP(E368,TablasTec!$A$14:$V$771,5,FALSE)),"")</f>
        <v/>
      </c>
      <c r="L368" s="982" t="s">
        <v>1690</v>
      </c>
      <c r="M368" s="1398" t="str">
        <f>IF(E368=0,"",VLOOKUP(E368,TablasTec!$A$14:$V$771,6,FALSE))</f>
        <v/>
      </c>
      <c r="N368" s="985" t="str">
        <f>IF(L368="Si",IF(E368=0,"",VLOOKUP(E368,TablasTec!$A$14:$V$771,6,FALSE)),"")</f>
        <v/>
      </c>
      <c r="O368" s="982" t="s">
        <v>1690</v>
      </c>
      <c r="P368" s="1398" t="str">
        <f>IF(E368=0,"",VLOOKUP(E368,TablasTec!$A$14:$V$771,7,FALSE))</f>
        <v/>
      </c>
      <c r="Q368" s="985" t="str">
        <f>IF(O368="Si",IF(E368=0,"",VLOOKUP(E368,TablasTec!$A$14:$V$771,7,FALSE)),"")</f>
        <v/>
      </c>
      <c r="R368" s="983" t="str">
        <f>IF(E368=0,"",VLOOKUP(E368,TablasTec!$A$14:$V$771,8,FALSE))</f>
        <v/>
      </c>
      <c r="S368" s="981" t="str">
        <f>IF(R368=$D$8,$D$8,IF(R368=2,2,IF(R368=3,3,R368)))</f>
        <v/>
      </c>
      <c r="T368" s="4883" t="s">
        <v>4540</v>
      </c>
      <c r="U368" s="4884"/>
      <c r="V368" s="4884"/>
      <c r="W368" s="4884"/>
      <c r="X368" s="4884"/>
      <c r="Y368" s="4884"/>
      <c r="Z368" s="4884"/>
      <c r="AA368" s="4884"/>
      <c r="AB368" s="4884"/>
      <c r="AC368" s="4884"/>
      <c r="AD368" s="4884"/>
      <c r="AE368" s="4884"/>
      <c r="AF368" s="4884"/>
      <c r="AG368" s="4884"/>
      <c r="AH368" s="4884"/>
      <c r="AI368" s="4884"/>
      <c r="AJ368" s="4884"/>
      <c r="AK368" s="4884"/>
      <c r="AL368" s="4884"/>
      <c r="AM368" s="4884"/>
      <c r="AN368" s="4884"/>
      <c r="AO368" s="4884"/>
      <c r="AP368" s="4884"/>
      <c r="AQ368" s="4884"/>
      <c r="AR368" s="4884"/>
      <c r="AS368" s="4884"/>
      <c r="AT368" s="4884"/>
      <c r="AU368" s="4884"/>
      <c r="AV368" s="4884"/>
      <c r="AW368" s="4884"/>
      <c r="AX368" s="4884"/>
      <c r="AY368" s="4884"/>
      <c r="AZ368" s="4884"/>
      <c r="BA368" s="4884"/>
      <c r="BB368" s="4884"/>
      <c r="BC368" s="4884"/>
      <c r="BD368" s="4884"/>
      <c r="BE368" s="4884"/>
      <c r="BF368" s="4884"/>
      <c r="BG368" s="4884"/>
      <c r="BH368" s="4884"/>
      <c r="BI368" s="4884"/>
      <c r="BJ368" s="4884"/>
      <c r="BK368" s="4885"/>
      <c r="BL368" s="1420"/>
      <c r="BM368" s="1421"/>
      <c r="BN368" s="975"/>
      <c r="BO368" s="976"/>
      <c r="BP368" s="961" t="str">
        <f>IF(I368="Si",VLOOKUP($D$8,TablasTec!$E$4:$F$6,2,FALSE),"")</f>
        <v/>
      </c>
      <c r="BQ368" s="962" t="str">
        <f>IF(L368="Si",VLOOKUP($D$8,TablasTec!$I$4:$J$6,2,FALSE),"")</f>
        <v/>
      </c>
      <c r="BR368" s="960" t="str">
        <f>IF(O368="Si",VLOOKUP($D$8,TablasTec!$I$7:$J$9,2,FALSE),"")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c r="A369" s="922"/>
      <c r="B369" s="922"/>
      <c r="C369" s="4909"/>
      <c r="D369" s="1436" t="s">
        <v>1766</v>
      </c>
      <c r="E369" s="986"/>
      <c r="F369" s="1002"/>
      <c r="G369" s="972" t="str">
        <f>IF(E369=0,"",VLOOKUP(E369,TablasTec!$A$14:$V$771,3,FALSE))</f>
        <v/>
      </c>
      <c r="H369" s="3181" t="str">
        <f>IF($E369=0,"",VLOOKUP($E369,TablasTec!$A$14:$V$771,4,FALSE))</f>
        <v/>
      </c>
      <c r="I369" s="970" t="s">
        <v>1690</v>
      </c>
      <c r="J369" s="1394" t="str">
        <f>IF(E369=0,"",VLOOKUP(E369,TablasTec!$A$14:$V$771,5,FALSE))</f>
        <v/>
      </c>
      <c r="K369" s="989" t="str">
        <f>IF(I369="Si",IF(E369=0,"",VLOOKUP(E369,TablasTec!$A$14:$V$771,5,FALSE)),"")</f>
        <v/>
      </c>
      <c r="L369" s="970" t="s">
        <v>1690</v>
      </c>
      <c r="M369" s="1394" t="str">
        <f>IF(E369=0,"",VLOOKUP(E369,TablasTec!$A$14:$V$771,6,FALSE))</f>
        <v/>
      </c>
      <c r="N369" s="973" t="str">
        <f>IF(L369="Si",IF(E369=0,"",VLOOKUP(E369,TablasTec!$A$14:$V$771,6,FALSE)),"")</f>
        <v/>
      </c>
      <c r="O369" s="970" t="s">
        <v>1690</v>
      </c>
      <c r="P369" s="1394" t="str">
        <f>IF(E369=0,"",VLOOKUP(E369,TablasTec!$A$14:$V$771,7,FALSE))</f>
        <v/>
      </c>
      <c r="Q369" s="973" t="str">
        <f>IF(O369="Si",IF(E369=0,"",VLOOKUP(E369,TablasTec!$A$14:$V$771,7,FALSE)),"")</f>
        <v/>
      </c>
      <c r="R369" s="988" t="str">
        <f>IF(E369=0,"",VLOOKUP(E369,TablasTec!$A$14:$V$771,8,FALSE))</f>
        <v/>
      </c>
      <c r="S369" s="3181" t="str">
        <f>IF(R369=$D$8,$D$8,IF(R369=2,2,IF(R369=3,3,R369)))</f>
        <v/>
      </c>
      <c r="T369" s="4896"/>
      <c r="U369" s="4897"/>
      <c r="V369" s="3179" t="str">
        <f>IF(OR(V367=0,V367=""),"N/A",V367)</f>
        <v>N/A</v>
      </c>
      <c r="W369" s="4896" t="str">
        <f xml:space="preserve"> IF(OR(AF367=0,AF367=""),"N/A",W367)</f>
        <v>N/A</v>
      </c>
      <c r="X369" s="4898"/>
      <c r="Y369" s="4898"/>
      <c r="Z369" s="4898"/>
      <c r="AA369" s="4898"/>
      <c r="AB369" s="4898"/>
      <c r="AC369" s="4898"/>
      <c r="AD369" s="4898"/>
      <c r="AE369" s="4898"/>
      <c r="AF369" s="4897"/>
      <c r="AG369" s="4896" t="str">
        <f xml:space="preserve"> IF(OR(AP367="",AP367=0),"N/A",AG367)</f>
        <v>N/A</v>
      </c>
      <c r="AH369" s="4898"/>
      <c r="AI369" s="4898"/>
      <c r="AJ369" s="4898"/>
      <c r="AK369" s="4898"/>
      <c r="AL369" s="4898"/>
      <c r="AM369" s="4898"/>
      <c r="AN369" s="4898"/>
      <c r="AO369" s="4898"/>
      <c r="AP369" s="4897"/>
      <c r="AQ369" s="4896" t="str">
        <f xml:space="preserve"> IF(OR(AZ367="",AZ367=0),"N/A",AQ367)</f>
        <v>N/A</v>
      </c>
      <c r="AR369" s="4898"/>
      <c r="AS369" s="4898"/>
      <c r="AT369" s="4898"/>
      <c r="AU369" s="4898"/>
      <c r="AV369" s="4898"/>
      <c r="AW369" s="4898"/>
      <c r="AX369" s="4898"/>
      <c r="AY369" s="4898"/>
      <c r="AZ369" s="4897"/>
      <c r="BA369" s="4896" t="str">
        <f xml:space="preserve"> IF(OR(BJ367="",BJ367=0),"N/A",BA367)</f>
        <v>N/A</v>
      </c>
      <c r="BB369" s="4898"/>
      <c r="BC369" s="4898"/>
      <c r="BD369" s="4898"/>
      <c r="BE369" s="4898"/>
      <c r="BF369" s="4898"/>
      <c r="BG369" s="4898"/>
      <c r="BH369" s="4898"/>
      <c r="BI369" s="4898"/>
      <c r="BJ369" s="4897"/>
      <c r="BK369" s="990" t="s">
        <v>4541</v>
      </c>
      <c r="BL369" s="972"/>
      <c r="BM369" s="1007"/>
      <c r="BN369" s="991"/>
      <c r="BO369" s="992"/>
      <c r="BP369" s="993" t="str">
        <f>IF(I369="Si",VLOOKUP($D$8,TablasTec!$E$4:$F$6,2,FALSE),"")</f>
        <v/>
      </c>
      <c r="BQ369" s="963" t="str">
        <f>IF(L369="Si",VLOOKUP($D$8,TablasTec!$I$4:$J$6,2,FALSE),"")</f>
        <v/>
      </c>
      <c r="BR369" s="994" t="str">
        <f>IF(O369="Si",VLOOKUP($D$8,TablasTec!$I$7:$J$9,2,FALSE),"")</f>
        <v/>
      </c>
      <c r="BS369" s="977"/>
      <c r="BU369" s="4863"/>
      <c r="BV369" s="4863"/>
      <c r="BW369" s="4863"/>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c r="A370" s="922"/>
      <c r="B370" s="922"/>
      <c r="C370" s="4909"/>
      <c r="D370" s="1435" t="s">
        <v>1766</v>
      </c>
      <c r="E370" s="978"/>
      <c r="F370" s="1008"/>
      <c r="G370" s="1420" t="str">
        <f>IF(E370=0,"",VLOOKUP(E370,TablasTec!$A$14:$V$771,3,FALSE))</f>
        <v/>
      </c>
      <c r="H370" s="981" t="str">
        <f>IF($E370=0,"",VLOOKUP($E370,TablasTec!$A$14:$V$771,4,FALSE))</f>
        <v/>
      </c>
      <c r="I370" s="982" t="s">
        <v>1690</v>
      </c>
      <c r="J370" s="1398" t="str">
        <f>IF(E370=0,"",VLOOKUP(E370,TablasTec!$A$14:$V$771,5,FALSE))</f>
        <v/>
      </c>
      <c r="K370" s="984" t="str">
        <f>IF(I370="Si",IF(E370=0,"",VLOOKUP(E370,TablasTec!$A$14:$V$771,5,FALSE)),"")</f>
        <v/>
      </c>
      <c r="L370" s="982" t="s">
        <v>1690</v>
      </c>
      <c r="M370" s="1398" t="str">
        <f>IF(E370=0,"",VLOOKUP(E370,TablasTec!$A$14:$V$771,6,FALSE))</f>
        <v/>
      </c>
      <c r="N370" s="985" t="str">
        <f>IF(L370="Si",IF(E370=0,"",VLOOKUP(E370,TablasTec!$A$14:$V$771,6,FALSE)),"")</f>
        <v/>
      </c>
      <c r="O370" s="982" t="s">
        <v>1690</v>
      </c>
      <c r="P370" s="1398" t="str">
        <f>IF(E370=0,"",VLOOKUP(E370,TablasTec!$A$14:$V$771,7,FALSE))</f>
        <v/>
      </c>
      <c r="Q370" s="985" t="str">
        <f>IF(O370="Si",IF(E370=0,"",VLOOKUP(E370,TablasTec!$A$14:$V$771,7,FALSE)),"")</f>
        <v/>
      </c>
      <c r="R370" s="983" t="str">
        <f>IF(E370=0,"",VLOOKUP(E370,TablasTec!$A$14:$V$771,8,FALSE))</f>
        <v/>
      </c>
      <c r="S370" s="981" t="str">
        <f>IF(R370=$D$8,$D$8,IF(R370=2,2,IF(R370=3,3,R370)))</f>
        <v/>
      </c>
      <c r="T370" s="4899" t="s">
        <v>4542</v>
      </c>
      <c r="U370" s="4900"/>
      <c r="V370" s="3180"/>
      <c r="W370" s="4901"/>
      <c r="X370" s="4902"/>
      <c r="Y370" s="4902"/>
      <c r="Z370" s="4902"/>
      <c r="AA370" s="4902"/>
      <c r="AB370" s="4902"/>
      <c r="AC370" s="4902"/>
      <c r="AD370" s="4902"/>
      <c r="AE370" s="4902"/>
      <c r="AF370" s="4903"/>
      <c r="AG370" s="4901"/>
      <c r="AH370" s="4902"/>
      <c r="AI370" s="4902"/>
      <c r="AJ370" s="4902"/>
      <c r="AK370" s="4902"/>
      <c r="AL370" s="4902"/>
      <c r="AM370" s="4902"/>
      <c r="AN370" s="4902"/>
      <c r="AO370" s="4902"/>
      <c r="AP370" s="4903"/>
      <c r="AQ370" s="4901"/>
      <c r="AR370" s="4902"/>
      <c r="AS370" s="4902"/>
      <c r="AT370" s="4902"/>
      <c r="AU370" s="4902"/>
      <c r="AV370" s="4902"/>
      <c r="AW370" s="4902"/>
      <c r="AX370" s="4902"/>
      <c r="AY370" s="4902"/>
      <c r="AZ370" s="4903"/>
      <c r="BA370" s="4901"/>
      <c r="BB370" s="4902"/>
      <c r="BC370" s="4902"/>
      <c r="BD370" s="4902"/>
      <c r="BE370" s="4902"/>
      <c r="BF370" s="4902"/>
      <c r="BG370" s="4902"/>
      <c r="BH370" s="4902"/>
      <c r="BI370" s="4902"/>
      <c r="BJ370" s="4903"/>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IF(I370="Si",VLOOKUP($D$8,TablasTec!$E$4:$F$6,2,FALSE),"")</f>
        <v/>
      </c>
      <c r="BQ370" s="962" t="str">
        <f>IF(L370="Si",VLOOKUP($D$8,TablasTec!$I$4:$J$6,2,FALSE),"")</f>
        <v/>
      </c>
      <c r="BR370" s="960" t="str">
        <f>IF(O370="Si",VLOOKUP($D$8,TablasTec!$I$7:$J$9,2,FALSE),"")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c r="A371" s="922"/>
      <c r="B371" s="922"/>
      <c r="C371" s="4909"/>
      <c r="D371" s="1436" t="s">
        <v>1766</v>
      </c>
      <c r="E371" s="986"/>
      <c r="F371" s="1002"/>
      <c r="G371" s="972" t="str">
        <f>IF(E371=0,"",VLOOKUP(E371,TablasTec!$A$14:$V$771,3,FALSE))</f>
        <v/>
      </c>
      <c r="H371" s="987" t="str">
        <f>IF($E371=0,"",VLOOKUP($E371,TablasTec!$A$14:$V$771,4,FALSE))</f>
        <v/>
      </c>
      <c r="I371" s="970" t="s">
        <v>1690</v>
      </c>
      <c r="J371" s="1394" t="str">
        <f>IF(E371=0,"",VLOOKUP(E371,TablasTec!$A$14:$V$771,5,FALSE))</f>
        <v/>
      </c>
      <c r="K371" s="989" t="str">
        <f>IF(I371="Si",IF(E371=0,"",VLOOKUP(E371,TablasTec!$A$14:$V$771,5,FALSE)),"")</f>
        <v/>
      </c>
      <c r="L371" s="970" t="s">
        <v>1690</v>
      </c>
      <c r="M371" s="1394" t="str">
        <f>IF(E371=0,"",VLOOKUP(E371,TablasTec!$A$14:$V$771,6,FALSE))</f>
        <v/>
      </c>
      <c r="N371" s="973" t="str">
        <f>IF(L371="Si",IF(E371=0,"",VLOOKUP(E371,TablasTec!$A$14:$V$771,6,FALSE)),"")</f>
        <v/>
      </c>
      <c r="O371" s="970" t="s">
        <v>1690</v>
      </c>
      <c r="P371" s="1394" t="str">
        <f>IF(E371=0,"",VLOOKUP(E371,TablasTec!$A$14:$V$771,7,FALSE))</f>
        <v/>
      </c>
      <c r="Q371" s="973" t="str">
        <f>IF(O371="Si",IF(E371=0,"",VLOOKUP(E371,TablasTec!$A$14:$V$771,7,FALSE)),"")</f>
        <v/>
      </c>
      <c r="R371" s="988" t="str">
        <f>IF(E371=0,"",VLOOKUP(E371,TablasTec!$A$14:$V$771,8,FALSE))</f>
        <v/>
      </c>
      <c r="S371" s="987" t="str">
        <f>IF(R371=$D$8,$D$8,IF(R371=2,2,IF(R371=3,3,R371)))</f>
        <v/>
      </c>
      <c r="T371" s="4904" t="s">
        <v>4544</v>
      </c>
      <c r="U371" s="4905"/>
      <c r="V371" s="3183"/>
      <c r="W371" s="4906"/>
      <c r="X371" s="4907"/>
      <c r="Y371" s="4907"/>
      <c r="Z371" s="4907"/>
      <c r="AA371" s="4907"/>
      <c r="AB371" s="4907"/>
      <c r="AC371" s="4907"/>
      <c r="AD371" s="4907"/>
      <c r="AE371" s="4907"/>
      <c r="AF371" s="4908"/>
      <c r="AG371" s="4906"/>
      <c r="AH371" s="4907"/>
      <c r="AI371" s="4907"/>
      <c r="AJ371" s="4907"/>
      <c r="AK371" s="4907"/>
      <c r="AL371" s="4907"/>
      <c r="AM371" s="4907"/>
      <c r="AN371" s="4907"/>
      <c r="AO371" s="4907"/>
      <c r="AP371" s="4908"/>
      <c r="AQ371" s="4906"/>
      <c r="AR371" s="4907"/>
      <c r="AS371" s="4907"/>
      <c r="AT371" s="4907"/>
      <c r="AU371" s="4907"/>
      <c r="AV371" s="4907"/>
      <c r="AW371" s="4907"/>
      <c r="AX371" s="4907"/>
      <c r="AY371" s="4907"/>
      <c r="AZ371" s="4908"/>
      <c r="BA371" s="4906"/>
      <c r="BB371" s="4907"/>
      <c r="BC371" s="4907"/>
      <c r="BD371" s="4907"/>
      <c r="BE371" s="4907"/>
      <c r="BF371" s="4907"/>
      <c r="BG371" s="4907"/>
      <c r="BH371" s="4907"/>
      <c r="BI371" s="4907"/>
      <c r="BJ371" s="4908"/>
      <c r="BK371" s="987">
        <f>SUM(K367:K371)-SUM(V371:BA371)</f>
        <v>0</v>
      </c>
      <c r="BL371" s="972"/>
      <c r="BM371" s="1007"/>
      <c r="BN371" s="991"/>
      <c r="BO371" s="992"/>
      <c r="BP371" s="993" t="str">
        <f>IF(I371="Si",VLOOKUP($D$8,TablasTec!$E$4:$F$6,2,FALSE),"")</f>
        <v/>
      </c>
      <c r="BQ371" s="963" t="str">
        <f>IF(L371="Si",VLOOKUP($D$8,TablasTec!$I$4:$J$6,2,FALSE),"")</f>
        <v/>
      </c>
      <c r="BR371" s="994" t="str">
        <f>IF(O371="Si",VLOOKUP($D$8,TablasTec!$I$7:$J$9,2,FALSE),"")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c r="A372" s="922"/>
      <c r="B372" s="922"/>
      <c r="C372" s="4909"/>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89"/>
      <c r="BL372" s="4889"/>
      <c r="BM372" s="4854"/>
      <c r="BN372" s="960">
        <f>SUM(K372:K375)</f>
        <v>0</v>
      </c>
      <c r="BO372" s="954">
        <f>IF(E372=0,"",(AF372+AP372+AZ372+BJ372))</f>
        <v>0</v>
      </c>
      <c r="BP372" s="961" t="str">
        <f>IF(I372="Si",VLOOKUP($D$8,TablasTec!$E$4:$F$6,2,FALSE),"")</f>
        <v/>
      </c>
      <c r="BQ372" s="962" t="str">
        <f>IF(L372="Si",VLOOKUP($D$8,TablasTec!$I$4:$J$6,2,FALSE),"")</f>
        <v/>
      </c>
      <c r="BR372" s="960" t="str">
        <f>IF(O372="Si",VLOOKUP($D$8,TablasTec!$I$7:$J$9,2,FALSE),"")</f>
        <v/>
      </c>
      <c r="BS372" s="977"/>
      <c r="BT372" s="4853" t="s">
        <v>4553</v>
      </c>
      <c r="BU372" s="4854"/>
      <c r="BV372" s="954"/>
      <c r="BW372" s="934"/>
      <c r="BX372" s="934"/>
      <c r="BY372" s="1269"/>
      <c r="BZ372" s="1287"/>
      <c r="CA372" s="922"/>
      <c r="DR372" s="922"/>
      <c r="DT372" s="1308"/>
      <c r="DU372" s="1360"/>
      <c r="DV372" s="1360"/>
      <c r="DW372" s="1360"/>
      <c r="DX372" s="1360"/>
      <c r="DY372" s="1307"/>
      <c r="DZ372" s="922"/>
      <c r="EA372" s="1453">
        <f t="shared" si="5"/>
        <v>1</v>
      </c>
    </row>
    <row r="373" spans="1:131" ht="12">
      <c r="A373" s="922"/>
      <c r="B373" s="922"/>
      <c r="C373" s="4909"/>
      <c r="D373" s="1439" t="s">
        <v>4552</v>
      </c>
      <c r="E373" s="966"/>
      <c r="F373" s="989"/>
      <c r="G373" s="989"/>
      <c r="H373" s="987" t="str">
        <f>IF(D341=0,"",IF(E373=0,"",VLOOKUP(E373,TablasTec!$A$14:$V$771,4,FALSE)))</f>
        <v/>
      </c>
      <c r="I373" s="989"/>
      <c r="J373" s="989"/>
      <c r="K373" s="1021"/>
      <c r="L373" s="989"/>
      <c r="M373" s="989"/>
      <c r="N373" s="1021"/>
      <c r="O373" s="989"/>
      <c r="P373" s="989"/>
      <c r="Q373" s="989"/>
      <c r="R373" s="988" t="str">
        <f>IF(E373=0,"",VLOOKUP(E373,TablasTec!$A$14:$V$771,8,FALSE))</f>
        <v/>
      </c>
      <c r="S373" s="1014" t="str">
        <f>IF(R373=$D$8,$D$8,IF(R373=2,2,IF(R373=3,3,R373)))</f>
        <v/>
      </c>
      <c r="T373" s="989" t="str">
        <f>IF(E373=0,"",VLOOKUP(E373,TablasTec!$A$14:$V$771,9,FALSE))</f>
        <v/>
      </c>
      <c r="U373" s="1016" t="str">
        <f>IF(E373=0,"",VLOOKUP(E373,TablasTec!$A$14:$V$771,10,FALSE))</f>
        <v/>
      </c>
      <c r="V373" s="1017"/>
      <c r="W373" s="1017"/>
      <c r="X373" s="1016"/>
      <c r="Y373" s="1016"/>
      <c r="Z373" s="1016"/>
      <c r="AA373" s="1016"/>
      <c r="AB373" s="1016"/>
      <c r="AC373" s="1016"/>
      <c r="AD373" s="1016"/>
      <c r="AE373" s="1016"/>
      <c r="AF373" s="1016"/>
      <c r="AG373" s="4886" t="str">
        <f>IF(OR(E373=TablasTec!A$678,E373=TablasTec!A$679,E374=TablasTec!A$678,E374=TablasTec!A$679,E375=TablasTec!A$678,E375=TablasTec!A$679),"Selecciona la atadura elemental:","")</f>
        <v/>
      </c>
      <c r="AH373" s="4887"/>
      <c r="AI373" s="4887"/>
      <c r="AJ373" s="4887"/>
      <c r="AK373" s="4887"/>
      <c r="AL373" s="4887"/>
      <c r="AM373" s="4887"/>
      <c r="AN373" s="4887"/>
      <c r="AO373" s="4887"/>
      <c r="AP373" s="4887"/>
      <c r="AQ373" s="4887"/>
      <c r="AR373" s="4887"/>
      <c r="AS373" s="4887"/>
      <c r="AT373" s="4887"/>
      <c r="AU373" s="4887"/>
      <c r="AV373" s="4887"/>
      <c r="AW373" s="4887"/>
      <c r="AX373" s="4887"/>
      <c r="AY373" s="4887"/>
      <c r="AZ373" s="4887"/>
      <c r="BA373" s="4887"/>
      <c r="BB373" s="4887"/>
      <c r="BC373" s="4887"/>
      <c r="BD373" s="4887"/>
      <c r="BE373" s="4887"/>
      <c r="BF373" s="4887"/>
      <c r="BG373" s="4887"/>
      <c r="BH373" s="4887"/>
      <c r="BI373" s="4887"/>
      <c r="BJ373" s="4887"/>
      <c r="BK373" s="4888"/>
      <c r="BL373" s="1424"/>
      <c r="BM373" s="1424"/>
      <c r="BN373" s="989"/>
      <c r="BO373" s="989"/>
      <c r="BP373" s="1021"/>
      <c r="BQ373" s="989"/>
      <c r="BR373" s="989"/>
      <c r="BS373" s="989"/>
      <c r="BT373" s="4855">
        <f>D341</f>
        <v>1</v>
      </c>
      <c r="BU373" s="4856"/>
      <c r="BV373" s="954">
        <f>IF(BV372=0,0,VLOOKUP(BV372,TablasTec!$M$4:$N$7,2,FALSE))</f>
        <v>0</v>
      </c>
      <c r="BW373" s="934"/>
      <c r="BX373" s="934"/>
      <c r="BY373" s="1269"/>
      <c r="BZ373" s="1287"/>
      <c r="CA373" s="922"/>
      <c r="DR373" s="922"/>
      <c r="DT373" s="1308"/>
      <c r="DU373" s="1360"/>
      <c r="DV373" s="1360"/>
      <c r="DW373" s="1360"/>
      <c r="DX373" s="1360"/>
      <c r="DY373" s="1307"/>
      <c r="DZ373" s="922"/>
      <c r="EA373" s="1453">
        <f t="shared" si="5"/>
        <v>1</v>
      </c>
    </row>
    <row r="374" spans="1:131">
      <c r="A374" s="922"/>
      <c r="B374" s="922"/>
      <c r="C374" s="4909"/>
      <c r="D374" s="1435" t="s">
        <v>4554</v>
      </c>
      <c r="E374" s="1022"/>
      <c r="F374" s="1388"/>
      <c r="G374" s="1389"/>
      <c r="H374" s="979" t="str">
        <f>IF(VALUE(D341)&gt;1,IF(E374=0,"",VLOOKUP(E374,TablasTec!$A$14:$V$771,4,FALSE)),"")</f>
        <v/>
      </c>
      <c r="I374" s="1388"/>
      <c r="J374" s="1389"/>
      <c r="K374" s="1389"/>
      <c r="L374" s="1388"/>
      <c r="M374" s="1389"/>
      <c r="N374" s="1390"/>
      <c r="O374" s="1389"/>
      <c r="P374" s="1389"/>
      <c r="Q374" s="1389"/>
      <c r="R374" s="983" t="str">
        <f>IF(E374=0,"",VLOOKUP(E374,TablasTec!$A$14:$V$771,8,FALSE))</f>
        <v/>
      </c>
      <c r="S374" s="981" t="str">
        <f>IF(R374=$D$8,$D$8,IF(R374=2,2,IF(R374=3,3,R374)))</f>
        <v/>
      </c>
      <c r="T374" s="984" t="str">
        <f>IF(E374=0,"",VLOOKUP(E374,TablasTec!$A$14:$V$771,9,FALSE))</f>
        <v/>
      </c>
      <c r="U374" s="984" t="str">
        <f>IF(E374=0,"",VLOOKUP(E374,TablasTec!$A$14:$V$771,10,FALSE))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c r="A375" s="922"/>
      <c r="B375" s="922"/>
      <c r="C375" s="4909"/>
      <c r="D375" s="1440" t="s">
        <v>4555</v>
      </c>
      <c r="E375" s="1023"/>
      <c r="F375" s="3176"/>
      <c r="G375" s="998"/>
      <c r="H375" s="997" t="str">
        <f>IF(VALUE(D341)=3,IF(E375=0,"",VLOOKUP(E375,TablasTec!$A$14:$V$771,4,FALSE)),"")</f>
        <v/>
      </c>
      <c r="I375" s="998"/>
      <c r="J375" s="998"/>
      <c r="K375" s="998"/>
      <c r="L375" s="3176"/>
      <c r="M375" s="998"/>
      <c r="N375" s="998"/>
      <c r="O375" s="3176"/>
      <c r="P375" s="998"/>
      <c r="Q375" s="998"/>
      <c r="R375" s="1018" t="str">
        <f>IF(E375=0,"",VLOOKUP(E375,TablasTec!$A$14:$V$771,8,FALSE))</f>
        <v/>
      </c>
      <c r="S375" s="997" t="str">
        <f>IF(R375=$D$8,$D$8,IF(R375=2,2,IF(R375=3,3,R375)))</f>
        <v/>
      </c>
      <c r="T375" s="998" t="str">
        <f>IF(E375=0,"",VLOOKUP(E375,TablasTec!$A$14:$V$771,9,FALSE))</f>
        <v/>
      </c>
      <c r="U375" s="998" t="str">
        <f>IF(E375=0,"",VLOOKUP(E375,TablasTec!$A$14:$V$771,10,FALSE))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IF(BV374=0,0,VLOOKUP(BV374,TablasTec!$M$4:$N$7,2,FALSE))</f>
        <v>0</v>
      </c>
      <c r="BW375" s="934"/>
      <c r="BX375" s="934"/>
      <c r="BY375" s="1269"/>
      <c r="BZ375" s="1287"/>
      <c r="CA375" s="926"/>
      <c r="DR375" s="926"/>
      <c r="DT375" s="1311"/>
      <c r="DU375" s="1416"/>
      <c r="DV375" s="1416"/>
      <c r="DW375" s="1416"/>
      <c r="DX375" s="1416"/>
      <c r="DY375" s="1312"/>
      <c r="DZ375" s="926"/>
      <c r="EA375" s="1453">
        <f t="shared" si="5"/>
        <v>1</v>
      </c>
    </row>
    <row r="376" spans="1:131">
      <c r="A376" s="926"/>
      <c r="B376" s="926"/>
      <c r="C376" s="4909"/>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2130" stopIfTrue="1">
      <formula>$BT40&lt;2</formula>
    </cfRule>
  </conditionalFormatting>
  <conditionalFormatting sqref="E42">
    <cfRule type="expression" dxfId="233" priority="2140" stopIfTrue="1">
      <formula>$BT40&lt;3</formula>
    </cfRule>
  </conditionalFormatting>
  <conditionalFormatting sqref="BT11:BU11">
    <cfRule type="cellIs" dxfId="232" priority="1722" stopIfTrue="1" operator="notBetween">
      <formula>$BT9</formula>
      <formula>$BU$9</formula>
    </cfRule>
  </conditionalFormatting>
  <conditionalFormatting sqref="AT40:AU40 AG40:AP40">
    <cfRule type="expression" dxfId="231"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61" stopIfTrue="1" operator="greaterThan">
      <formula>$EA10</formula>
    </cfRule>
  </conditionalFormatting>
  <conditionalFormatting sqref="BC40:BK40 AY40">
    <cfRule type="expression" dxfId="229"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59">
      <formula>NOT(ISNUMBER(SEARCH(BL40,BK10&amp;BL10&amp;BM10&amp;BM16&amp;BL16&amp;BK16&amp;BK22&amp;BL22&amp;BM22&amp;BK28&amp;BL28&amp;BM28&amp;BK34&amp;BL34&amp;BM34)))</formula>
    </cfRule>
  </conditionalFormatting>
  <conditionalFormatting sqref="BM40">
    <cfRule type="expression" dxfId="224" priority="1058">
      <formula>NOT(ISNUMBER(SEARCH(BM40,BK10&amp;BL10&amp;BM10&amp;BM16&amp;BL16&amp;BK16&amp;BK22&amp;BL22&amp;BM22&amp;BK28&amp;BL28&amp;BM28&amp;BK34&amp;BL34&amp;BM34)))</formula>
    </cfRule>
  </conditionalFormatting>
  <conditionalFormatting sqref="AV40">
    <cfRule type="expression" dxfId="223"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19" stopIfTrue="1">
      <formula>AND($D8=1,OR(COUNTIF($L10:$L38,"Si")&gt;0,COUNTIF($O10:$O38,"Si")))</formula>
    </cfRule>
    <cfRule type="expression" dxfId="216" priority="14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stopIfTrue="1" operator="notBetween">
      <formula>$BT46</formula>
      <formula>$BU$9</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stopIfTrue="1" operator="notBetween">
      <formula>$BT83</formula>
      <formula>$BU$9</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stopIfTrue="1" operator="notBetween">
      <formula>$BT120</formula>
      <formula>$BU$9</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stopIfTrue="1" operator="notBetween">
      <formula>$BT157</formula>
      <formula>$BU$9</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stopIfTrue="1" operator="notBetween">
      <formula>$BT194</formula>
      <formula>$BU$9</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stopIfTrue="1" operator="notBetween">
      <formula>$BT231</formula>
      <formula>$BU$9</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stopIfTrue="1" operator="notBetween">
      <formula>$BT268</formula>
      <formula>$BU$9</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stopIfTrue="1" operator="notBetween">
      <formula>$BT305</formula>
      <formula>$BU$9</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stopIfTrue="1" operator="notBetween">
      <formula>$BT342</formula>
      <formula>$BU$9</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4000000}">
      <formula1>EFECTOS</formula1>
    </dataValidation>
    <dataValidation type="list" allowBlank="1" showInputMessage="1" showErrorMessage="1" sqref="E41:E42 E115:E116 E337:E338 E78:E79 E226:E227 E152:E153 E189:E190 E263:E264 E300:E301 E374:E375" xr:uid="{00000000-0002-0000-0A00-000005000000}">
      <formula1 xml:space="preserve">  DESVENTAJAS_KI</formula1>
    </dataValidation>
    <dataValidation type="list" allowBlank="1" showInputMessage="1" showErrorMessage="1" sqref="E40 E114 E77 E225 E151 E188 E262 E336 E299 E373" xr:uid="{00000000-0002-0000-0A00-000006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7000000}">
      <formula1>Rebajar_coste_de_Ki</formula1>
    </dataValidation>
    <dataValidation type="list" allowBlank="1" showInputMessage="1" showErrorMessage="1" sqref="BT16:BU16 BT53:BU53 BT201:BU201 BT127:BU127 BT164:BU164 BT238:BU238 BT90:BU90 BT312:BU312 BT275:BU275 BT349:BU349" xr:uid="{00000000-0002-0000-0A00-000008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9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A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B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C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TablasTec!$Z$16:$Z$22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TablasTec!$P$6:$P$8</xm:f>
          </x14:formula1>
          <xm:sqref>D8 D193 D82 D304 D230 D45 D119 D156 D267 D341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c r="A3" s="173"/>
      <c r="B3" s="1672"/>
      <c r="C3" s="4628"/>
      <c r="D3" s="4629"/>
      <c r="E3" s="4629"/>
      <c r="F3" s="4629"/>
      <c r="G3" s="4629"/>
      <c r="H3" s="4629"/>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c r="A4" s="173"/>
      <c r="B4" s="1672"/>
      <c r="C4" s="4630"/>
      <c r="D4" s="3304"/>
      <c r="E4" s="3304"/>
      <c r="F4" s="3304"/>
      <c r="G4" s="3304"/>
      <c r="H4" s="3304"/>
      <c r="I4" s="12"/>
      <c r="J4" s="3223" t="s">
        <v>1625</v>
      </c>
      <c r="K4" s="3223"/>
      <c r="L4" s="3224" t="str">
        <f>IF(OR(General!$G$22="",General!$G$22=0),"",General!$G$22)</f>
        <v/>
      </c>
      <c r="M4" s="3224"/>
      <c r="N4" s="3224"/>
      <c r="O4" s="3224"/>
      <c r="P4" s="3224"/>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c r="A5" s="173"/>
      <c r="B5" s="1672"/>
      <c r="C5" s="4630"/>
      <c r="D5" s="3304"/>
      <c r="E5" s="3304"/>
      <c r="F5" s="3304"/>
      <c r="G5" s="3304"/>
      <c r="H5" s="3304"/>
      <c r="I5" s="12"/>
      <c r="J5" s="3300" t="s">
        <v>1626</v>
      </c>
      <c r="K5" s="3300"/>
      <c r="L5" s="3301" t="str">
        <f>Principal!$L$5</f>
        <v>Guerrero</v>
      </c>
      <c r="M5" s="3301"/>
      <c r="N5" s="3301"/>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c r="A6" s="173"/>
      <c r="B6" s="1672"/>
      <c r="C6" s="4630"/>
      <c r="D6" s="3304"/>
      <c r="E6" s="3304"/>
      <c r="F6" s="3304"/>
      <c r="G6" s="3304"/>
      <c r="H6" s="3304"/>
      <c r="I6" s="12"/>
      <c r="J6" s="3302" t="s">
        <v>2149</v>
      </c>
      <c r="K6" s="3302"/>
      <c r="L6" s="3302"/>
      <c r="M6" s="3302"/>
      <c r="N6" s="3302"/>
      <c r="O6" s="3302"/>
      <c r="P6" s="3302"/>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c r="A7" s="173"/>
      <c r="B7" s="1672"/>
      <c r="C7" s="4630"/>
      <c r="D7" s="3304"/>
      <c r="E7" s="3304"/>
      <c r="F7" s="3304"/>
      <c r="G7" s="3304"/>
      <c r="H7" s="3304"/>
      <c r="I7" s="12"/>
      <c r="J7" s="3302"/>
      <c r="K7" s="3302"/>
      <c r="L7" s="3302"/>
      <c r="M7" s="3302"/>
      <c r="N7" s="3302"/>
      <c r="O7" s="3302"/>
      <c r="P7" s="3302"/>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c r="A8" s="173"/>
      <c r="B8" s="1672"/>
      <c r="C8" s="4631"/>
      <c r="D8" s="4632"/>
      <c r="E8" s="4632"/>
      <c r="F8" s="4632"/>
      <c r="G8" s="4632"/>
      <c r="H8" s="4632"/>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8925</v>
      </c>
      <c r="AM8" s="3120" t="s">
        <v>8926</v>
      </c>
      <c r="AR8" s="43"/>
      <c r="AS8" s="43"/>
      <c r="AT8" s="43"/>
    </row>
    <row r="9" spans="1:46" ht="12" customHeight="1" thickBot="1">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Abbadon</v>
      </c>
      <c r="AM9" s="3120" t="str">
        <f>IF(ISNUMBER(MATCH($U$11,Lista_LuzyOscuridad,0)),$U$11,"ElanPersonalizado")</f>
        <v>ElanPersonalizado</v>
      </c>
      <c r="AR9" s="43"/>
      <c r="AS9" s="43"/>
      <c r="AT9" s="43"/>
    </row>
    <row r="10" spans="1:46" ht="12" customHeight="1" thickBot="1">
      <c r="A10" s="173"/>
      <c r="B10" s="1672"/>
      <c r="C10" s="4910" t="s">
        <v>2149</v>
      </c>
      <c r="D10" s="4911"/>
      <c r="E10" s="4911"/>
      <c r="F10" s="4911"/>
      <c r="G10" s="4912"/>
      <c r="H10" s="67"/>
      <c r="I10" s="3395" t="str">
        <f>"Modificadores Elan: "&amp;C11</f>
        <v>Modificadores Elan: Abbadon</v>
      </c>
      <c r="J10" s="3396"/>
      <c r="K10" s="3396"/>
      <c r="L10" s="3396"/>
      <c r="M10" s="3396"/>
      <c r="N10" s="3396"/>
      <c r="O10" s="3396"/>
      <c r="P10" s="3396"/>
      <c r="Q10" s="3398"/>
      <c r="R10" s="157"/>
      <c r="S10" s="2668"/>
      <c r="T10" s="2009"/>
      <c r="U10" s="4910" t="s">
        <v>2149</v>
      </c>
      <c r="V10" s="4911"/>
      <c r="W10" s="4911"/>
      <c r="X10" s="4911"/>
      <c r="Y10" s="4912"/>
      <c r="Z10" s="67"/>
      <c r="AA10" s="3463" t="str">
        <f>"Modificadores Elan: "&amp;U11</f>
        <v xml:space="preserve">Modificadores Elan: </v>
      </c>
      <c r="AB10" s="3464"/>
      <c r="AC10" s="3464"/>
      <c r="AD10" s="3464"/>
      <c r="AE10" s="3464"/>
      <c r="AF10" s="3464"/>
      <c r="AG10" s="3464"/>
      <c r="AH10" s="3464"/>
      <c r="AI10" s="4913"/>
      <c r="AJ10" s="1962"/>
      <c r="AK10" s="1675"/>
      <c r="AR10" s="43"/>
      <c r="AS10" s="43"/>
      <c r="AT10" s="43"/>
    </row>
    <row r="11" spans="1:46" ht="12" customHeight="1" thickBot="1">
      <c r="A11" s="173"/>
      <c r="B11" s="1672"/>
      <c r="C11" s="4927" t="s">
        <v>7889</v>
      </c>
      <c r="D11" s="4928"/>
      <c r="E11" s="4928"/>
      <c r="F11" s="4928"/>
      <c r="G11" s="4929">
        <v>80</v>
      </c>
      <c r="H11" s="67"/>
      <c r="I11" s="4922" t="s">
        <v>8085</v>
      </c>
      <c r="J11" s="4930"/>
      <c r="K11" s="4930"/>
      <c r="L11" s="4930"/>
      <c r="M11" s="4930"/>
      <c r="N11" s="4931"/>
      <c r="O11" s="4925" t="s">
        <v>8087</v>
      </c>
      <c r="P11" s="4930"/>
      <c r="Q11" s="4926"/>
      <c r="R11" s="157"/>
      <c r="S11" s="2668"/>
      <c r="T11" s="2009"/>
      <c r="U11" s="4914"/>
      <c r="V11" s="4915"/>
      <c r="W11" s="4915"/>
      <c r="X11" s="4916"/>
      <c r="Y11" s="4920"/>
      <c r="Z11" s="67"/>
      <c r="AA11" s="4922" t="s">
        <v>8085</v>
      </c>
      <c r="AB11" s="4923"/>
      <c r="AC11" s="4923"/>
      <c r="AD11" s="4923"/>
      <c r="AE11" s="4923"/>
      <c r="AF11" s="4924"/>
      <c r="AG11" s="4925" t="s">
        <v>8087</v>
      </c>
      <c r="AH11" s="4923"/>
      <c r="AI11" s="4926"/>
      <c r="AJ11" s="1962"/>
      <c r="AK11" s="1675"/>
      <c r="AL11" s="3120" t="s">
        <v>9953</v>
      </c>
      <c r="AR11" s="43"/>
      <c r="AS11" s="43"/>
      <c r="AT11" s="43"/>
    </row>
    <row r="12" spans="1:46" ht="12" customHeight="1">
      <c r="A12" s="173"/>
      <c r="B12" s="1672"/>
      <c r="C12" s="4927"/>
      <c r="D12" s="4928"/>
      <c r="E12" s="4928"/>
      <c r="F12" s="4928"/>
      <c r="G12" s="4929"/>
      <c r="H12" s="67"/>
      <c r="I12" s="4932" t="str">
        <f>IF(C$11="","",INDEX(Tabla_ModElan,MATCH(C$11,INDEX(Tabla_ModElan,,1),0)+Tablas!$A1,1))</f>
        <v>Dejarse dominar por sentimientos oscuros</v>
      </c>
      <c r="J12" s="4933"/>
      <c r="K12" s="4933"/>
      <c r="L12" s="4933"/>
      <c r="M12" s="4934"/>
      <c r="N12" s="2414">
        <f t="shared" ref="N12:N18" si="0">IF(I12="","",INDEX(Tabla_ModElan,MATCH(I12,INDEX(Tabla_ModElan,,1),0),2))</f>
        <v>1</v>
      </c>
      <c r="O12" s="4935" t="str">
        <f>IF(C$11="","",INDEX(Tabla_ModElan,MATCH(C$11,INDEX(Tabla_ModElan,,1),0)+Tablas!$A1,5))</f>
        <v>Ayudar a otros sin beneficio propio</v>
      </c>
      <c r="P12" s="4936"/>
      <c r="Q12" s="4941">
        <f>IF(O12="","",INDEX(Tabla_ModElan,MATCH(O12,INDEX(Tabla_ModElan,,5),0),6))</f>
        <v>-1</v>
      </c>
      <c r="R12" s="157"/>
      <c r="S12" s="2668"/>
      <c r="T12" s="2009"/>
      <c r="U12" s="4917"/>
      <c r="V12" s="4918"/>
      <c r="W12" s="4918"/>
      <c r="X12" s="4919"/>
      <c r="Y12" s="4921"/>
      <c r="Z12" s="67"/>
      <c r="AA12" s="4932" t="str">
        <f>IF(U$11="","",INDEX(Tabla_ModElan,MATCH(U$11,INDEX(Tabla_ModElan,,1),0)+Tablas!$A1,1))</f>
        <v/>
      </c>
      <c r="AB12" s="4933"/>
      <c r="AC12" s="4933"/>
      <c r="AD12" s="4933"/>
      <c r="AE12" s="4934"/>
      <c r="AF12" s="2414" t="str">
        <f t="shared" ref="AF12:AF18" si="1">IF(AA12="","",INDEX(Tabla_ModElan,MATCH(AA12,INDEX(Tabla_ModElan,,1),0),2))</f>
        <v/>
      </c>
      <c r="AG12" s="4935" t="str">
        <f>IF(U$11="","",INDEX(Tabla_ModElan,MATCH(U$11,INDEX(Tabla_ModElan,,1),0)+Tablas!$A1,5))</f>
        <v/>
      </c>
      <c r="AH12" s="4936"/>
      <c r="AI12" s="4941" t="str">
        <f>IF(AG12="","",INDEX(Tabla_ModElan,MATCH(AG12,INDEX(Tabla_ModElan,,5),0),6))</f>
        <v/>
      </c>
      <c r="AJ12" s="1962"/>
      <c r="AK12" s="1675"/>
      <c r="AL12" s="3120" t="s">
        <v>8928</v>
      </c>
      <c r="AM12" s="3120" t="s">
        <v>8929</v>
      </c>
      <c r="AR12" s="43"/>
      <c r="AS12" s="43"/>
      <c r="AT12" s="43"/>
    </row>
    <row r="13" spans="1:46" ht="12" customHeight="1">
      <c r="A13" s="173"/>
      <c r="B13" s="1672"/>
      <c r="C13" s="4315" t="s">
        <v>8002</v>
      </c>
      <c r="D13" s="4316"/>
      <c r="E13" s="4316"/>
      <c r="F13" s="4316"/>
      <c r="G13" s="2000">
        <f t="shared" ref="G13:G25" si="2">IF(C13="","",VLOOKUP(C13,Tabla_Elan,5,FALSE))</f>
        <v>10</v>
      </c>
      <c r="H13" s="67"/>
      <c r="I13" s="4947" t="str">
        <f>IF(C$11="","",INDEX(Tabla_ModElan,MATCH(C$11,INDEX(Tabla_ModElan,,1),0)+Tablas!$A2,1))</f>
        <v>Cometer un acto realmente maligno</v>
      </c>
      <c r="J13" s="3676"/>
      <c r="K13" s="3676"/>
      <c r="L13" s="3676"/>
      <c r="M13" s="4948"/>
      <c r="N13" s="2415">
        <f t="shared" si="0"/>
        <v>4</v>
      </c>
      <c r="O13" s="4937"/>
      <c r="P13" s="4938"/>
      <c r="Q13" s="4942"/>
      <c r="R13" s="157"/>
      <c r="S13" s="2668"/>
      <c r="T13" s="2009"/>
      <c r="U13" s="4944"/>
      <c r="V13" s="4945"/>
      <c r="W13" s="4945"/>
      <c r="X13" s="4946"/>
      <c r="Y13" s="2000" t="str">
        <f t="shared" ref="Y13:Y25" si="3">IF(U13="","",VLOOKUP(U13,Tabla_Elan,5,FALSE))</f>
        <v/>
      </c>
      <c r="Z13" s="67"/>
      <c r="AA13" s="4947" t="str">
        <f>IF(U$11="","",INDEX(Tabla_ModElan,MATCH(U$11,INDEX(Tabla_ModElan,,1),0)+Tablas!$A2,1))</f>
        <v/>
      </c>
      <c r="AB13" s="3676"/>
      <c r="AC13" s="3676"/>
      <c r="AD13" s="3676"/>
      <c r="AE13" s="4948"/>
      <c r="AF13" s="2415" t="str">
        <f t="shared" si="1"/>
        <v/>
      </c>
      <c r="AG13" s="4937"/>
      <c r="AH13" s="4938"/>
      <c r="AI13" s="4942"/>
      <c r="AJ13" s="1962"/>
      <c r="AK13" s="1675"/>
      <c r="AL13" s="3120" t="b">
        <f>IF(OR($G$11="",Elan!C13=""),FALSE,$G$11&lt;VLOOKUP(C13,Tabla_Elan,3,FALSE))</f>
        <v>0</v>
      </c>
      <c r="AM13" s="3120" t="b">
        <f>IF(OR($Y$11="",Elan!U13=""),FALSE,$Y$11&lt;VLOOKUP(U13,Tabla_Elan,3,FALSE))</f>
        <v>0</v>
      </c>
      <c r="AR13" s="96"/>
      <c r="AS13" s="96"/>
      <c r="AT13" s="43"/>
    </row>
    <row r="14" spans="1:46" ht="12" customHeight="1">
      <c r="A14" s="173"/>
      <c r="B14" s="1672"/>
      <c r="C14" s="4952"/>
      <c r="D14" s="4953"/>
      <c r="E14" s="4953"/>
      <c r="F14" s="4953"/>
      <c r="G14" s="2001" t="str">
        <f t="shared" si="2"/>
        <v/>
      </c>
      <c r="H14" s="2608" t="s">
        <v>3054</v>
      </c>
      <c r="I14" s="4947" t="str">
        <f>IF(C$11="","",INDEX(Tabla_ModElan,MATCH(C$11,INDEX(Tabla_ModElan,,1),0)+Tablas!$A3,1))</f>
        <v>Extender el mal entre un gran número de personas</v>
      </c>
      <c r="J14" s="3676"/>
      <c r="K14" s="3676"/>
      <c r="L14" s="3676"/>
      <c r="M14" s="4948"/>
      <c r="N14" s="2415">
        <f t="shared" si="0"/>
        <v>3</v>
      </c>
      <c r="O14" s="4939"/>
      <c r="P14" s="4940"/>
      <c r="Q14" s="4943"/>
      <c r="R14" s="157"/>
      <c r="S14" s="2668"/>
      <c r="T14" s="2009"/>
      <c r="U14" s="4949"/>
      <c r="V14" s="4950"/>
      <c r="W14" s="4950"/>
      <c r="X14" s="4951"/>
      <c r="Y14" s="2001" t="str">
        <f t="shared" si="3"/>
        <v/>
      </c>
      <c r="Z14" s="2608" t="s">
        <v>3054</v>
      </c>
      <c r="AA14" s="4947" t="str">
        <f>IF(U$11="","",INDEX(Tabla_ModElan,MATCH(U$11,INDEX(Tabla_ModElan,,1),0)+Tablas!$A3,1))</f>
        <v/>
      </c>
      <c r="AB14" s="3676"/>
      <c r="AC14" s="3676"/>
      <c r="AD14" s="3676"/>
      <c r="AE14" s="4948"/>
      <c r="AF14" s="2415" t="str">
        <f t="shared" si="1"/>
        <v/>
      </c>
      <c r="AG14" s="3593"/>
      <c r="AH14" s="4940"/>
      <c r="AI14" s="4943"/>
      <c r="AJ14" s="1962"/>
      <c r="AK14" s="1675"/>
      <c r="AL14" s="3120" t="b">
        <f>IF(OR($G$11="",Elan!C14=""),FALSE,$G$11&lt;VLOOKUP(C14,Tabla_Elan,3,FALSE))</f>
        <v>0</v>
      </c>
      <c r="AM14" s="3120" t="b">
        <f>IF(OR($Y$11="",Elan!U14=""),FALSE,$Y$11&lt;VLOOKUP(U14,Tabla_Elan,3,FALSE))</f>
        <v>0</v>
      </c>
      <c r="AT14" s="43"/>
    </row>
    <row r="15" spans="1:46" ht="12" customHeight="1">
      <c r="A15" s="173"/>
      <c r="B15" s="1672"/>
      <c r="C15" s="4274"/>
      <c r="D15" s="4275"/>
      <c r="E15" s="4275"/>
      <c r="F15" s="4275"/>
      <c r="G15" s="2002" t="str">
        <f t="shared" si="2"/>
        <v/>
      </c>
      <c r="H15" s="2608" t="s">
        <v>3052</v>
      </c>
      <c r="I15" s="4947" t="str">
        <f>IF(C$11="","",INDEX(Tabla_ModElan,MATCH(C$11,INDEX(Tabla_ModElan,,1),0)+Tablas!$A4,1))</f>
        <v>Crear cultos de adoración al diablo o a un dios del mal</v>
      </c>
      <c r="J15" s="3676"/>
      <c r="K15" s="3676"/>
      <c r="L15" s="3676"/>
      <c r="M15" s="4948"/>
      <c r="N15" s="2415">
        <f t="shared" si="0"/>
        <v>2</v>
      </c>
      <c r="O15" s="4935" t="str">
        <f>IF(C$11="","",INDEX(Tabla_ModElan,MATCH(C$11,INDEX(Tabla_ModElan,,1),0)+Tablas!$A2,5))</f>
        <v>Realizar un acto realmente benigno</v>
      </c>
      <c r="P15" s="4936"/>
      <c r="Q15" s="4941">
        <f>IF(O15="","",INDEX(Tabla_ModElan,MATCH(O15,INDEX(Tabla_ModElan,,5),0),6))</f>
        <v>-6</v>
      </c>
      <c r="R15" s="157"/>
      <c r="S15" s="2668"/>
      <c r="T15" s="2009"/>
      <c r="U15" s="4274"/>
      <c r="V15" s="4275"/>
      <c r="W15" s="4275"/>
      <c r="X15" s="4275"/>
      <c r="Y15" s="2002" t="str">
        <f t="shared" si="3"/>
        <v/>
      </c>
      <c r="Z15" s="2608" t="s">
        <v>3052</v>
      </c>
      <c r="AA15" s="4947" t="str">
        <f>IF(U$11="","",INDEX(Tabla_ModElan,MATCH(U$11,INDEX(Tabla_ModElan,,1),0)+Tablas!$A4,1))</f>
        <v/>
      </c>
      <c r="AB15" s="3676"/>
      <c r="AC15" s="3676"/>
      <c r="AD15" s="3676"/>
      <c r="AE15" s="4948"/>
      <c r="AF15" s="2415" t="str">
        <f t="shared" si="1"/>
        <v/>
      </c>
      <c r="AG15" s="4935" t="str">
        <f>IF(U$11="","",INDEX(Tabla_ModElan,MATCH(U$11,INDEX(Tabla_ModElan,,1),0)+Tablas!$A2,5))</f>
        <v/>
      </c>
      <c r="AH15" s="4936"/>
      <c r="AI15" s="4941"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c r="A16" s="173"/>
      <c r="B16" s="1672"/>
      <c r="C16" s="4952"/>
      <c r="D16" s="4953"/>
      <c r="E16" s="4953"/>
      <c r="F16" s="4953"/>
      <c r="G16" s="2001" t="str">
        <f t="shared" si="2"/>
        <v/>
      </c>
      <c r="H16" s="67"/>
      <c r="I16" s="4947" t="str">
        <f>IF(C$11="","",INDEX(Tabla_ModElan,MATCH(C$11,INDEX(Tabla_ModElan,,1),0)+Tablas!$A5,1))</f>
        <v>Inducir a otros a pecar</v>
      </c>
      <c r="J16" s="3676"/>
      <c r="K16" s="3676"/>
      <c r="L16" s="3676"/>
      <c r="M16" s="4948"/>
      <c r="N16" s="2415">
        <f t="shared" si="0"/>
        <v>2</v>
      </c>
      <c r="O16" s="4937"/>
      <c r="P16" s="4938"/>
      <c r="Q16" s="4942"/>
      <c r="R16" s="157"/>
      <c r="S16" s="2668"/>
      <c r="T16" s="2009"/>
      <c r="U16" s="4952"/>
      <c r="V16" s="4953"/>
      <c r="W16" s="4953"/>
      <c r="X16" s="4953"/>
      <c r="Y16" s="2001" t="str">
        <f t="shared" si="3"/>
        <v/>
      </c>
      <c r="Z16" s="67"/>
      <c r="AA16" s="4947" t="str">
        <f>IF(U$11="","",INDEX(Tabla_ModElan,MATCH(U$11,INDEX(Tabla_ModElan,,1),0)+Tablas!$A5,1))</f>
        <v/>
      </c>
      <c r="AB16" s="3676"/>
      <c r="AC16" s="3676"/>
      <c r="AD16" s="3676"/>
      <c r="AE16" s="4948"/>
      <c r="AF16" s="2415" t="str">
        <f t="shared" si="1"/>
        <v/>
      </c>
      <c r="AG16" s="4937"/>
      <c r="AH16" s="4938"/>
      <c r="AI16" s="4942"/>
      <c r="AJ16" s="1962"/>
      <c r="AK16" s="1675"/>
      <c r="AL16" s="3120" t="b">
        <f>IF(OR($G$11="",Elan!C16=""),FALSE,$G$11&lt;VLOOKUP(C16,Tabla_Elan,3,FALSE))</f>
        <v>0</v>
      </c>
      <c r="AM16" s="3120" t="b">
        <f>IF(OR($Y$11="",Elan!U16=""),FALSE,$Y$11&lt;VLOOKUP(U16,Tabla_Elan,3,FALSE))</f>
        <v>0</v>
      </c>
      <c r="AT16" s="43"/>
    </row>
    <row r="17" spans="1:56" ht="12" customHeight="1">
      <c r="A17" s="173"/>
      <c r="B17" s="1672"/>
      <c r="C17" s="4274"/>
      <c r="D17" s="4275"/>
      <c r="E17" s="4275"/>
      <c r="F17" s="4275"/>
      <c r="G17" s="2002" t="str">
        <f t="shared" si="2"/>
        <v/>
      </c>
      <c r="H17" s="67"/>
      <c r="I17" s="4947">
        <f>IF(C$11="","",INDEX(Tabla_ModElan,MATCH(C$11,INDEX(Tabla_ModElan,,1),0)+Tablas!$A6,1))</f>
        <v>0</v>
      </c>
      <c r="J17" s="3676"/>
      <c r="K17" s="3676"/>
      <c r="L17" s="3676"/>
      <c r="M17" s="4948"/>
      <c r="N17" s="2415">
        <f t="shared" si="0"/>
        <v>0</v>
      </c>
      <c r="O17" s="4939"/>
      <c r="P17" s="4940"/>
      <c r="Q17" s="4943"/>
      <c r="R17" s="157"/>
      <c r="S17" s="2668"/>
      <c r="T17" s="2009"/>
      <c r="U17" s="4274"/>
      <c r="V17" s="4275"/>
      <c r="W17" s="4275"/>
      <c r="X17" s="4275"/>
      <c r="Y17" s="2002" t="str">
        <f t="shared" si="3"/>
        <v/>
      </c>
      <c r="Z17" s="67"/>
      <c r="AA17" s="4947" t="str">
        <f>IF(U$11="","",INDEX(Tabla_ModElan,MATCH(U$11,INDEX(Tabla_ModElan,,1),0)+Tablas!$A6,1))</f>
        <v/>
      </c>
      <c r="AB17" s="3676"/>
      <c r="AC17" s="3676"/>
      <c r="AD17" s="3676"/>
      <c r="AE17" s="4948"/>
      <c r="AF17" s="2415" t="str">
        <f t="shared" si="1"/>
        <v/>
      </c>
      <c r="AG17" s="4939"/>
      <c r="AH17" s="4940"/>
      <c r="AI17" s="4943"/>
      <c r="AJ17" s="1962"/>
      <c r="AK17" s="1675"/>
      <c r="AL17" s="3120" t="b">
        <f>IF(OR($G$11="",Elan!C17=""),FALSE,$G$11&lt;VLOOKUP(C17,Tabla_Elan,3,FALSE))</f>
        <v>0</v>
      </c>
      <c r="AM17" s="3120" t="b">
        <f>IF(OR($Y$11="",Elan!U17=""),FALSE,$Y$11&lt;VLOOKUP(U17,Tabla_Elan,3,FALSE))</f>
        <v>0</v>
      </c>
      <c r="AT17" s="43"/>
    </row>
    <row r="18" spans="1:56" ht="12" customHeight="1">
      <c r="A18" s="173"/>
      <c r="B18" s="1672"/>
      <c r="C18" s="4952"/>
      <c r="D18" s="4953"/>
      <c r="E18" s="4953"/>
      <c r="F18" s="4953"/>
      <c r="G18" s="2001" t="str">
        <f t="shared" si="2"/>
        <v/>
      </c>
      <c r="H18" s="67"/>
      <c r="I18" s="4954">
        <f>IF(C$11="","",INDEX(Tabla_ModElan,MATCH(C$11,INDEX(Tabla_ModElan,,1),0)+Tablas!$A7,1))</f>
        <v>0</v>
      </c>
      <c r="J18" s="4955"/>
      <c r="K18" s="4955"/>
      <c r="L18" s="4955"/>
      <c r="M18" s="4956"/>
      <c r="N18" s="2415">
        <f t="shared" si="0"/>
        <v>0</v>
      </c>
      <c r="O18" s="4935">
        <f>IF(C$11="","",INDEX(Tabla_ModElan,MATCH(C$11,INDEX(Tabla_ModElan,,1),0)+Tablas!$A3,5))</f>
        <v>0</v>
      </c>
      <c r="P18" s="4936"/>
      <c r="Q18" s="4941">
        <f>IF(O18="","",INDEX(Tabla_ModElan,MATCH(O18,INDEX(Tabla_ModElan,,5),0),6))</f>
        <v>0</v>
      </c>
      <c r="R18" s="157"/>
      <c r="S18" s="2668"/>
      <c r="T18" s="2009"/>
      <c r="U18" s="4952"/>
      <c r="V18" s="4953"/>
      <c r="W18" s="4953"/>
      <c r="X18" s="4953"/>
      <c r="Y18" s="2001" t="str">
        <f t="shared" si="3"/>
        <v/>
      </c>
      <c r="Z18" s="67"/>
      <c r="AA18" s="4954" t="str">
        <f>IF(U$11="","",INDEX(Tabla_ModElan,MATCH(U$11,INDEX(Tabla_ModElan,,1),0)+Tablas!$A7,1))</f>
        <v/>
      </c>
      <c r="AB18" s="4955"/>
      <c r="AC18" s="4955"/>
      <c r="AD18" s="4955"/>
      <c r="AE18" s="4956"/>
      <c r="AF18" s="2415" t="str">
        <f t="shared" si="1"/>
        <v/>
      </c>
      <c r="AG18" s="4935" t="str">
        <f>IF(U$11="","",INDEX(Tabla_ModElan,MATCH(U$11,INDEX(Tabla_ModElan,,1),0)+Tablas!$A3,5))</f>
        <v/>
      </c>
      <c r="AH18" s="4936"/>
      <c r="AI18" s="4941"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c r="A19" s="173"/>
      <c r="B19" s="1672"/>
      <c r="C19" s="4274"/>
      <c r="D19" s="4275"/>
      <c r="E19" s="4275"/>
      <c r="F19" s="4275"/>
      <c r="G19" s="2002" t="str">
        <f t="shared" si="2"/>
        <v/>
      </c>
      <c r="H19" s="67"/>
      <c r="I19" s="4922" t="s">
        <v>8086</v>
      </c>
      <c r="J19" s="4930"/>
      <c r="K19" s="4930"/>
      <c r="L19" s="4930"/>
      <c r="M19" s="4930"/>
      <c r="N19" s="4931"/>
      <c r="O19" s="4937"/>
      <c r="P19" s="4938"/>
      <c r="Q19" s="4942"/>
      <c r="R19" s="157"/>
      <c r="S19" s="2668"/>
      <c r="T19" s="2009"/>
      <c r="U19" s="4274"/>
      <c r="V19" s="4275"/>
      <c r="W19" s="4275"/>
      <c r="X19" s="4275"/>
      <c r="Y19" s="2002" t="str">
        <f t="shared" si="3"/>
        <v/>
      </c>
      <c r="Z19" s="67"/>
      <c r="AA19" s="4922" t="s">
        <v>8086</v>
      </c>
      <c r="AB19" s="4930"/>
      <c r="AC19" s="4930"/>
      <c r="AD19" s="4930"/>
      <c r="AE19" s="4930"/>
      <c r="AF19" s="4931"/>
      <c r="AG19" s="4937"/>
      <c r="AH19" s="4938"/>
      <c r="AI19" s="4942"/>
      <c r="AJ19" s="1962"/>
      <c r="AK19" s="1675"/>
      <c r="AL19" s="3120" t="b">
        <f>IF(OR($G$11="",Elan!C19=""),FALSE,$G$11&lt;VLOOKUP(C19,Tabla_Elan,3,FALSE))</f>
        <v>0</v>
      </c>
      <c r="AM19" s="3120" t="b">
        <f>IF(OR($Y$11="",Elan!U19=""),FALSE,$Y$11&lt;VLOOKUP(U19,Tabla_Elan,3,FALSE))</f>
        <v>0</v>
      </c>
      <c r="AR19" s="43"/>
      <c r="AS19" s="43"/>
      <c r="AT19" s="43"/>
    </row>
    <row r="20" spans="1:56" ht="12" customHeight="1">
      <c r="A20" s="173"/>
      <c r="B20" s="1672"/>
      <c r="C20" s="4952"/>
      <c r="D20" s="4953"/>
      <c r="E20" s="4953"/>
      <c r="F20" s="4953"/>
      <c r="G20" s="2003" t="str">
        <f t="shared" si="2"/>
        <v/>
      </c>
      <c r="H20" s="67"/>
      <c r="I20" s="4932" t="str">
        <f>IF(C$11="","",INDEX(Tabla_ModElan,MATCH(C$11,INDEX(Tabla_ModElan,,1),0)+Tablas!$A1,3))</f>
        <v>Corromper el corazón de una persona pura</v>
      </c>
      <c r="J20" s="4933"/>
      <c r="K20" s="4933"/>
      <c r="L20" s="4933"/>
      <c r="M20" s="4934"/>
      <c r="N20" s="2414">
        <f t="shared" ref="N20:N26" si="4">IF(I20="","",INDEX(Tabla_ModElan,MATCH(I20,INDEX(Tabla_ModElan,,3),0),4))</f>
        <v>2</v>
      </c>
      <c r="O20" s="4939"/>
      <c r="P20" s="4940"/>
      <c r="Q20" s="4943"/>
      <c r="R20" s="157"/>
      <c r="S20" s="2668"/>
      <c r="T20" s="2009"/>
      <c r="U20" s="4952"/>
      <c r="V20" s="4953"/>
      <c r="W20" s="4953"/>
      <c r="X20" s="4953"/>
      <c r="Y20" s="2003" t="str">
        <f t="shared" si="3"/>
        <v/>
      </c>
      <c r="Z20" s="67"/>
      <c r="AA20" s="4932" t="str">
        <f>IF(U$11="","",INDEX(Tabla_ModElan,MATCH(U$11,INDEX(Tabla_ModElan,,1),0)+Tablas!$A1,3))</f>
        <v/>
      </c>
      <c r="AB20" s="4933"/>
      <c r="AC20" s="4933"/>
      <c r="AD20" s="4933"/>
      <c r="AE20" s="4934"/>
      <c r="AF20" s="2414" t="str">
        <f t="shared" ref="AF20:AF26" si="5">IF(AA20="","",INDEX(Tabla_ModElan,MATCH(AA20,INDEX(Tabla_ModElan,,3),0),4))</f>
        <v/>
      </c>
      <c r="AG20" s="4939"/>
      <c r="AH20" s="4940"/>
      <c r="AI20" s="4943"/>
      <c r="AJ20" s="1962"/>
      <c r="AK20" s="1675"/>
      <c r="AL20" s="3120" t="b">
        <f>IF(OR($G$11="",Elan!C20=""),FALSE,$G$11&lt;VLOOKUP(C20,Tabla_Elan,3,FALSE))</f>
        <v>0</v>
      </c>
      <c r="AM20" s="3120" t="b">
        <f>IF(OR($Y$11="",Elan!U20=""),FALSE,$Y$11&lt;VLOOKUP(U20,Tabla_Elan,3,FALSE))</f>
        <v>0</v>
      </c>
      <c r="AR20" s="43"/>
      <c r="AS20" s="43"/>
      <c r="AT20" s="43"/>
    </row>
    <row r="21" spans="1:56" ht="12" customHeight="1">
      <c r="A21" s="173"/>
      <c r="B21" s="1672"/>
      <c r="C21" s="4274"/>
      <c r="D21" s="4275"/>
      <c r="E21" s="4275"/>
      <c r="F21" s="4275"/>
      <c r="G21" s="2002" t="str">
        <f t="shared" si="2"/>
        <v/>
      </c>
      <c r="H21" s="67"/>
      <c r="I21" s="4947" t="str">
        <f>IF(C$11="","",INDEX(Tabla_ModElan,MATCH(C$11,INDEX(Tabla_ModElan,,1),0)+Tablas!$A2,3))</f>
        <v>Producir un mal mayor para el mundo</v>
      </c>
      <c r="J21" s="3676"/>
      <c r="K21" s="3676"/>
      <c r="L21" s="3676"/>
      <c r="M21" s="3676"/>
      <c r="N21" s="2415">
        <f t="shared" si="4"/>
        <v>3</v>
      </c>
      <c r="O21" s="4935">
        <f>IF(C$11="","",INDEX(Tabla_ModElan,MATCH(C$11,INDEX(Tabla_ModElan,,1),0)+Tablas!$A4,5))</f>
        <v>0</v>
      </c>
      <c r="P21" s="4936"/>
      <c r="Q21" s="4941">
        <f>IF(O21="","",INDEX(Tabla_ModElan,MATCH(O21,INDEX(Tabla_ModElan,,5),0),6))</f>
        <v>0</v>
      </c>
      <c r="R21" s="157"/>
      <c r="S21" s="2668"/>
      <c r="T21" s="2009"/>
      <c r="U21" s="4274"/>
      <c r="V21" s="4275"/>
      <c r="W21" s="4275"/>
      <c r="X21" s="4275"/>
      <c r="Y21" s="2002" t="str">
        <f t="shared" si="3"/>
        <v/>
      </c>
      <c r="Z21" s="67"/>
      <c r="AA21" s="4947" t="str">
        <f>IF(U$11="","",INDEX(Tabla_ModElan,MATCH(U$11,INDEX(Tabla_ModElan,,1),0)+Tablas!$A2,3))</f>
        <v/>
      </c>
      <c r="AB21" s="3676"/>
      <c r="AC21" s="3676"/>
      <c r="AD21" s="3676"/>
      <c r="AE21" s="3676"/>
      <c r="AF21" s="2415" t="str">
        <f t="shared" si="5"/>
        <v/>
      </c>
      <c r="AG21" s="4935" t="str">
        <f>IF(U$11="","",INDEX(Tabla_ModElan,MATCH(U$11,INDEX(Tabla_ModElan,,1),0)+Tablas!$A4,5))</f>
        <v/>
      </c>
      <c r="AH21" s="4936"/>
      <c r="AI21" s="4941"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c r="A22" s="173"/>
      <c r="B22" s="1672"/>
      <c r="C22" s="4952"/>
      <c r="D22" s="4953"/>
      <c r="E22" s="4953"/>
      <c r="F22" s="4953"/>
      <c r="G22" s="2003" t="str">
        <f t="shared" si="2"/>
        <v/>
      </c>
      <c r="H22" s="67"/>
      <c r="I22" s="4947">
        <f>IF(C$11="","",INDEX(Tabla_ModElan,MATCH(C$11,INDEX(Tabla_ModElan,,1),0)+Tablas!$A3,3))</f>
        <v>0</v>
      </c>
      <c r="J22" s="3676"/>
      <c r="K22" s="3676"/>
      <c r="L22" s="3676"/>
      <c r="M22" s="3676"/>
      <c r="N22" s="2415">
        <f t="shared" si="4"/>
        <v>0</v>
      </c>
      <c r="O22" s="4937"/>
      <c r="P22" s="4938"/>
      <c r="Q22" s="4942"/>
      <c r="R22" s="157"/>
      <c r="S22" s="2668"/>
      <c r="T22" s="2009"/>
      <c r="U22" s="4952"/>
      <c r="V22" s="4953"/>
      <c r="W22" s="4953"/>
      <c r="X22" s="4953"/>
      <c r="Y22" s="2003" t="str">
        <f t="shared" si="3"/>
        <v/>
      </c>
      <c r="Z22" s="67"/>
      <c r="AA22" s="4947" t="str">
        <f>IF(U$11="","",INDEX(Tabla_ModElan,MATCH(U$11,INDEX(Tabla_ModElan,,1),0)+Tablas!$A3,3))</f>
        <v/>
      </c>
      <c r="AB22" s="3676"/>
      <c r="AC22" s="3676"/>
      <c r="AD22" s="3676"/>
      <c r="AE22" s="3676"/>
      <c r="AF22" s="2415" t="str">
        <f t="shared" si="5"/>
        <v/>
      </c>
      <c r="AG22" s="4937"/>
      <c r="AH22" s="4938"/>
      <c r="AI22" s="4942"/>
      <c r="AJ22" s="1962"/>
      <c r="AK22" s="1675"/>
      <c r="AL22" s="3120" t="b">
        <f>IF(OR($G$11="",Elan!C22=""),FALSE,$G$11&lt;VLOOKUP(C22,Tabla_Elan,3,FALSE))</f>
        <v>0</v>
      </c>
      <c r="AM22" s="3120" t="b">
        <f>IF(OR($Y$11="",Elan!U22=""),FALSE,$Y$11&lt;VLOOKUP(U22,Tabla_Elan,3,FALSE))</f>
        <v>0</v>
      </c>
      <c r="AR22" s="43"/>
      <c r="AS22" s="43"/>
      <c r="AT22" s="43"/>
    </row>
    <row r="23" spans="1:56" ht="12" customHeight="1">
      <c r="A23" s="173"/>
      <c r="B23" s="1672"/>
      <c r="C23" s="4274"/>
      <c r="D23" s="4275"/>
      <c r="E23" s="4275"/>
      <c r="F23" s="4275"/>
      <c r="G23" s="2002" t="str">
        <f t="shared" si="2"/>
        <v/>
      </c>
      <c r="H23" s="67"/>
      <c r="I23" s="4947">
        <f>IF(C$11="","",INDEX(Tabla_ModElan,MATCH(C$11,INDEX(Tabla_ModElan,,1),0)+Tablas!$A4,3))</f>
        <v>0</v>
      </c>
      <c r="J23" s="3676"/>
      <c r="K23" s="3676"/>
      <c r="L23" s="3676"/>
      <c r="M23" s="3676"/>
      <c r="N23" s="2415">
        <f t="shared" si="4"/>
        <v>0</v>
      </c>
      <c r="O23" s="4939"/>
      <c r="P23" s="4940"/>
      <c r="Q23" s="4943"/>
      <c r="R23" s="157"/>
      <c r="S23" s="2668"/>
      <c r="T23" s="2009"/>
      <c r="U23" s="4274"/>
      <c r="V23" s="4275"/>
      <c r="W23" s="4275"/>
      <c r="X23" s="4275"/>
      <c r="Y23" s="2002" t="str">
        <f t="shared" si="3"/>
        <v/>
      </c>
      <c r="Z23" s="67"/>
      <c r="AA23" s="4947" t="str">
        <f>IF(U$11="","",INDEX(Tabla_ModElan,MATCH(U$11,INDEX(Tabla_ModElan,,1),0)+Tablas!$A4,3))</f>
        <v/>
      </c>
      <c r="AB23" s="3676"/>
      <c r="AC23" s="3676"/>
      <c r="AD23" s="3676"/>
      <c r="AE23" s="3676"/>
      <c r="AF23" s="2415" t="str">
        <f t="shared" si="5"/>
        <v/>
      </c>
      <c r="AG23" s="4939"/>
      <c r="AH23" s="4940"/>
      <c r="AI23" s="4943"/>
      <c r="AJ23" s="1962"/>
      <c r="AK23" s="1675"/>
      <c r="AL23" s="3120" t="b">
        <f>IF(OR($G$11="",Elan!C23=""),FALSE,$G$11&lt;VLOOKUP(C23,Tabla_Elan,3,FALSE))</f>
        <v>0</v>
      </c>
      <c r="AM23" s="3120" t="b">
        <f>IF(OR($Y$11="",Elan!U23=""),FALSE,$Y$11&lt;VLOOKUP(U23,Tabla_Elan,3,FALSE))</f>
        <v>0</v>
      </c>
      <c r="AR23" s="43"/>
      <c r="AS23" s="43"/>
      <c r="AT23" s="43"/>
    </row>
    <row r="24" spans="1:56" ht="12" customHeight="1">
      <c r="A24" s="173"/>
      <c r="B24" s="1672"/>
      <c r="C24" s="4952"/>
      <c r="D24" s="4953"/>
      <c r="E24" s="4953"/>
      <c r="F24" s="4953"/>
      <c r="G24" s="2003" t="str">
        <f t="shared" si="2"/>
        <v/>
      </c>
      <c r="H24" s="67"/>
      <c r="I24" s="4947">
        <f>IF(C$11="","",INDEX(Tabla_ModElan,MATCH(C$11,INDEX(Tabla_ModElan,,1),0)+Tablas!$A5,3))</f>
        <v>0</v>
      </c>
      <c r="J24" s="3676"/>
      <c r="K24" s="3676"/>
      <c r="L24" s="3676"/>
      <c r="M24" s="3676"/>
      <c r="N24" s="2415">
        <f t="shared" si="4"/>
        <v>0</v>
      </c>
      <c r="O24" s="4935">
        <f>IF(C$11="","",INDEX(Tabla_ModElan,MATCH(C$11,INDEX(Tabla_ModElan,,1),0)+Tablas!$A5,5))</f>
        <v>0</v>
      </c>
      <c r="P24" s="4936"/>
      <c r="Q24" s="4941">
        <f>IF(O24="","",INDEX(Tabla_ModElan,MATCH(O24,INDEX(Tabla_ModElan,,5),0),6))</f>
        <v>0</v>
      </c>
      <c r="R24" s="157"/>
      <c r="S24" s="2668"/>
      <c r="T24" s="2009"/>
      <c r="U24" s="4952"/>
      <c r="V24" s="4953"/>
      <c r="W24" s="4953"/>
      <c r="X24" s="4953"/>
      <c r="Y24" s="2003" t="str">
        <f t="shared" si="3"/>
        <v/>
      </c>
      <c r="Z24" s="67"/>
      <c r="AA24" s="4947" t="str">
        <f>IF(U$11="","",INDEX(Tabla_ModElan,MATCH(U$11,INDEX(Tabla_ModElan,,1),0)+Tablas!$A5,3))</f>
        <v/>
      </c>
      <c r="AB24" s="3676"/>
      <c r="AC24" s="3676"/>
      <c r="AD24" s="3676"/>
      <c r="AE24" s="3676"/>
      <c r="AF24" s="2415" t="str">
        <f t="shared" si="5"/>
        <v/>
      </c>
      <c r="AG24" s="4935" t="str">
        <f>IF(U$11="","",INDEX(Tabla_ModElan,MATCH(U$11,INDEX(Tabla_ModElan,,1),0)+Tablas!$A5,5))</f>
        <v/>
      </c>
      <c r="AH24" s="4936"/>
      <c r="AI24" s="4941"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c r="A25" s="173"/>
      <c r="B25" s="1672"/>
      <c r="C25" s="4274"/>
      <c r="D25" s="4275"/>
      <c r="E25" s="4275"/>
      <c r="F25" s="4275"/>
      <c r="G25" s="2002" t="str">
        <f t="shared" si="2"/>
        <v/>
      </c>
      <c r="H25" s="67"/>
      <c r="I25" s="4947">
        <f>IF(C$11="","",INDEX(Tabla_ModElan,MATCH(C$11,INDEX(Tabla_ModElan,,1),0)+Tablas!$A6,3))</f>
        <v>0</v>
      </c>
      <c r="J25" s="3676"/>
      <c r="K25" s="3676"/>
      <c r="L25" s="3676"/>
      <c r="M25" s="3676"/>
      <c r="N25" s="2415">
        <f t="shared" si="4"/>
        <v>0</v>
      </c>
      <c r="O25" s="4937"/>
      <c r="P25" s="4938"/>
      <c r="Q25" s="4942"/>
      <c r="R25" s="157"/>
      <c r="S25" s="2668"/>
      <c r="T25" s="2009"/>
      <c r="U25" s="4274"/>
      <c r="V25" s="4275"/>
      <c r="W25" s="4275"/>
      <c r="X25" s="4275"/>
      <c r="Y25" s="2002" t="str">
        <f t="shared" si="3"/>
        <v/>
      </c>
      <c r="Z25" s="67"/>
      <c r="AA25" s="4947" t="str">
        <f>IF(U$11="","",INDEX(Tabla_ModElan,MATCH(U$11,INDEX(Tabla_ModElan,,1),0)+Tablas!$A6,3))</f>
        <v/>
      </c>
      <c r="AB25" s="3676"/>
      <c r="AC25" s="3676"/>
      <c r="AD25" s="3676"/>
      <c r="AE25" s="3676"/>
      <c r="AF25" s="2415" t="str">
        <f t="shared" si="5"/>
        <v/>
      </c>
      <c r="AG25" s="4937"/>
      <c r="AH25" s="4938"/>
      <c r="AI25" s="4942"/>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c r="A26" s="173"/>
      <c r="B26" s="1672"/>
      <c r="C26" s="4957" t="str">
        <f>IF(SUM(G13:G25)&gt;G11,"Exceso de Elán utilizado","")</f>
        <v/>
      </c>
      <c r="D26" s="4958"/>
      <c r="E26" s="4958"/>
      <c r="F26" s="4958"/>
      <c r="G26" s="4959"/>
      <c r="H26" s="67"/>
      <c r="I26" s="4960">
        <f>IF(C$11="","",INDEX(Tabla_ModElan,MATCH(C$11,INDEX(Tabla_ModElan,,1),0)+Tablas!$A7,3))</f>
        <v>0</v>
      </c>
      <c r="J26" s="4961"/>
      <c r="K26" s="4961"/>
      <c r="L26" s="4961"/>
      <c r="M26" s="4961"/>
      <c r="N26" s="2416">
        <f t="shared" si="4"/>
        <v>0</v>
      </c>
      <c r="O26" s="4963"/>
      <c r="P26" s="4964"/>
      <c r="Q26" s="4965"/>
      <c r="R26" s="157"/>
      <c r="S26" s="2668"/>
      <c r="T26" s="2009"/>
      <c r="U26" s="4957" t="str">
        <f>IF(SUM(Y13:Y25)&gt;Y11,"Exceso de Elán utilizado","")</f>
        <v/>
      </c>
      <c r="V26" s="4958"/>
      <c r="W26" s="4958"/>
      <c r="X26" s="4958"/>
      <c r="Y26" s="4959"/>
      <c r="Z26" s="67"/>
      <c r="AA26" s="4960" t="str">
        <f>IF(U$11="","",INDEX(Tabla_ModElan,MATCH(U$11,INDEX(Tabla_ModElan,,1),0)+Tablas!$A7,3))</f>
        <v/>
      </c>
      <c r="AB26" s="4961"/>
      <c r="AC26" s="4961"/>
      <c r="AD26" s="4961"/>
      <c r="AE26" s="4961"/>
      <c r="AF26" s="2416" t="str">
        <f t="shared" si="5"/>
        <v/>
      </c>
      <c r="AG26" s="4963"/>
      <c r="AH26" s="4964"/>
      <c r="AI26" s="4965"/>
      <c r="AJ26" s="1962"/>
      <c r="AK26" s="1675"/>
      <c r="AR26" s="43"/>
      <c r="AS26" s="157"/>
      <c r="AT26" s="157"/>
      <c r="AU26" s="157"/>
      <c r="AV26" s="157"/>
    </row>
    <row r="27" spans="1:56" ht="12" customHeight="1" thickBot="1">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c r="A28" s="173"/>
      <c r="B28" s="1672"/>
      <c r="C28" s="3463" t="s">
        <v>8414</v>
      </c>
      <c r="D28" s="3464"/>
      <c r="E28" s="3464"/>
      <c r="F28" s="3464"/>
      <c r="G28" s="4966" t="s">
        <v>1861</v>
      </c>
      <c r="H28" s="4967"/>
      <c r="I28" s="4967"/>
      <c r="J28" s="4967"/>
      <c r="K28" s="4967"/>
      <c r="L28" s="4967"/>
      <c r="M28" s="4967"/>
      <c r="N28" s="4967"/>
      <c r="O28" s="4967"/>
      <c r="P28" s="4967"/>
      <c r="Q28" s="4967"/>
      <c r="R28" s="4967"/>
      <c r="S28" s="4967"/>
      <c r="T28" s="4967"/>
      <c r="U28" s="4967"/>
      <c r="V28" s="4967"/>
      <c r="W28" s="4967"/>
      <c r="X28" s="4967"/>
      <c r="Y28" s="4967"/>
      <c r="Z28" s="4967"/>
      <c r="AA28" s="4967"/>
      <c r="AB28" s="4967"/>
      <c r="AC28" s="4967"/>
      <c r="AD28" s="4967"/>
      <c r="AE28" s="4967"/>
      <c r="AF28" s="4967"/>
      <c r="AG28" s="4967"/>
      <c r="AH28" s="4967"/>
      <c r="AI28" s="4968"/>
      <c r="AJ28" s="1962"/>
      <c r="AK28" s="1675"/>
      <c r="AR28" s="43"/>
      <c r="AS28" s="43"/>
      <c r="AT28" s="43"/>
    </row>
    <row r="29" spans="1:56" ht="12" customHeight="1">
      <c r="A29" s="173"/>
      <c r="B29" s="1672"/>
      <c r="C29" s="2005"/>
      <c r="D29" s="2006"/>
      <c r="E29" s="2006"/>
      <c r="F29" s="1887" t="str">
        <f>IF(ISNA(MATCH(Tablas!$A1,INDEX(Tabla_Elan,,14),0)),"",INDEX(INDEX(Tabla_Elan,,1),MATCH(Tablas!$A1,INDEX(Tabla_Elan,,14),0)))</f>
        <v>Encarnación demoníaca</v>
      </c>
      <c r="G29" s="4962" t="str">
        <f t="shared" ref="G29:G49" si="6">IF(F29="","",VLOOKUP(F29,Tabla_Elan,8,FALSE))</f>
        <v>El PJ recibe una cantidad de PD equivalente al doble de su nivel de Elan para gastar en cualquier poder sobrenatural como si tuviera Gnosis 25.</v>
      </c>
      <c r="H29" s="3478"/>
      <c r="I29" s="3478"/>
      <c r="J29" s="3478"/>
      <c r="K29" s="3478"/>
      <c r="L29" s="3478"/>
      <c r="M29" s="3478"/>
      <c r="N29" s="3478"/>
      <c r="O29" s="3478"/>
      <c r="P29" s="3478"/>
      <c r="Q29" s="3478"/>
      <c r="R29" s="3478"/>
      <c r="S29" s="3478"/>
      <c r="T29" s="3478"/>
      <c r="U29" s="3478"/>
      <c r="V29" s="3478"/>
      <c r="W29" s="3478"/>
      <c r="X29" s="3478"/>
      <c r="Y29" s="3478"/>
      <c r="Z29" s="3478"/>
      <c r="AA29" s="3478"/>
      <c r="AB29" s="3478"/>
      <c r="AC29" s="3478"/>
      <c r="AD29" s="3478"/>
      <c r="AE29" s="3478"/>
      <c r="AF29" s="3478"/>
      <c r="AG29" s="3478"/>
      <c r="AH29" s="3478"/>
      <c r="AI29" s="4280"/>
      <c r="AJ29" s="1962"/>
      <c r="AK29" s="1675"/>
      <c r="AR29" s="43"/>
      <c r="AS29" s="43"/>
      <c r="AT29" s="43"/>
      <c r="BB29" s="43"/>
      <c r="BC29" s="43"/>
      <c r="BD29" s="43"/>
    </row>
    <row r="30" spans="1:56" ht="12" customHeight="1">
      <c r="A30" s="173"/>
      <c r="B30" s="1672"/>
      <c r="C30" s="1889"/>
      <c r="D30" s="323"/>
      <c r="E30" s="323"/>
      <c r="F30" s="1888" t="str">
        <f>IF(ISNA(MATCH(Tablas!$A2,INDEX(Tabla_Elan,,14),0)),"",INDEX(INDEX(Tabla_Elan,,1),MATCH(Tablas!$A2,INDEX(Tabla_Elan,,14),0)))</f>
        <v/>
      </c>
      <c r="G30" s="4962" t="str">
        <f t="shared" si="6"/>
        <v/>
      </c>
      <c r="H30" s="3478"/>
      <c r="I30" s="3478"/>
      <c r="J30" s="3478"/>
      <c r="K30" s="3478"/>
      <c r="L30" s="3478"/>
      <c r="M30" s="3478"/>
      <c r="N30" s="3478"/>
      <c r="O30" s="3478"/>
      <c r="P30" s="3478"/>
      <c r="Q30" s="3478"/>
      <c r="R30" s="3478"/>
      <c r="S30" s="3478"/>
      <c r="T30" s="3478"/>
      <c r="U30" s="3478"/>
      <c r="V30" s="3478"/>
      <c r="W30" s="3478"/>
      <c r="X30" s="3478"/>
      <c r="Y30" s="3478"/>
      <c r="Z30" s="3478"/>
      <c r="AA30" s="3478"/>
      <c r="AB30" s="3478"/>
      <c r="AC30" s="3478"/>
      <c r="AD30" s="3478"/>
      <c r="AE30" s="3478"/>
      <c r="AF30" s="3478"/>
      <c r="AG30" s="3478"/>
      <c r="AH30" s="3478"/>
      <c r="AI30" s="4280"/>
      <c r="AJ30" s="1962"/>
      <c r="AK30" s="1675"/>
      <c r="BC30" s="43"/>
      <c r="BD30" s="43"/>
    </row>
    <row r="31" spans="1:56" ht="12" customHeight="1">
      <c r="A31" s="173"/>
      <c r="B31" s="1672"/>
      <c r="C31" s="1889"/>
      <c r="D31" s="323"/>
      <c r="E31" s="323"/>
      <c r="F31" s="1888" t="str">
        <f>IF(ISNA(MATCH(Tablas!$A3,INDEX(Tabla_Elan,,14),0)),"",INDEX(INDEX(Tabla_Elan,,1),MATCH(Tablas!$A3,INDEX(Tabla_Elan,,14),0)))</f>
        <v/>
      </c>
      <c r="G31" s="4962" t="str">
        <f t="shared" si="6"/>
        <v/>
      </c>
      <c r="H31" s="3478"/>
      <c r="I31" s="3478"/>
      <c r="J31" s="3478"/>
      <c r="K31" s="3478"/>
      <c r="L31" s="3478"/>
      <c r="M31" s="3478"/>
      <c r="N31" s="3478"/>
      <c r="O31" s="3478"/>
      <c r="P31" s="3478"/>
      <c r="Q31" s="3478"/>
      <c r="R31" s="3478"/>
      <c r="S31" s="3478"/>
      <c r="T31" s="3478"/>
      <c r="U31" s="3478"/>
      <c r="V31" s="3478"/>
      <c r="W31" s="3478"/>
      <c r="X31" s="3478"/>
      <c r="Y31" s="3478"/>
      <c r="Z31" s="3478"/>
      <c r="AA31" s="3478"/>
      <c r="AB31" s="3478"/>
      <c r="AC31" s="3478"/>
      <c r="AD31" s="3478"/>
      <c r="AE31" s="3478"/>
      <c r="AF31" s="3478"/>
      <c r="AG31" s="3478"/>
      <c r="AH31" s="3478"/>
      <c r="AI31" s="4280"/>
      <c r="AJ31" s="1962"/>
      <c r="AK31" s="1675"/>
      <c r="BC31" s="43"/>
      <c r="BD31" s="43"/>
    </row>
    <row r="32" spans="1:56" ht="12" customHeight="1">
      <c r="A32" s="173"/>
      <c r="B32" s="1672"/>
      <c r="C32" s="1889"/>
      <c r="D32" s="323"/>
      <c r="E32" s="323"/>
      <c r="F32" s="1888" t="str">
        <f>IF(ISNA(MATCH(Tablas!$A4,INDEX(Tabla_Elan,,14),0)),"",INDEX(INDEX(Tabla_Elan,,1),MATCH(Tablas!$A4,INDEX(Tabla_Elan,,14),0)))</f>
        <v/>
      </c>
      <c r="G32" s="4962" t="str">
        <f t="shared" si="6"/>
        <v/>
      </c>
      <c r="H32" s="3478"/>
      <c r="I32" s="3478"/>
      <c r="J32" s="3478"/>
      <c r="K32" s="3478"/>
      <c r="L32" s="3478"/>
      <c r="M32" s="3478"/>
      <c r="N32" s="3478"/>
      <c r="O32" s="3478"/>
      <c r="P32" s="3478"/>
      <c r="Q32" s="3478"/>
      <c r="R32" s="3478"/>
      <c r="S32" s="3478"/>
      <c r="T32" s="3478"/>
      <c r="U32" s="3478"/>
      <c r="V32" s="3478"/>
      <c r="W32" s="3478"/>
      <c r="X32" s="3478"/>
      <c r="Y32" s="3478"/>
      <c r="Z32" s="3478"/>
      <c r="AA32" s="3478"/>
      <c r="AB32" s="3478"/>
      <c r="AC32" s="3478"/>
      <c r="AD32" s="3478"/>
      <c r="AE32" s="3478"/>
      <c r="AF32" s="3478"/>
      <c r="AG32" s="3478"/>
      <c r="AH32" s="3478"/>
      <c r="AI32" s="4280"/>
      <c r="AJ32" s="1962"/>
      <c r="AK32" s="1675"/>
      <c r="BC32" s="43"/>
      <c r="BD32" s="43"/>
    </row>
    <row r="33" spans="1:56" ht="12" customHeight="1">
      <c r="A33" s="173"/>
      <c r="B33" s="1672"/>
      <c r="C33" s="1889"/>
      <c r="D33" s="323"/>
      <c r="E33" s="323"/>
      <c r="F33" s="1888" t="str">
        <f>IF(ISNA(MATCH(Tablas!$A5,INDEX(Tabla_Elan,,14),0)),"",INDEX(INDEX(Tabla_Elan,,1),MATCH(Tablas!$A5,INDEX(Tabla_Elan,,14),0)))</f>
        <v/>
      </c>
      <c r="G33" s="4962" t="str">
        <f t="shared" si="6"/>
        <v/>
      </c>
      <c r="H33" s="3478"/>
      <c r="I33" s="3478"/>
      <c r="J33" s="3478"/>
      <c r="K33" s="3478"/>
      <c r="L33" s="3478"/>
      <c r="M33" s="3478"/>
      <c r="N33" s="3478"/>
      <c r="O33" s="3478"/>
      <c r="P33" s="3478"/>
      <c r="Q33" s="3478"/>
      <c r="R33" s="3478"/>
      <c r="S33" s="3478"/>
      <c r="T33" s="3478"/>
      <c r="U33" s="3478"/>
      <c r="V33" s="3478"/>
      <c r="W33" s="3478"/>
      <c r="X33" s="3478"/>
      <c r="Y33" s="3478"/>
      <c r="Z33" s="3478"/>
      <c r="AA33" s="3478"/>
      <c r="AB33" s="3478"/>
      <c r="AC33" s="3478"/>
      <c r="AD33" s="3478"/>
      <c r="AE33" s="3478"/>
      <c r="AF33" s="3478"/>
      <c r="AG33" s="3478"/>
      <c r="AH33" s="3478"/>
      <c r="AI33" s="4280"/>
      <c r="AJ33" s="1962"/>
      <c r="AK33" s="1675"/>
      <c r="BC33" s="43"/>
      <c r="BD33" s="43"/>
    </row>
    <row r="34" spans="1:56" ht="12" customHeight="1">
      <c r="A34" s="173"/>
      <c r="B34" s="1672"/>
      <c r="C34" s="1889"/>
      <c r="D34" s="323"/>
      <c r="E34" s="323"/>
      <c r="F34" s="1888" t="str">
        <f>IF(ISNA(MATCH(Tablas!$A6,INDEX(Tabla_Elan,,14),0)),"",INDEX(INDEX(Tabla_Elan,,1),MATCH(Tablas!$A6,INDEX(Tabla_Elan,,14),0)))</f>
        <v/>
      </c>
      <c r="G34" s="4962" t="str">
        <f t="shared" si="6"/>
        <v/>
      </c>
      <c r="H34" s="3478"/>
      <c r="I34" s="3478"/>
      <c r="J34" s="3478"/>
      <c r="K34" s="3478"/>
      <c r="L34" s="3478"/>
      <c r="M34" s="3478"/>
      <c r="N34" s="3478"/>
      <c r="O34" s="3478"/>
      <c r="P34" s="3478"/>
      <c r="Q34" s="3478"/>
      <c r="R34" s="3478"/>
      <c r="S34" s="3478"/>
      <c r="T34" s="3478"/>
      <c r="U34" s="3478"/>
      <c r="V34" s="3478"/>
      <c r="W34" s="3478"/>
      <c r="X34" s="3478"/>
      <c r="Y34" s="3478"/>
      <c r="Z34" s="3478"/>
      <c r="AA34" s="3478"/>
      <c r="AB34" s="3478"/>
      <c r="AC34" s="3478"/>
      <c r="AD34" s="3478"/>
      <c r="AE34" s="3478"/>
      <c r="AF34" s="3478"/>
      <c r="AG34" s="3478"/>
      <c r="AH34" s="3478"/>
      <c r="AI34" s="4280"/>
      <c r="AJ34" s="1962"/>
      <c r="AK34" s="1675"/>
      <c r="BC34" s="43"/>
      <c r="BD34" s="43"/>
    </row>
    <row r="35" spans="1:56" ht="12" customHeight="1">
      <c r="A35" s="173"/>
      <c r="B35" s="1672"/>
      <c r="C35" s="1889"/>
      <c r="D35" s="323"/>
      <c r="E35" s="323"/>
      <c r="F35" s="1888" t="str">
        <f>IF(ISNA(MATCH(Tablas!$A7,INDEX(Tabla_Elan,,14),0)),"",INDEX(INDEX(Tabla_Elan,,1),MATCH(Tablas!$A7,INDEX(Tabla_Elan,,14),0)))</f>
        <v/>
      </c>
      <c r="G35" s="4962" t="str">
        <f t="shared" si="6"/>
        <v/>
      </c>
      <c r="H35" s="3478"/>
      <c r="I35" s="3478"/>
      <c r="J35" s="3478"/>
      <c r="K35" s="3478"/>
      <c r="L35" s="3478"/>
      <c r="M35" s="3478"/>
      <c r="N35" s="3478"/>
      <c r="O35" s="3478"/>
      <c r="P35" s="3478"/>
      <c r="Q35" s="3478"/>
      <c r="R35" s="3478"/>
      <c r="S35" s="3478"/>
      <c r="T35" s="3478"/>
      <c r="U35" s="3478"/>
      <c r="V35" s="3478"/>
      <c r="W35" s="3478"/>
      <c r="X35" s="3478"/>
      <c r="Y35" s="3478"/>
      <c r="Z35" s="3478"/>
      <c r="AA35" s="3478"/>
      <c r="AB35" s="3478"/>
      <c r="AC35" s="3478"/>
      <c r="AD35" s="3478"/>
      <c r="AE35" s="3478"/>
      <c r="AF35" s="3478"/>
      <c r="AG35" s="3478"/>
      <c r="AH35" s="3478"/>
      <c r="AI35" s="4280"/>
      <c r="AJ35" s="1962"/>
      <c r="AK35" s="1675"/>
      <c r="BC35" s="43"/>
      <c r="BD35" s="43"/>
    </row>
    <row r="36" spans="1:56" ht="12" customHeight="1">
      <c r="A36" s="173"/>
      <c r="B36" s="1672"/>
      <c r="C36" s="1889"/>
      <c r="D36" s="323"/>
      <c r="E36" s="323"/>
      <c r="F36" s="1888" t="str">
        <f>IF(ISNA(MATCH(Tablas!$A8,INDEX(Tabla_Elan,,14),0)),"",INDEX(INDEX(Tabla_Elan,,1),MATCH(Tablas!$A8,INDEX(Tabla_Elan,,14),0)))</f>
        <v/>
      </c>
      <c r="G36" s="4962" t="str">
        <f t="shared" si="6"/>
        <v/>
      </c>
      <c r="H36" s="3478"/>
      <c r="I36" s="3478"/>
      <c r="J36" s="3478"/>
      <c r="K36" s="3478"/>
      <c r="L36" s="3478"/>
      <c r="M36" s="3478"/>
      <c r="N36" s="3478"/>
      <c r="O36" s="3478"/>
      <c r="P36" s="3478"/>
      <c r="Q36" s="3478"/>
      <c r="R36" s="3478"/>
      <c r="S36" s="3478"/>
      <c r="T36" s="3478"/>
      <c r="U36" s="3478"/>
      <c r="V36" s="3478"/>
      <c r="W36" s="3478"/>
      <c r="X36" s="3478"/>
      <c r="Y36" s="3478"/>
      <c r="Z36" s="3478"/>
      <c r="AA36" s="3478"/>
      <c r="AB36" s="3478"/>
      <c r="AC36" s="3478"/>
      <c r="AD36" s="3478"/>
      <c r="AE36" s="3478"/>
      <c r="AF36" s="3478"/>
      <c r="AG36" s="3478"/>
      <c r="AH36" s="3478"/>
      <c r="AI36" s="4280"/>
      <c r="AJ36" s="1962"/>
      <c r="AK36" s="1675"/>
      <c r="BC36" s="43"/>
      <c r="BD36" s="43"/>
    </row>
    <row r="37" spans="1:56" ht="12" customHeight="1">
      <c r="A37" s="173"/>
      <c r="B37" s="1672"/>
      <c r="C37" s="1889"/>
      <c r="D37" s="323"/>
      <c r="E37" s="323"/>
      <c r="F37" s="1888" t="str">
        <f>IF(ISNA(MATCH(Tablas!$A9,INDEX(Tabla_Elan,,14),0)),"",INDEX(INDEX(Tabla_Elan,,1),MATCH(Tablas!$A9,INDEX(Tabla_Elan,,14),0)))</f>
        <v/>
      </c>
      <c r="G37" s="4962" t="str">
        <f t="shared" si="6"/>
        <v/>
      </c>
      <c r="H37" s="3478"/>
      <c r="I37" s="3478"/>
      <c r="J37" s="3478"/>
      <c r="K37" s="3478"/>
      <c r="L37" s="3478"/>
      <c r="M37" s="3478"/>
      <c r="N37" s="3478"/>
      <c r="O37" s="3478"/>
      <c r="P37" s="3478"/>
      <c r="Q37" s="3478"/>
      <c r="R37" s="3478"/>
      <c r="S37" s="3478"/>
      <c r="T37" s="3478"/>
      <c r="U37" s="3478"/>
      <c r="V37" s="3478"/>
      <c r="W37" s="3478"/>
      <c r="X37" s="3478"/>
      <c r="Y37" s="3478"/>
      <c r="Z37" s="3478"/>
      <c r="AA37" s="3478"/>
      <c r="AB37" s="3478"/>
      <c r="AC37" s="3478"/>
      <c r="AD37" s="3478"/>
      <c r="AE37" s="3478"/>
      <c r="AF37" s="3478"/>
      <c r="AG37" s="3478"/>
      <c r="AH37" s="3478"/>
      <c r="AI37" s="4280"/>
      <c r="AJ37" s="1962"/>
      <c r="AK37" s="1675"/>
      <c r="BC37" s="43"/>
      <c r="BD37" s="43"/>
    </row>
    <row r="38" spans="1:56" ht="12" customHeight="1">
      <c r="A38" s="173"/>
      <c r="B38" s="1672"/>
      <c r="C38" s="1889"/>
      <c r="D38" s="323"/>
      <c r="E38" s="323"/>
      <c r="F38" s="1888" t="str">
        <f>IF(ISNA(MATCH(Tablas!$A10,INDEX(Tabla_Elan,,14),0)),"",INDEX(INDEX(Tabla_Elan,,1),MATCH(Tablas!$A10,INDEX(Tabla_Elan,,14),0)))</f>
        <v/>
      </c>
      <c r="G38" s="4962" t="str">
        <f t="shared" si="6"/>
        <v/>
      </c>
      <c r="H38" s="3478"/>
      <c r="I38" s="3478"/>
      <c r="J38" s="3478"/>
      <c r="K38" s="3478"/>
      <c r="L38" s="3478"/>
      <c r="M38" s="3478"/>
      <c r="N38" s="3478"/>
      <c r="O38" s="3478"/>
      <c r="P38" s="3478"/>
      <c r="Q38" s="3478"/>
      <c r="R38" s="3478"/>
      <c r="S38" s="3478"/>
      <c r="T38" s="3478"/>
      <c r="U38" s="3478"/>
      <c r="V38" s="3478"/>
      <c r="W38" s="3478"/>
      <c r="X38" s="3478"/>
      <c r="Y38" s="3478"/>
      <c r="Z38" s="3478"/>
      <c r="AA38" s="3478"/>
      <c r="AB38" s="3478"/>
      <c r="AC38" s="3478"/>
      <c r="AD38" s="3478"/>
      <c r="AE38" s="3478"/>
      <c r="AF38" s="3478"/>
      <c r="AG38" s="3478"/>
      <c r="AH38" s="3478"/>
      <c r="AI38" s="4280"/>
      <c r="AJ38" s="1962"/>
      <c r="AK38" s="1675"/>
      <c r="BC38" s="43"/>
      <c r="BD38" s="43"/>
    </row>
    <row r="39" spans="1:56" ht="12" customHeight="1">
      <c r="A39" s="173"/>
      <c r="B39" s="1672"/>
      <c r="C39" s="1889"/>
      <c r="D39" s="323"/>
      <c r="E39" s="323"/>
      <c r="F39" s="1888" t="str">
        <f>IF(ISNA(MATCH(Tablas!$A11,INDEX(Tabla_Elan,,14),0)),"",INDEX(INDEX(Tabla_Elan,,1),MATCH(Tablas!$A11,INDEX(Tabla_Elan,,14),0)))</f>
        <v/>
      </c>
      <c r="G39" s="4962" t="str">
        <f t="shared" si="6"/>
        <v/>
      </c>
      <c r="H39" s="3478"/>
      <c r="I39" s="3478"/>
      <c r="J39" s="3478"/>
      <c r="K39" s="3478"/>
      <c r="L39" s="3478"/>
      <c r="M39" s="3478"/>
      <c r="N39" s="3478"/>
      <c r="O39" s="3478"/>
      <c r="P39" s="3478"/>
      <c r="Q39" s="3478"/>
      <c r="R39" s="3478"/>
      <c r="S39" s="3478"/>
      <c r="T39" s="3478"/>
      <c r="U39" s="3478"/>
      <c r="V39" s="3478"/>
      <c r="W39" s="3478"/>
      <c r="X39" s="3478"/>
      <c r="Y39" s="3478"/>
      <c r="Z39" s="3478"/>
      <c r="AA39" s="3478"/>
      <c r="AB39" s="3478"/>
      <c r="AC39" s="3478"/>
      <c r="AD39" s="3478"/>
      <c r="AE39" s="3478"/>
      <c r="AF39" s="3478"/>
      <c r="AG39" s="3478"/>
      <c r="AH39" s="3478"/>
      <c r="AI39" s="4280"/>
      <c r="AJ39" s="1962"/>
      <c r="AK39" s="1675"/>
    </row>
    <row r="40" spans="1:56" ht="12" customHeight="1">
      <c r="A40" s="173"/>
      <c r="B40" s="1672"/>
      <c r="C40" s="1889"/>
      <c r="D40" s="323"/>
      <c r="E40" s="323"/>
      <c r="F40" s="1888" t="str">
        <f>IF(ISNA(MATCH(Tablas!$A12,INDEX(Tabla_Elan,,14),0)),"",INDEX(INDEX(Tabla_Elan,,1),MATCH(Tablas!$A12,INDEX(Tabla_Elan,,14),0)))</f>
        <v/>
      </c>
      <c r="G40" s="4962" t="str">
        <f t="shared" si="6"/>
        <v/>
      </c>
      <c r="H40" s="3478"/>
      <c r="I40" s="3478"/>
      <c r="J40" s="3478"/>
      <c r="K40" s="3478"/>
      <c r="L40" s="3478"/>
      <c r="M40" s="3478"/>
      <c r="N40" s="3478"/>
      <c r="O40" s="3478"/>
      <c r="P40" s="3478"/>
      <c r="Q40" s="3478"/>
      <c r="R40" s="3478"/>
      <c r="S40" s="3478"/>
      <c r="T40" s="3478"/>
      <c r="U40" s="3478"/>
      <c r="V40" s="3478"/>
      <c r="W40" s="3478"/>
      <c r="X40" s="3478"/>
      <c r="Y40" s="3478"/>
      <c r="Z40" s="3478"/>
      <c r="AA40" s="3478"/>
      <c r="AB40" s="3478"/>
      <c r="AC40" s="3478"/>
      <c r="AD40" s="3478"/>
      <c r="AE40" s="3478"/>
      <c r="AF40" s="3478"/>
      <c r="AG40" s="3478"/>
      <c r="AH40" s="3478"/>
      <c r="AI40" s="4280"/>
      <c r="AJ40" s="1962"/>
      <c r="AK40" s="1675"/>
    </row>
    <row r="41" spans="1:56" ht="12" customHeight="1">
      <c r="A41" s="173"/>
      <c r="B41" s="1672"/>
      <c r="C41" s="1889"/>
      <c r="D41" s="323"/>
      <c r="E41" s="323"/>
      <c r="F41" s="1888" t="str">
        <f>IF(ISNA(MATCH(Tablas!$A13,INDEX(Tabla_Elan,,14),0)),"",INDEX(INDEX(Tabla_Elan,,1),MATCH(Tablas!$A13,INDEX(Tabla_Elan,,14),0)))</f>
        <v/>
      </c>
      <c r="G41" s="4962" t="str">
        <f t="shared" si="6"/>
        <v/>
      </c>
      <c r="H41" s="3478"/>
      <c r="I41" s="3478"/>
      <c r="J41" s="3478"/>
      <c r="K41" s="3478"/>
      <c r="L41" s="3478"/>
      <c r="M41" s="3478"/>
      <c r="N41" s="3478"/>
      <c r="O41" s="3478"/>
      <c r="P41" s="3478"/>
      <c r="Q41" s="3478"/>
      <c r="R41" s="3478"/>
      <c r="S41" s="3478"/>
      <c r="T41" s="3478"/>
      <c r="U41" s="3478"/>
      <c r="V41" s="3478"/>
      <c r="W41" s="3478"/>
      <c r="X41" s="3478"/>
      <c r="Y41" s="3478"/>
      <c r="Z41" s="3478"/>
      <c r="AA41" s="3478"/>
      <c r="AB41" s="3478"/>
      <c r="AC41" s="3478"/>
      <c r="AD41" s="3478"/>
      <c r="AE41" s="3478"/>
      <c r="AF41" s="3478"/>
      <c r="AG41" s="3478"/>
      <c r="AH41" s="3478"/>
      <c r="AI41" s="4280"/>
      <c r="AJ41" s="1962"/>
      <c r="AK41" s="1675"/>
    </row>
    <row r="42" spans="1:56" ht="12" customHeight="1">
      <c r="A42" s="173"/>
      <c r="B42" s="1672"/>
      <c r="C42" s="1889"/>
      <c r="D42" s="323"/>
      <c r="E42" s="323"/>
      <c r="F42" s="1888" t="str">
        <f>IF(ISNA(MATCH(Tablas!$A14,INDEX(Tabla_Elan,,14),0)),"",INDEX(INDEX(Tabla_Elan,,1),MATCH(Tablas!$A14,INDEX(Tabla_Elan,,14),0)))</f>
        <v/>
      </c>
      <c r="G42" s="4962" t="str">
        <f t="shared" si="6"/>
        <v/>
      </c>
      <c r="H42" s="3478"/>
      <c r="I42" s="3478"/>
      <c r="J42" s="3478"/>
      <c r="K42" s="3478"/>
      <c r="L42" s="3478"/>
      <c r="M42" s="3478"/>
      <c r="N42" s="3478"/>
      <c r="O42" s="3478"/>
      <c r="P42" s="3478"/>
      <c r="Q42" s="3478"/>
      <c r="R42" s="3478"/>
      <c r="S42" s="3478"/>
      <c r="T42" s="3478"/>
      <c r="U42" s="3478"/>
      <c r="V42" s="3478"/>
      <c r="W42" s="3478"/>
      <c r="X42" s="3478"/>
      <c r="Y42" s="3478"/>
      <c r="Z42" s="3478"/>
      <c r="AA42" s="3478"/>
      <c r="AB42" s="3478"/>
      <c r="AC42" s="3478"/>
      <c r="AD42" s="3478"/>
      <c r="AE42" s="3478"/>
      <c r="AF42" s="3478"/>
      <c r="AG42" s="3478"/>
      <c r="AH42" s="3478"/>
      <c r="AI42" s="4280"/>
      <c r="AJ42" s="1962"/>
      <c r="AK42" s="1675"/>
    </row>
    <row r="43" spans="1:56" ht="12" customHeight="1">
      <c r="A43" s="173"/>
      <c r="B43" s="1672"/>
      <c r="C43" s="1889"/>
      <c r="D43" s="323"/>
      <c r="E43" s="323"/>
      <c r="F43" s="1888" t="str">
        <f>IF(ISNA(MATCH(Tablas!$A15,INDEX(Tabla_Elan,,14),0)),"",INDEX(INDEX(Tabla_Elan,,1),MATCH(Tablas!$A15,INDEX(Tabla_Elan,,14),0)))</f>
        <v/>
      </c>
      <c r="G43" s="4962" t="str">
        <f t="shared" si="6"/>
        <v/>
      </c>
      <c r="H43" s="3478"/>
      <c r="I43" s="3478"/>
      <c r="J43" s="3478"/>
      <c r="K43" s="3478"/>
      <c r="L43" s="3478"/>
      <c r="M43" s="3478"/>
      <c r="N43" s="3478"/>
      <c r="O43" s="3478"/>
      <c r="P43" s="3478"/>
      <c r="Q43" s="3478"/>
      <c r="R43" s="3478"/>
      <c r="S43" s="3478"/>
      <c r="T43" s="3478"/>
      <c r="U43" s="3478"/>
      <c r="V43" s="3478"/>
      <c r="W43" s="3478"/>
      <c r="X43" s="3478"/>
      <c r="Y43" s="3478"/>
      <c r="Z43" s="3478"/>
      <c r="AA43" s="3478"/>
      <c r="AB43" s="3478"/>
      <c r="AC43" s="3478"/>
      <c r="AD43" s="3478"/>
      <c r="AE43" s="3478"/>
      <c r="AF43" s="3478"/>
      <c r="AG43" s="3478"/>
      <c r="AH43" s="3478"/>
      <c r="AI43" s="4280"/>
      <c r="AJ43" s="1962"/>
      <c r="AK43" s="1675"/>
    </row>
    <row r="44" spans="1:56" ht="12" customHeight="1">
      <c r="A44" s="173"/>
      <c r="B44" s="1672"/>
      <c r="C44" s="1889"/>
      <c r="D44" s="323"/>
      <c r="E44" s="323"/>
      <c r="F44" s="1888" t="str">
        <f>IF(ISNA(MATCH(Tablas!$A16,INDEX(Tabla_Elan,,14),0)),"",INDEX(INDEX(Tabla_Elan,,1),MATCH(Tablas!$A16,INDEX(Tabla_Elan,,14),0)))</f>
        <v/>
      </c>
      <c r="G44" s="4962" t="str">
        <f t="shared" si="6"/>
        <v/>
      </c>
      <c r="H44" s="3478"/>
      <c r="I44" s="3478"/>
      <c r="J44" s="3478"/>
      <c r="K44" s="3478"/>
      <c r="L44" s="3478"/>
      <c r="M44" s="3478"/>
      <c r="N44" s="3478"/>
      <c r="O44" s="3478"/>
      <c r="P44" s="3478"/>
      <c r="Q44" s="3478"/>
      <c r="R44" s="3478"/>
      <c r="S44" s="3478"/>
      <c r="T44" s="3478"/>
      <c r="U44" s="3478"/>
      <c r="V44" s="3478"/>
      <c r="W44" s="3478"/>
      <c r="X44" s="3478"/>
      <c r="Y44" s="3478"/>
      <c r="Z44" s="3478"/>
      <c r="AA44" s="3478"/>
      <c r="AB44" s="3478"/>
      <c r="AC44" s="3478"/>
      <c r="AD44" s="3478"/>
      <c r="AE44" s="3478"/>
      <c r="AF44" s="3478"/>
      <c r="AG44" s="3478"/>
      <c r="AH44" s="3478"/>
      <c r="AI44" s="4280"/>
      <c r="AJ44" s="1962"/>
      <c r="AK44" s="1675"/>
    </row>
    <row r="45" spans="1:56" ht="12" customHeight="1">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c r="AR82" s="2242"/>
      <c r="AS82" s="2242"/>
      <c r="AT82" s="43"/>
      <c r="AU82" s="43"/>
    </row>
    <row r="83" spans="7:47" ht="12" customHeight="1">
      <c r="AR83" s="2242"/>
      <c r="AS83" s="2242"/>
      <c r="AT83" s="43"/>
      <c r="AU83" s="43"/>
    </row>
    <row r="84" spans="7:47" ht="12" customHeight="1">
      <c r="AR84" s="2242"/>
      <c r="AS84" s="2242"/>
      <c r="AT84" s="43"/>
      <c r="AU84" s="43"/>
    </row>
    <row r="85" spans="7:47" ht="12" customHeight="1">
      <c r="AR85" s="2242"/>
      <c r="AS85" s="2242"/>
      <c r="AT85" s="43"/>
      <c r="AU85" s="43"/>
    </row>
    <row r="86" spans="7:47" ht="12" customHeight="1">
      <c r="AR86" s="2242"/>
      <c r="AS86" s="2242"/>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c r="AR121" s="96"/>
    </row>
    <row r="122" spans="44:44" ht="12" customHeight="1" thickBot="1">
      <c r="AR122" s="209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c r="A3" s="2161"/>
      <c r="B3" s="2434"/>
      <c r="C3" s="5088" t="s">
        <v>10229</v>
      </c>
      <c r="D3" s="5089"/>
      <c r="E3" s="5089"/>
      <c r="F3" s="5089"/>
      <c r="G3" s="5089"/>
      <c r="H3" s="5089"/>
      <c r="I3" s="5089"/>
      <c r="J3" s="5089"/>
      <c r="K3" s="5089"/>
      <c r="L3" s="5089"/>
      <c r="M3" s="5089"/>
      <c r="N3" s="5089"/>
      <c r="O3" s="5089"/>
      <c r="P3" s="5089"/>
      <c r="Q3" s="5090"/>
      <c r="R3" s="2435"/>
      <c r="S3" s="2377"/>
      <c r="T3" s="2161"/>
      <c r="U3" s="2163"/>
      <c r="V3" s="5088" t="s">
        <v>8717</v>
      </c>
      <c r="W3" s="5089"/>
      <c r="X3" s="5089"/>
      <c r="Y3" s="5089"/>
      <c r="Z3" s="5089"/>
      <c r="AA3" s="5089"/>
      <c r="AB3" s="5089"/>
      <c r="AC3" s="5089"/>
      <c r="AD3" s="5089"/>
      <c r="AE3" s="5089"/>
      <c r="AF3" s="5089"/>
      <c r="AG3" s="5089"/>
      <c r="AH3" s="5089"/>
      <c r="AI3" s="5089"/>
      <c r="AJ3" s="5090"/>
      <c r="AK3" s="2813"/>
      <c r="AL3" s="2810"/>
    </row>
    <row r="4" spans="1:38" ht="12" customHeight="1" thickBot="1">
      <c r="A4" s="2161"/>
      <c r="B4" s="2434"/>
      <c r="C4" s="3914"/>
      <c r="D4" s="3915"/>
      <c r="E4" s="3915"/>
      <c r="F4" s="3915"/>
      <c r="G4" s="3915"/>
      <c r="H4" s="3915"/>
      <c r="I4" s="3915"/>
      <c r="J4" s="3915"/>
      <c r="K4" s="3915"/>
      <c r="L4" s="3915"/>
      <c r="M4" s="3915"/>
      <c r="N4" s="3915"/>
      <c r="O4" s="3915"/>
      <c r="P4" s="3915"/>
      <c r="Q4" s="3916"/>
      <c r="R4" s="2435"/>
      <c r="S4" s="2377"/>
      <c r="T4" s="2161"/>
      <c r="U4" s="2163"/>
      <c r="V4" s="3914"/>
      <c r="W4" s="3915"/>
      <c r="X4" s="3915"/>
      <c r="Y4" s="3915"/>
      <c r="Z4" s="3915"/>
      <c r="AA4" s="3915"/>
      <c r="AB4" s="3915"/>
      <c r="AC4" s="3915"/>
      <c r="AD4" s="3915"/>
      <c r="AE4" s="3915"/>
      <c r="AF4" s="3915"/>
      <c r="AG4" s="3915"/>
      <c r="AH4" s="3915"/>
      <c r="AI4" s="3915"/>
      <c r="AJ4" s="3916"/>
      <c r="AK4" s="2813"/>
      <c r="AL4" s="2810"/>
    </row>
    <row r="5" spans="1:38" ht="12" customHeight="1" thickBot="1">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c r="A6" s="2161"/>
      <c r="B6" s="2434"/>
      <c r="C6" s="4475" t="s">
        <v>8074</v>
      </c>
      <c r="D6" s="4476"/>
      <c r="E6" s="4476"/>
      <c r="F6" s="4973" t="s">
        <v>8671</v>
      </c>
      <c r="G6" s="4974"/>
      <c r="H6" s="2158"/>
      <c r="I6" s="5091" t="s">
        <v>2151</v>
      </c>
      <c r="J6" s="5092"/>
      <c r="K6" s="5092"/>
      <c r="L6" s="5092"/>
      <c r="M6" s="5092"/>
      <c r="N6" s="5092"/>
      <c r="O6" s="5092"/>
      <c r="P6" s="5092"/>
      <c r="Q6" s="5093"/>
      <c r="R6" s="2435"/>
      <c r="S6" s="2377"/>
      <c r="T6" s="2161"/>
      <c r="U6" s="2163"/>
      <c r="V6" s="5100" t="s">
        <v>10001</v>
      </c>
      <c r="W6" s="5219" t="s">
        <v>10005</v>
      </c>
      <c r="X6" s="5219"/>
      <c r="Y6" s="5134" t="s">
        <v>9997</v>
      </c>
      <c r="Z6" s="5134"/>
      <c r="AA6" s="5134" t="s">
        <v>9996</v>
      </c>
      <c r="AB6" s="5134"/>
      <c r="AC6" s="5134" t="s">
        <v>10006</v>
      </c>
      <c r="AD6" s="5134"/>
      <c r="AE6" s="5134" t="s">
        <v>9998</v>
      </c>
      <c r="AF6" s="5134"/>
      <c r="AG6" s="5134" t="s">
        <v>10000</v>
      </c>
      <c r="AH6" s="5134"/>
      <c r="AI6" s="5134" t="s">
        <v>10006</v>
      </c>
      <c r="AJ6" s="5208"/>
      <c r="AK6" s="2813"/>
      <c r="AL6" s="2810"/>
    </row>
    <row r="7" spans="1:38" ht="12" customHeight="1" thickBot="1">
      <c r="A7" s="2161"/>
      <c r="B7" s="2434"/>
      <c r="C7" s="4969"/>
      <c r="D7" s="4970"/>
      <c r="E7" s="4970"/>
      <c r="F7" s="4976"/>
      <c r="G7" s="4977"/>
      <c r="H7" s="2158"/>
      <c r="I7" s="4653" t="s">
        <v>1684</v>
      </c>
      <c r="J7" s="5094"/>
      <c r="K7" s="5094"/>
      <c r="L7" s="5094"/>
      <c r="M7" s="5094"/>
      <c r="N7" s="5094"/>
      <c r="O7" s="3287"/>
      <c r="P7" s="2436" t="s">
        <v>1685</v>
      </c>
      <c r="Q7" s="2437" t="s">
        <v>1686</v>
      </c>
      <c r="R7" s="2435"/>
      <c r="S7" s="2377"/>
      <c r="T7" s="2161"/>
      <c r="U7" s="2163"/>
      <c r="V7" s="5101"/>
      <c r="W7" s="5220" t="s">
        <v>1702</v>
      </c>
      <c r="X7" s="5221"/>
      <c r="Y7" s="5182"/>
      <c r="Z7" s="5129"/>
      <c r="AA7" s="5182"/>
      <c r="AB7" s="5128"/>
      <c r="AC7" s="5126" t="s">
        <v>1896</v>
      </c>
      <c r="AD7" s="5127"/>
      <c r="AE7" s="5182"/>
      <c r="AF7" s="5129"/>
      <c r="AG7" s="5182"/>
      <c r="AH7" s="5128"/>
      <c r="AI7" s="5126" t="s">
        <v>1896</v>
      </c>
      <c r="AJ7" s="5209"/>
      <c r="AK7" s="2813"/>
      <c r="AL7" s="2810"/>
    </row>
    <row r="8" spans="1:38" ht="12" customHeight="1" thickBot="1">
      <c r="A8" s="2161"/>
      <c r="B8" s="2434"/>
      <c r="C8" s="2158"/>
      <c r="D8" s="2158"/>
      <c r="E8" s="2158"/>
      <c r="F8" s="2158"/>
      <c r="G8" s="2158"/>
      <c r="H8" s="2158"/>
      <c r="I8" s="5103"/>
      <c r="J8" s="5104"/>
      <c r="K8" s="5104"/>
      <c r="L8" s="5104"/>
      <c r="M8" s="5104"/>
      <c r="N8" s="5104"/>
      <c r="O8" s="5105"/>
      <c r="P8" s="336"/>
      <c r="Q8" s="22"/>
      <c r="R8" s="2435"/>
      <c r="S8" s="2377"/>
      <c r="T8" s="2161"/>
      <c r="U8" s="2163"/>
      <c r="V8" s="5101"/>
      <c r="W8" s="5220" t="s">
        <v>8845</v>
      </c>
      <c r="X8" s="5221"/>
      <c r="Y8" s="5182"/>
      <c r="Z8" s="5129"/>
      <c r="AA8" s="5182"/>
      <c r="AB8" s="5128"/>
      <c r="AC8" s="5128"/>
      <c r="AD8" s="5129"/>
      <c r="AE8" s="5182"/>
      <c r="AF8" s="5129"/>
      <c r="AG8" s="5182"/>
      <c r="AH8" s="5128"/>
      <c r="AI8" s="5128"/>
      <c r="AJ8" s="5210"/>
      <c r="AK8" s="2813"/>
      <c r="AL8" s="2810"/>
    </row>
    <row r="9" spans="1:38" ht="12" customHeight="1">
      <c r="A9" s="2161"/>
      <c r="B9" s="2434"/>
      <c r="C9" s="3248" t="s">
        <v>2152</v>
      </c>
      <c r="D9" s="3249"/>
      <c r="E9" s="3249"/>
      <c r="F9" s="3249"/>
      <c r="G9" s="3250"/>
      <c r="H9" s="2158"/>
      <c r="I9" s="5026"/>
      <c r="J9" s="5027"/>
      <c r="K9" s="5027"/>
      <c r="L9" s="5027"/>
      <c r="M9" s="5027"/>
      <c r="N9" s="5027"/>
      <c r="O9" s="5028"/>
      <c r="P9" s="336"/>
      <c r="Q9" s="22"/>
      <c r="R9" s="2435"/>
      <c r="S9" s="2377"/>
      <c r="T9" s="2161"/>
      <c r="U9" s="2163"/>
      <c r="V9" s="5101"/>
      <c r="W9" s="5220" t="s">
        <v>9994</v>
      </c>
      <c r="X9" s="5221"/>
      <c r="Y9" s="5182"/>
      <c r="Z9" s="5129"/>
      <c r="AA9" s="5182"/>
      <c r="AB9" s="5128"/>
      <c r="AC9" s="5128"/>
      <c r="AD9" s="5129"/>
      <c r="AE9" s="5182"/>
      <c r="AF9" s="5129"/>
      <c r="AG9" s="5182"/>
      <c r="AH9" s="5128"/>
      <c r="AI9" s="5128"/>
      <c r="AJ9" s="5210"/>
      <c r="AK9" s="2813"/>
      <c r="AL9" s="2810"/>
    </row>
    <row r="10" spans="1:38" ht="12" customHeight="1">
      <c r="A10" s="2161"/>
      <c r="B10" s="2434"/>
      <c r="C10" s="5029"/>
      <c r="D10" s="5030"/>
      <c r="E10" s="5030"/>
      <c r="F10" s="5030"/>
      <c r="G10" s="5031"/>
      <c r="H10" s="2158"/>
      <c r="I10" s="5026"/>
      <c r="J10" s="5027"/>
      <c r="K10" s="5027"/>
      <c r="L10" s="5027"/>
      <c r="M10" s="5027"/>
      <c r="N10" s="5027"/>
      <c r="O10" s="5028"/>
      <c r="P10" s="336"/>
      <c r="Q10" s="22"/>
      <c r="R10" s="2435"/>
      <c r="S10" s="2377"/>
      <c r="T10" s="2161"/>
      <c r="U10" s="2163"/>
      <c r="V10" s="5101"/>
      <c r="W10" s="5220" t="s">
        <v>1882</v>
      </c>
      <c r="X10" s="5221"/>
      <c r="Y10" s="5182"/>
      <c r="Z10" s="5129"/>
      <c r="AA10" s="5182"/>
      <c r="AB10" s="5128"/>
      <c r="AC10" s="5128"/>
      <c r="AD10" s="5129"/>
      <c r="AE10" s="5182"/>
      <c r="AF10" s="5129"/>
      <c r="AG10" s="5182"/>
      <c r="AH10" s="5128"/>
      <c r="AI10" s="5128"/>
      <c r="AJ10" s="5210"/>
      <c r="AK10" s="2813"/>
      <c r="AL10" s="2810"/>
    </row>
    <row r="11" spans="1:38" ht="12" customHeight="1">
      <c r="A11" s="2161"/>
      <c r="B11" s="2434"/>
      <c r="C11" s="5032"/>
      <c r="D11" s="5033"/>
      <c r="E11" s="5033"/>
      <c r="F11" s="5033"/>
      <c r="G11" s="5034"/>
      <c r="H11" s="2158"/>
      <c r="I11" s="5026"/>
      <c r="J11" s="5027"/>
      <c r="K11" s="5027"/>
      <c r="L11" s="5027"/>
      <c r="M11" s="5027"/>
      <c r="N11" s="5027"/>
      <c r="O11" s="5028"/>
      <c r="P11" s="336"/>
      <c r="Q11" s="22"/>
      <c r="R11" s="2435"/>
      <c r="S11" s="2377"/>
      <c r="T11" s="2161"/>
      <c r="U11" s="2163"/>
      <c r="V11" s="5101"/>
      <c r="W11" s="5222" t="s">
        <v>10005</v>
      </c>
      <c r="X11" s="5222"/>
      <c r="Y11" s="5213"/>
      <c r="Z11" s="5214"/>
      <c r="AA11" s="5132" t="s">
        <v>9999</v>
      </c>
      <c r="AB11" s="5132"/>
      <c r="AC11" s="5132" t="s">
        <v>10006</v>
      </c>
      <c r="AD11" s="5132"/>
      <c r="AE11" s="5132" t="s">
        <v>9998</v>
      </c>
      <c r="AF11" s="5132"/>
      <c r="AG11" s="5132" t="s">
        <v>10000</v>
      </c>
      <c r="AH11" s="5132"/>
      <c r="AI11" s="5132" t="s">
        <v>10006</v>
      </c>
      <c r="AJ11" s="5212"/>
      <c r="AK11" s="2813"/>
      <c r="AL11" s="2810"/>
    </row>
    <row r="12" spans="1:38" ht="12" customHeight="1" thickBot="1">
      <c r="A12" s="2161"/>
      <c r="B12" s="2434"/>
      <c r="C12" s="5035"/>
      <c r="D12" s="5036"/>
      <c r="E12" s="5036"/>
      <c r="F12" s="5036"/>
      <c r="G12" s="5037"/>
      <c r="H12" s="2158"/>
      <c r="I12" s="5045"/>
      <c r="J12" s="5046"/>
      <c r="K12" s="5046"/>
      <c r="L12" s="5046"/>
      <c r="M12" s="5046"/>
      <c r="N12" s="5046"/>
      <c r="O12" s="5047"/>
      <c r="P12" s="337"/>
      <c r="Q12" s="24"/>
      <c r="R12" s="2438"/>
      <c r="S12" s="1842"/>
      <c r="T12" s="2161"/>
      <c r="U12" s="2163"/>
      <c r="V12" s="5101"/>
      <c r="W12" s="5220" t="s">
        <v>1702</v>
      </c>
      <c r="X12" s="5221"/>
      <c r="Y12" s="5215"/>
      <c r="Z12" s="5216"/>
      <c r="AA12" s="5182"/>
      <c r="AB12" s="5128"/>
      <c r="AC12" s="5126" t="s">
        <v>1896</v>
      </c>
      <c r="AD12" s="5127"/>
      <c r="AE12" s="5182"/>
      <c r="AF12" s="5129"/>
      <c r="AG12" s="5182"/>
      <c r="AH12" s="5128"/>
      <c r="AI12" s="5126" t="s">
        <v>1896</v>
      </c>
      <c r="AJ12" s="5209"/>
      <c r="AK12" s="2804"/>
      <c r="AL12" s="1675"/>
    </row>
    <row r="13" spans="1:38" ht="12" customHeight="1" thickBot="1">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5101"/>
      <c r="W13" s="5220" t="s">
        <v>8845</v>
      </c>
      <c r="X13" s="5221"/>
      <c r="Y13" s="5215"/>
      <c r="Z13" s="5216"/>
      <c r="AA13" s="5182"/>
      <c r="AB13" s="5128"/>
      <c r="AC13" s="5128"/>
      <c r="AD13" s="5129"/>
      <c r="AE13" s="5182"/>
      <c r="AF13" s="5129"/>
      <c r="AG13" s="5182"/>
      <c r="AH13" s="5128"/>
      <c r="AI13" s="5128"/>
      <c r="AJ13" s="5210"/>
      <c r="AK13" s="2804"/>
      <c r="AL13" s="2808"/>
    </row>
    <row r="14" spans="1:38" ht="12" customHeight="1" thickBot="1">
      <c r="A14" s="2161"/>
      <c r="B14" s="2434"/>
      <c r="C14" s="4038" t="s">
        <v>2150</v>
      </c>
      <c r="D14" s="4042"/>
      <c r="E14" s="4042"/>
      <c r="F14" s="4042"/>
      <c r="G14" s="4043"/>
      <c r="H14" s="2158"/>
      <c r="I14" s="2158"/>
      <c r="J14" s="2158"/>
      <c r="K14" s="2158"/>
      <c r="L14" s="2158"/>
      <c r="M14" s="2158"/>
      <c r="N14" s="2158"/>
      <c r="O14" s="2158"/>
      <c r="P14" s="2158"/>
      <c r="Q14" s="2158"/>
      <c r="R14" s="2435"/>
      <c r="S14" s="2377"/>
      <c r="T14" s="2161"/>
      <c r="U14" s="2163"/>
      <c r="V14" s="5101"/>
      <c r="W14" s="5220" t="s">
        <v>9994</v>
      </c>
      <c r="X14" s="5221"/>
      <c r="Y14" s="5215"/>
      <c r="Z14" s="5216"/>
      <c r="AA14" s="5182"/>
      <c r="AB14" s="5128"/>
      <c r="AC14" s="5128"/>
      <c r="AD14" s="5129"/>
      <c r="AE14" s="5182"/>
      <c r="AF14" s="5129"/>
      <c r="AG14" s="5182"/>
      <c r="AH14" s="5128"/>
      <c r="AI14" s="5128"/>
      <c r="AJ14" s="5210"/>
      <c r="AK14" s="2813"/>
      <c r="AL14" s="2810"/>
    </row>
    <row r="15" spans="1:38" ht="12" customHeight="1" thickBot="1">
      <c r="A15" s="2161"/>
      <c r="B15" s="2434"/>
      <c r="C15" s="5038" t="s">
        <v>1838</v>
      </c>
      <c r="D15" s="5039"/>
      <c r="E15" s="5039"/>
      <c r="F15" s="5040"/>
      <c r="G15" s="2366" t="s">
        <v>1801</v>
      </c>
      <c r="H15" s="2158"/>
      <c r="I15" s="5091" t="s">
        <v>2153</v>
      </c>
      <c r="J15" s="5092"/>
      <c r="K15" s="5092"/>
      <c r="L15" s="5092"/>
      <c r="M15" s="5092"/>
      <c r="N15" s="5092"/>
      <c r="O15" s="5092"/>
      <c r="P15" s="5092"/>
      <c r="Q15" s="5093"/>
      <c r="R15" s="2435"/>
      <c r="S15" s="2377"/>
      <c r="T15" s="2161"/>
      <c r="U15" s="2163"/>
      <c r="V15" s="5102"/>
      <c r="W15" s="5223" t="s">
        <v>1882</v>
      </c>
      <c r="X15" s="5224"/>
      <c r="Y15" s="5217"/>
      <c r="Z15" s="5218"/>
      <c r="AA15" s="5133"/>
      <c r="AB15" s="5130"/>
      <c r="AC15" s="5130"/>
      <c r="AD15" s="5131"/>
      <c r="AE15" s="5133"/>
      <c r="AF15" s="5131"/>
      <c r="AG15" s="5133"/>
      <c r="AH15" s="5130"/>
      <c r="AI15" s="5130"/>
      <c r="AJ15" s="5211"/>
      <c r="AK15" s="2813"/>
      <c r="AL15" s="2810"/>
    </row>
    <row r="16" spans="1:38" ht="12" customHeight="1" thickBot="1">
      <c r="A16" s="2161"/>
      <c r="B16" s="2434"/>
      <c r="C16" s="5123"/>
      <c r="D16" s="5124"/>
      <c r="E16" s="5124"/>
      <c r="F16" s="5125"/>
      <c r="G16" s="2169"/>
      <c r="H16" s="2158"/>
      <c r="I16" s="4653" t="s">
        <v>1752</v>
      </c>
      <c r="J16" s="5094"/>
      <c r="K16" s="5094"/>
      <c r="L16" s="5094"/>
      <c r="M16" s="5094"/>
      <c r="N16" s="5094"/>
      <c r="O16" s="3287"/>
      <c r="P16" s="74" t="s">
        <v>1685</v>
      </c>
      <c r="Q16" s="21" t="s">
        <v>1686</v>
      </c>
      <c r="R16" s="2435"/>
      <c r="S16" s="2377"/>
      <c r="T16" s="2161"/>
      <c r="U16" s="2163"/>
      <c r="AK16" s="2813"/>
      <c r="AL16" s="2810"/>
    </row>
    <row r="17" spans="1:40" ht="12" customHeight="1" thickBot="1">
      <c r="A17" s="2161"/>
      <c r="B17" s="2434"/>
      <c r="C17" s="5043"/>
      <c r="D17" s="4196"/>
      <c r="E17" s="4196"/>
      <c r="F17" s="5044"/>
      <c r="G17" s="2170"/>
      <c r="H17" s="2158"/>
      <c r="I17" s="5026"/>
      <c r="J17" s="5027"/>
      <c r="K17" s="5027"/>
      <c r="L17" s="5027"/>
      <c r="M17" s="5027"/>
      <c r="N17" s="5027"/>
      <c r="O17" s="5028"/>
      <c r="P17" s="218"/>
      <c r="Q17" s="22"/>
      <c r="R17" s="2435"/>
      <c r="S17" s="2377"/>
      <c r="T17" s="2161"/>
      <c r="U17" s="2163"/>
      <c r="V17" s="5100" t="s">
        <v>2939</v>
      </c>
      <c r="W17" s="5099" t="s">
        <v>8711</v>
      </c>
      <c r="X17" s="5099"/>
      <c r="Y17" s="5023"/>
      <c r="Z17" s="5024"/>
      <c r="AB17" s="5106" t="s">
        <v>8714</v>
      </c>
      <c r="AC17" s="5107"/>
      <c r="AD17" s="5107"/>
      <c r="AE17" s="5108"/>
      <c r="AG17" s="5106" t="s">
        <v>8716</v>
      </c>
      <c r="AH17" s="5107"/>
      <c r="AI17" s="5107"/>
      <c r="AJ17" s="5108"/>
      <c r="AK17" s="2813"/>
      <c r="AL17" s="2810"/>
    </row>
    <row r="18" spans="1:40" ht="12" customHeight="1" thickBot="1">
      <c r="A18" s="2161"/>
      <c r="B18" s="2434"/>
      <c r="C18" s="5041"/>
      <c r="D18" s="4195"/>
      <c r="E18" s="4195"/>
      <c r="F18" s="5042"/>
      <c r="G18" s="2171"/>
      <c r="H18" s="2158"/>
      <c r="I18" s="5026"/>
      <c r="J18" s="5027"/>
      <c r="K18" s="5027"/>
      <c r="L18" s="5027"/>
      <c r="M18" s="5027"/>
      <c r="N18" s="5027"/>
      <c r="O18" s="5028"/>
      <c r="P18" s="2361"/>
      <c r="Q18" s="22"/>
      <c r="R18" s="2435"/>
      <c r="S18" s="2377"/>
      <c r="T18" s="2161"/>
      <c r="U18" s="2163"/>
      <c r="V18" s="5101"/>
      <c r="W18" s="5098" t="s">
        <v>8712</v>
      </c>
      <c r="X18" s="5098"/>
      <c r="Y18" s="5025"/>
      <c r="Z18" s="5025"/>
      <c r="AB18" s="5118" t="s">
        <v>8715</v>
      </c>
      <c r="AC18" s="5119"/>
      <c r="AD18" s="5119"/>
      <c r="AE18" s="2195"/>
      <c r="AG18" s="5115"/>
      <c r="AH18" s="5116"/>
      <c r="AI18" s="5116"/>
      <c r="AJ18" s="5117"/>
      <c r="AK18" s="2813"/>
      <c r="AL18" s="2810"/>
    </row>
    <row r="19" spans="1:40" ht="15" customHeight="1" thickBot="1">
      <c r="A19" s="2161"/>
      <c r="B19" s="2434"/>
      <c r="C19" s="5060"/>
      <c r="D19" s="5061"/>
      <c r="E19" s="5061"/>
      <c r="F19" s="5062"/>
      <c r="G19" s="2180"/>
      <c r="H19" s="2158"/>
      <c r="I19" s="5026"/>
      <c r="J19" s="5027"/>
      <c r="K19" s="5027"/>
      <c r="L19" s="5027"/>
      <c r="M19" s="5027"/>
      <c r="N19" s="5027"/>
      <c r="O19" s="5028"/>
      <c r="P19" s="2361"/>
      <c r="Q19" s="22"/>
      <c r="R19" s="2435"/>
      <c r="S19" s="2377"/>
      <c r="T19" s="2161"/>
      <c r="U19" s="2163"/>
      <c r="V19" s="5101"/>
      <c r="W19" s="5014" t="s">
        <v>8713</v>
      </c>
      <c r="X19" s="5015"/>
      <c r="Y19" s="5015"/>
      <c r="Z19" s="5016"/>
      <c r="AB19" s="5115"/>
      <c r="AC19" s="5116"/>
      <c r="AD19" s="5116"/>
      <c r="AE19" s="5117"/>
      <c r="AG19" s="5109"/>
      <c r="AH19" s="5110"/>
      <c r="AI19" s="5110"/>
      <c r="AJ19" s="5111"/>
      <c r="AK19" s="2813"/>
      <c r="AL19" s="2810"/>
    </row>
    <row r="20" spans="1:40" ht="12" customHeight="1" thickBot="1">
      <c r="A20" s="2161"/>
      <c r="B20" s="2434"/>
      <c r="C20" s="2158"/>
      <c r="D20" s="2158"/>
      <c r="E20" s="2158"/>
      <c r="F20" s="2158"/>
      <c r="G20" s="2158"/>
      <c r="H20" s="2158"/>
      <c r="I20" s="5026"/>
      <c r="J20" s="5027"/>
      <c r="K20" s="5027"/>
      <c r="L20" s="5027"/>
      <c r="M20" s="5027"/>
      <c r="N20" s="5027"/>
      <c r="O20" s="5028"/>
      <c r="P20" s="2361"/>
      <c r="Q20" s="22"/>
      <c r="R20" s="2435"/>
      <c r="S20" s="2377"/>
      <c r="T20" s="2161"/>
      <c r="U20" s="2163"/>
      <c r="V20" s="5101"/>
      <c r="W20" s="5017"/>
      <c r="X20" s="5018"/>
      <c r="Y20" s="5018"/>
      <c r="Z20" s="5019"/>
      <c r="AB20" s="5109"/>
      <c r="AC20" s="5110"/>
      <c r="AD20" s="5110"/>
      <c r="AE20" s="5111"/>
      <c r="AG20" s="5112"/>
      <c r="AH20" s="5113"/>
      <c r="AI20" s="5113"/>
      <c r="AJ20" s="5114"/>
      <c r="AK20" s="2813"/>
      <c r="AL20" s="2810"/>
    </row>
    <row r="21" spans="1:40" ht="12" customHeight="1" thickBot="1">
      <c r="A21" s="2161"/>
      <c r="B21" s="2434"/>
      <c r="C21" s="5063" t="s">
        <v>8062</v>
      </c>
      <c r="D21" s="5064"/>
      <c r="E21" s="5064"/>
      <c r="F21" s="5064"/>
      <c r="G21" s="5065"/>
      <c r="H21" s="2158"/>
      <c r="I21" s="5026"/>
      <c r="J21" s="5027"/>
      <c r="K21" s="5027"/>
      <c r="L21" s="5027"/>
      <c r="M21" s="5027"/>
      <c r="N21" s="5027"/>
      <c r="O21" s="5028"/>
      <c r="P21" s="2361"/>
      <c r="Q21" s="22"/>
      <c r="R21" s="2435"/>
      <c r="S21" s="2377"/>
      <c r="T21" s="2161"/>
      <c r="U21" s="2163"/>
      <c r="V21" s="5102"/>
      <c r="W21" s="5020"/>
      <c r="X21" s="5021"/>
      <c r="Y21" s="5021"/>
      <c r="Z21" s="5022"/>
      <c r="AB21" s="5095"/>
      <c r="AC21" s="5096"/>
      <c r="AD21" s="5096"/>
      <c r="AE21" s="5097"/>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c r="A22" s="2161"/>
      <c r="B22" s="2434"/>
      <c r="C22" s="5077" t="str">
        <f>IF(Tablas!G480&gt;0,"Ventaja elegida","Aplicar bonos:")</f>
        <v>Aplicar bonos:</v>
      </c>
      <c r="D22" s="5078"/>
      <c r="E22" s="5081" t="s">
        <v>1690</v>
      </c>
      <c r="F22" s="5081"/>
      <c r="G22" s="5082"/>
      <c r="H22" s="2158"/>
      <c r="I22" s="5026"/>
      <c r="J22" s="5027"/>
      <c r="K22" s="5027"/>
      <c r="L22" s="5027"/>
      <c r="M22" s="5027"/>
      <c r="N22" s="5027"/>
      <c r="O22" s="5028"/>
      <c r="P22" s="2361"/>
      <c r="Q22" s="22"/>
      <c r="R22" s="2438"/>
      <c r="S22" s="1843"/>
      <c r="T22" s="2161"/>
      <c r="U22" s="2163"/>
      <c r="AK22" s="2804"/>
      <c r="AL22" s="2808"/>
    </row>
    <row r="23" spans="1:40" ht="12" customHeight="1" thickBot="1">
      <c r="A23" s="2161"/>
      <c r="B23" s="2434"/>
      <c r="C23" s="5069" t="str">
        <f>IF(Region="","Región no definida",Region)</f>
        <v>Región no definida</v>
      </c>
      <c r="D23" s="5070"/>
      <c r="E23" s="5070" t="str">
        <f>IF(Region="","Clase social no definida",ClaseSocial)</f>
        <v>Clase social no definida</v>
      </c>
      <c r="F23" s="5070"/>
      <c r="G23" s="5071"/>
      <c r="H23" s="2158"/>
      <c r="I23" s="5026"/>
      <c r="J23" s="5027"/>
      <c r="K23" s="5027"/>
      <c r="L23" s="5027"/>
      <c r="M23" s="5027"/>
      <c r="N23" s="5027"/>
      <c r="O23" s="5028"/>
      <c r="P23" s="2361"/>
      <c r="Q23" s="22"/>
      <c r="R23" s="2435"/>
      <c r="S23" s="2377"/>
      <c r="T23" s="2161"/>
      <c r="U23" s="2163"/>
      <c r="V23" s="3281" t="s">
        <v>2154</v>
      </c>
      <c r="W23" s="3281"/>
      <c r="X23" s="3281"/>
      <c r="Y23" s="3281"/>
      <c r="Z23" s="3281"/>
      <c r="AA23" s="3281"/>
      <c r="AB23" s="3281"/>
      <c r="AC23" s="3281"/>
      <c r="AD23" s="3281"/>
      <c r="AE23" s="3281"/>
      <c r="AF23" s="3281"/>
      <c r="AG23" s="3281"/>
      <c r="AH23" s="3281"/>
      <c r="AI23" s="3281"/>
      <c r="AJ23" s="3281"/>
      <c r="AK23" s="2813"/>
      <c r="AL23" s="2810"/>
      <c r="AM23" s="2606" t="s">
        <v>8059</v>
      </c>
      <c r="AN23" s="3119" t="str">
        <f>IF(Tablas!L136="","",IF(AND(Region="Elcia",OR(ClaseSocial=Tablas!CK140,ClaseSocial=Tablas!CL140,ClaseSocial=Tablas!CM140)),"Habilidades_Secundarias","RaícesCulturales_Especial1"))</f>
        <v/>
      </c>
    </row>
    <row r="24" spans="1:40" ht="12" customHeight="1">
      <c r="A24" s="2161"/>
      <c r="B24" s="2434"/>
      <c r="C24" s="5069"/>
      <c r="D24" s="5070"/>
      <c r="E24" s="5070"/>
      <c r="F24" s="5070"/>
      <c r="G24" s="5071"/>
      <c r="H24" s="2158"/>
      <c r="I24" s="5026"/>
      <c r="J24" s="5027"/>
      <c r="K24" s="5027"/>
      <c r="L24" s="5027"/>
      <c r="M24" s="5027"/>
      <c r="N24" s="5027"/>
      <c r="O24" s="5028"/>
      <c r="P24" s="2361"/>
      <c r="Q24" s="22"/>
      <c r="R24" s="2435"/>
      <c r="S24" s="2377"/>
      <c r="T24" s="2161"/>
      <c r="U24" s="2163"/>
      <c r="V24" s="3346" t="s">
        <v>1625</v>
      </c>
      <c r="W24" s="3346"/>
      <c r="X24" s="5120"/>
      <c r="Y24" s="5120"/>
      <c r="Z24" s="5120"/>
      <c r="AA24" s="5120"/>
      <c r="AB24" s="5121"/>
      <c r="AC24" s="5121"/>
      <c r="AD24" s="5121"/>
      <c r="AE24" s="5121"/>
      <c r="AF24" s="5121"/>
      <c r="AG24" s="5121"/>
      <c r="AH24" s="5121"/>
      <c r="AI24" s="5121"/>
      <c r="AJ24" s="5121"/>
      <c r="AK24" s="2813"/>
      <c r="AL24" s="2810"/>
      <c r="AM24" s="2606" t="s">
        <v>8060</v>
      </c>
      <c r="AN24" s="3119" t="str">
        <f>IF(Tablas!N136="","","RaícesCulturales_Especial2")</f>
        <v/>
      </c>
    </row>
    <row r="25" spans="1:40" ht="12" customHeight="1">
      <c r="A25" s="2161"/>
      <c r="B25" s="2434"/>
      <c r="C25" s="5079" t="str">
        <f>IF(Tablas!L136="","","Bono Especial:")</f>
        <v/>
      </c>
      <c r="D25" s="5080"/>
      <c r="E25" s="5066"/>
      <c r="F25" s="5067"/>
      <c r="G25" s="5068"/>
      <c r="H25" s="2158"/>
      <c r="I25" s="5026"/>
      <c r="J25" s="5027"/>
      <c r="K25" s="5027"/>
      <c r="L25" s="5027"/>
      <c r="M25" s="5027"/>
      <c r="N25" s="5027"/>
      <c r="O25" s="5028"/>
      <c r="P25" s="2361"/>
      <c r="Q25" s="22"/>
      <c r="R25" s="2435"/>
      <c r="S25" s="2377"/>
      <c r="T25" s="2161"/>
      <c r="U25" s="2163"/>
      <c r="V25" s="3346" t="s">
        <v>2155</v>
      </c>
      <c r="W25" s="3346"/>
      <c r="X25" s="81"/>
      <c r="Y25" s="338" t="s">
        <v>1702</v>
      </c>
      <c r="Z25" s="154" t="s">
        <v>1882</v>
      </c>
      <c r="AA25" s="4293" t="s">
        <v>2156</v>
      </c>
      <c r="AB25" s="4293"/>
      <c r="AC25" s="81"/>
      <c r="AD25" s="236" t="s">
        <v>2157</v>
      </c>
      <c r="AE25" s="149"/>
      <c r="AF25" s="143" t="s">
        <v>1702</v>
      </c>
      <c r="AG25" s="5138" t="str">
        <f>IF(W26="Escudo","Bono de Parada:",IF(W26="Proyectiles","FUE del arma:",""))</f>
        <v/>
      </c>
      <c r="AH25" s="5139"/>
      <c r="AI25" s="5139"/>
      <c r="AJ25" s="112"/>
      <c r="AK25" s="2813"/>
      <c r="AL25" s="2810"/>
    </row>
    <row r="26" spans="1:40" ht="12" customHeight="1" thickBot="1">
      <c r="A26" s="2161"/>
      <c r="B26" s="2434"/>
      <c r="C26" s="5072" t="str">
        <f>IF(Tablas!N136="","","Bono Especial:")</f>
        <v/>
      </c>
      <c r="D26" s="5073"/>
      <c r="E26" s="5074"/>
      <c r="F26" s="5075"/>
      <c r="G26" s="5076"/>
      <c r="H26" s="2158"/>
      <c r="I26" s="5045"/>
      <c r="J26" s="5046"/>
      <c r="K26" s="5046"/>
      <c r="L26" s="5046"/>
      <c r="M26" s="5046"/>
      <c r="N26" s="5046"/>
      <c r="O26" s="5047"/>
      <c r="P26" s="2363"/>
      <c r="Q26" s="24"/>
      <c r="R26" s="2435"/>
      <c r="S26" s="2377"/>
      <c r="T26" s="2161"/>
      <c r="U26" s="2163"/>
      <c r="V26" s="339" t="s">
        <v>2158</v>
      </c>
      <c r="W26" s="3796"/>
      <c r="X26" s="3796"/>
      <c r="Y26" s="5122"/>
      <c r="Z26" s="5122"/>
      <c r="AA26" s="129" t="s">
        <v>1884</v>
      </c>
      <c r="AB26" s="129" t="s">
        <v>1885</v>
      </c>
      <c r="AC26" s="129" t="s">
        <v>1869</v>
      </c>
      <c r="AD26" s="129" t="s">
        <v>1886</v>
      </c>
      <c r="AE26" s="340" t="s">
        <v>1870</v>
      </c>
      <c r="AF26" s="136" t="s">
        <v>2994</v>
      </c>
      <c r="AG26" s="5150" t="str">
        <f>IF(W26="Escudo","Bono de Esquiva:",IF(W26="Proyectiles","Turnos de recarga:",""))</f>
        <v/>
      </c>
      <c r="AH26" s="5151"/>
      <c r="AI26" s="5151"/>
      <c r="AJ26" s="112"/>
      <c r="AK26" s="2813"/>
      <c r="AL26" s="2810"/>
    </row>
    <row r="27" spans="1:40" ht="12" customHeight="1" thickBot="1">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805"/>
      <c r="X27" s="3805"/>
      <c r="Y27" s="5122"/>
      <c r="Z27" s="5122"/>
      <c r="AA27" s="85"/>
      <c r="AB27" s="85"/>
      <c r="AC27" s="85"/>
      <c r="AD27" s="85"/>
      <c r="AE27" s="85"/>
      <c r="AF27" s="512"/>
      <c r="AG27" s="5181" t="str">
        <f>IF(W26="Proyectiles","Alcance:","")</f>
        <v/>
      </c>
      <c r="AH27" s="5181"/>
      <c r="AI27" s="5181"/>
      <c r="AJ27" s="114"/>
      <c r="AK27" s="2813"/>
      <c r="AL27" s="2810"/>
    </row>
    <row r="28" spans="1:40" ht="12" customHeight="1">
      <c r="A28" s="2161"/>
      <c r="B28" s="2434"/>
      <c r="C28" s="4475" t="s">
        <v>10220</v>
      </c>
      <c r="D28" s="4476"/>
      <c r="E28" s="4477"/>
      <c r="F28" s="43"/>
      <c r="G28" s="5204" t="s">
        <v>1837</v>
      </c>
      <c r="H28" s="4966" t="s">
        <v>1838</v>
      </c>
      <c r="I28" s="4967"/>
      <c r="J28" s="5055"/>
      <c r="K28" s="2181" t="s">
        <v>1839</v>
      </c>
      <c r="L28" s="5054" t="s">
        <v>1840</v>
      </c>
      <c r="M28" s="5055"/>
      <c r="N28" s="5054" t="s">
        <v>1841</v>
      </c>
      <c r="O28" s="4967"/>
      <c r="P28" s="5048" t="str">
        <f>IF(SUM(K29:K31)+SUM(K32:K34)&gt;0,"Selecciona la/s Habilidad/es asociadas a las Ventajas",IF(SUM(K29:K31)+SUM(K32:K34)&lt;0,"Exceso de Habilidad/es seleccionadas",""))</f>
        <v/>
      </c>
      <c r="Q28" s="5049"/>
      <c r="R28" s="2435"/>
      <c r="S28" s="2377"/>
      <c r="T28" s="2161"/>
      <c r="U28" s="2163"/>
      <c r="V28" s="3346" t="s">
        <v>1625</v>
      </c>
      <c r="W28" s="3346"/>
      <c r="X28" s="5120"/>
      <c r="Y28" s="5120"/>
      <c r="Z28" s="5120"/>
      <c r="AA28" s="5120"/>
      <c r="AB28" s="5137"/>
      <c r="AC28" s="5137"/>
      <c r="AD28" s="5137"/>
      <c r="AE28" s="5137"/>
      <c r="AF28" s="5137"/>
      <c r="AG28" s="5137"/>
      <c r="AH28" s="5137"/>
      <c r="AI28" s="5137"/>
      <c r="AJ28" s="5137"/>
      <c r="AK28" s="2813"/>
      <c r="AL28" s="2810"/>
    </row>
    <row r="29" spans="1:40" ht="12" customHeight="1" thickBot="1">
      <c r="A29" s="2161"/>
      <c r="B29" s="2434"/>
      <c r="C29" s="4969"/>
      <c r="D29" s="4970"/>
      <c r="E29" s="4971"/>
      <c r="F29" s="43"/>
      <c r="G29" s="5205"/>
      <c r="H29" s="2368" t="s">
        <v>1842</v>
      </c>
      <c r="I29" s="2365"/>
      <c r="J29" s="2365"/>
      <c r="K29" s="97">
        <f>Tablas!$G$276-IF(L29=0,0,1)-IF(N29=0,0,1)</f>
        <v>0</v>
      </c>
      <c r="L29" s="5056"/>
      <c r="M29" s="3798"/>
      <c r="N29" s="5083"/>
      <c r="O29" s="4398"/>
      <c r="P29" s="5050"/>
      <c r="Q29" s="5051"/>
      <c r="R29" s="2435"/>
      <c r="S29" s="2377"/>
      <c r="T29" s="2161"/>
      <c r="U29" s="2163"/>
      <c r="V29" s="3346" t="s">
        <v>2155</v>
      </c>
      <c r="W29" s="3346"/>
      <c r="X29" s="81"/>
      <c r="Y29" s="338" t="s">
        <v>1702</v>
      </c>
      <c r="Z29" s="154" t="s">
        <v>1882</v>
      </c>
      <c r="AA29" s="4293" t="s">
        <v>2156</v>
      </c>
      <c r="AB29" s="4293"/>
      <c r="AC29" s="81"/>
      <c r="AD29" s="236" t="s">
        <v>2157</v>
      </c>
      <c r="AE29" s="149"/>
      <c r="AF29" s="143" t="s">
        <v>1702</v>
      </c>
      <c r="AG29" s="5138" t="str">
        <f>IF(W30="Escudo","Bono de Parada:",IF(W30="Proyectiles","FUE del arma:",""))</f>
        <v/>
      </c>
      <c r="AH29" s="5139"/>
      <c r="AI29" s="5139"/>
      <c r="AJ29" s="112"/>
      <c r="AK29" s="2813"/>
      <c r="AL29" s="2810"/>
    </row>
    <row r="30" spans="1:40" ht="12" customHeight="1" thickBot="1">
      <c r="A30" s="2161"/>
      <c r="B30" s="2434"/>
      <c r="C30" s="4972" t="s">
        <v>2292</v>
      </c>
      <c r="D30" s="4973"/>
      <c r="E30" s="4974"/>
      <c r="F30" s="43"/>
      <c r="G30" s="5205"/>
      <c r="H30" s="2367" t="s">
        <v>1844</v>
      </c>
      <c r="I30" s="2364"/>
      <c r="J30" s="2364"/>
      <c r="K30" s="181">
        <f>Tablas!$G$277-IF(L30=0,0,1)-IF(N30=0,0,1)</f>
        <v>0</v>
      </c>
      <c r="L30" s="5086"/>
      <c r="M30" s="3801"/>
      <c r="N30" s="5084"/>
      <c r="O30" s="5085"/>
      <c r="P30" s="5050"/>
      <c r="Q30" s="5051"/>
      <c r="R30" s="2435"/>
      <c r="S30" s="2377"/>
      <c r="T30" s="2161"/>
      <c r="U30" s="2163"/>
      <c r="V30" s="339" t="s">
        <v>2158</v>
      </c>
      <c r="W30" s="3796"/>
      <c r="X30" s="3796"/>
      <c r="Y30" s="5122"/>
      <c r="Z30" s="5122"/>
      <c r="AA30" s="129" t="s">
        <v>1884</v>
      </c>
      <c r="AB30" s="129" t="s">
        <v>1885</v>
      </c>
      <c r="AC30" s="129" t="s">
        <v>1869</v>
      </c>
      <c r="AD30" s="129" t="s">
        <v>1886</v>
      </c>
      <c r="AE30" s="340" t="s">
        <v>1870</v>
      </c>
      <c r="AF30" s="136" t="s">
        <v>2994</v>
      </c>
      <c r="AG30" s="5150" t="str">
        <f>IF(W30="Escudo","Bono de Esquiva:",IF(W30="Proyectiles","Turnos de recarga:",""))</f>
        <v/>
      </c>
      <c r="AH30" s="5151"/>
      <c r="AI30" s="5151"/>
      <c r="AJ30" s="112"/>
      <c r="AK30" s="2813"/>
      <c r="AL30" s="2810"/>
      <c r="AM30" s="2811" t="s">
        <v>10233</v>
      </c>
      <c r="AN30" s="2989" t="b">
        <f>AND(C30="Conseguido",OR(Raza="Ebudan",Nephilim="Nephilim Ebudan"))</f>
        <v>0</v>
      </c>
    </row>
    <row r="31" spans="1:40" ht="12" customHeight="1" thickBot="1">
      <c r="A31" s="2161"/>
      <c r="B31" s="2434"/>
      <c r="C31" s="4975"/>
      <c r="D31" s="4976"/>
      <c r="E31" s="4977"/>
      <c r="F31" s="43"/>
      <c r="G31" s="5205"/>
      <c r="H31" s="2369" t="s">
        <v>1846</v>
      </c>
      <c r="I31" s="2370"/>
      <c r="J31" s="2370"/>
      <c r="K31" s="1609">
        <f>Tablas!$G$278-IF(L31=0,0,1)-IF(N31=0,0,1)</f>
        <v>0</v>
      </c>
      <c r="L31" s="5087"/>
      <c r="M31" s="4278"/>
      <c r="N31" s="4355"/>
      <c r="O31" s="4385"/>
      <c r="P31" s="5050"/>
      <c r="Q31" s="5051"/>
      <c r="R31" s="2435"/>
      <c r="S31" s="2377"/>
      <c r="T31" s="2161"/>
      <c r="U31" s="2163"/>
      <c r="V31" s="89" t="s">
        <v>2159</v>
      </c>
      <c r="W31" s="3805"/>
      <c r="X31" s="3805"/>
      <c r="Y31" s="5122"/>
      <c r="Z31" s="5122"/>
      <c r="AA31" s="85"/>
      <c r="AB31" s="85"/>
      <c r="AC31" s="85"/>
      <c r="AD31" s="85"/>
      <c r="AE31" s="85"/>
      <c r="AF31" s="512"/>
      <c r="AG31" s="5181" t="str">
        <f>IF(W30="Proyectiles","Alcance:","")</f>
        <v/>
      </c>
      <c r="AH31" s="5181"/>
      <c r="AI31" s="5181"/>
      <c r="AJ31" s="114"/>
      <c r="AK31" s="2813"/>
      <c r="AL31" s="2810"/>
      <c r="AM31" s="2811" t="s">
        <v>10221</v>
      </c>
      <c r="AN31" s="2989" t="b">
        <f>AND($AN$30,C33="Si")</f>
        <v>0</v>
      </c>
    </row>
    <row r="32" spans="1:40" ht="12" customHeight="1">
      <c r="A32" s="2161"/>
      <c r="B32" s="2434"/>
      <c r="C32" s="4978" t="s">
        <v>10221</v>
      </c>
      <c r="D32" s="4978"/>
      <c r="E32" s="4978"/>
      <c r="F32" s="43"/>
      <c r="G32" s="5205"/>
      <c r="H32" s="2959" t="s">
        <v>1843</v>
      </c>
      <c r="I32" s="2953"/>
      <c r="J32" s="2960"/>
      <c r="K32" s="97">
        <f>Tablas!$G$286-IF(L32=0,0,1)-IF(N32=0,0,1)</f>
        <v>0</v>
      </c>
      <c r="L32" s="5056"/>
      <c r="M32" s="3799"/>
      <c r="N32" s="5056"/>
      <c r="O32" s="4394"/>
      <c r="P32" s="5050"/>
      <c r="Q32" s="5051"/>
      <c r="R32" s="2438"/>
      <c r="S32" s="1843"/>
      <c r="T32" s="2161"/>
      <c r="U32" s="2163"/>
      <c r="V32" s="3346" t="s">
        <v>1625</v>
      </c>
      <c r="W32" s="3346"/>
      <c r="X32" s="5120"/>
      <c r="Y32" s="5120"/>
      <c r="Z32" s="5120"/>
      <c r="AA32" s="5120"/>
      <c r="AB32" s="5137"/>
      <c r="AC32" s="5137"/>
      <c r="AD32" s="5137"/>
      <c r="AE32" s="5137"/>
      <c r="AF32" s="5137"/>
      <c r="AG32" s="5137"/>
      <c r="AH32" s="5137"/>
      <c r="AI32" s="5137"/>
      <c r="AJ32" s="5137"/>
      <c r="AK32" s="2804"/>
      <c r="AL32" s="2808"/>
    </row>
    <row r="33" spans="1:56" ht="12" customHeight="1">
      <c r="A33" s="2161"/>
      <c r="B33" s="2434"/>
      <c r="C33" s="4979" t="s">
        <v>2446</v>
      </c>
      <c r="D33" s="4979"/>
      <c r="E33" s="4979"/>
      <c r="F33" s="43"/>
      <c r="G33" s="5205"/>
      <c r="H33" s="2957" t="s">
        <v>1845</v>
      </c>
      <c r="I33" s="2952"/>
      <c r="J33" s="2958"/>
      <c r="K33" s="181">
        <f>Tablas!$G$287-IF(L33=0,0,1)-IF(N33=0,0,1)</f>
        <v>0</v>
      </c>
      <c r="L33" s="5086"/>
      <c r="M33" s="3802"/>
      <c r="N33" s="5086"/>
      <c r="O33" s="5085"/>
      <c r="P33" s="5050"/>
      <c r="Q33" s="5051"/>
      <c r="R33" s="2435"/>
      <c r="S33" s="2377"/>
      <c r="T33" s="2161"/>
      <c r="U33" s="2163"/>
      <c r="V33" s="3346" t="s">
        <v>2155</v>
      </c>
      <c r="W33" s="3346"/>
      <c r="X33" s="81"/>
      <c r="Y33" s="338" t="s">
        <v>1702</v>
      </c>
      <c r="Z33" s="154" t="s">
        <v>1882</v>
      </c>
      <c r="AA33" s="4293" t="s">
        <v>2156</v>
      </c>
      <c r="AB33" s="4293"/>
      <c r="AC33" s="81"/>
      <c r="AD33" s="236" t="s">
        <v>2157</v>
      </c>
      <c r="AE33" s="149"/>
      <c r="AF33" s="143" t="s">
        <v>1702</v>
      </c>
      <c r="AG33" s="5138" t="str">
        <f>IF(W34="Escudo","Bono de Parada:",IF(W34="Proyectiles","FUE del arma:",""))</f>
        <v/>
      </c>
      <c r="AH33" s="5139"/>
      <c r="AI33" s="5139"/>
      <c r="AJ33" s="112"/>
      <c r="AK33" s="2813"/>
      <c r="AL33" s="2810"/>
    </row>
    <row r="34" spans="1:56" ht="12" customHeight="1" thickBot="1">
      <c r="A34" s="2161"/>
      <c r="B34" s="2434"/>
      <c r="C34" s="67"/>
      <c r="D34" s="67"/>
      <c r="E34" s="43"/>
      <c r="F34" s="43"/>
      <c r="G34" s="5206"/>
      <c r="H34" s="2954" t="s">
        <v>1847</v>
      </c>
      <c r="I34" s="2955"/>
      <c r="J34" s="2956"/>
      <c r="K34" s="1609">
        <f>Tablas!$G$288-IF(L34=0,0,1)-IF(N34=0,0,1)</f>
        <v>0</v>
      </c>
      <c r="L34" s="5087"/>
      <c r="M34" s="5203"/>
      <c r="N34" s="5087"/>
      <c r="O34" s="4385"/>
      <c r="P34" s="5052"/>
      <c r="Q34" s="5053"/>
      <c r="R34" s="2435"/>
      <c r="S34" s="2377"/>
      <c r="T34" s="2161"/>
      <c r="U34" s="2163"/>
      <c r="V34" s="339" t="s">
        <v>2158</v>
      </c>
      <c r="W34" s="3796"/>
      <c r="X34" s="3796"/>
      <c r="Y34" s="5122"/>
      <c r="Z34" s="5122"/>
      <c r="AA34" s="129" t="s">
        <v>1884</v>
      </c>
      <c r="AB34" s="129" t="s">
        <v>1885</v>
      </c>
      <c r="AC34" s="129" t="s">
        <v>1869</v>
      </c>
      <c r="AD34" s="129" t="s">
        <v>1886</v>
      </c>
      <c r="AE34" s="340" t="s">
        <v>1870</v>
      </c>
      <c r="AF34" s="136" t="s">
        <v>2994</v>
      </c>
      <c r="AG34" s="5150" t="str">
        <f>IF(W34="Escudo","Bono de Esquiva:",IF(W34="Proyectiles","Turnos de recarga:",""))</f>
        <v/>
      </c>
      <c r="AH34" s="5151"/>
      <c r="AI34" s="5151"/>
      <c r="AJ34" s="112"/>
      <c r="AK34" s="2813"/>
      <c r="AL34" s="2810"/>
    </row>
    <row r="35" spans="1:56" ht="12" customHeight="1" thickBot="1">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805"/>
      <c r="X35" s="3805"/>
      <c r="Y35" s="5122"/>
      <c r="Z35" s="5122"/>
      <c r="AA35" s="85"/>
      <c r="AB35" s="85"/>
      <c r="AC35" s="85"/>
      <c r="AD35" s="85"/>
      <c r="AE35" s="85"/>
      <c r="AF35" s="512"/>
      <c r="AG35" s="5181" t="str">
        <f>IF(W34="Proyectiles","Alcance:","")</f>
        <v/>
      </c>
      <c r="AH35" s="5181"/>
      <c r="AI35" s="5181"/>
      <c r="AJ35" s="114"/>
      <c r="AK35" s="2813"/>
      <c r="AL35" s="2810"/>
    </row>
    <row r="36" spans="1:56" ht="12" customHeight="1" thickBot="1">
      <c r="A36" s="2161"/>
      <c r="B36" s="2434"/>
      <c r="C36" s="5088" t="s">
        <v>8916</v>
      </c>
      <c r="D36" s="5089"/>
      <c r="E36" s="5089"/>
      <c r="F36" s="5089"/>
      <c r="G36" s="5089"/>
      <c r="H36" s="5089"/>
      <c r="I36" s="5089"/>
      <c r="J36" s="5089"/>
      <c r="K36" s="5089"/>
      <c r="L36" s="5089"/>
      <c r="M36" s="5089"/>
      <c r="N36" s="5089"/>
      <c r="O36" s="5089"/>
      <c r="P36" s="5089"/>
      <c r="Q36" s="5090"/>
      <c r="R36" s="2435"/>
      <c r="S36" s="2377"/>
      <c r="T36" s="2161"/>
      <c r="U36" s="2163"/>
      <c r="AK36" s="2813"/>
      <c r="AL36" s="2810"/>
    </row>
    <row r="37" spans="1:56" ht="12" customHeight="1" thickBot="1">
      <c r="A37" s="2161"/>
      <c r="B37" s="2434"/>
      <c r="C37" s="3914"/>
      <c r="D37" s="3915"/>
      <c r="E37" s="3915"/>
      <c r="F37" s="3915"/>
      <c r="G37" s="3915"/>
      <c r="H37" s="3915"/>
      <c r="I37" s="3915"/>
      <c r="J37" s="3915"/>
      <c r="K37" s="3915"/>
      <c r="L37" s="3915"/>
      <c r="M37" s="3915"/>
      <c r="N37" s="3915"/>
      <c r="O37" s="3915"/>
      <c r="P37" s="3915"/>
      <c r="Q37" s="3916"/>
      <c r="R37" s="2435"/>
      <c r="S37" s="2377"/>
      <c r="T37" s="2161"/>
      <c r="U37" s="2163"/>
      <c r="V37" s="5146" t="s">
        <v>2162</v>
      </c>
      <c r="W37" s="5135" t="s">
        <v>1625</v>
      </c>
      <c r="X37" s="5135"/>
      <c r="Y37" s="5184"/>
      <c r="Z37" s="5184"/>
      <c r="AA37" s="5184"/>
      <c r="AB37" s="5184"/>
      <c r="AC37" s="5184"/>
      <c r="AD37" s="5135" t="s">
        <v>1625</v>
      </c>
      <c r="AE37" s="5135"/>
      <c r="AF37" s="5184"/>
      <c r="AG37" s="5184"/>
      <c r="AH37" s="5184"/>
      <c r="AI37" s="5184"/>
      <c r="AJ37" s="5184"/>
      <c r="AK37" s="2813"/>
      <c r="AL37" s="2810"/>
    </row>
    <row r="38" spans="1:56" ht="12" customHeight="1" thickBot="1">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146"/>
      <c r="W38" s="5145" t="s">
        <v>2163</v>
      </c>
      <c r="X38" s="5145"/>
      <c r="Y38" s="5185" t="str">
        <f>IF($Y$44="Cabeza","Pen.Percepción","Pen. Natural")</f>
        <v>Pen. Natural</v>
      </c>
      <c r="Z38" s="5185"/>
      <c r="AA38" s="5136" t="s">
        <v>2164</v>
      </c>
      <c r="AB38" s="5136"/>
      <c r="AC38" s="5136"/>
      <c r="AD38" s="5145" t="s">
        <v>2163</v>
      </c>
      <c r="AE38" s="5145"/>
      <c r="AF38" s="5185" t="str">
        <f>IF($AF$44="Cabeza","Pen.Percepción","Pen. Natural")</f>
        <v>Pen. Natural</v>
      </c>
      <c r="AG38" s="5185"/>
      <c r="AH38" s="5136" t="s">
        <v>2164</v>
      </c>
      <c r="AI38" s="5136"/>
      <c r="AJ38" s="5136"/>
      <c r="AK38" s="2813"/>
      <c r="AL38" s="2810"/>
    </row>
    <row r="39" spans="1:56" ht="12" customHeight="1" thickBot="1">
      <c r="A39" s="2161"/>
      <c r="B39" s="2434"/>
      <c r="C39" s="67"/>
      <c r="D39" s="3248" t="s">
        <v>8930</v>
      </c>
      <c r="E39" s="5196"/>
      <c r="F39" s="5200" t="str">
        <f>"Poderes adquiridos: "&amp;IF(Tablas!$J$1801&gt;0,"Influjo Sobrenatural"&amp;IF(Tablas!$J$1806&gt;0,", Demiurgo",""),IF(Tablas!$J$1806&gt;0,"Demiurgo","Ninguno"))</f>
        <v>Poderes adquiridos: Ninguno</v>
      </c>
      <c r="G39" s="5201"/>
      <c r="H39" s="5201"/>
      <c r="I39" s="5201"/>
      <c r="J39" s="5201"/>
      <c r="K39" s="5201"/>
      <c r="L39" s="5201"/>
      <c r="M39" s="5202"/>
      <c r="N39" s="5188" t="s">
        <v>8917</v>
      </c>
      <c r="O39" s="5189"/>
      <c r="P39" s="5190"/>
      <c r="Q39" s="2167"/>
      <c r="R39" s="2435"/>
      <c r="S39" s="2377"/>
      <c r="T39" s="2161"/>
      <c r="U39" s="2163"/>
      <c r="V39" s="5146"/>
      <c r="W39" s="5143"/>
      <c r="X39" s="5143"/>
      <c r="Y39" s="5183"/>
      <c r="Z39" s="5183"/>
      <c r="AA39" s="5140"/>
      <c r="AB39" s="5140"/>
      <c r="AC39" s="5140"/>
      <c r="AD39" s="5143"/>
      <c r="AE39" s="5143"/>
      <c r="AF39" s="5183"/>
      <c r="AG39" s="5183"/>
      <c r="AH39" s="5140"/>
      <c r="AI39" s="5140"/>
      <c r="AJ39" s="5140"/>
      <c r="AK39" s="2813"/>
      <c r="AL39" s="2810"/>
      <c r="AM39" s="1676" t="s">
        <v>8540</v>
      </c>
      <c r="AN39" s="1753"/>
    </row>
    <row r="40" spans="1:56" ht="12" customHeight="1" thickBot="1">
      <c r="A40" s="2161"/>
      <c r="B40" s="2434"/>
      <c r="C40" s="67"/>
      <c r="D40" s="5197"/>
      <c r="E40" s="5198"/>
      <c r="F40" s="2409"/>
      <c r="G40" s="2389" t="s">
        <v>8915</v>
      </c>
      <c r="H40" s="2383"/>
      <c r="I40" s="2383"/>
      <c r="J40" s="2383"/>
      <c r="K40" s="2383"/>
      <c r="L40" s="2383"/>
      <c r="M40" s="2440"/>
      <c r="N40" s="2441" t="s">
        <v>1695</v>
      </c>
      <c r="O40" s="2392" t="s">
        <v>1700</v>
      </c>
      <c r="P40" s="2393" t="s">
        <v>1701</v>
      </c>
      <c r="Q40" s="2167"/>
      <c r="R40" s="2435"/>
      <c r="S40" s="2377"/>
      <c r="T40" s="2161"/>
      <c r="U40" s="2163"/>
      <c r="V40" s="5146"/>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c r="A41" s="2161"/>
      <c r="B41" s="2434"/>
      <c r="C41" s="96"/>
      <c r="D41" s="3251"/>
      <c r="E41" s="5199"/>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146"/>
      <c r="W41" s="5141"/>
      <c r="X41" s="5141"/>
      <c r="Y41" s="5141"/>
      <c r="Z41" s="5141"/>
      <c r="AA41" s="5141"/>
      <c r="AB41" s="5152"/>
      <c r="AC41" s="5154"/>
      <c r="AD41" s="5148"/>
      <c r="AE41" s="5141"/>
      <c r="AF41" s="5141"/>
      <c r="AG41" s="5141"/>
      <c r="AH41" s="5141"/>
      <c r="AI41" s="5152"/>
      <c r="AJ41" s="5154"/>
      <c r="AK41" s="2813"/>
      <c r="AL41" s="2810"/>
      <c r="AM41" s="2814" t="s">
        <v>8542</v>
      </c>
      <c r="AN41" s="2814" t="s">
        <v>3048</v>
      </c>
      <c r="AW41" s="239"/>
      <c r="AX41" s="239"/>
      <c r="AY41" s="239"/>
      <c r="AZ41" s="239"/>
      <c r="BA41" s="239"/>
      <c r="BB41" s="239"/>
      <c r="BC41" s="239"/>
      <c r="BD41" s="239"/>
    </row>
    <row r="42" spans="1:56" ht="12" customHeight="1" thickBot="1">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146"/>
      <c r="W42" s="5141"/>
      <c r="X42" s="5142"/>
      <c r="Y42" s="5142"/>
      <c r="Z42" s="5142"/>
      <c r="AA42" s="5142"/>
      <c r="AB42" s="5179"/>
      <c r="AC42" s="5155"/>
      <c r="AD42" s="5149"/>
      <c r="AE42" s="5142"/>
      <c r="AF42" s="5142"/>
      <c r="AG42" s="5142"/>
      <c r="AH42" s="5142"/>
      <c r="AI42" s="5153"/>
      <c r="AJ42" s="5155"/>
      <c r="AK42" s="2813"/>
      <c r="AL42" s="2810"/>
      <c r="AM42" s="2814" t="s">
        <v>8543</v>
      </c>
      <c r="AN42" s="2814" t="s">
        <v>3052</v>
      </c>
    </row>
    <row r="43" spans="1:56" ht="12" customHeight="1" thickBot="1">
      <c r="A43" s="2161"/>
      <c r="B43" s="2434"/>
      <c r="C43" s="5057" t="s">
        <v>8919</v>
      </c>
      <c r="D43" s="5004" t="s">
        <v>1625</v>
      </c>
      <c r="E43" s="5005"/>
      <c r="F43" s="5010"/>
      <c r="G43" s="5010"/>
      <c r="H43" s="5010"/>
      <c r="I43" s="5010"/>
      <c r="J43" s="5010"/>
      <c r="K43" s="5010"/>
      <c r="L43" s="5010"/>
      <c r="M43" s="5010"/>
      <c r="N43" s="5010"/>
      <c r="O43" s="5010"/>
      <c r="P43" s="5010"/>
      <c r="Q43" s="5011"/>
      <c r="R43" s="2435"/>
      <c r="S43" s="2377"/>
      <c r="T43" s="2161"/>
      <c r="U43" s="2163"/>
      <c r="V43" s="5146"/>
      <c r="W43" s="3356" t="s">
        <v>2165</v>
      </c>
      <c r="X43" s="3356"/>
      <c r="Y43" s="4195"/>
      <c r="Z43" s="4195"/>
      <c r="AA43" s="3356" t="s">
        <v>2166</v>
      </c>
      <c r="AB43" s="3356"/>
      <c r="AC43" s="1853"/>
      <c r="AD43" s="3356" t="s">
        <v>2165</v>
      </c>
      <c r="AE43" s="3356"/>
      <c r="AF43" s="4195"/>
      <c r="AG43" s="4195"/>
      <c r="AH43" s="3356" t="s">
        <v>2166</v>
      </c>
      <c r="AI43" s="3356"/>
      <c r="AJ43" s="1853"/>
      <c r="AK43" s="2813"/>
      <c r="AL43" s="2810"/>
      <c r="AN43" s="2814" t="s">
        <v>3054</v>
      </c>
    </row>
    <row r="44" spans="1:56" ht="12" customHeight="1" thickBot="1">
      <c r="A44" s="2161"/>
      <c r="B44" s="2434"/>
      <c r="C44" s="5058"/>
      <c r="D44" s="3309" t="s">
        <v>8927</v>
      </c>
      <c r="E44" s="3309"/>
      <c r="F44" s="3309"/>
      <c r="G44" s="2371" t="s">
        <v>2149</v>
      </c>
      <c r="H44" s="2362" t="s">
        <v>1801</v>
      </c>
      <c r="I44" s="3305" t="s">
        <v>1861</v>
      </c>
      <c r="J44" s="3309"/>
      <c r="K44" s="3309"/>
      <c r="L44" s="3309"/>
      <c r="M44" s="3309"/>
      <c r="N44" s="3309"/>
      <c r="O44" s="3309"/>
      <c r="P44" s="3309"/>
      <c r="Q44" s="3306"/>
      <c r="R44" s="2435"/>
      <c r="S44" s="2377"/>
      <c r="T44" s="2161"/>
      <c r="U44" s="2163"/>
      <c r="V44" s="5146"/>
      <c r="W44" s="4654" t="s">
        <v>2167</v>
      </c>
      <c r="X44" s="4654"/>
      <c r="Y44" s="5169"/>
      <c r="Z44" s="5169"/>
      <c r="AA44" s="5147" t="s">
        <v>2168</v>
      </c>
      <c r="AB44" s="5147"/>
      <c r="AC44" s="350"/>
      <c r="AD44" s="4654" t="s">
        <v>2167</v>
      </c>
      <c r="AE44" s="4654"/>
      <c r="AF44" s="5169"/>
      <c r="AG44" s="5169"/>
      <c r="AH44" s="5147" t="s">
        <v>2168</v>
      </c>
      <c r="AI44" s="5147"/>
      <c r="AJ44" s="351"/>
      <c r="AK44" s="2813"/>
      <c r="AL44" s="2810"/>
    </row>
    <row r="45" spans="1:56" ht="12" customHeight="1" thickBot="1">
      <c r="A45" s="2161"/>
      <c r="B45" s="2434"/>
      <c r="C45" s="5058"/>
      <c r="D45" s="5006"/>
      <c r="E45" s="5007"/>
      <c r="F45" s="5008"/>
      <c r="G45" s="2430"/>
      <c r="H45" s="2431"/>
      <c r="I45" s="5012"/>
      <c r="J45" s="5012"/>
      <c r="K45" s="5012"/>
      <c r="L45" s="5012"/>
      <c r="M45" s="5012"/>
      <c r="N45" s="5012"/>
      <c r="O45" s="5012"/>
      <c r="P45" s="5012"/>
      <c r="Q45" s="5013"/>
      <c r="R45" s="2435"/>
      <c r="S45" s="2377"/>
      <c r="T45" s="2161"/>
      <c r="U45" s="2163"/>
      <c r="AK45" s="2813"/>
      <c r="AL45" s="2810"/>
    </row>
    <row r="46" spans="1:56" ht="12" customHeight="1" thickBot="1">
      <c r="A46" s="2161"/>
      <c r="B46" s="2434"/>
      <c r="C46" s="5058"/>
      <c r="D46" s="5006"/>
      <c r="E46" s="5007"/>
      <c r="F46" s="5008"/>
      <c r="G46" s="2430"/>
      <c r="H46" s="2431"/>
      <c r="I46" s="4982"/>
      <c r="J46" s="4982"/>
      <c r="K46" s="4982"/>
      <c r="L46" s="4982"/>
      <c r="M46" s="4982"/>
      <c r="N46" s="4982"/>
      <c r="O46" s="4982"/>
      <c r="P46" s="4982"/>
      <c r="Q46" s="4983"/>
      <c r="R46" s="2435"/>
      <c r="S46" s="2377"/>
      <c r="T46" s="2161"/>
      <c r="U46" s="2163"/>
      <c r="V46" s="3281" t="s">
        <v>2172</v>
      </c>
      <c r="W46" s="3281"/>
      <c r="X46" s="3281"/>
      <c r="Y46" s="3281"/>
      <c r="Z46" s="3281"/>
      <c r="AA46" s="3281"/>
      <c r="AB46" s="3281"/>
      <c r="AC46" s="3281"/>
      <c r="AD46" s="3281"/>
      <c r="AE46" s="3281"/>
      <c r="AF46" s="3281"/>
      <c r="AG46" s="3281"/>
      <c r="AH46" s="3281"/>
      <c r="AI46" s="3281"/>
      <c r="AJ46" s="3281"/>
      <c r="AK46" s="2813"/>
      <c r="AL46" s="2810"/>
    </row>
    <row r="47" spans="1:56" ht="12" customHeight="1" thickBot="1">
      <c r="A47" s="2161"/>
      <c r="B47" s="2434"/>
      <c r="C47" s="5058"/>
      <c r="D47" s="5006"/>
      <c r="E47" s="5007"/>
      <c r="F47" s="5008"/>
      <c r="G47" s="2430"/>
      <c r="H47" s="2431"/>
      <c r="I47" s="4982"/>
      <c r="J47" s="4982"/>
      <c r="K47" s="4982"/>
      <c r="L47" s="4982"/>
      <c r="M47" s="4982"/>
      <c r="N47" s="4982"/>
      <c r="O47" s="4982"/>
      <c r="P47" s="4982"/>
      <c r="Q47" s="4983"/>
      <c r="R47" s="2435"/>
      <c r="S47" s="2377"/>
      <c r="T47" s="2161"/>
      <c r="U47" s="2163"/>
      <c r="V47" s="5194" t="s">
        <v>2173</v>
      </c>
      <c r="W47" s="5194"/>
      <c r="X47" s="5194"/>
      <c r="Y47" s="5195"/>
      <c r="Z47" s="5195"/>
      <c r="AA47" s="5195"/>
      <c r="AB47" s="5207"/>
      <c r="AC47" s="5207"/>
      <c r="AD47" s="5207"/>
      <c r="AE47" s="5207"/>
      <c r="AF47" s="5207"/>
      <c r="AG47" s="5207"/>
      <c r="AH47" s="5156"/>
      <c r="AI47" s="5156"/>
      <c r="AJ47" s="5156"/>
      <c r="AK47" s="2813"/>
      <c r="AL47" s="2810"/>
    </row>
    <row r="48" spans="1:56" ht="12" customHeight="1">
      <c r="A48" s="2161"/>
      <c r="B48" s="2434"/>
      <c r="C48" s="5058"/>
      <c r="D48" s="5006"/>
      <c r="E48" s="5007"/>
      <c r="F48" s="5008"/>
      <c r="G48" s="2430"/>
      <c r="H48" s="2431"/>
      <c r="I48" s="4982"/>
      <c r="J48" s="4982"/>
      <c r="K48" s="4982"/>
      <c r="L48" s="4982"/>
      <c r="M48" s="4982"/>
      <c r="N48" s="4982"/>
      <c r="O48" s="4982"/>
      <c r="P48" s="4982"/>
      <c r="Q48" s="4983"/>
      <c r="R48" s="2435"/>
      <c r="S48" s="2377"/>
      <c r="T48" s="2161"/>
      <c r="U48" s="2163"/>
      <c r="V48" s="5194"/>
      <c r="W48" s="5194"/>
      <c r="X48" s="5194"/>
      <c r="Y48" s="5195"/>
      <c r="Z48" s="5195"/>
      <c r="AA48" s="5195"/>
      <c r="AB48" s="5207"/>
      <c r="AC48" s="5207"/>
      <c r="AD48" s="5207"/>
      <c r="AE48" s="5207"/>
      <c r="AF48" s="5207"/>
      <c r="AG48" s="5207"/>
      <c r="AH48" s="5156"/>
      <c r="AI48" s="5156"/>
      <c r="AJ48" s="5156"/>
      <c r="AK48" s="2813"/>
      <c r="AL48" s="2810"/>
    </row>
    <row r="49" spans="1:38" ht="12" customHeight="1">
      <c r="A49" s="2161"/>
      <c r="B49" s="2434"/>
      <c r="C49" s="5058"/>
      <c r="D49" s="5006"/>
      <c r="E49" s="5007"/>
      <c r="F49" s="5008"/>
      <c r="G49" s="2430"/>
      <c r="H49" s="2431"/>
      <c r="I49" s="4982"/>
      <c r="J49" s="4982"/>
      <c r="K49" s="4982"/>
      <c r="L49" s="4982"/>
      <c r="M49" s="4982"/>
      <c r="N49" s="4982"/>
      <c r="O49" s="4982"/>
      <c r="P49" s="4982"/>
      <c r="Q49" s="4983"/>
      <c r="R49" s="2435"/>
      <c r="S49" s="2377"/>
      <c r="T49" s="2161"/>
      <c r="U49" s="2163"/>
      <c r="V49" s="3353" t="s">
        <v>2176</v>
      </c>
      <c r="W49" s="3353"/>
      <c r="X49" s="3353"/>
      <c r="Y49" s="5144"/>
      <c r="Z49" s="5144"/>
      <c r="AA49" s="5144"/>
      <c r="AB49" s="5177"/>
      <c r="AC49" s="5177"/>
      <c r="AD49" s="5177"/>
      <c r="AE49" s="5177"/>
      <c r="AF49" s="5177"/>
      <c r="AG49" s="5177"/>
      <c r="AH49" s="5193"/>
      <c r="AI49" s="5193"/>
      <c r="AJ49" s="5193"/>
      <c r="AK49" s="2813"/>
      <c r="AL49" s="2810"/>
    </row>
    <row r="50" spans="1:38" ht="12" customHeight="1">
      <c r="A50" s="2161"/>
      <c r="B50" s="2434"/>
      <c r="C50" s="5058"/>
      <c r="D50" s="5006"/>
      <c r="E50" s="5007"/>
      <c r="F50" s="5008"/>
      <c r="G50" s="2430"/>
      <c r="H50" s="2431"/>
      <c r="I50" s="4982"/>
      <c r="J50" s="4982"/>
      <c r="K50" s="4982"/>
      <c r="L50" s="4982"/>
      <c r="M50" s="4982"/>
      <c r="N50" s="4982"/>
      <c r="O50" s="4982"/>
      <c r="P50" s="4982"/>
      <c r="Q50" s="4983"/>
      <c r="R50" s="2435"/>
      <c r="S50" s="2377"/>
      <c r="T50" s="2161"/>
      <c r="U50" s="2163"/>
      <c r="V50" s="5178" t="s">
        <v>2177</v>
      </c>
      <c r="W50" s="5178"/>
      <c r="X50" s="5178"/>
      <c r="Y50" s="5157"/>
      <c r="Z50" s="5157"/>
      <c r="AA50" s="5157"/>
      <c r="AB50" s="5158"/>
      <c r="AC50" s="5158"/>
      <c r="AD50" s="5158"/>
      <c r="AE50" s="5158"/>
      <c r="AF50" s="5158"/>
      <c r="AG50" s="5158"/>
      <c r="AH50" s="5159"/>
      <c r="AI50" s="5159"/>
      <c r="AJ50" s="5159"/>
      <c r="AK50" s="2813"/>
      <c r="AL50" s="2810"/>
    </row>
    <row r="51" spans="1:38" ht="12" customHeight="1">
      <c r="A51" s="2161"/>
      <c r="B51" s="2434"/>
      <c r="C51" s="5058"/>
      <c r="D51" s="5006"/>
      <c r="E51" s="5007"/>
      <c r="F51" s="5008"/>
      <c r="G51" s="2430"/>
      <c r="H51" s="2431"/>
      <c r="I51" s="4982"/>
      <c r="J51" s="4982"/>
      <c r="K51" s="4982"/>
      <c r="L51" s="4982"/>
      <c r="M51" s="4982"/>
      <c r="N51" s="4982"/>
      <c r="O51" s="4982"/>
      <c r="P51" s="4982"/>
      <c r="Q51" s="4983"/>
      <c r="R51" s="2435"/>
      <c r="S51" s="2377"/>
      <c r="T51" s="2161"/>
      <c r="U51" s="2163"/>
      <c r="V51" s="5191" t="s">
        <v>2178</v>
      </c>
      <c r="W51" s="5191"/>
      <c r="X51" s="5191"/>
      <c r="Y51" s="5186"/>
      <c r="Z51" s="5186"/>
      <c r="AA51" s="5186"/>
      <c r="AB51" s="5187"/>
      <c r="AC51" s="5187"/>
      <c r="AD51" s="5187"/>
      <c r="AE51" s="5187"/>
      <c r="AF51" s="5187"/>
      <c r="AG51" s="5187"/>
      <c r="AH51" s="5192"/>
      <c r="AI51" s="5192"/>
      <c r="AJ51" s="5192"/>
      <c r="AK51" s="2813"/>
      <c r="AL51" s="2810"/>
    </row>
    <row r="52" spans="1:38" ht="12" customHeight="1">
      <c r="A52" s="2161"/>
      <c r="B52" s="2434"/>
      <c r="C52" s="5058"/>
      <c r="D52" s="5006"/>
      <c r="E52" s="5007"/>
      <c r="F52" s="5008"/>
      <c r="G52" s="2430"/>
      <c r="H52" s="2431"/>
      <c r="I52" s="4982"/>
      <c r="J52" s="4982"/>
      <c r="K52" s="4982"/>
      <c r="L52" s="4982"/>
      <c r="M52" s="4982"/>
      <c r="N52" s="4982"/>
      <c r="O52" s="4982"/>
      <c r="P52" s="4982"/>
      <c r="Q52" s="4983"/>
      <c r="R52" s="2435"/>
      <c r="S52" s="2377"/>
      <c r="T52" s="2161"/>
      <c r="U52" s="2163"/>
      <c r="V52" s="5178" t="s">
        <v>2179</v>
      </c>
      <c r="W52" s="5178"/>
      <c r="X52" s="5178"/>
      <c r="Y52" s="5157"/>
      <c r="Z52" s="5157"/>
      <c r="AA52" s="5157"/>
      <c r="AB52" s="5158"/>
      <c r="AC52" s="5158"/>
      <c r="AD52" s="5158"/>
      <c r="AE52" s="5158"/>
      <c r="AF52" s="5158"/>
      <c r="AG52" s="5158"/>
      <c r="AH52" s="5159"/>
      <c r="AI52" s="5159"/>
      <c r="AJ52" s="5159"/>
      <c r="AK52" s="2813"/>
      <c r="AL52" s="2810"/>
    </row>
    <row r="53" spans="1:38" ht="12" customHeight="1" thickBot="1">
      <c r="A53" s="2161"/>
      <c r="B53" s="2434"/>
      <c r="C53" s="5058"/>
      <c r="D53" s="5006"/>
      <c r="E53" s="5007"/>
      <c r="F53" s="5008"/>
      <c r="G53" s="2430"/>
      <c r="H53" s="2431"/>
      <c r="I53" s="4982"/>
      <c r="J53" s="4982"/>
      <c r="K53" s="4982"/>
      <c r="L53" s="4982"/>
      <c r="M53" s="4982"/>
      <c r="N53" s="4982"/>
      <c r="O53" s="4982"/>
      <c r="P53" s="4982"/>
      <c r="Q53" s="4983"/>
      <c r="R53" s="2435"/>
      <c r="S53" s="2377"/>
      <c r="T53" s="2161"/>
      <c r="U53" s="2163"/>
      <c r="V53" s="4313" t="s">
        <v>2180</v>
      </c>
      <c r="W53" s="5160"/>
      <c r="X53" s="5161"/>
      <c r="Y53" s="5174"/>
      <c r="Z53" s="5175"/>
      <c r="AA53" s="5180"/>
      <c r="AB53" s="5174"/>
      <c r="AC53" s="5175"/>
      <c r="AD53" s="5180"/>
      <c r="AE53" s="5174"/>
      <c r="AF53" s="5175"/>
      <c r="AG53" s="5180"/>
      <c r="AH53" s="5174"/>
      <c r="AI53" s="5175"/>
      <c r="AJ53" s="5176"/>
      <c r="AK53" s="2813"/>
      <c r="AL53" s="2810"/>
    </row>
    <row r="54" spans="1:38" ht="12" customHeight="1" thickBot="1">
      <c r="A54" s="2161"/>
      <c r="B54" s="2434"/>
      <c r="C54" s="5059"/>
      <c r="D54" s="5009"/>
      <c r="E54" s="5007"/>
      <c r="F54" s="5008"/>
      <c r="G54" s="2430"/>
      <c r="H54" s="2431"/>
      <c r="I54" s="4982"/>
      <c r="J54" s="4982"/>
      <c r="K54" s="4982"/>
      <c r="L54" s="4982"/>
      <c r="M54" s="4982"/>
      <c r="N54" s="4982"/>
      <c r="O54" s="4982"/>
      <c r="P54" s="4997"/>
      <c r="Q54" s="4998"/>
      <c r="R54" s="2435"/>
      <c r="S54" s="2377"/>
      <c r="T54" s="2161"/>
      <c r="U54" s="2163"/>
      <c r="AK54" s="2813"/>
      <c r="AL54" s="2810"/>
    </row>
    <row r="55" spans="1:38" ht="12" customHeight="1">
      <c r="A55" s="2161"/>
      <c r="B55" s="2434"/>
      <c r="C55" s="2379"/>
      <c r="D55" s="2379"/>
      <c r="E55" s="4999" t="s">
        <v>8085</v>
      </c>
      <c r="F55" s="5000"/>
      <c r="G55" s="5000"/>
      <c r="H55" s="5000"/>
      <c r="I55" s="5000"/>
      <c r="J55" s="5000"/>
      <c r="K55" s="5001"/>
      <c r="L55" s="5002" t="s">
        <v>8087</v>
      </c>
      <c r="M55" s="5002"/>
      <c r="N55" s="5002"/>
      <c r="O55" s="5003"/>
      <c r="P55" s="2158"/>
      <c r="Q55" s="2158"/>
      <c r="R55" s="2435"/>
      <c r="S55" s="2377"/>
      <c r="T55" s="2161"/>
      <c r="U55" s="2163"/>
      <c r="V55" s="5088" t="s">
        <v>8718</v>
      </c>
      <c r="W55" s="5089"/>
      <c r="X55" s="5089"/>
      <c r="Y55" s="5089"/>
      <c r="Z55" s="5089"/>
      <c r="AA55" s="5089"/>
      <c r="AB55" s="5089"/>
      <c r="AC55" s="5089"/>
      <c r="AD55" s="5089"/>
      <c r="AE55" s="5089"/>
      <c r="AF55" s="5089"/>
      <c r="AG55" s="5089"/>
      <c r="AH55" s="5089"/>
      <c r="AI55" s="5089"/>
      <c r="AJ55" s="5090"/>
      <c r="AK55" s="2813"/>
      <c r="AL55" s="2810"/>
    </row>
    <row r="56" spans="1:38" ht="12" customHeight="1" thickBot="1">
      <c r="A56" s="2161"/>
      <c r="B56" s="2434"/>
      <c r="C56" s="2379"/>
      <c r="D56" s="2379"/>
      <c r="E56" s="4986"/>
      <c r="F56" s="4987"/>
      <c r="G56" s="4987"/>
      <c r="H56" s="4987"/>
      <c r="I56" s="4987"/>
      <c r="J56" s="4988"/>
      <c r="K56" s="2647"/>
      <c r="L56" s="4984"/>
      <c r="M56" s="4984"/>
      <c r="N56" s="4984"/>
      <c r="O56" s="4980"/>
      <c r="P56" s="2158"/>
      <c r="Q56" s="2158"/>
      <c r="R56" s="2435"/>
      <c r="S56" s="2377"/>
      <c r="T56" s="2161"/>
      <c r="U56" s="2163"/>
      <c r="V56" s="3914"/>
      <c r="W56" s="3915"/>
      <c r="X56" s="3915"/>
      <c r="Y56" s="3915"/>
      <c r="Z56" s="3915"/>
      <c r="AA56" s="3915"/>
      <c r="AB56" s="3915"/>
      <c r="AC56" s="3915"/>
      <c r="AD56" s="3915"/>
      <c r="AE56" s="3915"/>
      <c r="AF56" s="3915"/>
      <c r="AG56" s="3915"/>
      <c r="AH56" s="3915"/>
      <c r="AI56" s="3915"/>
      <c r="AJ56" s="3916"/>
      <c r="AK56" s="2813"/>
      <c r="AL56" s="2810"/>
    </row>
    <row r="57" spans="1:38" ht="12" customHeight="1" thickBot="1">
      <c r="A57" s="2161"/>
      <c r="B57" s="2434"/>
      <c r="C57" s="2379"/>
      <c r="D57" s="2379"/>
      <c r="E57" s="4989"/>
      <c r="F57" s="4990"/>
      <c r="G57" s="4990"/>
      <c r="H57" s="4990"/>
      <c r="I57" s="4990"/>
      <c r="J57" s="4991"/>
      <c r="K57" s="2648"/>
      <c r="L57" s="4984"/>
      <c r="M57" s="4984"/>
      <c r="N57" s="4984"/>
      <c r="O57" s="4980"/>
      <c r="P57" s="2158"/>
      <c r="Q57" s="2158"/>
      <c r="R57" s="2435"/>
      <c r="S57" s="2377"/>
      <c r="T57" s="2161"/>
      <c r="U57" s="2163"/>
      <c r="AK57" s="2813"/>
      <c r="AL57" s="2810"/>
    </row>
    <row r="58" spans="1:38" ht="12" customHeight="1" thickBot="1">
      <c r="A58" s="2161"/>
      <c r="B58" s="2434"/>
      <c r="C58" s="2379"/>
      <c r="D58" s="2379"/>
      <c r="E58" s="4989"/>
      <c r="F58" s="4990"/>
      <c r="G58" s="4990"/>
      <c r="H58" s="4990"/>
      <c r="I58" s="4990"/>
      <c r="J58" s="4991"/>
      <c r="K58" s="2648"/>
      <c r="L58" s="4984"/>
      <c r="M58" s="4984"/>
      <c r="N58" s="4984"/>
      <c r="O58" s="4980"/>
      <c r="P58" s="2158"/>
      <c r="Q58" s="2158"/>
      <c r="R58" s="2435"/>
      <c r="S58" s="2377"/>
      <c r="T58" s="2161"/>
      <c r="U58" s="2163"/>
      <c r="V58" s="3281" t="s">
        <v>2160</v>
      </c>
      <c r="W58" s="3281"/>
      <c r="X58" s="3281"/>
      <c r="Y58" s="3281"/>
      <c r="Z58" s="3281"/>
      <c r="AA58" s="3281"/>
      <c r="AB58" s="3281"/>
      <c r="AC58" s="3281"/>
      <c r="AE58" s="3281" t="s">
        <v>2161</v>
      </c>
      <c r="AF58" s="3281"/>
      <c r="AG58" s="3281"/>
      <c r="AH58" s="3281"/>
      <c r="AI58" s="3281"/>
      <c r="AJ58" s="3281"/>
      <c r="AK58" s="2813"/>
      <c r="AL58" s="2810"/>
    </row>
    <row r="59" spans="1:38" ht="12" customHeight="1">
      <c r="A59" s="2161"/>
      <c r="B59" s="2434"/>
      <c r="C59" s="2158"/>
      <c r="D59" s="2379"/>
      <c r="E59" s="4989"/>
      <c r="F59" s="4990"/>
      <c r="G59" s="4990"/>
      <c r="H59" s="4990"/>
      <c r="I59" s="4990"/>
      <c r="J59" s="4991"/>
      <c r="K59" s="2648"/>
      <c r="L59" s="4984"/>
      <c r="M59" s="4984"/>
      <c r="N59" s="4984"/>
      <c r="O59" s="4980"/>
      <c r="P59" s="2158"/>
      <c r="Q59" s="2158"/>
      <c r="R59" s="2435"/>
      <c r="S59" s="2377"/>
      <c r="T59" s="2161"/>
      <c r="U59" s="2163"/>
      <c r="V59" s="4255" t="s">
        <v>1751</v>
      </c>
      <c r="W59" s="4255"/>
      <c r="X59" s="4255"/>
      <c r="Y59" s="4255"/>
      <c r="Z59" s="4255"/>
      <c r="AA59" s="4255"/>
      <c r="AB59" s="20" t="s">
        <v>2038</v>
      </c>
      <c r="AC59" s="25" t="s">
        <v>1820</v>
      </c>
      <c r="AE59" s="341" t="s">
        <v>1957</v>
      </c>
      <c r="AF59" s="3454" t="s">
        <v>2013</v>
      </c>
      <c r="AG59" s="3454"/>
      <c r="AH59" s="3454"/>
      <c r="AI59" s="3454"/>
      <c r="AJ59" s="1" t="s">
        <v>1712</v>
      </c>
      <c r="AK59" s="2813"/>
      <c r="AL59" s="2810"/>
    </row>
    <row r="60" spans="1:38" ht="12" customHeight="1">
      <c r="A60" s="2161"/>
      <c r="B60" s="2434"/>
      <c r="C60" s="2158"/>
      <c r="D60" s="2379"/>
      <c r="E60" s="4989"/>
      <c r="F60" s="4990"/>
      <c r="G60" s="4990"/>
      <c r="H60" s="4990"/>
      <c r="I60" s="4990"/>
      <c r="J60" s="4991"/>
      <c r="K60" s="2648"/>
      <c r="L60" s="4984"/>
      <c r="M60" s="4984"/>
      <c r="N60" s="4984"/>
      <c r="O60" s="4980"/>
      <c r="P60" s="2158"/>
      <c r="Q60" s="2158"/>
      <c r="R60" s="2435"/>
      <c r="S60" s="2377"/>
      <c r="T60" s="2161"/>
      <c r="U60" s="2163"/>
      <c r="V60" s="4316"/>
      <c r="W60" s="4316"/>
      <c r="X60" s="4316"/>
      <c r="Y60" s="4316"/>
      <c r="Z60" s="4316"/>
      <c r="AA60" s="4316"/>
      <c r="AB60" s="130"/>
      <c r="AC60" s="27"/>
      <c r="AE60" s="342">
        <f>IF(Metamagia!X15=1,30,0)</f>
        <v>0</v>
      </c>
      <c r="AF60" s="5170"/>
      <c r="AG60" s="5170"/>
      <c r="AH60" s="5170"/>
      <c r="AI60" s="5170"/>
      <c r="AJ60" s="73" t="str">
        <f>IF(AF60=0,"",VLOOKUP(AF60,Tablas!$F$1129:$G$1183,2,FALSE))</f>
        <v/>
      </c>
      <c r="AK60" s="2813"/>
      <c r="AL60" s="2810"/>
    </row>
    <row r="61" spans="1:38" ht="12" customHeight="1">
      <c r="A61" s="2161"/>
      <c r="B61" s="2434"/>
      <c r="C61" s="2158"/>
      <c r="D61" s="2379"/>
      <c r="E61" s="4989"/>
      <c r="F61" s="4990"/>
      <c r="G61" s="4990"/>
      <c r="H61" s="4990"/>
      <c r="I61" s="4990"/>
      <c r="J61" s="4991"/>
      <c r="K61" s="2648"/>
      <c r="L61" s="4984"/>
      <c r="M61" s="4984"/>
      <c r="N61" s="4984"/>
      <c r="O61" s="4980"/>
      <c r="P61" s="2158"/>
      <c r="Q61" s="2158"/>
      <c r="R61" s="2435"/>
      <c r="S61" s="2377"/>
      <c r="T61" s="2161"/>
      <c r="U61" s="2163"/>
      <c r="V61" s="4953"/>
      <c r="W61" s="4953"/>
      <c r="X61" s="4953"/>
      <c r="Y61" s="4953"/>
      <c r="Z61" s="4953"/>
      <c r="AA61" s="4953"/>
      <c r="AB61" s="343"/>
      <c r="AC61" s="344"/>
      <c r="AE61" s="345">
        <f>IF(Metamagia!AD15=1,30,0)</f>
        <v>0</v>
      </c>
      <c r="AF61" s="5044"/>
      <c r="AG61" s="5044"/>
      <c r="AH61" s="5044"/>
      <c r="AI61" s="5044"/>
      <c r="AJ61" s="160" t="str">
        <f>IF(AF61=0,"",VLOOKUP(AF61,Tablas!$F$1129:$G$1183,2,FALSE))</f>
        <v/>
      </c>
      <c r="AK61" s="2813"/>
      <c r="AL61" s="2810"/>
    </row>
    <row r="62" spans="1:38" ht="12" customHeight="1">
      <c r="A62" s="2161"/>
      <c r="B62" s="2434"/>
      <c r="C62" s="2379"/>
      <c r="D62" s="2379"/>
      <c r="E62" s="4989"/>
      <c r="F62" s="4990"/>
      <c r="G62" s="4990"/>
      <c r="H62" s="4990"/>
      <c r="I62" s="4990"/>
      <c r="J62" s="4991"/>
      <c r="K62" s="2648"/>
      <c r="L62" s="4984"/>
      <c r="M62" s="4984"/>
      <c r="N62" s="4984"/>
      <c r="O62" s="4980"/>
      <c r="P62" s="2158"/>
      <c r="Q62" s="2158"/>
      <c r="R62" s="2435"/>
      <c r="S62" s="2377"/>
      <c r="T62" s="2161"/>
      <c r="U62" s="2163"/>
      <c r="V62" s="4275"/>
      <c r="W62" s="4275"/>
      <c r="X62" s="4275"/>
      <c r="Y62" s="4275"/>
      <c r="Z62" s="4275"/>
      <c r="AA62" s="4275"/>
      <c r="AB62" s="130"/>
      <c r="AC62" s="27"/>
      <c r="AE62" s="346">
        <f>IF(Metamagia!R29=1,50,0)</f>
        <v>0</v>
      </c>
      <c r="AF62" s="5042"/>
      <c r="AG62" s="5042"/>
      <c r="AH62" s="5042"/>
      <c r="AI62" s="5042"/>
      <c r="AJ62" s="73" t="str">
        <f>IF(AF62=0,"",VLOOKUP(AF62,Tablas!$F$1129:$G$1183,2,FALSE))</f>
        <v/>
      </c>
      <c r="AK62" s="2813"/>
      <c r="AL62" s="2810"/>
    </row>
    <row r="63" spans="1:38" ht="12" customHeight="1">
      <c r="A63" s="2161"/>
      <c r="B63" s="2434"/>
      <c r="C63" s="2379"/>
      <c r="D63" s="2379"/>
      <c r="E63" s="4995"/>
      <c r="F63" s="4996"/>
      <c r="G63" s="4996"/>
      <c r="H63" s="4996"/>
      <c r="I63" s="4996"/>
      <c r="J63" s="4996"/>
      <c r="K63" s="4996"/>
      <c r="L63" s="4984"/>
      <c r="M63" s="4984"/>
      <c r="N63" s="4984"/>
      <c r="O63" s="4980"/>
      <c r="P63" s="2158"/>
      <c r="Q63" s="2158"/>
      <c r="R63" s="2435"/>
      <c r="S63" s="2377"/>
      <c r="T63" s="2161"/>
      <c r="U63" s="2163"/>
      <c r="V63" s="4953"/>
      <c r="W63" s="4953"/>
      <c r="X63" s="4953"/>
      <c r="Y63" s="4953"/>
      <c r="Z63" s="4953"/>
      <c r="AA63" s="4953"/>
      <c r="AB63" s="343"/>
      <c r="AC63" s="344"/>
      <c r="AE63" s="345">
        <f>IF(Metamagia!AG24=1,60,0)</f>
        <v>0</v>
      </c>
      <c r="AF63" s="5044"/>
      <c r="AG63" s="5044"/>
      <c r="AH63" s="5044"/>
      <c r="AI63" s="5044"/>
      <c r="AJ63" s="160" t="str">
        <f>IF(AF63=0,"",VLOOKUP(AF63,Tablas!$F$1129:$G$1183,2,FALSE))</f>
        <v/>
      </c>
      <c r="AK63" s="2813"/>
      <c r="AL63" s="2810"/>
    </row>
    <row r="64" spans="1:38" ht="12" customHeight="1">
      <c r="A64" s="2161"/>
      <c r="B64" s="2434"/>
      <c r="C64" s="2379"/>
      <c r="D64" s="2379"/>
      <c r="E64" s="4986"/>
      <c r="F64" s="4987"/>
      <c r="G64" s="4987"/>
      <c r="H64" s="4987"/>
      <c r="I64" s="4987"/>
      <c r="J64" s="4988"/>
      <c r="K64" s="2647"/>
      <c r="L64" s="4984"/>
      <c r="M64" s="4984"/>
      <c r="N64" s="4984"/>
      <c r="O64" s="4980"/>
      <c r="P64" s="2158"/>
      <c r="Q64" s="2158"/>
      <c r="R64" s="2435"/>
      <c r="S64" s="2377"/>
      <c r="T64" s="2161"/>
      <c r="U64" s="2163"/>
      <c r="V64" s="4275"/>
      <c r="W64" s="4275"/>
      <c r="X64" s="4275"/>
      <c r="Y64" s="4275"/>
      <c r="Z64" s="4275"/>
      <c r="AA64" s="4275"/>
      <c r="AB64" s="130"/>
      <c r="AC64" s="27"/>
      <c r="AE64" s="346">
        <f>IF(Metamagia!X24=1,60,0)</f>
        <v>0</v>
      </c>
      <c r="AF64" s="5042"/>
      <c r="AG64" s="5042"/>
      <c r="AH64" s="5042"/>
      <c r="AI64" s="5042"/>
      <c r="AJ64" s="73" t="str">
        <f>IF(AF64=0,"",VLOOKUP(AF64,Tablas!$F$1129:$G$1183,2,FALSE))</f>
        <v/>
      </c>
      <c r="AK64" s="2813"/>
      <c r="AL64" s="2810"/>
    </row>
    <row r="65" spans="1:38" ht="12" customHeight="1">
      <c r="A65" s="2161"/>
      <c r="B65" s="2434"/>
      <c r="C65" s="2379"/>
      <c r="D65" s="2379"/>
      <c r="E65" s="4989"/>
      <c r="F65" s="4990"/>
      <c r="G65" s="4990"/>
      <c r="H65" s="4990"/>
      <c r="I65" s="4990"/>
      <c r="J65" s="4991"/>
      <c r="K65" s="2648"/>
      <c r="L65" s="4984"/>
      <c r="M65" s="4984"/>
      <c r="N65" s="4984"/>
      <c r="O65" s="4980"/>
      <c r="P65" s="2158"/>
      <c r="Q65" s="2158"/>
      <c r="R65" s="2435"/>
      <c r="S65" s="2377"/>
      <c r="T65" s="2161"/>
      <c r="U65" s="2163"/>
      <c r="V65" s="4953"/>
      <c r="W65" s="4953"/>
      <c r="X65" s="4953"/>
      <c r="Y65" s="4953"/>
      <c r="Z65" s="4953"/>
      <c r="AA65" s="4953"/>
      <c r="AB65" s="343"/>
      <c r="AC65" s="344"/>
      <c r="AE65" s="345">
        <f>IF(Metamagia!AG39=1,70,0)</f>
        <v>0</v>
      </c>
      <c r="AF65" s="5044"/>
      <c r="AG65" s="5044"/>
      <c r="AH65" s="5044"/>
      <c r="AI65" s="5044"/>
      <c r="AJ65" s="160" t="str">
        <f>IF(AF65=0,"",VLOOKUP(AF65,Tablas!$F$1129:$G$1183,2,FALSE))</f>
        <v/>
      </c>
      <c r="AK65" s="2813"/>
      <c r="AL65" s="2810"/>
    </row>
    <row r="66" spans="1:38" ht="12" customHeight="1" thickBot="1">
      <c r="A66" s="2161"/>
      <c r="B66" s="2434"/>
      <c r="C66" s="2379"/>
      <c r="D66" s="2379"/>
      <c r="E66" s="4989"/>
      <c r="F66" s="4990"/>
      <c r="G66" s="4990"/>
      <c r="H66" s="4990"/>
      <c r="I66" s="4990"/>
      <c r="J66" s="4991"/>
      <c r="K66" s="2648"/>
      <c r="L66" s="4984"/>
      <c r="M66" s="4984"/>
      <c r="N66" s="4984"/>
      <c r="O66" s="4980"/>
      <c r="P66" s="2158"/>
      <c r="Q66" s="2158"/>
      <c r="R66" s="2435"/>
      <c r="S66" s="2377"/>
      <c r="T66" s="2161"/>
      <c r="U66" s="2163"/>
      <c r="V66" s="5162"/>
      <c r="W66" s="5162"/>
      <c r="X66" s="5162"/>
      <c r="Y66" s="5162"/>
      <c r="Z66" s="5162"/>
      <c r="AA66" s="5162"/>
      <c r="AB66" s="172"/>
      <c r="AC66" s="28"/>
      <c r="AE66" s="349">
        <f>IF(Metamagia!AA29=1,80,0)</f>
        <v>0</v>
      </c>
      <c r="AF66" s="5168"/>
      <c r="AG66" s="5168"/>
      <c r="AH66" s="5168"/>
      <c r="AI66" s="5168"/>
      <c r="AJ66" s="88" t="str">
        <f>IF(AF66=0,"",VLOOKUP(AF66,Tablas!$F$1129:$G$1183,2,FALSE))</f>
        <v/>
      </c>
      <c r="AK66" s="2813"/>
      <c r="AL66" s="2810"/>
    </row>
    <row r="67" spans="1:38" ht="12" customHeight="1" thickBot="1">
      <c r="A67" s="2161"/>
      <c r="B67" s="2434"/>
      <c r="C67" s="2379"/>
      <c r="D67" s="2379"/>
      <c r="E67" s="4989"/>
      <c r="F67" s="4990"/>
      <c r="G67" s="4990"/>
      <c r="H67" s="4990"/>
      <c r="I67" s="4990"/>
      <c r="J67" s="4991"/>
      <c r="K67" s="2648"/>
      <c r="L67" s="4984"/>
      <c r="M67" s="4984"/>
      <c r="N67" s="4984"/>
      <c r="O67" s="4980"/>
      <c r="P67" s="2158"/>
      <c r="Q67" s="2158"/>
      <c r="R67" s="2435"/>
      <c r="S67" s="2377"/>
      <c r="T67" s="2161"/>
      <c r="U67" s="2163"/>
      <c r="AK67" s="2813"/>
      <c r="AL67" s="2810"/>
    </row>
    <row r="68" spans="1:38" ht="12" customHeight="1">
      <c r="A68" s="2161"/>
      <c r="B68" s="2434"/>
      <c r="C68" s="2379"/>
      <c r="D68" s="2379"/>
      <c r="E68" s="4989"/>
      <c r="F68" s="4990"/>
      <c r="G68" s="4990"/>
      <c r="H68" s="4990"/>
      <c r="I68" s="4990"/>
      <c r="J68" s="4991"/>
      <c r="K68" s="2648"/>
      <c r="L68" s="4984"/>
      <c r="M68" s="4984"/>
      <c r="N68" s="4984"/>
      <c r="O68" s="4980"/>
      <c r="P68" s="2158"/>
      <c r="Q68" s="2158"/>
      <c r="R68" s="2435"/>
      <c r="S68" s="2377"/>
      <c r="T68" s="2161"/>
      <c r="U68" s="2163"/>
      <c r="V68" s="5171" t="s">
        <v>2169</v>
      </c>
      <c r="W68" s="4653" t="s">
        <v>2170</v>
      </c>
      <c r="X68" s="4653"/>
      <c r="Y68" s="4653"/>
      <c r="Z68" s="4653"/>
      <c r="AA68" s="4653"/>
      <c r="AB68" s="93" t="s">
        <v>1801</v>
      </c>
      <c r="AC68" s="210" t="s">
        <v>2171</v>
      </c>
      <c r="AD68" s="4152" t="s">
        <v>1861</v>
      </c>
      <c r="AE68" s="4152"/>
      <c r="AF68" s="4152"/>
      <c r="AG68" s="4152"/>
      <c r="AH68" s="4152"/>
      <c r="AI68" s="4152"/>
      <c r="AJ68" s="4152"/>
      <c r="AK68" s="2813"/>
      <c r="AL68" s="2810"/>
    </row>
    <row r="69" spans="1:38" ht="12" customHeight="1">
      <c r="A69" s="2161"/>
      <c r="B69" s="2434"/>
      <c r="C69" s="2379"/>
      <c r="D69" s="2379"/>
      <c r="E69" s="4989"/>
      <c r="F69" s="4990"/>
      <c r="G69" s="4990"/>
      <c r="H69" s="4990"/>
      <c r="I69" s="4990"/>
      <c r="J69" s="4991"/>
      <c r="K69" s="2648"/>
      <c r="L69" s="4984"/>
      <c r="M69" s="4984"/>
      <c r="N69" s="4984"/>
      <c r="O69" s="4980"/>
      <c r="P69" s="2158"/>
      <c r="Q69" s="2158"/>
      <c r="R69" s="2435"/>
      <c r="S69" s="2377"/>
      <c r="T69" s="2161"/>
      <c r="U69" s="2163"/>
      <c r="V69" s="5172"/>
      <c r="W69" s="5166"/>
      <c r="X69" s="5166"/>
      <c r="Y69" s="5166"/>
      <c r="Z69" s="5166"/>
      <c r="AA69" s="5166"/>
      <c r="AB69" s="352"/>
      <c r="AC69" s="352"/>
      <c r="AD69" s="5167"/>
      <c r="AE69" s="5167"/>
      <c r="AF69" s="5167"/>
      <c r="AG69" s="5167"/>
      <c r="AH69" s="5167"/>
      <c r="AI69" s="5167"/>
      <c r="AJ69" s="5167"/>
      <c r="AK69" s="2813"/>
      <c r="AL69" s="2810"/>
    </row>
    <row r="70" spans="1:38" ht="12" customHeight="1" thickBot="1">
      <c r="A70" s="2161"/>
      <c r="B70" s="2434"/>
      <c r="C70" s="2379"/>
      <c r="D70" s="2379"/>
      <c r="E70" s="4992"/>
      <c r="F70" s="4993"/>
      <c r="G70" s="4993"/>
      <c r="H70" s="4993"/>
      <c r="I70" s="4993"/>
      <c r="J70" s="4994"/>
      <c r="K70" s="2649"/>
      <c r="L70" s="4985"/>
      <c r="M70" s="4985"/>
      <c r="N70" s="4985"/>
      <c r="O70" s="4981"/>
      <c r="P70" s="2158"/>
      <c r="Q70" s="2158"/>
      <c r="R70" s="2435"/>
      <c r="S70" s="2377"/>
      <c r="T70" s="2161"/>
      <c r="U70" s="2163"/>
      <c r="V70" s="5172"/>
      <c r="W70" s="5163" t="s">
        <v>2174</v>
      </c>
      <c r="X70" s="5163"/>
      <c r="Y70" s="5164"/>
      <c r="Z70" s="5164"/>
      <c r="AA70" s="5164"/>
      <c r="AB70" s="5164"/>
      <c r="AC70" s="5164"/>
      <c r="AD70" s="5164"/>
      <c r="AE70" s="5164"/>
      <c r="AF70" s="5164"/>
      <c r="AG70" s="5164"/>
      <c r="AH70" s="5164"/>
      <c r="AI70" s="5164"/>
      <c r="AJ70" s="5164"/>
      <c r="AK70" s="2813"/>
      <c r="AL70" s="2810"/>
    </row>
    <row r="71" spans="1:38" ht="12" customHeight="1" thickBot="1">
      <c r="A71" s="2161"/>
      <c r="B71" s="2434"/>
      <c r="R71" s="2435"/>
      <c r="S71" s="2377"/>
      <c r="T71" s="2161"/>
      <c r="U71" s="2163"/>
      <c r="V71" s="5172"/>
      <c r="W71" s="4180" t="s">
        <v>2175</v>
      </c>
      <c r="X71" s="4180"/>
      <c r="Y71" s="5165"/>
      <c r="Z71" s="5165"/>
      <c r="AA71" s="5165"/>
      <c r="AB71" s="5165"/>
      <c r="AC71" s="5165"/>
      <c r="AD71" s="5165"/>
      <c r="AE71" s="5165"/>
      <c r="AF71" s="5165"/>
      <c r="AG71" s="5165"/>
      <c r="AH71" s="5165"/>
      <c r="AI71" s="5165"/>
      <c r="AJ71" s="5165"/>
      <c r="AK71" s="2813"/>
      <c r="AL71" s="2810"/>
    </row>
    <row r="72" spans="1:38" ht="12" customHeight="1">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172"/>
      <c r="W72" s="4653" t="s">
        <v>2170</v>
      </c>
      <c r="X72" s="4653"/>
      <c r="Y72" s="4653"/>
      <c r="Z72" s="4653"/>
      <c r="AA72" s="4653"/>
      <c r="AB72" s="93" t="s">
        <v>1801</v>
      </c>
      <c r="AC72" s="210" t="s">
        <v>2171</v>
      </c>
      <c r="AD72" s="4152" t="s">
        <v>1861</v>
      </c>
      <c r="AE72" s="4152"/>
      <c r="AF72" s="4152"/>
      <c r="AG72" s="4152"/>
      <c r="AH72" s="4152"/>
      <c r="AI72" s="4152"/>
      <c r="AJ72" s="4152"/>
      <c r="AK72" s="2813"/>
      <c r="AL72" s="2810"/>
    </row>
    <row r="73" spans="1:38" ht="12" customHeight="1">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172"/>
      <c r="W73" s="5166"/>
      <c r="X73" s="5166"/>
      <c r="Y73" s="5166"/>
      <c r="Z73" s="5166"/>
      <c r="AA73" s="5166"/>
      <c r="AB73" s="352"/>
      <c r="AC73" s="352"/>
      <c r="AD73" s="5167"/>
      <c r="AE73" s="5167"/>
      <c r="AF73" s="5167"/>
      <c r="AG73" s="5167"/>
      <c r="AH73" s="5167"/>
      <c r="AI73" s="5167"/>
      <c r="AJ73" s="5167"/>
      <c r="AK73" s="2813"/>
      <c r="AL73" s="2810"/>
    </row>
    <row r="74" spans="1:38" ht="12" customHeight="1">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172"/>
      <c r="W74" s="5163" t="s">
        <v>2174</v>
      </c>
      <c r="X74" s="5163"/>
      <c r="Y74" s="5164"/>
      <c r="Z74" s="5164"/>
      <c r="AA74" s="5164"/>
      <c r="AB74" s="5164"/>
      <c r="AC74" s="5164"/>
      <c r="AD74" s="5164"/>
      <c r="AE74" s="5164"/>
      <c r="AF74" s="5164"/>
      <c r="AG74" s="5164"/>
      <c r="AH74" s="5164"/>
      <c r="AI74" s="5164"/>
      <c r="AJ74" s="5164"/>
      <c r="AK74" s="2813"/>
      <c r="AL74" s="2810"/>
    </row>
    <row r="75" spans="1:38" ht="12" customHeight="1" thickBot="1">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173"/>
      <c r="W75" s="4180" t="s">
        <v>2175</v>
      </c>
      <c r="X75" s="4180"/>
      <c r="Y75" s="5165"/>
      <c r="Z75" s="5165"/>
      <c r="AA75" s="5165"/>
      <c r="AB75" s="5165"/>
      <c r="AC75" s="5165"/>
      <c r="AD75" s="5165"/>
      <c r="AE75" s="5165"/>
      <c r="AF75" s="5165"/>
      <c r="AG75" s="5165"/>
      <c r="AH75" s="5165"/>
      <c r="AI75" s="5165"/>
      <c r="AJ75" s="5165"/>
      <c r="AK75" s="2813"/>
      <c r="AL75" s="2810"/>
    </row>
    <row r="76" spans="1:38" ht="12" customHeight="1" thickBot="1">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c r="A99" s="2004"/>
      <c r="B99" s="2004"/>
      <c r="C99" s="2004"/>
    </row>
    <row r="100" spans="1:36" ht="12" customHeight="1">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c r="M110" s="96"/>
      <c r="N110" s="96"/>
      <c r="O110" s="96"/>
      <c r="P110" s="96"/>
      <c r="Q110" s="2004"/>
    </row>
    <row r="111" spans="1:36" ht="12" customHeight="1">
      <c r="Q111" s="2004"/>
    </row>
    <row r="112" spans="1:36" ht="12" customHeight="1">
      <c r="Q112" s="2004"/>
    </row>
    <row r="113" spans="13:44" ht="12" customHeight="1">
      <c r="Q113" s="2004"/>
    </row>
    <row r="114" spans="13:44" ht="12" customHeight="1">
      <c r="Q114" s="2004"/>
    </row>
    <row r="115" spans="13:44" ht="12" customHeight="1">
      <c r="M115" s="2004"/>
      <c r="N115" s="2004"/>
      <c r="O115" s="2004"/>
      <c r="P115" s="2004"/>
      <c r="Q115" s="2004"/>
    </row>
    <row r="116" spans="13:44" ht="12" customHeight="1">
      <c r="M116" s="2004"/>
      <c r="N116" s="2004"/>
      <c r="O116" s="2004"/>
      <c r="P116" s="2004"/>
      <c r="Q116" s="2004"/>
    </row>
    <row r="117" spans="13:44" ht="12" customHeight="1">
      <c r="M117" s="2004"/>
      <c r="N117" s="2004"/>
      <c r="O117" s="2004"/>
      <c r="P117" s="2004"/>
      <c r="Q117" s="2004"/>
    </row>
    <row r="118" spans="13:44" ht="12" customHeight="1">
      <c r="M118" s="2004"/>
      <c r="N118" s="2004"/>
      <c r="O118" s="2004"/>
      <c r="P118" s="2004"/>
      <c r="Q118" s="2004"/>
    </row>
    <row r="121" spans="13:44" ht="12" customHeight="1">
      <c r="AR121" s="2379"/>
    </row>
    <row r="122" spans="13:44" ht="12" customHeight="1" thickBot="1">
      <c r="AR122" s="3129"/>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B624" zoomScale="115" zoomScaleNormal="115" workbookViewId="0">
      <selection activeCell="AG629" sqref="AG629"/>
    </sheetView>
  </sheetViews>
  <sheetFormatPr defaultColWidth="9.140625" defaultRowHeight="12.75" customHeight="1"/>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c r="A2" s="1885">
        <v>2</v>
      </c>
      <c r="B2" s="5250"/>
      <c r="C2" s="5241" t="s">
        <v>8939</v>
      </c>
      <c r="D2" s="5241"/>
      <c r="E2" s="5241"/>
      <c r="F2" s="5241"/>
      <c r="G2" s="5241"/>
      <c r="H2" s="5241"/>
      <c r="I2" s="5241"/>
      <c r="J2" s="5241"/>
      <c r="K2" s="5241"/>
      <c r="L2" s="5241"/>
      <c r="M2" s="5241"/>
      <c r="N2" s="5241"/>
      <c r="O2" s="5241"/>
      <c r="P2" s="5241"/>
      <c r="Q2" s="5241"/>
      <c r="R2" s="5241"/>
      <c r="S2" s="5241"/>
      <c r="T2" s="5241"/>
      <c r="U2" s="5241"/>
      <c r="V2" s="5241"/>
      <c r="W2" s="5241"/>
      <c r="X2" s="5241"/>
      <c r="Y2" s="5241"/>
      <c r="Z2" s="5241"/>
      <c r="AA2" s="5241"/>
      <c r="AB2" s="5241"/>
      <c r="AC2" s="5241"/>
      <c r="AD2" s="5241"/>
      <c r="AE2" s="5241"/>
      <c r="AF2" s="5241"/>
      <c r="AG2" s="5241"/>
      <c r="AH2" s="5241"/>
      <c r="AI2" s="5241"/>
    </row>
    <row r="3" spans="1:263" ht="12.75" customHeight="1">
      <c r="A3" s="1885">
        <v>3</v>
      </c>
      <c r="B3" s="5250"/>
      <c r="C3" s="5241"/>
      <c r="D3" s="5241"/>
      <c r="E3" s="5241"/>
      <c r="F3" s="5241"/>
      <c r="G3" s="5241"/>
      <c r="H3" s="5241"/>
      <c r="I3" s="5241"/>
      <c r="J3" s="5241"/>
      <c r="K3" s="5241"/>
      <c r="L3" s="5241"/>
      <c r="M3" s="5241"/>
      <c r="N3" s="5241"/>
      <c r="O3" s="5241"/>
      <c r="P3" s="5241"/>
      <c r="Q3" s="5241"/>
      <c r="R3" s="5241"/>
      <c r="S3" s="5241"/>
      <c r="T3" s="5241"/>
      <c r="U3" s="5241"/>
      <c r="V3" s="5241"/>
      <c r="W3" s="5241"/>
      <c r="X3" s="5241"/>
      <c r="Y3" s="5241"/>
      <c r="Z3" s="5241"/>
      <c r="AA3" s="5241"/>
      <c r="AB3" s="5241"/>
      <c r="AC3" s="5241"/>
      <c r="AD3" s="5241"/>
      <c r="AE3" s="5241"/>
      <c r="AF3" s="5241"/>
      <c r="AG3" s="5241"/>
      <c r="AH3" s="5241"/>
      <c r="AI3" s="5241"/>
    </row>
    <row r="4" spans="1:263" ht="12.75" customHeight="1">
      <c r="A4" s="1886">
        <v>4</v>
      </c>
      <c r="B4" s="5250"/>
      <c r="C4" s="5241"/>
      <c r="D4" s="5241"/>
      <c r="E4" s="5241"/>
      <c r="F4" s="5241"/>
      <c r="G4" s="5241"/>
      <c r="H4" s="5241"/>
      <c r="I4" s="5241"/>
      <c r="J4" s="5241"/>
      <c r="K4" s="5241"/>
      <c r="L4" s="5241"/>
      <c r="M4" s="5241"/>
      <c r="N4" s="5241"/>
      <c r="O4" s="5241"/>
      <c r="P4" s="5241"/>
      <c r="Q4" s="5241"/>
      <c r="R4" s="5241"/>
      <c r="S4" s="5241"/>
      <c r="T4" s="5241"/>
      <c r="U4" s="5241"/>
      <c r="V4" s="5241"/>
      <c r="W4" s="5241"/>
      <c r="X4" s="5241"/>
      <c r="Y4" s="5241"/>
      <c r="Z4" s="5241"/>
      <c r="AA4" s="5241"/>
      <c r="AB4" s="5241"/>
      <c r="AC4" s="5241"/>
      <c r="AD4" s="5241"/>
      <c r="AE4" s="5241"/>
      <c r="AF4" s="5241"/>
      <c r="AG4" s="5241"/>
      <c r="AH4" s="5241"/>
      <c r="AI4" s="5241"/>
    </row>
    <row r="5" spans="1:263" ht="13.5" customHeight="1" thickBot="1">
      <c r="A5" s="1886">
        <v>5</v>
      </c>
      <c r="B5" s="5250"/>
      <c r="H5" s="361"/>
      <c r="I5" s="1634"/>
      <c r="N5" s="361"/>
      <c r="O5" s="1969"/>
    </row>
    <row r="6" spans="1:263" ht="12.75" customHeight="1" thickBot="1">
      <c r="A6" s="1886">
        <v>6</v>
      </c>
      <c r="B6" s="5250"/>
      <c r="C6" s="3281" t="s">
        <v>2445</v>
      </c>
      <c r="E6" s="3281" t="s">
        <v>1605</v>
      </c>
      <c r="G6" s="3281" t="s">
        <v>1079</v>
      </c>
      <c r="H6" s="3281"/>
      <c r="I6" s="1634"/>
      <c r="N6" s="361"/>
      <c r="O6" s="1969"/>
      <c r="S6" s="5378" t="s">
        <v>8074</v>
      </c>
      <c r="T6" s="5379"/>
      <c r="U6" s="5379"/>
      <c r="V6" s="5379"/>
      <c r="W6" s="5379"/>
      <c r="X6" s="5380"/>
      <c r="Y6" s="2994"/>
      <c r="Z6" s="2994"/>
    </row>
    <row r="7" spans="1:263" ht="12.75" customHeight="1" thickBot="1">
      <c r="A7" s="1886">
        <v>7</v>
      </c>
      <c r="B7" s="5250"/>
      <c r="C7" s="3281"/>
      <c r="E7" s="3281"/>
      <c r="G7" s="3281"/>
      <c r="H7" s="3281"/>
      <c r="I7" s="1634"/>
      <c r="N7" s="361"/>
      <c r="O7" s="1969"/>
      <c r="S7" s="5381"/>
      <c r="T7" s="5382"/>
      <c r="U7" s="5382"/>
      <c r="V7" s="5382"/>
      <c r="W7" s="5382"/>
      <c r="X7" s="5383"/>
      <c r="Y7" s="2994"/>
      <c r="Z7" s="2994"/>
    </row>
    <row r="8" spans="1:263" ht="12.75" customHeight="1" thickBot="1">
      <c r="A8" s="1886">
        <v>8</v>
      </c>
      <c r="B8" s="5250"/>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c r="A9" s="1886">
        <v>9</v>
      </c>
      <c r="B9" s="5250"/>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c r="A10" s="1885">
        <v>10</v>
      </c>
      <c r="B10" s="5250"/>
      <c r="H10" s="361"/>
      <c r="I10" s="1634"/>
      <c r="N10" s="361"/>
      <c r="O10" s="1969"/>
      <c r="P10" s="5226" t="s">
        <v>1503</v>
      </c>
      <c r="Q10" s="5226"/>
      <c r="S10" s="1742" t="s">
        <v>2052</v>
      </c>
      <c r="T10" s="211">
        <f>VLOOKUP($S10&amp;$X$15,$U$14:$W$22,2,FALSE)</f>
        <v>10</v>
      </c>
      <c r="U10" s="211">
        <f>VLOOKUP($S10&amp;$X$15,$U$14:$W$22,3,FALSE)</f>
        <v>0.1</v>
      </c>
      <c r="V10" s="211">
        <v>0.5</v>
      </c>
      <c r="W10" s="211"/>
      <c r="X10" s="1840">
        <v>1</v>
      </c>
    </row>
    <row r="11" spans="1:263" ht="12.75" customHeight="1" thickBot="1">
      <c r="A11" s="1885">
        <v>11</v>
      </c>
      <c r="B11" s="5250"/>
      <c r="C11" s="5388" t="s">
        <v>2318</v>
      </c>
      <c r="D11" s="5388"/>
      <c r="E11" s="5388"/>
      <c r="G11" s="5358" t="s">
        <v>2360</v>
      </c>
      <c r="H11" s="5358"/>
      <c r="I11" s="5358"/>
      <c r="J11" s="5358"/>
      <c r="L11" s="5388" t="s">
        <v>1445</v>
      </c>
      <c r="M11" s="5388"/>
      <c r="N11" s="361"/>
      <c r="O11" s="1969"/>
      <c r="P11" s="5226"/>
      <c r="Q11" s="5226"/>
      <c r="S11" s="1742" t="s">
        <v>8076</v>
      </c>
      <c r="T11" s="211">
        <f>VLOOKUP($S11&amp;$X$15,$U$14:$W$22,2,FALSE)</f>
        <v>20</v>
      </c>
      <c r="U11" s="211">
        <f>VLOOKUP($S11&amp;$X$15,$U$14:$W$22,3,FALSE)</f>
        <v>0.25</v>
      </c>
      <c r="V11" s="211">
        <v>1</v>
      </c>
      <c r="W11" s="211"/>
      <c r="X11" s="1840">
        <v>1</v>
      </c>
    </row>
    <row r="12" spans="1:263" ht="12.75" customHeight="1" thickBot="1">
      <c r="A12" s="1885">
        <v>12</v>
      </c>
      <c r="B12" s="5250"/>
      <c r="C12" s="5388"/>
      <c r="D12" s="5388"/>
      <c r="E12" s="5388"/>
      <c r="G12" s="5358"/>
      <c r="H12" s="5358"/>
      <c r="I12" s="5358"/>
      <c r="J12" s="5358"/>
      <c r="L12" s="5388"/>
      <c r="M12" s="5388"/>
      <c r="N12" s="361"/>
      <c r="O12" s="1969"/>
      <c r="P12" s="395" t="s">
        <v>1504</v>
      </c>
      <c r="Q12" s="397" t="s">
        <v>1505</v>
      </c>
      <c r="S12" s="1972" t="s">
        <v>8671</v>
      </c>
      <c r="T12" s="1743" t="s">
        <v>1766</v>
      </c>
      <c r="U12" s="1743" t="s">
        <v>1766</v>
      </c>
      <c r="V12" s="1743" t="s">
        <v>1766</v>
      </c>
      <c r="W12" s="1743" t="s">
        <v>1766</v>
      </c>
      <c r="X12" s="1864" t="s">
        <v>1766</v>
      </c>
    </row>
    <row r="13" spans="1:263" ht="12.75" customHeight="1" thickBot="1">
      <c r="A13" s="1886">
        <v>13</v>
      </c>
      <c r="B13" s="5250"/>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c r="A14" s="1886">
        <v>14</v>
      </c>
      <c r="B14" s="5250"/>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c r="A15" s="1886">
        <v>15</v>
      </c>
      <c r="B15" s="5250"/>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c r="A16" s="1885">
        <v>16</v>
      </c>
      <c r="B16" s="5250"/>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c r="A17" s="1885">
        <v>17</v>
      </c>
      <c r="B17" s="5250"/>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c r="A18" s="1885">
        <v>18</v>
      </c>
      <c r="B18" s="5250"/>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c r="A19" s="1886">
        <v>19</v>
      </c>
      <c r="B19" s="5250"/>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386" t="s">
        <v>8759</v>
      </c>
    </row>
    <row r="20" spans="1:113" ht="12.75" customHeight="1">
      <c r="A20" s="1886">
        <v>20</v>
      </c>
      <c r="B20" s="5250"/>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387"/>
    </row>
    <row r="21" spans="1:113" ht="12.75" customHeight="1">
      <c r="A21" s="1886">
        <v>21</v>
      </c>
      <c r="B21" s="5250"/>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389" t="b">
        <f>AND(Nivel_Sobrenatural&lt;&gt;Tablas!S12,General!$V$12="")</f>
        <v>0</v>
      </c>
    </row>
    <row r="22" spans="1:113" ht="12.75" customHeight="1" thickBot="1">
      <c r="A22" s="1886">
        <v>22</v>
      </c>
      <c r="B22" s="5250"/>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390"/>
    </row>
    <row r="23" spans="1:113" ht="12.75" customHeight="1" thickBot="1">
      <c r="A23" s="1886">
        <v>23</v>
      </c>
      <c r="B23" s="5250"/>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c r="A24" s="1886">
        <v>24</v>
      </c>
      <c r="B24" s="5250"/>
      <c r="C24" s="1720">
        <v>11</v>
      </c>
      <c r="D24" s="211">
        <v>20</v>
      </c>
      <c r="E24" s="232">
        <v>20</v>
      </c>
      <c r="G24" s="386">
        <v>11</v>
      </c>
      <c r="H24" s="211">
        <v>3</v>
      </c>
      <c r="I24" s="211">
        <v>200</v>
      </c>
      <c r="J24" s="232">
        <v>600</v>
      </c>
      <c r="L24" s="214">
        <v>14</v>
      </c>
      <c r="M24" s="232">
        <v>1000</v>
      </c>
      <c r="N24" s="361"/>
      <c r="O24" s="1969"/>
      <c r="P24" s="185">
        <v>12</v>
      </c>
      <c r="Q24" s="449">
        <v>2</v>
      </c>
      <c r="T24" s="5370" t="s">
        <v>8782</v>
      </c>
      <c r="U24" s="5371"/>
      <c r="W24" s="4341" t="s">
        <v>1443</v>
      </c>
      <c r="X24" s="4192"/>
      <c r="Y24" s="4337"/>
      <c r="AA24" s="5364" t="s">
        <v>2431</v>
      </c>
      <c r="AB24" s="5365"/>
      <c r="AC24" s="5366"/>
      <c r="AE24" s="5364" t="s">
        <v>2434</v>
      </c>
      <c r="AF24" s="5365"/>
      <c r="AG24" s="5366"/>
      <c r="AI24" s="5480" t="s">
        <v>1785</v>
      </c>
      <c r="AJ24" s="5481"/>
    </row>
    <row r="25" spans="1:113" ht="12.75" customHeight="1">
      <c r="A25" s="1885">
        <v>25</v>
      </c>
      <c r="B25" s="5250"/>
      <c r="C25" s="1720">
        <v>12</v>
      </c>
      <c r="D25" s="211">
        <v>20</v>
      </c>
      <c r="E25" s="232">
        <v>30</v>
      </c>
      <c r="G25" s="386">
        <v>12</v>
      </c>
      <c r="H25" s="211">
        <v>3</v>
      </c>
      <c r="I25" s="211">
        <v>350</v>
      </c>
      <c r="J25" s="232">
        <v>1000</v>
      </c>
      <c r="L25" s="214">
        <v>15</v>
      </c>
      <c r="M25" s="232">
        <v>5000</v>
      </c>
      <c r="N25" s="361"/>
      <c r="O25" s="1969"/>
      <c r="P25" s="185">
        <v>13</v>
      </c>
      <c r="Q25" s="449">
        <v>3</v>
      </c>
      <c r="T25" s="5372"/>
      <c r="U25" s="5373"/>
      <c r="W25" s="5225"/>
      <c r="X25" s="5226"/>
      <c r="Y25" s="5227"/>
      <c r="AA25" s="5367"/>
      <c r="AB25" s="5368"/>
      <c r="AC25" s="5369"/>
      <c r="AE25" s="5367"/>
      <c r="AF25" s="5368"/>
      <c r="AG25" s="5369"/>
      <c r="AI25" s="5482"/>
      <c r="AJ25" s="5483"/>
    </row>
    <row r="26" spans="1:113" ht="13.5" customHeight="1" thickBot="1">
      <c r="A26" s="1885">
        <v>26</v>
      </c>
      <c r="B26" s="5250"/>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c r="A27" s="1885">
        <v>27</v>
      </c>
      <c r="B27" s="5250"/>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01"/>
      <c r="AA27" s="3002">
        <v>0</v>
      </c>
      <c r="AB27" s="253" t="s">
        <v>1766</v>
      </c>
      <c r="AC27" s="3001" t="s">
        <v>1766</v>
      </c>
      <c r="AE27" s="3002">
        <v>0</v>
      </c>
      <c r="AF27" s="119" t="s">
        <v>2437</v>
      </c>
      <c r="AG27" s="3001">
        <v>0</v>
      </c>
      <c r="AI27" s="3003">
        <v>1</v>
      </c>
      <c r="AJ27" s="3004">
        <v>1</v>
      </c>
    </row>
    <row r="28" spans="1:113" ht="12.75" customHeight="1">
      <c r="A28" s="1886">
        <v>28</v>
      </c>
      <c r="B28" s="5250"/>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01"/>
      <c r="AA28" s="3002">
        <v>9</v>
      </c>
      <c r="AB28" s="253">
        <v>20</v>
      </c>
      <c r="AC28" s="293">
        <v>5</v>
      </c>
      <c r="AE28" s="3002">
        <v>10</v>
      </c>
      <c r="AF28" s="119" t="s">
        <v>2438</v>
      </c>
      <c r="AG28" s="293">
        <v>-1</v>
      </c>
      <c r="AI28" s="3003">
        <v>2</v>
      </c>
      <c r="AJ28" s="3004">
        <v>1</v>
      </c>
    </row>
    <row r="29" spans="1:113" ht="12.75" customHeight="1">
      <c r="A29" s="1886">
        <v>29</v>
      </c>
      <c r="B29" s="5250"/>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01"/>
      <c r="AA29" s="3002">
        <v>13</v>
      </c>
      <c r="AB29" s="253">
        <v>30</v>
      </c>
      <c r="AC29" s="293">
        <v>10</v>
      </c>
      <c r="AE29" s="3002">
        <v>20</v>
      </c>
      <c r="AF29" s="119" t="s">
        <v>2439</v>
      </c>
      <c r="AG29" s="293">
        <v>-3</v>
      </c>
      <c r="AI29" s="3003">
        <v>3</v>
      </c>
      <c r="AJ29" s="3004">
        <v>1</v>
      </c>
    </row>
    <row r="30" spans="1:113" ht="12.75" customHeight="1">
      <c r="A30" s="1886">
        <v>30</v>
      </c>
      <c r="B30" s="5250"/>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c r="A31" s="1885">
        <v>31</v>
      </c>
      <c r="B31" s="5250"/>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c r="A32" s="1885">
        <v>32</v>
      </c>
      <c r="B32" s="5250"/>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c r="A33" s="1885">
        <v>33</v>
      </c>
      <c r="B33" s="5250"/>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c r="A34" s="1886">
        <v>34</v>
      </c>
      <c r="B34" s="5250"/>
      <c r="C34" s="361"/>
      <c r="D34" s="361"/>
      <c r="E34" s="361"/>
      <c r="F34" s="361"/>
      <c r="G34" s="361"/>
      <c r="H34" s="361"/>
      <c r="J34" s="361"/>
      <c r="K34" s="361"/>
      <c r="L34" s="361"/>
      <c r="M34" s="361"/>
      <c r="N34" s="361"/>
      <c r="O34" s="1969"/>
      <c r="P34" s="361"/>
      <c r="Q34" s="361"/>
      <c r="R34" s="361"/>
      <c r="T34" s="2245">
        <v>280</v>
      </c>
      <c r="U34" s="1840" t="s">
        <v>8789</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c r="A35" s="1886">
        <v>35</v>
      </c>
      <c r="B35" s="5250"/>
      <c r="C35" s="3248" t="s">
        <v>2320</v>
      </c>
      <c r="D35" s="3249"/>
      <c r="E35" s="3249"/>
      <c r="F35" s="3249"/>
      <c r="G35" s="3249"/>
      <c r="H35" s="3250"/>
      <c r="J35" s="5384" t="s">
        <v>2364</v>
      </c>
      <c r="K35" s="5385"/>
      <c r="M35" s="5378" t="s">
        <v>2450</v>
      </c>
      <c r="N35" s="5379"/>
      <c r="O35" s="5380"/>
      <c r="Q35" s="3248" t="s">
        <v>2447</v>
      </c>
      <c r="R35" s="3250"/>
      <c r="T35" s="2245">
        <v>320</v>
      </c>
      <c r="U35" s="1840" t="s">
        <v>8790</v>
      </c>
      <c r="W35" s="214">
        <v>40</v>
      </c>
      <c r="X35" s="211">
        <v>300</v>
      </c>
      <c r="Y35" s="3001">
        <v>6</v>
      </c>
      <c r="AA35" s="3002">
        <v>32</v>
      </c>
      <c r="AB35" s="253">
        <v>350</v>
      </c>
      <c r="AC35" s="293">
        <v>50</v>
      </c>
      <c r="AI35" s="3003">
        <v>9</v>
      </c>
      <c r="AJ35" s="3004">
        <v>4</v>
      </c>
    </row>
    <row r="36" spans="1:113" ht="14.85" customHeight="1" thickBot="1">
      <c r="A36" s="1886">
        <v>36</v>
      </c>
      <c r="B36" s="5250"/>
      <c r="C36" s="5197"/>
      <c r="D36" s="5347"/>
      <c r="E36" s="5347"/>
      <c r="F36" s="5347"/>
      <c r="G36" s="5347"/>
      <c r="H36" s="5376"/>
      <c r="J36" s="5384"/>
      <c r="K36" s="5385"/>
      <c r="M36" s="2937" t="s">
        <v>2451</v>
      </c>
      <c r="N36" s="2924" t="s">
        <v>2452</v>
      </c>
      <c r="O36" s="2926" t="s">
        <v>2453</v>
      </c>
      <c r="Q36" s="5197"/>
      <c r="R36" s="5376"/>
      <c r="T36" s="2245">
        <v>440</v>
      </c>
      <c r="U36" s="1840" t="s">
        <v>8791</v>
      </c>
      <c r="W36" s="214">
        <v>45</v>
      </c>
      <c r="X36" s="211">
        <v>500</v>
      </c>
      <c r="Y36" s="3001">
        <v>10</v>
      </c>
      <c r="AA36" s="3005">
        <v>35</v>
      </c>
      <c r="AB36" s="1724">
        <v>500</v>
      </c>
      <c r="AC36" s="1730">
        <v>60</v>
      </c>
      <c r="AI36" s="3003">
        <v>10</v>
      </c>
      <c r="AJ36" s="3004">
        <v>5</v>
      </c>
    </row>
    <row r="37" spans="1:113" ht="14.85" customHeight="1" thickBot="1">
      <c r="A37" s="1886">
        <v>37</v>
      </c>
      <c r="B37" s="5250"/>
      <c r="C37" s="2929" t="s">
        <v>1809</v>
      </c>
      <c r="D37" s="2930" t="s">
        <v>1677</v>
      </c>
      <c r="E37" s="5391" t="s">
        <v>2321</v>
      </c>
      <c r="F37" s="5391"/>
      <c r="G37" s="2931" t="s">
        <v>2322</v>
      </c>
      <c r="H37" s="2932" t="s">
        <v>1788</v>
      </c>
      <c r="J37" s="364" t="s">
        <v>2365</v>
      </c>
      <c r="K37" s="379" t="s">
        <v>1696</v>
      </c>
      <c r="M37" s="2938">
        <v>1</v>
      </c>
      <c r="N37" s="2925">
        <v>5</v>
      </c>
      <c r="O37" s="2939">
        <v>0</v>
      </c>
      <c r="Q37" s="1862" t="s">
        <v>2448</v>
      </c>
      <c r="R37" s="1863" t="s">
        <v>2449</v>
      </c>
      <c r="T37" s="2245" t="s">
        <v>8792</v>
      </c>
      <c r="U37" s="1840" t="s">
        <v>8791</v>
      </c>
      <c r="W37" s="380">
        <v>50</v>
      </c>
      <c r="X37" s="381">
        <v>750</v>
      </c>
      <c r="Y37" s="3007">
        <v>15</v>
      </c>
      <c r="AI37" s="3003">
        <v>11</v>
      </c>
      <c r="AJ37" s="3004">
        <v>6</v>
      </c>
    </row>
    <row r="38" spans="1:113" ht="14.85" customHeight="1" thickBot="1">
      <c r="A38" s="1886">
        <v>38</v>
      </c>
      <c r="B38" s="5250"/>
      <c r="C38" s="1742">
        <v>1</v>
      </c>
      <c r="D38" s="253">
        <v>0</v>
      </c>
      <c r="E38" s="5362" t="s">
        <v>2323</v>
      </c>
      <c r="F38" s="5362"/>
      <c r="G38" s="498" t="s">
        <v>2323</v>
      </c>
      <c r="H38" s="2933" t="str">
        <f>""</f>
        <v/>
      </c>
      <c r="J38" s="214">
        <v>1</v>
      </c>
      <c r="K38" s="389" t="s">
        <v>2366</v>
      </c>
      <c r="M38" s="2938">
        <v>2</v>
      </c>
      <c r="N38" s="2925">
        <v>20</v>
      </c>
      <c r="O38" s="2939">
        <v>0</v>
      </c>
      <c r="Q38" s="1742">
        <v>0</v>
      </c>
      <c r="R38" s="1840">
        <v>1</v>
      </c>
      <c r="T38" s="2246" t="s">
        <v>8793</v>
      </c>
      <c r="U38" s="1864" t="s">
        <v>8791</v>
      </c>
      <c r="AI38" s="3003">
        <v>12</v>
      </c>
      <c r="AJ38" s="3004">
        <v>7</v>
      </c>
    </row>
    <row r="39" spans="1:113" ht="12.75" customHeight="1" thickBot="1">
      <c r="A39" s="1886">
        <v>39</v>
      </c>
      <c r="B39" s="5250"/>
      <c r="C39" s="1742">
        <v>2</v>
      </c>
      <c r="D39" s="253">
        <v>0</v>
      </c>
      <c r="E39" s="5362" t="s">
        <v>2323</v>
      </c>
      <c r="F39" s="5362"/>
      <c r="G39" s="498" t="s">
        <v>2323</v>
      </c>
      <c r="H39" s="2863" t="str">
        <f>""</f>
        <v/>
      </c>
      <c r="J39" s="214">
        <v>2</v>
      </c>
      <c r="K39" s="389" t="s">
        <v>2367</v>
      </c>
      <c r="M39" s="2938">
        <v>3</v>
      </c>
      <c r="N39" s="2925">
        <v>40</v>
      </c>
      <c r="O39" s="2939">
        <v>0</v>
      </c>
      <c r="Q39" s="1742">
        <v>11</v>
      </c>
      <c r="R39" s="1840">
        <v>2</v>
      </c>
      <c r="W39" s="4341" t="s">
        <v>8664</v>
      </c>
      <c r="X39" s="4337"/>
      <c r="AI39" s="3003">
        <v>13</v>
      </c>
      <c r="AJ39" s="3004">
        <v>8</v>
      </c>
    </row>
    <row r="40" spans="1:113" ht="12.75" customHeight="1" thickBot="1">
      <c r="A40" s="1885">
        <v>40</v>
      </c>
      <c r="B40" s="5250"/>
      <c r="C40" s="1742">
        <v>3</v>
      </c>
      <c r="D40" s="253">
        <v>1</v>
      </c>
      <c r="E40" s="5362" t="s">
        <v>2324</v>
      </c>
      <c r="F40" s="5362"/>
      <c r="G40" s="2934" t="s">
        <v>2325</v>
      </c>
      <c r="H40" s="2863" t="str">
        <f>""</f>
        <v/>
      </c>
      <c r="J40" s="214">
        <v>3</v>
      </c>
      <c r="K40" s="389" t="s">
        <v>2368</v>
      </c>
      <c r="M40" s="2938">
        <v>4</v>
      </c>
      <c r="N40" s="2925">
        <v>55</v>
      </c>
      <c r="O40" s="2939">
        <v>0</v>
      </c>
      <c r="Q40" s="1742">
        <v>15</v>
      </c>
      <c r="R40" s="1840">
        <v>3</v>
      </c>
      <c r="T40" s="3248" t="s">
        <v>1548</v>
      </c>
      <c r="U40" s="3250"/>
      <c r="W40" s="5374"/>
      <c r="X40" s="5375"/>
      <c r="AI40" s="3003">
        <v>14</v>
      </c>
      <c r="AJ40" s="3004">
        <v>9</v>
      </c>
    </row>
    <row r="41" spans="1:113" ht="12.75" customHeight="1">
      <c r="A41" s="1885">
        <v>41</v>
      </c>
      <c r="B41" s="5250"/>
      <c r="C41" s="1742">
        <v>4</v>
      </c>
      <c r="D41" s="253">
        <v>1</v>
      </c>
      <c r="E41" s="5362" t="s">
        <v>2324</v>
      </c>
      <c r="F41" s="5362"/>
      <c r="G41" s="2934" t="s">
        <v>2325</v>
      </c>
      <c r="H41" s="2863" t="str">
        <f>""</f>
        <v/>
      </c>
      <c r="J41" s="214">
        <v>4</v>
      </c>
      <c r="K41" s="389" t="s">
        <v>2369</v>
      </c>
      <c r="M41" s="2938">
        <v>5</v>
      </c>
      <c r="N41" s="2925">
        <v>70</v>
      </c>
      <c r="O41" s="2939">
        <v>5</v>
      </c>
      <c r="Q41" s="1742">
        <v>20</v>
      </c>
      <c r="R41" s="1840">
        <v>4</v>
      </c>
      <c r="T41" s="5197"/>
      <c r="U41" s="5376"/>
      <c r="W41" s="1823" t="s">
        <v>1686</v>
      </c>
      <c r="X41" s="1746"/>
      <c r="AI41" s="3003">
        <v>15</v>
      </c>
      <c r="AJ41" s="3004">
        <v>10</v>
      </c>
    </row>
    <row r="42" spans="1:113" ht="12.75" customHeight="1" thickBot="1">
      <c r="A42" s="1885">
        <v>42</v>
      </c>
      <c r="B42" s="5250"/>
      <c r="C42" s="1742">
        <v>5</v>
      </c>
      <c r="D42" s="253">
        <v>1</v>
      </c>
      <c r="E42" s="5362" t="s">
        <v>2324</v>
      </c>
      <c r="F42" s="5362"/>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c r="A43" s="1886">
        <v>43</v>
      </c>
      <c r="B43" s="5250"/>
      <c r="C43" s="1742">
        <v>6</v>
      </c>
      <c r="D43" s="253">
        <v>1</v>
      </c>
      <c r="E43" s="5362" t="s">
        <v>2324</v>
      </c>
      <c r="F43" s="5362"/>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c r="A44" s="1886">
        <v>44</v>
      </c>
      <c r="B44" s="5250"/>
      <c r="C44" s="1742">
        <v>7</v>
      </c>
      <c r="D44" s="253">
        <v>1</v>
      </c>
      <c r="E44" s="5362" t="s">
        <v>2324</v>
      </c>
      <c r="F44" s="5362"/>
      <c r="G44" s="2934" t="s">
        <v>2325</v>
      </c>
      <c r="H44" s="2863" t="str">
        <f>""</f>
        <v/>
      </c>
      <c r="J44" s="214">
        <v>7</v>
      </c>
      <c r="K44" s="389" t="s">
        <v>2372</v>
      </c>
      <c r="M44" s="2938">
        <v>8</v>
      </c>
      <c r="N44" s="2925">
        <v>110</v>
      </c>
      <c r="O44" s="2939">
        <v>10</v>
      </c>
      <c r="Q44" s="1742">
        <v>29</v>
      </c>
      <c r="R44" s="1840">
        <v>8</v>
      </c>
      <c r="T44" s="2945">
        <v>7</v>
      </c>
      <c r="U44" s="1840">
        <v>320</v>
      </c>
      <c r="W44" s="4341" t="s">
        <v>2294</v>
      </c>
      <c r="X44" s="4192"/>
      <c r="Y44" s="4192"/>
      <c r="Z44" s="4192"/>
      <c r="AA44" s="4192"/>
      <c r="AB44" s="4192"/>
      <c r="AC44" s="4192"/>
      <c r="AD44" s="4192"/>
      <c r="AE44" s="4192"/>
      <c r="AF44" s="4337"/>
      <c r="AI44" s="3003">
        <v>18</v>
      </c>
      <c r="AJ44" s="3004">
        <v>10</v>
      </c>
    </row>
    <row r="45" spans="1:113" ht="14.85" customHeight="1" thickBot="1">
      <c r="A45" s="1886">
        <v>45</v>
      </c>
      <c r="B45" s="5250"/>
      <c r="C45" s="1742">
        <v>8</v>
      </c>
      <c r="D45" s="253">
        <v>2</v>
      </c>
      <c r="E45" s="5362" t="s">
        <v>2326</v>
      </c>
      <c r="F45" s="5362"/>
      <c r="G45" s="2934" t="s">
        <v>2325</v>
      </c>
      <c r="H45" s="2863" t="str">
        <f>""</f>
        <v/>
      </c>
      <c r="J45" s="214">
        <v>8</v>
      </c>
      <c r="K45" s="389" t="s">
        <v>2373</v>
      </c>
      <c r="M45" s="2938">
        <v>9</v>
      </c>
      <c r="N45" s="2925">
        <v>120</v>
      </c>
      <c r="O45" s="2939">
        <v>10</v>
      </c>
      <c r="Q45" s="2942">
        <v>32</v>
      </c>
      <c r="R45" s="1864">
        <v>10</v>
      </c>
      <c r="T45" s="2946">
        <v>10</v>
      </c>
      <c r="U45" s="1864">
        <v>1000</v>
      </c>
      <c r="W45" s="5374"/>
      <c r="X45" s="5377"/>
      <c r="Y45" s="5377"/>
      <c r="Z45" s="5377"/>
      <c r="AA45" s="5377"/>
      <c r="AB45" s="5377"/>
      <c r="AC45" s="5377"/>
      <c r="AD45" s="5377"/>
      <c r="AE45" s="5377"/>
      <c r="AF45" s="5375"/>
      <c r="AI45" s="3003">
        <v>19</v>
      </c>
      <c r="AJ45" s="3004">
        <v>10</v>
      </c>
    </row>
    <row r="46" spans="1:113" ht="14.85" customHeight="1" thickBot="1">
      <c r="A46" s="1885">
        <v>46</v>
      </c>
      <c r="B46" s="5250"/>
      <c r="C46" s="1742">
        <v>9</v>
      </c>
      <c r="D46" s="253">
        <v>2</v>
      </c>
      <c r="E46" s="5362" t="s">
        <v>2326</v>
      </c>
      <c r="F46" s="5362"/>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c r="A47" s="1885">
        <v>47</v>
      </c>
      <c r="B47" s="5250"/>
      <c r="C47" s="1742">
        <v>10</v>
      </c>
      <c r="D47" s="253">
        <v>3</v>
      </c>
      <c r="E47" s="5362" t="s">
        <v>2327</v>
      </c>
      <c r="F47" s="5362"/>
      <c r="G47" s="2934" t="s">
        <v>2325</v>
      </c>
      <c r="H47" s="2863" t="str">
        <f>""</f>
        <v/>
      </c>
      <c r="J47" s="214">
        <v>10</v>
      </c>
      <c r="K47" s="389" t="s">
        <v>2375</v>
      </c>
      <c r="M47" s="2938">
        <v>11</v>
      </c>
      <c r="N47" s="2925">
        <v>150</v>
      </c>
      <c r="O47" s="2939">
        <v>10</v>
      </c>
      <c r="Q47" s="3281"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5">
        <v>48</v>
      </c>
      <c r="B48" s="5250"/>
      <c r="C48" s="1742">
        <v>11</v>
      </c>
      <c r="D48" s="253">
        <v>4</v>
      </c>
      <c r="E48" s="5362" t="s">
        <v>2328</v>
      </c>
      <c r="F48" s="5362"/>
      <c r="G48" s="2934" t="s">
        <v>2329</v>
      </c>
      <c r="H48" s="2863" t="str">
        <f>""</f>
        <v/>
      </c>
      <c r="J48" s="214">
        <v>11</v>
      </c>
      <c r="K48" s="389" t="s">
        <v>2376</v>
      </c>
      <c r="M48" s="2938">
        <v>12</v>
      </c>
      <c r="N48" s="2925">
        <v>160</v>
      </c>
      <c r="O48" s="2939">
        <v>15</v>
      </c>
      <c r="Q48" s="3281"/>
      <c r="W48" s="214">
        <v>1</v>
      </c>
      <c r="X48" s="211" t="s">
        <v>2302</v>
      </c>
      <c r="Y48" s="253">
        <v>40</v>
      </c>
      <c r="Z48" s="253">
        <v>-4</v>
      </c>
      <c r="AA48" s="253">
        <v>1</v>
      </c>
      <c r="AB48" s="253">
        <v>1</v>
      </c>
      <c r="AC48" s="253">
        <f>5</f>
        <v>5</v>
      </c>
      <c r="AD48" s="253">
        <f>20-IF(Raza="Daimah",10,0)</f>
        <v>20</v>
      </c>
      <c r="AE48" s="253">
        <v>-4</v>
      </c>
      <c r="AF48" s="293">
        <v>4</v>
      </c>
    </row>
    <row r="49" spans="1:32" ht="14.85" customHeight="1">
      <c r="A49" s="1886">
        <v>49</v>
      </c>
      <c r="B49" s="5250"/>
      <c r="C49" s="1742">
        <v>12</v>
      </c>
      <c r="D49" s="253">
        <v>5</v>
      </c>
      <c r="E49" s="5362" t="s">
        <v>2330</v>
      </c>
      <c r="F49" s="5362"/>
      <c r="G49" s="2934" t="s">
        <v>2329</v>
      </c>
      <c r="H49" s="2863" t="s">
        <v>10097</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6">
        <v>50</v>
      </c>
      <c r="B50" s="5250"/>
      <c r="C50" s="1742">
        <v>13</v>
      </c>
      <c r="D50" s="253">
        <v>6</v>
      </c>
      <c r="E50" s="5362" t="s">
        <v>2331</v>
      </c>
      <c r="F50" s="5362"/>
      <c r="G50" s="2934" t="s">
        <v>2329</v>
      </c>
      <c r="H50" s="2863" t="s">
        <v>10098</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6">
        <v>51</v>
      </c>
      <c r="B51" s="5250"/>
      <c r="C51" s="1742">
        <v>14</v>
      </c>
      <c r="D51" s="253">
        <v>7</v>
      </c>
      <c r="E51" s="5362" t="s">
        <v>2332</v>
      </c>
      <c r="F51" s="5362"/>
      <c r="G51" s="2934" t="s">
        <v>2333</v>
      </c>
      <c r="H51" s="2863" t="s">
        <v>10099</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6">
        <v>52</v>
      </c>
      <c r="B52" s="5250"/>
      <c r="C52" s="1742">
        <v>15</v>
      </c>
      <c r="D52" s="253">
        <v>8</v>
      </c>
      <c r="E52" s="5362" t="s">
        <v>2334</v>
      </c>
      <c r="F52" s="5362"/>
      <c r="G52" s="2934" t="s">
        <v>2335</v>
      </c>
      <c r="H52" s="2863" t="s">
        <v>10100</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6">
        <v>53</v>
      </c>
      <c r="B53" s="5250"/>
      <c r="C53" s="1742">
        <v>16</v>
      </c>
      <c r="D53" s="253">
        <v>9</v>
      </c>
      <c r="E53" s="5362" t="s">
        <v>2336</v>
      </c>
      <c r="F53" s="5362"/>
      <c r="G53" s="2934" t="s">
        <v>2337</v>
      </c>
      <c r="H53" s="2863" t="s">
        <v>10101</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6">
        <v>54</v>
      </c>
      <c r="B54" s="5250"/>
      <c r="C54" s="1742">
        <v>17</v>
      </c>
      <c r="D54" s="253">
        <v>10</v>
      </c>
      <c r="E54" s="5362" t="s">
        <v>2338</v>
      </c>
      <c r="F54" s="5362"/>
      <c r="G54" s="2934" t="s">
        <v>2339</v>
      </c>
      <c r="H54" s="2863" t="s">
        <v>10102</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c r="A55" s="1885">
        <v>55</v>
      </c>
      <c r="B55" s="5250"/>
      <c r="C55" s="1742">
        <v>18</v>
      </c>
      <c r="D55" s="253">
        <v>11</v>
      </c>
      <c r="E55" s="5362" t="s">
        <v>2340</v>
      </c>
      <c r="F55" s="5362"/>
      <c r="G55" s="2934" t="s">
        <v>2341</v>
      </c>
      <c r="H55" s="2863" t="s">
        <v>10103</v>
      </c>
      <c r="J55" s="214">
        <v>18</v>
      </c>
      <c r="K55" s="389" t="s">
        <v>2383</v>
      </c>
      <c r="M55" s="2938">
        <v>19</v>
      </c>
      <c r="N55" s="2925">
        <v>250</v>
      </c>
      <c r="O55" s="2939">
        <v>30</v>
      </c>
      <c r="Q55" s="480" t="s">
        <v>1867</v>
      </c>
    </row>
    <row r="56" spans="1:32" ht="12.75" customHeight="1" thickBot="1">
      <c r="A56" s="1885">
        <v>56</v>
      </c>
      <c r="B56" s="5250"/>
      <c r="C56" s="1742">
        <v>19</v>
      </c>
      <c r="D56" s="253">
        <v>12</v>
      </c>
      <c r="E56" s="5362" t="s">
        <v>2342</v>
      </c>
      <c r="F56" s="5362"/>
      <c r="G56" s="2934" t="s">
        <v>2343</v>
      </c>
      <c r="H56" s="2863" t="s">
        <v>10104</v>
      </c>
      <c r="J56" s="214">
        <v>19</v>
      </c>
      <c r="K56" s="389" t="s">
        <v>2384</v>
      </c>
      <c r="M56" s="2940">
        <v>20</v>
      </c>
      <c r="N56" s="1474">
        <v>265</v>
      </c>
      <c r="O56" s="2941">
        <v>35</v>
      </c>
      <c r="Q56" s="496" t="s">
        <v>1868</v>
      </c>
    </row>
    <row r="57" spans="1:32" ht="12.75" customHeight="1" thickBot="1">
      <c r="A57" s="1885">
        <v>57</v>
      </c>
      <c r="B57" s="5250"/>
      <c r="C57" s="1742">
        <v>20</v>
      </c>
      <c r="D57" s="253">
        <v>12</v>
      </c>
      <c r="E57" s="5362" t="s">
        <v>2342</v>
      </c>
      <c r="F57" s="5362"/>
      <c r="G57" s="2934" t="s">
        <v>2344</v>
      </c>
      <c r="H57" s="2863" t="s">
        <v>10104</v>
      </c>
      <c r="J57" s="380">
        <v>20</v>
      </c>
      <c r="K57" s="393" t="s">
        <v>2385</v>
      </c>
      <c r="N57" s="361"/>
      <c r="O57" s="1969"/>
    </row>
    <row r="58" spans="1:32" ht="12.75" customHeight="1">
      <c r="A58" s="1886">
        <v>58</v>
      </c>
      <c r="B58" s="5250"/>
      <c r="C58" s="1672"/>
      <c r="D58" s="253">
        <v>13</v>
      </c>
      <c r="E58" s="5362" t="s">
        <v>2345</v>
      </c>
      <c r="F58" s="5362"/>
      <c r="G58" s="2934" t="s">
        <v>2346</v>
      </c>
      <c r="H58" s="2863" t="s">
        <v>10105</v>
      </c>
      <c r="I58" s="1634"/>
      <c r="N58" s="361"/>
      <c r="O58" s="1969"/>
    </row>
    <row r="59" spans="1:32" ht="12.75" customHeight="1">
      <c r="A59" s="1886">
        <v>59</v>
      </c>
      <c r="B59" s="5250"/>
      <c r="C59" s="1672"/>
      <c r="D59" s="253">
        <v>14</v>
      </c>
      <c r="E59" s="5362" t="s">
        <v>2347</v>
      </c>
      <c r="F59" s="5362"/>
      <c r="G59" s="2934" t="s">
        <v>2348</v>
      </c>
      <c r="H59" s="2863" t="s">
        <v>10106</v>
      </c>
      <c r="I59" s="1634"/>
      <c r="N59" s="361"/>
      <c r="O59" s="1969"/>
    </row>
    <row r="60" spans="1:32" ht="12.75" customHeight="1">
      <c r="A60" s="1886">
        <v>60</v>
      </c>
      <c r="B60" s="5250"/>
      <c r="C60" s="1672"/>
      <c r="D60" s="253">
        <v>15</v>
      </c>
      <c r="E60" s="5362" t="s">
        <v>2349</v>
      </c>
      <c r="F60" s="5362"/>
      <c r="G60" s="2934" t="s">
        <v>2350</v>
      </c>
      <c r="H60" s="2863" t="s">
        <v>10107</v>
      </c>
      <c r="I60" s="1634"/>
      <c r="N60" s="361"/>
      <c r="O60" s="1969"/>
    </row>
    <row r="61" spans="1:32" ht="12.75" customHeight="1">
      <c r="A61" s="1885">
        <v>61</v>
      </c>
      <c r="B61" s="5250"/>
      <c r="C61" s="1672"/>
      <c r="D61" s="253">
        <v>16</v>
      </c>
      <c r="E61" s="5362" t="s">
        <v>2351</v>
      </c>
      <c r="F61" s="5362"/>
      <c r="G61" s="2934" t="s">
        <v>2352</v>
      </c>
      <c r="H61" s="2863" t="s">
        <v>10108</v>
      </c>
      <c r="I61" s="1634"/>
      <c r="N61" s="361"/>
      <c r="O61" s="1969"/>
    </row>
    <row r="62" spans="1:32" ht="12.75" customHeight="1">
      <c r="A62" s="1885">
        <v>62</v>
      </c>
      <c r="B62" s="5250"/>
      <c r="C62" s="1672"/>
      <c r="D62" s="253">
        <v>17</v>
      </c>
      <c r="E62" s="5362" t="s">
        <v>2353</v>
      </c>
      <c r="F62" s="5362"/>
      <c r="G62" s="2934" t="s">
        <v>2354</v>
      </c>
      <c r="H62" s="2863" t="s">
        <v>10109</v>
      </c>
      <c r="I62" s="1634"/>
      <c r="N62" s="361"/>
      <c r="O62" s="1969"/>
    </row>
    <row r="63" spans="1:32" ht="12.75" customHeight="1">
      <c r="A63" s="1885">
        <v>63</v>
      </c>
      <c r="B63" s="5250"/>
      <c r="C63" s="1672"/>
      <c r="D63" s="253">
        <v>18</v>
      </c>
      <c r="E63" s="5362" t="s">
        <v>2355</v>
      </c>
      <c r="F63" s="5362"/>
      <c r="G63" s="2934" t="s">
        <v>2356</v>
      </c>
      <c r="H63" s="2863" t="s">
        <v>10110</v>
      </c>
      <c r="I63" s="1634"/>
      <c r="N63" s="361"/>
      <c r="O63" s="1969"/>
    </row>
    <row r="64" spans="1:32" ht="12.75" customHeight="1">
      <c r="A64" s="1886">
        <v>64</v>
      </c>
      <c r="B64" s="5250"/>
      <c r="C64" s="1672"/>
      <c r="D64" s="253">
        <v>19</v>
      </c>
      <c r="E64" s="5362" t="s">
        <v>2357</v>
      </c>
      <c r="F64" s="5362"/>
      <c r="G64" s="2934" t="s">
        <v>2358</v>
      </c>
      <c r="H64" s="2863" t="s">
        <v>10111</v>
      </c>
      <c r="I64" s="1634"/>
      <c r="N64" s="361"/>
      <c r="O64" s="1969"/>
    </row>
    <row r="65" spans="1:27" ht="12.75" customHeight="1" thickBot="1">
      <c r="A65" s="1886">
        <v>65</v>
      </c>
      <c r="B65" s="5250"/>
      <c r="C65" s="1673"/>
      <c r="D65" s="1731">
        <v>20</v>
      </c>
      <c r="E65" s="5363" t="s">
        <v>2359</v>
      </c>
      <c r="F65" s="5363"/>
      <c r="G65" s="2935" t="s">
        <v>2358</v>
      </c>
      <c r="H65" s="2936" t="s">
        <v>10112</v>
      </c>
      <c r="I65" s="1634"/>
      <c r="N65" s="361"/>
      <c r="O65" s="1969"/>
    </row>
    <row r="66" spans="1:27" ht="12.75" customHeight="1" thickBot="1">
      <c r="A66" s="1886">
        <v>66</v>
      </c>
      <c r="B66" s="5250"/>
      <c r="H66" s="361"/>
      <c r="I66" s="1634"/>
      <c r="N66" s="361"/>
      <c r="O66" s="1969"/>
    </row>
    <row r="67" spans="1:27" ht="12.75" customHeight="1">
      <c r="A67" s="1886">
        <v>67</v>
      </c>
      <c r="B67" s="5250"/>
      <c r="C67" s="5247" t="s">
        <v>9991</v>
      </c>
      <c r="D67" s="5248"/>
      <c r="E67" s="5248"/>
      <c r="F67" s="5248"/>
      <c r="G67" s="5248"/>
      <c r="H67" s="5248"/>
      <c r="I67" s="5248"/>
      <c r="J67" s="5248"/>
      <c r="K67" s="5248"/>
      <c r="L67" s="5248"/>
      <c r="M67" s="5248"/>
      <c r="N67" s="5249"/>
      <c r="P67" s="5247" t="s">
        <v>9990</v>
      </c>
      <c r="Q67" s="5248"/>
      <c r="R67" s="5248"/>
      <c r="S67" s="5248"/>
      <c r="T67" s="5248"/>
      <c r="U67" s="5248"/>
      <c r="V67" s="5248"/>
      <c r="W67" s="5248"/>
      <c r="X67" s="5248"/>
      <c r="Y67" s="5248"/>
      <c r="Z67" s="5248"/>
      <c r="AA67" s="5249"/>
    </row>
    <row r="68" spans="1:27" ht="12.75" customHeight="1">
      <c r="A68" s="1886">
        <v>68</v>
      </c>
      <c r="B68" s="5250"/>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12" t="s">
        <v>9987</v>
      </c>
      <c r="Z68" s="3012" t="s">
        <v>9988</v>
      </c>
      <c r="AA68" s="3013" t="s">
        <v>9989</v>
      </c>
    </row>
    <row r="69" spans="1:27" ht="12.75" customHeight="1">
      <c r="A69" s="1886">
        <v>69</v>
      </c>
      <c r="B69" s="5250"/>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c r="A70" s="1885">
        <v>70</v>
      </c>
      <c r="B70" s="5250"/>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c r="A71" s="1885">
        <v>71</v>
      </c>
      <c r="B71" s="5250"/>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c r="A72" s="1885">
        <v>72</v>
      </c>
      <c r="B72" s="5250"/>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c r="A73" s="1886">
        <v>73</v>
      </c>
      <c r="B73" s="5250"/>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c r="A74" s="1886">
        <v>74</v>
      </c>
      <c r="B74" s="5250"/>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c r="A75" s="1886">
        <v>75</v>
      </c>
      <c r="B75" s="5250"/>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c r="A76" s="1885">
        <v>76</v>
      </c>
      <c r="B76" s="5250"/>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c r="A77" s="1885">
        <v>77</v>
      </c>
      <c r="B77" s="5250"/>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c r="A78" s="1885">
        <v>78</v>
      </c>
      <c r="B78" s="5250"/>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c r="A79" s="1886">
        <v>79</v>
      </c>
      <c r="B79" s="5250"/>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c r="A80" s="1886">
        <v>80</v>
      </c>
      <c r="B80" s="5250"/>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c r="A81" s="1886">
        <v>81</v>
      </c>
      <c r="B81" s="5250"/>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c r="A82" s="1886">
        <v>82</v>
      </c>
      <c r="B82" s="5250"/>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c r="A83" s="1886">
        <v>83</v>
      </c>
      <c r="B83" s="5250"/>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c r="A84" s="1886">
        <v>84</v>
      </c>
      <c r="B84" s="5250"/>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c r="A85" s="1885">
        <v>85</v>
      </c>
      <c r="B85" s="5250"/>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c r="A86" s="1885">
        <v>86</v>
      </c>
      <c r="B86" s="5250"/>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c r="A87" s="1885">
        <v>87</v>
      </c>
      <c r="B87" s="5250"/>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c r="A88" s="1886">
        <v>88</v>
      </c>
      <c r="B88" s="5250"/>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c r="A89" s="1886">
        <v>89</v>
      </c>
      <c r="B89" s="5250"/>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c r="A90" s="1886">
        <v>90</v>
      </c>
      <c r="B90" s="5250"/>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c r="A91" s="1885">
        <v>91</v>
      </c>
      <c r="B91" s="5250"/>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c r="A92" s="1885">
        <v>92</v>
      </c>
      <c r="B92" s="5250"/>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c r="A93" s="1885">
        <v>93</v>
      </c>
      <c r="B93" s="5250"/>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c r="A94" s="1886">
        <v>94</v>
      </c>
      <c r="B94" s="5250"/>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c r="A95" s="1886">
        <v>95</v>
      </c>
      <c r="B95" s="5250"/>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c r="A96" s="1886">
        <v>96</v>
      </c>
      <c r="B96" s="5250"/>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c r="A97" s="1886">
        <v>97</v>
      </c>
      <c r="B97" s="5250"/>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c r="A98" s="1886">
        <v>98</v>
      </c>
      <c r="B98" s="5250"/>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c r="A99" s="1886">
        <v>99</v>
      </c>
      <c r="B99" s="5250"/>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c r="A100" s="1886">
        <v>100</v>
      </c>
      <c r="B100" s="5250"/>
    </row>
    <row r="101" spans="1:109" ht="12.75" customHeight="1">
      <c r="A101" s="1886">
        <v>101</v>
      </c>
      <c r="B101" s="5250"/>
      <c r="C101" s="5241" t="s">
        <v>8938</v>
      </c>
      <c r="D101" s="5241"/>
      <c r="E101" s="5241"/>
      <c r="F101" s="5241"/>
      <c r="G101" s="5241"/>
      <c r="H101" s="5241"/>
      <c r="I101" s="5241"/>
      <c r="J101" s="5241"/>
      <c r="K101" s="5241"/>
      <c r="L101" s="5241"/>
      <c r="M101" s="5241"/>
      <c r="N101" s="5241"/>
      <c r="O101" s="5241"/>
      <c r="P101" s="5241"/>
      <c r="Q101" s="5241"/>
      <c r="R101" s="5241"/>
      <c r="S101" s="5241"/>
      <c r="T101" s="5241"/>
      <c r="U101" s="5241"/>
      <c r="V101" s="5241"/>
      <c r="W101" s="5241"/>
      <c r="X101" s="5241"/>
      <c r="Y101" s="5241"/>
      <c r="Z101" s="5241"/>
      <c r="AA101" s="5241"/>
      <c r="AB101" s="5241"/>
      <c r="AC101" s="5241"/>
      <c r="AD101" s="5241"/>
      <c r="AE101" s="5241"/>
      <c r="AF101" s="5241"/>
      <c r="AG101" s="5241"/>
      <c r="AH101" s="5241"/>
      <c r="AI101" s="5241"/>
      <c r="AJ101" s="5241"/>
      <c r="AK101" s="5241"/>
      <c r="AL101" s="5241"/>
      <c r="AM101" s="5241"/>
      <c r="AN101" s="5241"/>
      <c r="AO101" s="5241"/>
      <c r="AP101" s="5241"/>
      <c r="AQ101" s="5241"/>
      <c r="AR101" s="5241"/>
      <c r="AS101" s="5241"/>
      <c r="AT101" s="5241"/>
      <c r="AU101" s="5241"/>
      <c r="AV101" s="5241"/>
      <c r="AW101" s="5241"/>
      <c r="AX101" s="5241"/>
      <c r="AY101" s="5241"/>
      <c r="AZ101" s="5241"/>
      <c r="BA101" s="5241"/>
      <c r="BB101" s="5241"/>
      <c r="BC101" s="5241"/>
      <c r="BD101" s="5241"/>
      <c r="BE101" s="5241"/>
      <c r="BF101" s="5241"/>
      <c r="BG101" s="5241"/>
      <c r="BH101" s="5241"/>
      <c r="BI101" s="5241"/>
      <c r="BJ101" s="5241"/>
      <c r="BK101" s="5241"/>
      <c r="BL101" s="5241"/>
      <c r="BM101" s="5241"/>
      <c r="BN101" s="5241"/>
      <c r="BO101" s="5241"/>
      <c r="BP101" s="5241"/>
      <c r="BQ101" s="5241"/>
      <c r="BR101" s="5241"/>
      <c r="BS101" s="5241"/>
      <c r="BT101" s="5241"/>
      <c r="BU101" s="5241"/>
      <c r="BV101" s="5241"/>
      <c r="BW101" s="5241"/>
      <c r="BX101" s="5241"/>
      <c r="BY101" s="5241"/>
      <c r="BZ101" s="5241"/>
      <c r="CA101" s="5241"/>
      <c r="CB101" s="5241"/>
      <c r="CC101" s="5241"/>
      <c r="CD101" s="5241"/>
      <c r="CE101" s="5241"/>
      <c r="CF101" s="5241"/>
      <c r="CG101" s="5241"/>
      <c r="CH101" s="5241"/>
      <c r="CI101" s="5241"/>
      <c r="CJ101" s="5241"/>
      <c r="CK101" s="5241"/>
      <c r="CL101" s="5241"/>
      <c r="CM101" s="5241"/>
      <c r="CN101" s="5241"/>
      <c r="CO101" s="5241"/>
      <c r="CP101" s="5241"/>
      <c r="CQ101" s="5241"/>
      <c r="CR101" s="5241"/>
      <c r="CS101" s="5241"/>
      <c r="CT101" s="5241"/>
      <c r="CU101" s="5241"/>
      <c r="CV101" s="5241"/>
      <c r="CW101" s="5241"/>
      <c r="CX101" s="5241"/>
      <c r="CY101" s="5241"/>
      <c r="CZ101" s="5241"/>
      <c r="DA101" s="5241"/>
      <c r="DB101" s="5241"/>
      <c r="DC101" s="5241"/>
      <c r="DD101" s="5241"/>
      <c r="DE101" s="5241"/>
    </row>
    <row r="102" spans="1:109" ht="12.75" customHeight="1">
      <c r="A102" s="1886">
        <v>102</v>
      </c>
      <c r="B102" s="5250"/>
      <c r="C102" s="5241"/>
      <c r="D102" s="5241"/>
      <c r="E102" s="5241"/>
      <c r="F102" s="5241"/>
      <c r="G102" s="5241"/>
      <c r="H102" s="5241"/>
      <c r="I102" s="5241"/>
      <c r="J102" s="5241"/>
      <c r="K102" s="5241"/>
      <c r="L102" s="5241"/>
      <c r="M102" s="5241"/>
      <c r="N102" s="5241"/>
      <c r="O102" s="5241"/>
      <c r="P102" s="5241"/>
      <c r="Q102" s="5241"/>
      <c r="R102" s="5241"/>
      <c r="S102" s="5241"/>
      <c r="T102" s="5241"/>
      <c r="U102" s="5241"/>
      <c r="V102" s="5241"/>
      <c r="W102" s="5241"/>
      <c r="X102" s="5241"/>
      <c r="Y102" s="5241"/>
      <c r="Z102" s="5241"/>
      <c r="AA102" s="5241"/>
      <c r="AB102" s="5241"/>
      <c r="AC102" s="5241"/>
      <c r="AD102" s="5241"/>
      <c r="AE102" s="5241"/>
      <c r="AF102" s="5241"/>
      <c r="AG102" s="5241"/>
      <c r="AH102" s="5241"/>
      <c r="AI102" s="5241"/>
      <c r="AJ102" s="5241"/>
      <c r="AK102" s="5241"/>
      <c r="AL102" s="5241"/>
      <c r="AM102" s="5241"/>
      <c r="AN102" s="5241"/>
      <c r="AO102" s="5241"/>
      <c r="AP102" s="5241"/>
      <c r="AQ102" s="5241"/>
      <c r="AR102" s="5241"/>
      <c r="AS102" s="5241"/>
      <c r="AT102" s="5241"/>
      <c r="AU102" s="5241"/>
      <c r="AV102" s="5241"/>
      <c r="AW102" s="5241"/>
      <c r="AX102" s="5241"/>
      <c r="AY102" s="5241"/>
      <c r="AZ102" s="5241"/>
      <c r="BA102" s="5241"/>
      <c r="BB102" s="5241"/>
      <c r="BC102" s="5241"/>
      <c r="BD102" s="5241"/>
      <c r="BE102" s="5241"/>
      <c r="BF102" s="5241"/>
      <c r="BG102" s="5241"/>
      <c r="BH102" s="5241"/>
      <c r="BI102" s="5241"/>
      <c r="BJ102" s="5241"/>
      <c r="BK102" s="5241"/>
      <c r="BL102" s="5241"/>
      <c r="BM102" s="5241"/>
      <c r="BN102" s="5241"/>
      <c r="BO102" s="5241"/>
      <c r="BP102" s="5241"/>
      <c r="BQ102" s="5241"/>
      <c r="BR102" s="5241"/>
      <c r="BS102" s="5241"/>
      <c r="BT102" s="5241"/>
      <c r="BU102" s="5241"/>
      <c r="BV102" s="5241"/>
      <c r="BW102" s="5241"/>
      <c r="BX102" s="5241"/>
      <c r="BY102" s="5241"/>
      <c r="BZ102" s="5241"/>
      <c r="CA102" s="5241"/>
      <c r="CB102" s="5241"/>
      <c r="CC102" s="5241"/>
      <c r="CD102" s="5241"/>
      <c r="CE102" s="5241"/>
      <c r="CF102" s="5241"/>
      <c r="CG102" s="5241"/>
      <c r="CH102" s="5241"/>
      <c r="CI102" s="5241"/>
      <c r="CJ102" s="5241"/>
      <c r="CK102" s="5241"/>
      <c r="CL102" s="5241"/>
      <c r="CM102" s="5241"/>
      <c r="CN102" s="5241"/>
      <c r="CO102" s="5241"/>
      <c r="CP102" s="5241"/>
      <c r="CQ102" s="5241"/>
      <c r="CR102" s="5241"/>
      <c r="CS102" s="5241"/>
      <c r="CT102" s="5241"/>
      <c r="CU102" s="5241"/>
      <c r="CV102" s="5241"/>
      <c r="CW102" s="5241"/>
      <c r="CX102" s="5241"/>
      <c r="CY102" s="5241"/>
      <c r="CZ102" s="5241"/>
      <c r="DA102" s="5241"/>
      <c r="DB102" s="5241"/>
      <c r="DC102" s="5241"/>
      <c r="DD102" s="5241"/>
      <c r="DE102" s="5241"/>
    </row>
    <row r="103" spans="1:109" ht="12.75" customHeight="1">
      <c r="A103" s="1886">
        <v>103</v>
      </c>
      <c r="B103" s="5250"/>
      <c r="C103" s="5241"/>
      <c r="D103" s="5241"/>
      <c r="E103" s="5241"/>
      <c r="F103" s="5241"/>
      <c r="G103" s="5241"/>
      <c r="H103" s="5241"/>
      <c r="I103" s="5241"/>
      <c r="J103" s="5241"/>
      <c r="K103" s="5241"/>
      <c r="L103" s="5241"/>
      <c r="M103" s="5241"/>
      <c r="N103" s="5241"/>
      <c r="O103" s="5241"/>
      <c r="P103" s="5241"/>
      <c r="Q103" s="5241"/>
      <c r="R103" s="5241"/>
      <c r="S103" s="5241"/>
      <c r="T103" s="5241"/>
      <c r="U103" s="5241"/>
      <c r="V103" s="5241"/>
      <c r="W103" s="5241"/>
      <c r="X103" s="5241"/>
      <c r="Y103" s="5241"/>
      <c r="Z103" s="5241"/>
      <c r="AA103" s="5241"/>
      <c r="AB103" s="5241"/>
      <c r="AC103" s="5241"/>
      <c r="AD103" s="5241"/>
      <c r="AE103" s="5241"/>
      <c r="AF103" s="5241"/>
      <c r="AG103" s="5241"/>
      <c r="AH103" s="5241"/>
      <c r="AI103" s="5241"/>
      <c r="AJ103" s="5241"/>
      <c r="AK103" s="5241"/>
      <c r="AL103" s="5241"/>
      <c r="AM103" s="5241"/>
      <c r="AN103" s="5241"/>
      <c r="AO103" s="5241"/>
      <c r="AP103" s="5241"/>
      <c r="AQ103" s="5241"/>
      <c r="AR103" s="5241"/>
      <c r="AS103" s="5241"/>
      <c r="AT103" s="5241"/>
      <c r="AU103" s="5241"/>
      <c r="AV103" s="5241"/>
      <c r="AW103" s="5241"/>
      <c r="AX103" s="5241"/>
      <c r="AY103" s="5241"/>
      <c r="AZ103" s="5241"/>
      <c r="BA103" s="5241"/>
      <c r="BB103" s="5241"/>
      <c r="BC103" s="5241"/>
      <c r="BD103" s="5241"/>
      <c r="BE103" s="5241"/>
      <c r="BF103" s="5241"/>
      <c r="BG103" s="5241"/>
      <c r="BH103" s="5241"/>
      <c r="BI103" s="5241"/>
      <c r="BJ103" s="5241"/>
      <c r="BK103" s="5241"/>
      <c r="BL103" s="5241"/>
      <c r="BM103" s="5241"/>
      <c r="BN103" s="5241"/>
      <c r="BO103" s="5241"/>
      <c r="BP103" s="5241"/>
      <c r="BQ103" s="5241"/>
      <c r="BR103" s="5241"/>
      <c r="BS103" s="5241"/>
      <c r="BT103" s="5241"/>
      <c r="BU103" s="5241"/>
      <c r="BV103" s="5241"/>
      <c r="BW103" s="5241"/>
      <c r="BX103" s="5241"/>
      <c r="BY103" s="5241"/>
      <c r="BZ103" s="5241"/>
      <c r="CA103" s="5241"/>
      <c r="CB103" s="5241"/>
      <c r="CC103" s="5241"/>
      <c r="CD103" s="5241"/>
      <c r="CE103" s="5241"/>
      <c r="CF103" s="5241"/>
      <c r="CG103" s="5241"/>
      <c r="CH103" s="5241"/>
      <c r="CI103" s="5241"/>
      <c r="CJ103" s="5241"/>
      <c r="CK103" s="5241"/>
      <c r="CL103" s="5241"/>
      <c r="CM103" s="5241"/>
      <c r="CN103" s="5241"/>
      <c r="CO103" s="5241"/>
      <c r="CP103" s="5241"/>
      <c r="CQ103" s="5241"/>
      <c r="CR103" s="5241"/>
      <c r="CS103" s="5241"/>
      <c r="CT103" s="5241"/>
      <c r="CU103" s="5241"/>
      <c r="CV103" s="5241"/>
      <c r="CW103" s="5241"/>
      <c r="CX103" s="5241"/>
      <c r="CY103" s="5241"/>
      <c r="CZ103" s="5241"/>
      <c r="DA103" s="5241"/>
      <c r="DB103" s="5241"/>
      <c r="DC103" s="5241"/>
      <c r="DD103" s="5241"/>
      <c r="DE103" s="5241"/>
    </row>
    <row r="104" spans="1:109" ht="12.75" customHeight="1" thickBot="1">
      <c r="A104" s="1886">
        <v>104</v>
      </c>
      <c r="B104" s="5250"/>
      <c r="H104" s="361"/>
      <c r="N104" s="361"/>
    </row>
    <row r="105" spans="1:109" ht="12.75" customHeight="1" thickBot="1">
      <c r="A105" s="1886">
        <v>105</v>
      </c>
      <c r="B105" s="5250"/>
      <c r="C105" s="3328" t="s">
        <v>2265</v>
      </c>
      <c r="D105" s="3328"/>
      <c r="F105" s="3328" t="s">
        <v>2291</v>
      </c>
      <c r="G105" s="3328"/>
      <c r="H105" s="361"/>
      <c r="I105" s="5332" t="s">
        <v>2234</v>
      </c>
      <c r="J105" s="5333"/>
      <c r="K105" s="5333"/>
      <c r="L105" s="5333"/>
      <c r="M105" s="5333"/>
      <c r="N105" s="5333"/>
      <c r="O105" s="5333"/>
      <c r="P105" s="5333"/>
      <c r="Q105" s="5333"/>
      <c r="R105" s="5333"/>
      <c r="S105" s="5333"/>
      <c r="T105" s="5333"/>
      <c r="U105" s="5333"/>
      <c r="V105" s="5333"/>
      <c r="W105" s="5333"/>
      <c r="X105" s="5333"/>
      <c r="Y105" s="5333"/>
      <c r="Z105" s="5333"/>
      <c r="AA105" s="5333"/>
      <c r="AB105" s="5333"/>
      <c r="AC105" s="5333"/>
      <c r="AD105" s="5333"/>
      <c r="AE105" s="5333"/>
      <c r="AF105" s="5333"/>
      <c r="AG105" s="5333"/>
      <c r="AH105" s="5333"/>
      <c r="AI105" s="5333"/>
      <c r="AJ105" s="5333"/>
      <c r="AK105" s="5333"/>
      <c r="AL105" s="5333"/>
      <c r="AM105" s="5333"/>
      <c r="AN105" s="5333"/>
      <c r="AO105" s="5333"/>
      <c r="AP105" s="5333"/>
      <c r="AQ105" s="5333"/>
      <c r="AR105" s="5333"/>
      <c r="AS105" s="5333"/>
      <c r="AT105" s="5333"/>
      <c r="AU105" s="5333"/>
      <c r="AV105" s="5333"/>
      <c r="AW105" s="5333"/>
      <c r="AX105" s="5333"/>
      <c r="AY105" s="5333"/>
      <c r="AZ105" s="5333"/>
      <c r="BA105" s="5333"/>
      <c r="BB105" s="5333"/>
      <c r="BC105" s="5333"/>
      <c r="BD105" s="5333"/>
      <c r="BE105" s="5333"/>
      <c r="BF105" s="5333"/>
      <c r="BG105" s="5333"/>
      <c r="BH105" s="5333"/>
      <c r="BI105" s="5333"/>
      <c r="BJ105" s="5333"/>
      <c r="BK105" s="5333"/>
      <c r="BL105" s="5334"/>
    </row>
    <row r="106" spans="1:109" ht="12.75" customHeight="1" thickBot="1">
      <c r="A106" s="1886">
        <v>106</v>
      </c>
      <c r="B106" s="5250"/>
      <c r="C106" s="3328"/>
      <c r="D106" s="3328"/>
      <c r="F106" s="3328"/>
      <c r="G106" s="3328"/>
      <c r="H106" s="361"/>
      <c r="I106" s="5335"/>
      <c r="J106" s="5313"/>
      <c r="K106" s="5313"/>
      <c r="L106" s="5313"/>
      <c r="M106" s="5313"/>
      <c r="N106" s="5313"/>
      <c r="O106" s="5313"/>
      <c r="P106" s="5313"/>
      <c r="Q106" s="5313"/>
      <c r="R106" s="5313"/>
      <c r="S106" s="5313"/>
      <c r="T106" s="5313"/>
      <c r="U106" s="5313"/>
      <c r="V106" s="5313"/>
      <c r="W106" s="5313"/>
      <c r="X106" s="5313"/>
      <c r="Y106" s="5313"/>
      <c r="Z106" s="5313"/>
      <c r="AA106" s="5313"/>
      <c r="AB106" s="5313"/>
      <c r="AC106" s="5313"/>
      <c r="AD106" s="5313"/>
      <c r="AE106" s="5313"/>
      <c r="AF106" s="5313"/>
      <c r="AG106" s="5313"/>
      <c r="AH106" s="5313"/>
      <c r="AI106" s="5313"/>
      <c r="AJ106" s="5313"/>
      <c r="AK106" s="5313"/>
      <c r="AL106" s="5313"/>
      <c r="AM106" s="5313"/>
      <c r="AN106" s="5313"/>
      <c r="AO106" s="5313"/>
      <c r="AP106" s="5313"/>
      <c r="AQ106" s="5313"/>
      <c r="AR106" s="5313"/>
      <c r="AS106" s="5313"/>
      <c r="AT106" s="5313"/>
      <c r="AU106" s="5313"/>
      <c r="AV106" s="5313"/>
      <c r="AW106" s="5313"/>
      <c r="AX106" s="5313"/>
      <c r="AY106" s="5313"/>
      <c r="AZ106" s="5313"/>
      <c r="BA106" s="5313"/>
      <c r="BB106" s="5313"/>
      <c r="BC106" s="5313"/>
      <c r="BD106" s="5313"/>
      <c r="BE106" s="5313"/>
      <c r="BF106" s="5313"/>
      <c r="BG106" s="5313"/>
      <c r="BH106" s="5313"/>
      <c r="BI106" s="5313"/>
      <c r="BJ106" s="5313"/>
      <c r="BK106" s="5313"/>
      <c r="BL106" s="5336"/>
    </row>
    <row r="107" spans="1:109" ht="13.5" customHeight="1">
      <c r="A107" s="1886">
        <v>107</v>
      </c>
      <c r="B107" s="5250"/>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317">
        <v>20</v>
      </c>
      <c r="AD107" s="5317"/>
      <c r="AE107" s="1973"/>
      <c r="AF107" s="5317"/>
      <c r="AG107" s="5317"/>
      <c r="AH107" s="1973"/>
      <c r="AI107" s="5317"/>
      <c r="AJ107" s="5317"/>
      <c r="AK107" s="1973"/>
      <c r="AL107" s="5317"/>
      <c r="AM107" s="5317"/>
      <c r="AN107" s="1973"/>
      <c r="AO107" s="5316"/>
      <c r="AP107" s="5316"/>
      <c r="AQ107" s="2876"/>
      <c r="AR107" s="5316"/>
      <c r="AS107" s="5316"/>
      <c r="AT107" s="2876"/>
      <c r="AU107" s="5316"/>
      <c r="AV107" s="5316"/>
      <c r="AW107" s="2876"/>
      <c r="AX107" s="5316"/>
      <c r="AY107" s="5316"/>
      <c r="AZ107" s="2876"/>
      <c r="BA107" s="5316"/>
      <c r="BB107" s="5316"/>
      <c r="BC107" s="2876"/>
      <c r="BD107" s="5316"/>
      <c r="BE107" s="5316"/>
      <c r="BF107" s="2876"/>
      <c r="BG107" s="5316"/>
      <c r="BH107" s="5316"/>
      <c r="BI107" s="2876"/>
      <c r="BJ107" s="5316"/>
      <c r="BK107" s="5316"/>
      <c r="BL107" s="2753"/>
    </row>
    <row r="108" spans="1:109" ht="12.75" customHeight="1" thickBot="1">
      <c r="A108" s="1886">
        <v>108</v>
      </c>
      <c r="B108" s="5250"/>
      <c r="C108" s="375" t="s">
        <v>2268</v>
      </c>
      <c r="D108" s="180"/>
      <c r="F108" s="375" t="s">
        <v>2293</v>
      </c>
      <c r="G108" s="180"/>
      <c r="H108" s="361"/>
      <c r="I108" s="2877" t="s">
        <v>8813</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319" t="s">
        <v>10094</v>
      </c>
      <c r="AD108" s="5319"/>
      <c r="AE108" s="1715"/>
      <c r="AF108" s="5319"/>
      <c r="AG108" s="5319"/>
      <c r="AH108" s="1715"/>
      <c r="AI108" s="5319"/>
      <c r="AJ108" s="5319"/>
      <c r="AK108" s="1715"/>
      <c r="AL108" s="5319"/>
      <c r="AM108" s="5319"/>
      <c r="AN108" s="1715"/>
      <c r="AO108" s="5258"/>
      <c r="AP108" s="5258"/>
      <c r="AQ108" s="2873"/>
      <c r="AR108" s="5258"/>
      <c r="AS108" s="5258"/>
      <c r="AT108" s="2873"/>
      <c r="AU108" s="5258"/>
      <c r="AV108" s="5258"/>
      <c r="AW108" s="2873"/>
      <c r="AX108" s="5258"/>
      <c r="AY108" s="5258"/>
      <c r="AZ108" s="2873"/>
      <c r="BA108" s="5258"/>
      <c r="BB108" s="5258"/>
      <c r="BC108" s="2873"/>
      <c r="BD108" s="5258"/>
      <c r="BE108" s="5258"/>
      <c r="BF108" s="2873"/>
      <c r="BG108" s="5258"/>
      <c r="BH108" s="5258"/>
      <c r="BI108" s="2873"/>
      <c r="BJ108" s="5258"/>
      <c r="BK108" s="5258"/>
      <c r="BL108" s="2878"/>
    </row>
    <row r="109" spans="1:109" ht="12.75" customHeight="1" thickBot="1">
      <c r="A109" s="1886">
        <v>109</v>
      </c>
      <c r="B109" s="5250"/>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10077</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c r="A110" s="1886">
        <v>110</v>
      </c>
      <c r="B110" s="5250"/>
      <c r="C110" s="3328" t="s">
        <v>2271</v>
      </c>
      <c r="D110" s="3328"/>
      <c r="F110" s="3281" t="s">
        <v>2152</v>
      </c>
      <c r="G110" s="3281"/>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10078</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c r="A111" s="1886">
        <v>111</v>
      </c>
      <c r="B111" s="5250"/>
      <c r="C111" s="3328"/>
      <c r="D111" s="3328"/>
      <c r="F111" s="3281"/>
      <c r="G111" s="3281"/>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10079</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c r="A112" s="1886">
        <v>112</v>
      </c>
      <c r="B112" s="5250"/>
      <c r="C112" s="376" t="s">
        <v>2274</v>
      </c>
      <c r="D112" s="68"/>
      <c r="F112" s="5361" t="s">
        <v>2267</v>
      </c>
      <c r="G112" s="5361"/>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10080</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c r="A113" s="1886">
        <v>113</v>
      </c>
      <c r="B113" s="5250"/>
      <c r="C113" s="376" t="s">
        <v>2276</v>
      </c>
      <c r="D113" s="68"/>
      <c r="F113" s="5361" t="s">
        <v>2269</v>
      </c>
      <c r="G113" s="5361"/>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10081</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c r="A114" s="1886">
        <v>114</v>
      </c>
      <c r="B114" s="5250"/>
      <c r="C114" s="376" t="s">
        <v>2277</v>
      </c>
      <c r="D114" s="68"/>
      <c r="F114" s="5361" t="s">
        <v>2270</v>
      </c>
      <c r="G114" s="5361"/>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10082</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c r="A115" s="1886">
        <v>115</v>
      </c>
      <c r="B115" s="5250"/>
      <c r="C115" s="376" t="s">
        <v>2278</v>
      </c>
      <c r="D115" s="68"/>
      <c r="F115" s="5361" t="s">
        <v>2272</v>
      </c>
      <c r="G115" s="5361"/>
      <c r="H115" s="361"/>
      <c r="I115" s="2891" t="str">
        <f t="shared" si="15"/>
        <v/>
      </c>
      <c r="J115" s="2318" t="s">
        <v>8804</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10083</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c r="A116" s="1886">
        <v>116</v>
      </c>
      <c r="B116" s="5250"/>
      <c r="C116" s="376" t="s">
        <v>2279</v>
      </c>
      <c r="D116" s="68"/>
      <c r="F116" s="5361" t="s">
        <v>2273</v>
      </c>
      <c r="G116" s="5361"/>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10084</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c r="A117" s="1886">
        <v>117</v>
      </c>
      <c r="B117" s="5250"/>
      <c r="C117" s="376" t="s">
        <v>2280</v>
      </c>
      <c r="D117" s="68"/>
      <c r="F117" s="5452" t="s">
        <v>2275</v>
      </c>
      <c r="G117" s="5452"/>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10085</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c r="A118" s="1886">
        <v>118</v>
      </c>
      <c r="B118" s="5250"/>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c r="A119" s="1886">
        <v>119</v>
      </c>
      <c r="B119" s="5250"/>
      <c r="C119" s="376" t="s">
        <v>2282</v>
      </c>
      <c r="D119" s="68"/>
      <c r="F119" s="3328" t="s">
        <v>2308</v>
      </c>
      <c r="G119" s="3328"/>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10086</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c r="A120" s="1886">
        <v>120</v>
      </c>
      <c r="B120" s="5250"/>
      <c r="C120" s="376" t="s">
        <v>2283</v>
      </c>
      <c r="D120" s="68"/>
      <c r="F120" s="3328"/>
      <c r="G120" s="3328"/>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10087</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c r="A121" s="1886">
        <v>121</v>
      </c>
      <c r="B121" s="5250"/>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10088</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c r="A122" s="1886">
        <v>122</v>
      </c>
      <c r="B122" s="5250"/>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10222</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c r="A123" s="1886">
        <v>123</v>
      </c>
      <c r="B123" s="5250"/>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10089</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c r="A124" s="1886">
        <v>124</v>
      </c>
      <c r="B124" s="5250"/>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10090</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c r="A125" s="1886">
        <v>125</v>
      </c>
      <c r="B125" s="5250"/>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10091</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c r="A126" s="1886">
        <v>126</v>
      </c>
      <c r="B126" s="5250"/>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10092</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c r="A127" s="1886">
        <v>127</v>
      </c>
      <c r="B127" s="5250"/>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10093</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c r="A128" s="1886">
        <v>128</v>
      </c>
      <c r="B128" s="5250"/>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10095</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c r="A129" s="1886">
        <v>129</v>
      </c>
      <c r="B129" s="5250"/>
      <c r="C129" s="3377" t="s">
        <v>10226</v>
      </c>
      <c r="D129" s="3379"/>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8497</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c r="A130" s="1886">
        <v>130</v>
      </c>
      <c r="B130" s="5250"/>
      <c r="C130" s="4099"/>
      <c r="D130" s="5270"/>
      <c r="H130" s="361"/>
      <c r="J130" s="5442"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c r="A131" s="1886">
        <v>131</v>
      </c>
      <c r="B131" s="5250"/>
      <c r="C131" s="3122" t="s">
        <v>1690</v>
      </c>
      <c r="D131" s="3123"/>
      <c r="H131" s="361"/>
      <c r="J131" s="5443"/>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c r="A132" s="1886">
        <v>132</v>
      </c>
      <c r="B132" s="5250"/>
      <c r="C132" s="3124" t="s">
        <v>10227</v>
      </c>
      <c r="D132" s="3125"/>
      <c r="F132" s="1634"/>
      <c r="H132" s="361"/>
      <c r="L132" s="1969"/>
      <c r="N132" s="361"/>
    </row>
    <row r="133" spans="1:109" ht="12.75" customHeight="1" thickBot="1">
      <c r="A133" s="1886">
        <v>133</v>
      </c>
      <c r="B133" s="5250"/>
      <c r="C133" s="3126" t="s">
        <v>10228</v>
      </c>
      <c r="D133" s="3127"/>
      <c r="F133" s="5462" t="s">
        <v>7830</v>
      </c>
      <c r="G133" s="5462"/>
      <c r="H133" s="5462"/>
      <c r="I133" s="5462"/>
      <c r="J133" s="5462"/>
      <c r="K133" s="5462"/>
      <c r="L133" s="5462"/>
      <c r="M133" s="5462"/>
      <c r="N133" s="5462"/>
      <c r="O133" s="5462"/>
      <c r="P133" s="5462"/>
      <c r="Q133" s="5462"/>
      <c r="R133" s="5462"/>
      <c r="S133" s="5462"/>
      <c r="T133" s="5462"/>
      <c r="U133" s="5462"/>
      <c r="V133" s="5462"/>
      <c r="W133" s="5462"/>
      <c r="X133" s="5462"/>
      <c r="Y133" s="5462"/>
      <c r="Z133" s="5462"/>
      <c r="AA133" s="5462"/>
      <c r="AB133" s="5462"/>
      <c r="AC133" s="5462"/>
      <c r="AD133" s="5462"/>
      <c r="AE133" s="5462"/>
      <c r="AF133" s="5462"/>
      <c r="AG133" s="5462"/>
      <c r="AH133" s="5462"/>
      <c r="AI133" s="5462"/>
      <c r="AJ133" s="5462"/>
      <c r="AK133" s="5462"/>
      <c r="AL133" s="5462"/>
      <c r="AM133" s="5462"/>
      <c r="AN133" s="5462"/>
      <c r="AO133" s="5462"/>
      <c r="AP133" s="5462"/>
      <c r="AQ133" s="5462"/>
      <c r="AR133" s="5462"/>
      <c r="AS133" s="5462"/>
      <c r="AT133" s="5462"/>
      <c r="AU133" s="5462"/>
      <c r="AV133" s="5462"/>
      <c r="AW133" s="5462"/>
      <c r="AX133" s="5462"/>
      <c r="AY133" s="5462"/>
      <c r="AZ133" s="5462"/>
      <c r="BA133" s="5462"/>
      <c r="BB133" s="5462"/>
      <c r="BC133" s="5462"/>
      <c r="BD133" s="5462"/>
      <c r="BE133" s="5462"/>
      <c r="BF133" s="5462"/>
      <c r="BG133" s="5462"/>
      <c r="BH133" s="5462"/>
      <c r="BI133" s="5462"/>
      <c r="BJ133" s="5462"/>
      <c r="BK133" s="5462"/>
      <c r="BL133" s="5462"/>
      <c r="BM133" s="5462"/>
      <c r="BN133" s="5462"/>
      <c r="BO133" s="5462"/>
      <c r="BP133" s="5462"/>
      <c r="BQ133" s="5462"/>
      <c r="BR133" s="5462"/>
      <c r="BS133" s="5462"/>
      <c r="BT133" s="5462"/>
      <c r="BU133" s="5462"/>
      <c r="BV133" s="5462"/>
      <c r="BW133" s="5462"/>
      <c r="BX133" s="5462"/>
      <c r="BY133" s="5462"/>
      <c r="BZ133" s="5462"/>
      <c r="CA133" s="5462"/>
      <c r="CB133" s="5462"/>
      <c r="CC133" s="5462"/>
      <c r="CD133" s="5462"/>
      <c r="CE133" s="5462"/>
      <c r="CF133" s="5462"/>
      <c r="CG133" s="5462"/>
      <c r="CH133" s="5462"/>
      <c r="CI133" s="5462"/>
      <c r="CJ133" s="5462"/>
      <c r="CK133" s="5462"/>
      <c r="CL133" s="5462"/>
      <c r="CM133" s="5462"/>
      <c r="CN133" s="5462"/>
      <c r="CO133" s="5462"/>
      <c r="CP133" s="5462"/>
      <c r="CQ133" s="5462"/>
      <c r="CR133" s="5462"/>
      <c r="CS133" s="5462"/>
      <c r="CT133" s="5462"/>
      <c r="CU133" s="5462"/>
      <c r="CV133" s="5462"/>
      <c r="CW133" s="5462"/>
      <c r="CX133" s="5462"/>
      <c r="CY133" s="5462"/>
      <c r="CZ133" s="5462"/>
      <c r="DA133" s="5462"/>
      <c r="DB133" s="5462"/>
      <c r="DC133" s="5462"/>
      <c r="DD133" s="5462"/>
      <c r="DE133" s="5463"/>
    </row>
    <row r="134" spans="1:109" ht="12.75" customHeight="1">
      <c r="A134" s="1886">
        <v>134</v>
      </c>
      <c r="B134" s="5250"/>
      <c r="F134" s="5462"/>
      <c r="G134" s="5462"/>
      <c r="H134" s="5462"/>
      <c r="I134" s="5462"/>
      <c r="J134" s="5462"/>
      <c r="K134" s="5462"/>
      <c r="L134" s="5462"/>
      <c r="M134" s="5462"/>
      <c r="N134" s="5462"/>
      <c r="O134" s="5462"/>
      <c r="P134" s="5462"/>
      <c r="Q134" s="5462"/>
      <c r="R134" s="5462"/>
      <c r="S134" s="5462"/>
      <c r="T134" s="5462"/>
      <c r="U134" s="5462"/>
      <c r="V134" s="5462"/>
      <c r="W134" s="5462"/>
      <c r="X134" s="5462"/>
      <c r="Y134" s="5462"/>
      <c r="Z134" s="5462"/>
      <c r="AA134" s="5462"/>
      <c r="AB134" s="5462"/>
      <c r="AC134" s="5462"/>
      <c r="AD134" s="5462"/>
      <c r="AE134" s="5462"/>
      <c r="AF134" s="5462"/>
      <c r="AG134" s="5462"/>
      <c r="AH134" s="5462"/>
      <c r="AI134" s="5462"/>
      <c r="AJ134" s="5462"/>
      <c r="AK134" s="5462"/>
      <c r="AL134" s="5462"/>
      <c r="AM134" s="5462"/>
      <c r="AN134" s="5462"/>
      <c r="AO134" s="5462"/>
      <c r="AP134" s="5462"/>
      <c r="AQ134" s="5462"/>
      <c r="AR134" s="5462"/>
      <c r="AS134" s="5462"/>
      <c r="AT134" s="5462"/>
      <c r="AU134" s="5462"/>
      <c r="AV134" s="5462"/>
      <c r="AW134" s="5462"/>
      <c r="AX134" s="5462"/>
      <c r="AY134" s="5462"/>
      <c r="AZ134" s="5462"/>
      <c r="BA134" s="5462"/>
      <c r="BB134" s="5462"/>
      <c r="BC134" s="5462"/>
      <c r="BD134" s="5462"/>
      <c r="BE134" s="5462"/>
      <c r="BF134" s="5462"/>
      <c r="BG134" s="5462"/>
      <c r="BH134" s="5462"/>
      <c r="BI134" s="5462"/>
      <c r="BJ134" s="5462"/>
      <c r="BK134" s="5462"/>
      <c r="BL134" s="5462"/>
      <c r="BM134" s="5462"/>
      <c r="BN134" s="5462"/>
      <c r="BO134" s="5462"/>
      <c r="BP134" s="5462"/>
      <c r="BQ134" s="5462"/>
      <c r="BR134" s="5462"/>
      <c r="BS134" s="5462"/>
      <c r="BT134" s="5462"/>
      <c r="BU134" s="5462"/>
      <c r="BV134" s="5462"/>
      <c r="BW134" s="5462"/>
      <c r="BX134" s="5462"/>
      <c r="BY134" s="5462"/>
      <c r="BZ134" s="5462"/>
      <c r="CA134" s="5462"/>
      <c r="CB134" s="5462"/>
      <c r="CC134" s="5462"/>
      <c r="CD134" s="5462"/>
      <c r="CE134" s="5462"/>
      <c r="CF134" s="5462"/>
      <c r="CG134" s="5462"/>
      <c r="CH134" s="5462"/>
      <c r="CI134" s="5462"/>
      <c r="CJ134" s="5462"/>
      <c r="CK134" s="5462"/>
      <c r="CL134" s="5462"/>
      <c r="CM134" s="5462"/>
      <c r="CN134" s="5462"/>
      <c r="CO134" s="5462"/>
      <c r="CP134" s="5462"/>
      <c r="CQ134" s="5462"/>
      <c r="CR134" s="5462"/>
      <c r="CS134" s="5462"/>
      <c r="CT134" s="5462"/>
      <c r="CU134" s="5462"/>
      <c r="CV134" s="5462"/>
      <c r="CW134" s="5462"/>
      <c r="CX134" s="5462"/>
      <c r="CY134" s="5462"/>
      <c r="CZ134" s="5462"/>
      <c r="DA134" s="5462"/>
      <c r="DB134" s="5462"/>
      <c r="DC134" s="5462"/>
      <c r="DD134" s="5462"/>
      <c r="DE134" s="5463"/>
    </row>
    <row r="135" spans="1:109" ht="12.75" customHeight="1" thickBot="1">
      <c r="A135" s="1886">
        <v>135</v>
      </c>
      <c r="B135" s="5250"/>
      <c r="F135" s="5464" t="s">
        <v>7838</v>
      </c>
      <c r="G135" s="5465"/>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c r="A136" s="1886">
        <v>136</v>
      </c>
      <c r="B136" s="5250"/>
      <c r="C136" s="5235" t="s">
        <v>7823</v>
      </c>
      <c r="D136" s="5237"/>
      <c r="F136" s="2471" t="str">
        <f>IF(ISNA(HLOOKUP($I$136&amp;$A1,$H$139:$DE$140,2,FALSE))," ",HLOOKUP($I$136&amp;$A1,$H$139:$DE$140,2,FALSE))</f>
        <v xml:space="preserve"> </v>
      </c>
      <c r="G136" s="2472"/>
      <c r="H136" s="2373" t="s">
        <v>7837</v>
      </c>
      <c r="I136" s="5453" t="str">
        <f>IF(Region="","",Region)</f>
        <v/>
      </c>
      <c r="J136" s="5454"/>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c r="A137" s="1886">
        <v>137</v>
      </c>
      <c r="B137" s="5250"/>
      <c r="C137" s="5440"/>
      <c r="D137" s="5467"/>
      <c r="F137" s="2471" t="str">
        <f>IF(ISNA(HLOOKUP($I$136&amp;$A2,$H$139:$DE$140,2,FALSE))," ",HLOOKUP($I$136&amp;$A2,$H$139:$DE$140,2,FALSE))</f>
        <v xml:space="preserve"> </v>
      </c>
      <c r="G137" s="2472"/>
      <c r="H137" s="2475" t="s">
        <v>1672</v>
      </c>
      <c r="I137" s="5455" t="str">
        <f>IF(ClaseSocial="","",ClaseSocial)</f>
        <v/>
      </c>
      <c r="J137" s="5456"/>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c r="A138" s="1886">
        <v>138</v>
      </c>
      <c r="B138" s="5250"/>
      <c r="C138" s="1639" t="s">
        <v>7831</v>
      </c>
      <c r="D138" s="1636"/>
      <c r="F138" s="2471" t="str">
        <f>IF(ISNA(HLOOKUP($I$136&amp;$A3,$H$139:$DE$140,2,FALSE))," ",HLOOKUP($I$136&amp;$A3,$H$139:$DE$140,2,FALSE))</f>
        <v xml:space="preserve"> </v>
      </c>
      <c r="G138" s="2472"/>
      <c r="H138" s="5445" t="s">
        <v>7775</v>
      </c>
      <c r="I138" s="5445"/>
      <c r="J138" s="5445"/>
      <c r="K138" s="5445" t="s">
        <v>7776</v>
      </c>
      <c r="L138" s="5445"/>
      <c r="M138" s="5445" t="s">
        <v>7777</v>
      </c>
      <c r="N138" s="5445"/>
      <c r="O138" s="5445"/>
      <c r="P138" s="5445" t="s">
        <v>7778</v>
      </c>
      <c r="Q138" s="5445"/>
      <c r="R138" s="5445" t="s">
        <v>7779</v>
      </c>
      <c r="S138" s="5445"/>
      <c r="T138" s="2348" t="s">
        <v>7780</v>
      </c>
      <c r="U138" s="5445" t="s">
        <v>7781</v>
      </c>
      <c r="V138" s="5445"/>
      <c r="W138" s="5298" t="s">
        <v>7782</v>
      </c>
      <c r="X138" s="5299"/>
      <c r="Y138" s="5301" t="s">
        <v>7783</v>
      </c>
      <c r="Z138" s="5303"/>
      <c r="AA138" s="5302"/>
      <c r="AB138" s="5301" t="s">
        <v>7784</v>
      </c>
      <c r="AC138" s="5302"/>
      <c r="AD138" s="5301" t="s">
        <v>7785</v>
      </c>
      <c r="AE138" s="5302"/>
      <c r="AF138" s="5301" t="s">
        <v>7786</v>
      </c>
      <c r="AG138" s="5303"/>
      <c r="AH138" s="5302"/>
      <c r="AI138" s="5301" t="s">
        <v>7787</v>
      </c>
      <c r="AJ138" s="5303"/>
      <c r="AK138" s="5302"/>
      <c r="AL138" s="5301" t="s">
        <v>7788</v>
      </c>
      <c r="AM138" s="5303"/>
      <c r="AN138" s="5303"/>
      <c r="AO138" s="5302"/>
      <c r="AP138" s="5298" t="s">
        <v>7789</v>
      </c>
      <c r="AQ138" s="5300"/>
      <c r="AR138" s="5299"/>
      <c r="AS138" s="5298" t="s">
        <v>7790</v>
      </c>
      <c r="AT138" s="5299"/>
      <c r="AU138" s="5298" t="s">
        <v>7791</v>
      </c>
      <c r="AV138" s="5300"/>
      <c r="AW138" s="5299"/>
      <c r="AX138" s="5298" t="s">
        <v>7792</v>
      </c>
      <c r="AY138" s="5299"/>
      <c r="AZ138" s="5298" t="s">
        <v>7793</v>
      </c>
      <c r="BA138" s="5299"/>
      <c r="BB138" s="5298" t="s">
        <v>7794</v>
      </c>
      <c r="BC138" s="5299"/>
      <c r="BD138" s="5298" t="s">
        <v>7795</v>
      </c>
      <c r="BE138" s="5299"/>
      <c r="BF138" s="5298" t="s">
        <v>7796</v>
      </c>
      <c r="BG138" s="5299"/>
      <c r="BH138" s="2348" t="s">
        <v>7797</v>
      </c>
      <c r="BI138" s="5298" t="s">
        <v>7758</v>
      </c>
      <c r="BJ138" s="5299"/>
      <c r="BK138" s="2045" t="s">
        <v>7759</v>
      </c>
      <c r="BL138" s="2046"/>
      <c r="BM138" s="2348" t="s">
        <v>7760</v>
      </c>
      <c r="BN138" s="5298" t="s">
        <v>7761</v>
      </c>
      <c r="BO138" s="5299"/>
      <c r="BP138" s="5298" t="s">
        <v>7798</v>
      </c>
      <c r="BQ138" s="5300"/>
      <c r="BR138" s="5299"/>
      <c r="BS138" s="5298" t="s">
        <v>7799</v>
      </c>
      <c r="BT138" s="5299"/>
      <c r="BU138" s="5298" t="s">
        <v>7762</v>
      </c>
      <c r="BV138" s="5300"/>
      <c r="BW138" s="5300"/>
      <c r="BX138" s="5299"/>
      <c r="BY138" s="5298" t="s">
        <v>7763</v>
      </c>
      <c r="BZ138" s="5300"/>
      <c r="CA138" s="5299"/>
      <c r="CB138" s="5298" t="s">
        <v>7764</v>
      </c>
      <c r="CC138" s="5300"/>
      <c r="CD138" s="5299"/>
      <c r="CE138" s="5298" t="s">
        <v>7765</v>
      </c>
      <c r="CF138" s="5299"/>
      <c r="CG138" s="5298" t="s">
        <v>7766</v>
      </c>
      <c r="CH138" s="5300"/>
      <c r="CI138" s="5299"/>
      <c r="CJ138" s="5298" t="s">
        <v>9992</v>
      </c>
      <c r="CK138" s="5300"/>
      <c r="CL138" s="5300"/>
      <c r="CM138" s="5299"/>
      <c r="CN138" s="5298" t="s">
        <v>7767</v>
      </c>
      <c r="CO138" s="5299"/>
      <c r="CP138" s="5298" t="s">
        <v>7768</v>
      </c>
      <c r="CQ138" s="5299"/>
      <c r="CR138" s="5298" t="s">
        <v>7769</v>
      </c>
      <c r="CS138" s="5300"/>
      <c r="CT138" s="5299"/>
      <c r="CU138" s="5298" t="s">
        <v>7770</v>
      </c>
      <c r="CV138" s="5299"/>
      <c r="CW138" s="5298" t="s">
        <v>7771</v>
      </c>
      <c r="CX138" s="5300"/>
      <c r="CY138" s="5299"/>
      <c r="CZ138" s="1663" t="s">
        <v>7772</v>
      </c>
      <c r="DA138" s="5298" t="s">
        <v>7773</v>
      </c>
      <c r="DB138" s="5300"/>
      <c r="DC138" s="5299"/>
      <c r="DD138" s="5298" t="s">
        <v>7774</v>
      </c>
      <c r="DE138" s="5466"/>
    </row>
    <row r="139" spans="1:109" ht="12.75" customHeight="1">
      <c r="A139" s="1886">
        <v>139</v>
      </c>
      <c r="B139" s="5250"/>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c r="A140" s="1886">
        <v>140</v>
      </c>
      <c r="B140" s="5250"/>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27" t="s">
        <v>7839</v>
      </c>
      <c r="Z140" s="1716" t="s">
        <v>7800</v>
      </c>
      <c r="AA140" s="1975" t="s">
        <v>86</v>
      </c>
      <c r="AB140" s="1716" t="s">
        <v>8912</v>
      </c>
      <c r="AC140" s="1716" t="s">
        <v>7841</v>
      </c>
      <c r="AD140" s="3027" t="s">
        <v>7839</v>
      </c>
      <c r="AE140" s="1975" t="s">
        <v>86</v>
      </c>
      <c r="AF140" s="1716" t="s">
        <v>7842</v>
      </c>
      <c r="AG140" s="1716" t="s">
        <v>7801</v>
      </c>
      <c r="AH140" s="1716" t="s">
        <v>7843</v>
      </c>
      <c r="AI140" s="3027"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c r="A141" s="1886">
        <v>141</v>
      </c>
      <c r="B141" s="5250"/>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c r="A142" s="1886">
        <v>142</v>
      </c>
      <c r="B142" s="5250"/>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c r="A143" s="1886">
        <v>143</v>
      </c>
      <c r="B143" s="5250"/>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c r="A144" s="1886">
        <v>144</v>
      </c>
      <c r="B144" s="5250"/>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c r="A145" s="1886">
        <v>145</v>
      </c>
      <c r="B145" s="5250"/>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c r="A146" s="1886">
        <v>146</v>
      </c>
      <c r="B146" s="5250"/>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c r="A147" s="1886">
        <v>147</v>
      </c>
      <c r="B147" s="5250"/>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c r="A148" s="1886">
        <v>148</v>
      </c>
      <c r="B148" s="5250"/>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c r="A149" s="1886">
        <v>149</v>
      </c>
      <c r="B149" s="5250"/>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c r="A150" s="1886">
        <v>150</v>
      </c>
      <c r="B150" s="5250"/>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c r="A151" s="1886">
        <v>151</v>
      </c>
      <c r="B151" s="5250"/>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c r="A152" s="1886">
        <v>152</v>
      </c>
      <c r="B152" s="5250"/>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c r="A153" s="1886">
        <v>153</v>
      </c>
      <c r="B153" s="5250"/>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c r="A154" s="1886">
        <v>154</v>
      </c>
      <c r="B154" s="5250"/>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c r="A155" s="1886">
        <v>155</v>
      </c>
      <c r="B155" s="5250"/>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c r="A156" s="1886">
        <v>156</v>
      </c>
      <c r="B156" s="5250"/>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c r="A157" s="1886">
        <v>157</v>
      </c>
      <c r="B157" s="5250"/>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c r="A158" s="1886">
        <v>158</v>
      </c>
      <c r="B158" s="5250"/>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c r="A159" s="1886">
        <v>159</v>
      </c>
      <c r="B159" s="5250"/>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c r="A160" s="1886">
        <v>160</v>
      </c>
      <c r="B160" s="5250"/>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c r="A161" s="1886">
        <v>161</v>
      </c>
      <c r="B161" s="5250"/>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c r="A162" s="1886">
        <v>162</v>
      </c>
      <c r="B162" s="5250"/>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c r="A163" s="1886">
        <v>163</v>
      </c>
      <c r="B163" s="5250"/>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28" t="s">
        <v>7862</v>
      </c>
      <c r="Z163" s="3029" t="s">
        <v>7862</v>
      </c>
      <c r="AA163" s="3030" t="s">
        <v>7862</v>
      </c>
      <c r="AB163" s="3029"/>
      <c r="AC163" s="3029" t="s">
        <v>7862</v>
      </c>
      <c r="AD163" s="3028" t="s">
        <v>7862</v>
      </c>
      <c r="AE163" s="3030" t="s">
        <v>7862</v>
      </c>
      <c r="AF163" s="3029"/>
      <c r="AG163" s="3029"/>
      <c r="AH163" s="3029"/>
      <c r="AI163" s="3028"/>
      <c r="AJ163" s="3029"/>
      <c r="AK163" s="3030" t="s">
        <v>7862</v>
      </c>
      <c r="AL163" s="3029" t="s">
        <v>7862</v>
      </c>
      <c r="AM163" s="3029" t="s">
        <v>7862</v>
      </c>
      <c r="AN163" s="3029"/>
      <c r="AO163" s="3029"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c r="A164" s="1886">
        <v>164</v>
      </c>
      <c r="B164" s="5250"/>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c r="A165" s="1886">
        <v>165</v>
      </c>
      <c r="B165" s="5250"/>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c r="A166" s="1886">
        <v>166</v>
      </c>
      <c r="B166" s="5250"/>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c r="A167" s="1886">
        <v>167</v>
      </c>
      <c r="B167" s="5250"/>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c r="A168" s="1886">
        <v>168</v>
      </c>
      <c r="B168" s="5250"/>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7864</v>
      </c>
      <c r="AE168" s="3030" t="s">
        <v>7864</v>
      </c>
      <c r="AF168" s="3029"/>
      <c r="AG168" s="3029"/>
      <c r="AH168" s="3029"/>
      <c r="AI168" s="3028"/>
      <c r="AJ168" s="3029"/>
      <c r="AK168" s="3030"/>
      <c r="AL168" s="3029"/>
      <c r="AM168" s="3029"/>
      <c r="AN168" s="3029"/>
      <c r="AO168" s="3029"/>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c r="A169" s="1886">
        <v>169</v>
      </c>
      <c r="B169" s="5250"/>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c r="A170" s="1886">
        <v>170</v>
      </c>
      <c r="B170" s="5250"/>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c r="A171" s="1886">
        <v>171</v>
      </c>
      <c r="B171" s="5250"/>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c r="A172" s="1886">
        <v>172</v>
      </c>
      <c r="B172" s="5250"/>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c r="A173" s="1886">
        <v>173</v>
      </c>
      <c r="B173" s="5250"/>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c r="A174" s="1886">
        <v>174</v>
      </c>
      <c r="B174" s="5250"/>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c r="A175" s="1886">
        <v>175</v>
      </c>
      <c r="B175" s="5250"/>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c r="A176" s="1886">
        <v>176</v>
      </c>
      <c r="B176" s="5250"/>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c r="A177" s="1886">
        <v>177</v>
      </c>
      <c r="B177" s="5250"/>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c r="A178" s="1886">
        <v>178</v>
      </c>
      <c r="B178" s="5250"/>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c r="A179" s="1886">
        <v>179</v>
      </c>
      <c r="B179" s="5250"/>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c r="A180" s="1886">
        <v>180</v>
      </c>
      <c r="B180" s="5250"/>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c r="A181" s="1886">
        <v>181</v>
      </c>
      <c r="B181" s="5250"/>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c r="A182" s="1886">
        <v>182</v>
      </c>
      <c r="B182" s="5250"/>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c r="A183" s="1886">
        <v>183</v>
      </c>
      <c r="B183" s="5250"/>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c r="A184" s="1886">
        <v>184</v>
      </c>
      <c r="B184" s="5250"/>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c r="A185" s="1886">
        <v>185</v>
      </c>
      <c r="B185" s="5250"/>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c r="A186" s="1886">
        <v>186</v>
      </c>
      <c r="B186" s="5250"/>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c r="A187" s="1886">
        <v>187</v>
      </c>
      <c r="B187" s="5250"/>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c r="A188" s="1886">
        <v>188</v>
      </c>
      <c r="B188" s="5250"/>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c r="A189" s="1886">
        <v>189</v>
      </c>
      <c r="B189" s="5250"/>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c r="A190" s="1886">
        <v>190</v>
      </c>
      <c r="B190" s="5250"/>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c r="A191" s="1886">
        <v>191</v>
      </c>
      <c r="B191" s="5250"/>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c r="A192" s="1886">
        <v>192</v>
      </c>
      <c r="B192" s="5250"/>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c r="A193" s="1886">
        <v>193</v>
      </c>
      <c r="B193" s="5250"/>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7856</v>
      </c>
      <c r="AI193" s="3028"/>
      <c r="AJ193" s="3029"/>
      <c r="AK193" s="3030"/>
      <c r="AL193" s="3029"/>
      <c r="AM193" s="3029"/>
      <c r="AN193" s="3029"/>
      <c r="AO193" s="3029"/>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c r="A194" s="1886">
        <v>194</v>
      </c>
      <c r="B194" s="5250"/>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7854</v>
      </c>
      <c r="AI194" s="3028"/>
      <c r="AJ194" s="3029"/>
      <c r="AK194" s="3030"/>
      <c r="AL194" s="3029"/>
      <c r="AM194" s="3029"/>
      <c r="AN194" s="3029"/>
      <c r="AO194" s="3029"/>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c r="A195" s="1886">
        <v>195</v>
      </c>
      <c r="B195" s="5250"/>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8054</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c r="A196" s="1886">
        <v>196</v>
      </c>
      <c r="B196" s="5250"/>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7862</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c r="A197" s="1886">
        <v>197</v>
      </c>
      <c r="B197" s="5250"/>
      <c r="H197" s="361"/>
      <c r="N197" s="361"/>
    </row>
    <row r="198" spans="1:109" ht="12.75" customHeight="1" thickBot="1">
      <c r="A198" s="1886">
        <v>198</v>
      </c>
      <c r="B198" s="5250"/>
      <c r="C198" s="5305" t="s">
        <v>2386</v>
      </c>
      <c r="D198" s="5305"/>
      <c r="E198" s="5305"/>
      <c r="F198" s="5305"/>
      <c r="G198" s="5305"/>
      <c r="H198" s="5305"/>
      <c r="I198" s="5305"/>
      <c r="J198" s="5305"/>
      <c r="K198" s="5305"/>
      <c r="L198" s="5305"/>
      <c r="M198" s="5305"/>
      <c r="N198" s="5305"/>
      <c r="O198" s="5305"/>
      <c r="P198" s="5305"/>
      <c r="Q198" s="5305"/>
      <c r="R198" s="5305"/>
      <c r="S198" s="5305"/>
      <c r="T198" s="5305"/>
      <c r="U198" s="5305"/>
      <c r="V198" s="5305"/>
      <c r="W198" s="5305"/>
      <c r="X198" s="5305"/>
      <c r="Y198" s="5305"/>
      <c r="Z198" s="5305"/>
      <c r="AA198" s="5305"/>
      <c r="AB198" s="5305"/>
      <c r="AC198" s="5305"/>
      <c r="AD198" s="5305"/>
      <c r="AE198" s="5305"/>
      <c r="AF198" s="5305"/>
      <c r="AG198" s="5305"/>
      <c r="AH198" s="5305"/>
      <c r="AI198" s="5305"/>
      <c r="AJ198" s="5305"/>
      <c r="AK198" s="5305"/>
      <c r="AL198" s="5305"/>
      <c r="AM198" s="5305"/>
      <c r="AN198" s="5305"/>
      <c r="AO198" s="5305"/>
      <c r="AP198" s="5305"/>
      <c r="AQ198" s="5305"/>
      <c r="AR198" s="5305"/>
      <c r="AS198" s="5305"/>
      <c r="AT198" s="5305"/>
      <c r="AU198" s="5305"/>
      <c r="AV198" s="5305"/>
      <c r="AW198" s="5305"/>
      <c r="AX198" s="5305"/>
      <c r="AY198" s="5305"/>
      <c r="AZ198" s="5305"/>
      <c r="BA198" s="5305"/>
      <c r="BB198" s="5305"/>
      <c r="BC198" s="5305"/>
      <c r="BD198" s="5305"/>
      <c r="BE198" s="5305"/>
      <c r="BF198" s="5305"/>
      <c r="BG198" s="5305"/>
      <c r="BH198" s="5305"/>
      <c r="BI198" s="5305"/>
      <c r="BJ198" s="5305"/>
      <c r="BK198" s="5305"/>
      <c r="BL198" s="5305"/>
      <c r="BM198" s="5305"/>
      <c r="BN198" s="5305"/>
      <c r="BO198" s="5305"/>
      <c r="BP198" s="5305"/>
      <c r="BQ198" s="5305"/>
      <c r="BR198" s="5305"/>
      <c r="BS198" s="5305"/>
      <c r="BT198" s="5305"/>
      <c r="BU198" s="5305"/>
      <c r="BV198" s="5305"/>
      <c r="BW198" s="5305"/>
      <c r="BX198" s="5305"/>
      <c r="BY198" s="5305"/>
      <c r="BZ198" s="5305"/>
      <c r="CA198" s="5305"/>
      <c r="CB198" s="5305"/>
      <c r="CC198" s="5305"/>
      <c r="CD198" s="5305"/>
      <c r="CE198" s="5305"/>
      <c r="CF198" s="5305"/>
      <c r="CG198" s="5305"/>
      <c r="CH198" s="5305"/>
      <c r="CI198" s="5305"/>
    </row>
    <row r="199" spans="1:109" ht="12.75" customHeight="1">
      <c r="A199" s="1886">
        <v>199</v>
      </c>
      <c r="B199" s="5250"/>
      <c r="C199" s="5305"/>
      <c r="D199" s="5305"/>
      <c r="E199" s="5305"/>
      <c r="F199" s="5305"/>
      <c r="G199" s="5305"/>
      <c r="H199" s="5305"/>
      <c r="I199" s="5305"/>
      <c r="J199" s="5305"/>
      <c r="K199" s="5305"/>
      <c r="L199" s="5305"/>
      <c r="M199" s="5305"/>
      <c r="N199" s="5305"/>
      <c r="O199" s="5305"/>
      <c r="P199" s="5305"/>
      <c r="Q199" s="5305"/>
      <c r="R199" s="5305"/>
      <c r="S199" s="5305"/>
      <c r="T199" s="5305"/>
      <c r="U199" s="5305"/>
      <c r="V199" s="5305"/>
      <c r="W199" s="5305"/>
      <c r="X199" s="5305"/>
      <c r="Y199" s="5305"/>
      <c r="Z199" s="5305"/>
      <c r="AA199" s="5305"/>
      <c r="AB199" s="5305"/>
      <c r="AC199" s="5305"/>
      <c r="AD199" s="5305"/>
      <c r="AE199" s="5305"/>
      <c r="AF199" s="5305"/>
      <c r="AG199" s="5305"/>
      <c r="AH199" s="5305"/>
      <c r="AI199" s="5305"/>
      <c r="AJ199" s="5305"/>
      <c r="AK199" s="5305"/>
      <c r="AL199" s="5305"/>
      <c r="AM199" s="5305"/>
      <c r="AN199" s="5305"/>
      <c r="AO199" s="5305"/>
      <c r="AP199" s="5305"/>
      <c r="AQ199" s="5305"/>
      <c r="AR199" s="5305"/>
      <c r="AS199" s="5305"/>
      <c r="AT199" s="5305"/>
      <c r="AU199" s="5305"/>
      <c r="AV199" s="5305"/>
      <c r="AW199" s="5305"/>
      <c r="AX199" s="5305"/>
      <c r="AY199" s="5305"/>
      <c r="AZ199" s="5305"/>
      <c r="BA199" s="5305"/>
      <c r="BB199" s="5305"/>
      <c r="BC199" s="5305"/>
      <c r="BD199" s="5305"/>
      <c r="BE199" s="5305"/>
      <c r="BF199" s="5305"/>
      <c r="BG199" s="5305"/>
      <c r="BH199" s="5305"/>
      <c r="BI199" s="5305"/>
      <c r="BJ199" s="5305"/>
      <c r="BK199" s="5305"/>
      <c r="BL199" s="5305"/>
      <c r="BM199" s="5305"/>
      <c r="BN199" s="5305"/>
      <c r="BO199" s="5305"/>
      <c r="BP199" s="5305"/>
      <c r="BQ199" s="5305"/>
      <c r="BR199" s="5305"/>
      <c r="BS199" s="5305"/>
      <c r="BT199" s="5305"/>
      <c r="BU199" s="5305"/>
      <c r="BV199" s="5305"/>
      <c r="BW199" s="5305"/>
      <c r="BX199" s="5305"/>
      <c r="BY199" s="5305"/>
      <c r="BZ199" s="5305"/>
      <c r="CA199" s="5305"/>
      <c r="CB199" s="5305"/>
      <c r="CC199" s="5305"/>
      <c r="CD199" s="5305"/>
      <c r="CE199" s="5305"/>
      <c r="CF199" s="5305"/>
      <c r="CG199" s="5305"/>
      <c r="CH199" s="5305"/>
      <c r="CI199" s="5305"/>
    </row>
    <row r="200" spans="1:109" ht="12.75" customHeight="1">
      <c r="A200" s="1886">
        <v>200</v>
      </c>
      <c r="B200" s="5250"/>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6">
        <v>201</v>
      </c>
      <c r="B201" s="5250"/>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32" t="s">
        <v>8550</v>
      </c>
      <c r="Z201" s="3032" t="str">
        <f>"Coste"&amp;PDs!$E$93</f>
        <v>CosteProyección Mágica</v>
      </c>
      <c r="AA201" s="3032" t="s">
        <v>2392</v>
      </c>
      <c r="AB201" s="3032" t="str">
        <f>"Coste"&amp;PDs!$E$96</f>
        <v>CosteControlar</v>
      </c>
      <c r="AC201" s="3032" t="s">
        <v>2393</v>
      </c>
      <c r="AD201" s="3032" t="s">
        <v>8831</v>
      </c>
      <c r="AE201" s="3032" t="s">
        <v>2394</v>
      </c>
      <c r="AF201" s="3032" t="str">
        <f>"Coste"&amp;PDs!$E$109</f>
        <v>CosteProyección psíquica</v>
      </c>
      <c r="AG201" s="3032" t="str">
        <f>"Coste"&amp;PDs!D126</f>
        <v>CosteAtléticas</v>
      </c>
      <c r="AH201" s="3032" t="s">
        <v>2395</v>
      </c>
      <c r="AI201" s="3032" t="s">
        <v>10024</v>
      </c>
      <c r="AJ201" s="3032" t="str">
        <f>"Coste"&amp;PDs!$D$143</f>
        <v>CosteIntelectuales</v>
      </c>
      <c r="AK201" s="3032" t="s">
        <v>2396</v>
      </c>
      <c r="AL201" s="3032" t="s">
        <v>8832</v>
      </c>
      <c r="AM201" s="3032" t="s">
        <v>8833</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c r="A202" s="1886">
        <v>202</v>
      </c>
      <c r="B202" s="5250"/>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6">
        <v>203</v>
      </c>
      <c r="B203" s="5250"/>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6">
        <v>204</v>
      </c>
      <c r="B204" s="5250"/>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6">
        <v>205</v>
      </c>
      <c r="B205" s="5250"/>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6">
        <v>206</v>
      </c>
      <c r="B206" s="5250"/>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6">
        <v>207</v>
      </c>
      <c r="B207" s="5250"/>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6">
        <v>208</v>
      </c>
      <c r="B208" s="5250"/>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6">
        <v>209</v>
      </c>
      <c r="B209" s="5250"/>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6">
        <v>210</v>
      </c>
      <c r="B210" s="5250"/>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c r="A211" s="1886">
        <v>211</v>
      </c>
      <c r="B211" s="5250"/>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6">
        <v>212</v>
      </c>
      <c r="B212" s="5250"/>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6">
        <v>213</v>
      </c>
      <c r="B213" s="5250"/>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6">
        <v>214</v>
      </c>
      <c r="B214" s="5250"/>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6">
        <v>215</v>
      </c>
      <c r="B215" s="5250"/>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6">
        <v>216</v>
      </c>
      <c r="B216" s="5250"/>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6">
        <v>217</v>
      </c>
      <c r="B217" s="5250"/>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6">
        <v>218</v>
      </c>
      <c r="B218" s="5250"/>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6">
        <v>219</v>
      </c>
      <c r="B219" s="5250"/>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6">
        <v>220</v>
      </c>
      <c r="B220" s="5250"/>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6">
        <v>221</v>
      </c>
      <c r="B221" s="5250"/>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6">
        <v>222</v>
      </c>
      <c r="B222" s="5250"/>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6">
        <v>223</v>
      </c>
      <c r="B223" s="5250"/>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6">
        <v>224</v>
      </c>
      <c r="B224" s="5250"/>
      <c r="C224" s="2299"/>
      <c r="D224" s="5460"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c r="A225" s="1886">
        <v>225</v>
      </c>
      <c r="B225" s="5250"/>
      <c r="D225" s="5461"/>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c r="A226" s="1886">
        <v>226</v>
      </c>
      <c r="B226" s="5250"/>
    </row>
    <row r="227" spans="1:83" ht="12.75" customHeight="1">
      <c r="A227" s="1886">
        <v>227</v>
      </c>
      <c r="B227" s="5250"/>
    </row>
    <row r="228" spans="1:83" ht="12.75" customHeight="1">
      <c r="A228" s="1886">
        <v>228</v>
      </c>
      <c r="B228" s="5250"/>
      <c r="C228" s="5241" t="s">
        <v>8940</v>
      </c>
      <c r="D228" s="5241"/>
      <c r="E228" s="5241"/>
      <c r="F228" s="5241"/>
      <c r="G228" s="5241"/>
      <c r="H228" s="5241"/>
      <c r="I228" s="5241"/>
      <c r="J228" s="5241"/>
      <c r="K228" s="5241"/>
      <c r="L228" s="5241"/>
      <c r="M228" s="5241"/>
      <c r="N228" s="5241"/>
      <c r="O228" s="5241"/>
      <c r="P228" s="5241"/>
      <c r="Q228" s="5241"/>
      <c r="R228" s="5241"/>
      <c r="S228" s="5241"/>
      <c r="T228" s="5241"/>
      <c r="U228" s="5241"/>
      <c r="V228" s="5241"/>
      <c r="W228" s="5241"/>
      <c r="X228" s="5241"/>
      <c r="Y228" s="5241"/>
      <c r="Z228" s="5241"/>
    </row>
    <row r="229" spans="1:83" ht="12.75" customHeight="1">
      <c r="A229" s="1886">
        <v>229</v>
      </c>
      <c r="B229" s="5250"/>
      <c r="C229" s="5241"/>
      <c r="D229" s="5241"/>
      <c r="E229" s="5241"/>
      <c r="F229" s="5241"/>
      <c r="G229" s="5241"/>
      <c r="H229" s="5241"/>
      <c r="I229" s="5241"/>
      <c r="J229" s="5241"/>
      <c r="K229" s="5241"/>
      <c r="L229" s="5241"/>
      <c r="M229" s="5241"/>
      <c r="N229" s="5241"/>
      <c r="O229" s="5241"/>
      <c r="P229" s="5241"/>
      <c r="Q229" s="5241"/>
      <c r="R229" s="5241"/>
      <c r="S229" s="5241"/>
      <c r="T229" s="5241"/>
      <c r="U229" s="5241"/>
      <c r="V229" s="5241"/>
      <c r="W229" s="5241"/>
      <c r="X229" s="5241"/>
      <c r="Y229" s="5241"/>
      <c r="Z229" s="5241"/>
    </row>
    <row r="230" spans="1:83" ht="12.75" customHeight="1">
      <c r="A230" s="1886">
        <v>230</v>
      </c>
      <c r="B230" s="5250"/>
      <c r="C230" s="5241"/>
      <c r="D230" s="5241"/>
      <c r="E230" s="5241"/>
      <c r="F230" s="5241"/>
      <c r="G230" s="5241"/>
      <c r="H230" s="5241"/>
      <c r="I230" s="5241"/>
      <c r="J230" s="5241"/>
      <c r="K230" s="5241"/>
      <c r="L230" s="5241"/>
      <c r="M230" s="5241"/>
      <c r="N230" s="5241"/>
      <c r="O230" s="5241"/>
      <c r="P230" s="5241"/>
      <c r="Q230" s="5241"/>
      <c r="R230" s="5241"/>
      <c r="S230" s="5241"/>
      <c r="T230" s="5241"/>
      <c r="U230" s="5241"/>
      <c r="V230" s="5241"/>
      <c r="W230" s="5241"/>
      <c r="X230" s="5241"/>
      <c r="Y230" s="5241"/>
      <c r="Z230" s="5241"/>
    </row>
    <row r="231" spans="1:83" ht="12.75" customHeight="1" thickBot="1">
      <c r="A231" s="1886">
        <v>231</v>
      </c>
      <c r="B231" s="5250"/>
      <c r="H231" s="361"/>
      <c r="I231" s="2344"/>
      <c r="N231" s="361"/>
      <c r="O231" s="2344"/>
    </row>
    <row r="232" spans="1:83" ht="12.75" customHeight="1">
      <c r="A232" s="1886">
        <v>232</v>
      </c>
      <c r="B232" s="5250"/>
      <c r="C232" s="5457" t="s">
        <v>2635</v>
      </c>
      <c r="D232" s="5458"/>
      <c r="E232" s="5458"/>
      <c r="F232" s="5458"/>
      <c r="G232" s="5458"/>
      <c r="H232" s="5459"/>
      <c r="I232" s="2344"/>
      <c r="L232" s="5440" t="s">
        <v>2917</v>
      </c>
      <c r="M232" s="5441"/>
      <c r="N232" s="5441"/>
      <c r="O232" s="5441"/>
      <c r="P232" s="5441"/>
      <c r="Q232" s="5441"/>
      <c r="R232" s="5441"/>
      <c r="S232" s="5441"/>
      <c r="T232" s="5441"/>
    </row>
    <row r="233" spans="1:83" ht="12.75" customHeight="1">
      <c r="A233" s="1886">
        <v>233</v>
      </c>
      <c r="B233" s="5250"/>
      <c r="C233" s="2205" t="s">
        <v>1658</v>
      </c>
      <c r="D233" s="2206" t="s">
        <v>3277</v>
      </c>
      <c r="E233" s="2206" t="s">
        <v>8065</v>
      </c>
      <c r="F233" s="2206" t="s">
        <v>8064</v>
      </c>
      <c r="G233" s="2206" t="s">
        <v>1673</v>
      </c>
      <c r="H233" s="2207" t="s">
        <v>8767</v>
      </c>
      <c r="I233" s="2344"/>
      <c r="L233" s="5440"/>
      <c r="M233" s="5441"/>
      <c r="N233" s="5441"/>
      <c r="O233" s="5441"/>
      <c r="P233" s="5441"/>
      <c r="Q233" s="5441"/>
      <c r="R233" s="5441"/>
      <c r="S233" s="5441"/>
      <c r="T233" s="5441"/>
    </row>
    <row r="234" spans="1:83" ht="12.75" customHeight="1" thickBot="1">
      <c r="A234" s="1886">
        <v>234</v>
      </c>
      <c r="B234" s="5250"/>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258" t="s">
        <v>1861</v>
      </c>
      <c r="S234" s="5259"/>
      <c r="T234" s="365" t="s">
        <v>10076</v>
      </c>
    </row>
    <row r="235" spans="1:83" ht="12.75" customHeight="1" thickBot="1">
      <c r="A235" s="1886">
        <v>235</v>
      </c>
      <c r="B235" s="5250"/>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c r="A236" s="1886">
        <v>236</v>
      </c>
      <c r="B236" s="5250"/>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10050</v>
      </c>
      <c r="S236" s="2842"/>
      <c r="T236" s="2884" t="str">
        <f>IF(P236=0,"",R236)</f>
        <v/>
      </c>
    </row>
    <row r="237" spans="1:83" ht="12.75" customHeight="1" thickBot="1">
      <c r="A237" s="1886">
        <v>237</v>
      </c>
      <c r="B237" s="5250"/>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10051</v>
      </c>
      <c r="S237" s="2842"/>
      <c r="T237" s="2884" t="str">
        <f t="shared" ref="T237:T261" si="26">IF(P237=0,"",R237)</f>
        <v/>
      </c>
    </row>
    <row r="238" spans="1:83" ht="12.75" customHeight="1" thickBot="1">
      <c r="A238" s="1886">
        <v>238</v>
      </c>
      <c r="B238" s="5250"/>
      <c r="C238" s="5313" t="s">
        <v>2636</v>
      </c>
      <c r="D238" s="5313"/>
      <c r="E238" s="5313"/>
      <c r="F238" s="5313"/>
      <c r="G238" s="5313"/>
      <c r="H238" s="5313"/>
      <c r="I238" s="5313"/>
      <c r="L238" s="1639" t="str">
        <f t="shared" si="24"/>
        <v>Esencia Venenosa</v>
      </c>
      <c r="M238" s="2218">
        <f t="shared" si="23"/>
        <v>12</v>
      </c>
      <c r="N238" s="119" t="s">
        <v>2921</v>
      </c>
      <c r="O238" s="435">
        <f>1+IF(Principal!$Y$24="No",1,0)</f>
        <v>1</v>
      </c>
      <c r="P238" s="434">
        <f>COUNTIF(Principal!$C$35:$J$53,Tablas!N238)</f>
        <v>0</v>
      </c>
      <c r="Q238" s="427">
        <f t="shared" si="25"/>
        <v>0</v>
      </c>
      <c r="R238" s="2007" t="s">
        <v>10052</v>
      </c>
      <c r="S238" s="2842"/>
      <c r="T238" s="2884" t="str">
        <f>IF(P238=0,"",R238)</f>
        <v/>
      </c>
    </row>
    <row r="239" spans="1:83" ht="12.75" customHeight="1">
      <c r="A239" s="1886">
        <v>239</v>
      </c>
      <c r="B239" s="5250"/>
      <c r="C239" s="5313"/>
      <c r="D239" s="5313"/>
      <c r="E239" s="5313"/>
      <c r="F239" s="5313"/>
      <c r="G239" s="5313"/>
      <c r="H239" s="5313"/>
      <c r="I239" s="5313"/>
      <c r="L239" s="1639" t="str">
        <f t="shared" si="24"/>
        <v>La Sangre de Orochi</v>
      </c>
      <c r="M239" s="2218">
        <f t="shared" si="23"/>
        <v>15</v>
      </c>
      <c r="N239" s="119" t="s">
        <v>2922</v>
      </c>
      <c r="O239" s="435">
        <f>1+IF(Principal!$Y$24="No",1,0)</f>
        <v>1</v>
      </c>
      <c r="P239" s="434">
        <f>COUNTIF(Principal!$C$35:$J$53,Tablas!N239)</f>
        <v>0</v>
      </c>
      <c r="Q239" s="427">
        <f t="shared" si="25"/>
        <v>0</v>
      </c>
      <c r="R239" s="2007" t="s">
        <v>10053</v>
      </c>
      <c r="S239" s="2842"/>
      <c r="T239" s="2884" t="str">
        <f t="shared" si="26"/>
        <v/>
      </c>
    </row>
    <row r="240" spans="1:83" ht="12.75" customHeight="1">
      <c r="A240" s="1886">
        <v>240</v>
      </c>
      <c r="B240" s="5250"/>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10054</v>
      </c>
      <c r="S240" s="2842"/>
      <c r="T240" s="2884" t="str">
        <f t="shared" si="26"/>
        <v/>
      </c>
    </row>
    <row r="241" spans="1:20" ht="12.75" customHeight="1">
      <c r="A241" s="1886">
        <v>241</v>
      </c>
      <c r="B241" s="5250"/>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10055</v>
      </c>
      <c r="S241" s="2842"/>
      <c r="T241" s="2884" t="str">
        <f t="shared" si="26"/>
        <v/>
      </c>
    </row>
    <row r="242" spans="1:20" ht="12.75" customHeight="1">
      <c r="A242" s="1886">
        <v>242</v>
      </c>
      <c r="B242" s="5250"/>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10056</v>
      </c>
      <c r="S242" s="2842"/>
      <c r="T242" s="2884" t="str">
        <f t="shared" si="26"/>
        <v/>
      </c>
    </row>
    <row r="243" spans="1:20" ht="12.75" customHeight="1">
      <c r="A243" s="1886">
        <v>243</v>
      </c>
      <c r="B243" s="5250"/>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10057</v>
      </c>
      <c r="S243" s="2842"/>
      <c r="T243" s="2884" t="str">
        <f t="shared" si="26"/>
        <v/>
      </c>
    </row>
    <row r="244" spans="1:20" ht="12.75" customHeight="1">
      <c r="A244" s="1886">
        <v>244</v>
      </c>
      <c r="B244" s="5250"/>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10058</v>
      </c>
      <c r="S244" s="2842"/>
      <c r="T244" s="2884" t="str">
        <f t="shared" si="26"/>
        <v/>
      </c>
    </row>
    <row r="245" spans="1:20" ht="12.75" customHeight="1">
      <c r="A245" s="1886">
        <v>245</v>
      </c>
      <c r="B245" s="5250"/>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10059</v>
      </c>
      <c r="S245" s="2842"/>
      <c r="T245" s="2884" t="str">
        <f t="shared" si="26"/>
        <v/>
      </c>
    </row>
    <row r="246" spans="1:20" ht="12.75" customHeight="1">
      <c r="A246" s="1886">
        <v>246</v>
      </c>
      <c r="B246" s="5250"/>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10060</v>
      </c>
      <c r="S246" s="2842"/>
      <c r="T246" s="2884" t="str">
        <f t="shared" si="26"/>
        <v/>
      </c>
    </row>
    <row r="247" spans="1:20" ht="12.75" customHeight="1">
      <c r="A247" s="1886">
        <v>247</v>
      </c>
      <c r="B247" s="5250"/>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10061</v>
      </c>
      <c r="S247" s="2842"/>
      <c r="T247" s="2884" t="str">
        <f t="shared" si="26"/>
        <v/>
      </c>
    </row>
    <row r="248" spans="1:20" ht="12.75" customHeight="1">
      <c r="A248" s="1886">
        <v>248</v>
      </c>
      <c r="B248" s="5250"/>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10062</v>
      </c>
      <c r="S248" s="2842"/>
      <c r="T248" s="2884" t="str">
        <f t="shared" si="26"/>
        <v/>
      </c>
    </row>
    <row r="249" spans="1:20" ht="12.75" customHeight="1" thickBot="1">
      <c r="A249" s="1886">
        <v>249</v>
      </c>
      <c r="B249" s="5250"/>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10063</v>
      </c>
      <c r="S249" s="2842"/>
      <c r="T249" s="2884" t="str">
        <f t="shared" si="26"/>
        <v/>
      </c>
    </row>
    <row r="250" spans="1:20" ht="12.75" customHeight="1" thickBot="1">
      <c r="A250" s="1886">
        <v>250</v>
      </c>
      <c r="B250" s="5250"/>
      <c r="H250" s="5307">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10064</v>
      </c>
      <c r="S250" s="2842"/>
      <c r="T250" s="2884" t="str">
        <f t="shared" si="26"/>
        <v/>
      </c>
    </row>
    <row r="251" spans="1:20" ht="12.75" customHeight="1" thickBot="1">
      <c r="A251" s="1886">
        <v>251</v>
      </c>
      <c r="B251" s="5250"/>
      <c r="H251" s="5307"/>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10065</v>
      </c>
      <c r="S251" s="2842"/>
      <c r="T251" s="2884" t="str">
        <f t="shared" si="26"/>
        <v/>
      </c>
    </row>
    <row r="252" spans="1:20" ht="12.75" customHeight="1" thickBot="1">
      <c r="A252" s="1886">
        <v>252</v>
      </c>
      <c r="B252" s="5250"/>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10066</v>
      </c>
      <c r="S252" s="2842"/>
      <c r="T252" s="2884" t="str">
        <f t="shared" si="26"/>
        <v/>
      </c>
    </row>
    <row r="253" spans="1:20" ht="12.75" customHeight="1">
      <c r="A253" s="1886">
        <v>253</v>
      </c>
      <c r="B253" s="5250"/>
      <c r="C253" s="5235" t="s">
        <v>2639</v>
      </c>
      <c r="D253" s="5236"/>
      <c r="E253" s="5236"/>
      <c r="F253" s="5236"/>
      <c r="G253" s="5236"/>
      <c r="H253" s="5236"/>
      <c r="I253" s="5236"/>
      <c r="J253" s="5237"/>
      <c r="L253" s="1639" t="str">
        <f t="shared" si="24"/>
        <v>Sangre de El Dragón</v>
      </c>
      <c r="M253" s="2218">
        <f t="shared" si="23"/>
        <v>4</v>
      </c>
      <c r="N253" s="119" t="s">
        <v>2936</v>
      </c>
      <c r="O253" s="435">
        <f>1+IF(Principal!$Y$24="No",1,0)</f>
        <v>1</v>
      </c>
      <c r="P253" s="434">
        <f>COUNTIF(Principal!$C$35:$J$53,Tablas!N253)</f>
        <v>0</v>
      </c>
      <c r="Q253" s="427">
        <f t="shared" si="25"/>
        <v>0</v>
      </c>
      <c r="R253" s="2007" t="s">
        <v>10067</v>
      </c>
      <c r="S253" s="2842"/>
      <c r="T253" s="2884" t="str">
        <f t="shared" si="26"/>
        <v/>
      </c>
    </row>
    <row r="254" spans="1:20" ht="12.75" customHeight="1">
      <c r="A254" s="1886">
        <v>254</v>
      </c>
      <c r="B254" s="5250"/>
      <c r="C254" s="5440"/>
      <c r="D254" s="5441"/>
      <c r="E254" s="5441"/>
      <c r="F254" s="5441"/>
      <c r="G254" s="5441"/>
      <c r="H254" s="5441"/>
      <c r="I254" s="5441"/>
      <c r="J254" s="5467"/>
      <c r="L254" s="1639" t="str">
        <f t="shared" si="24"/>
        <v>Sangre de Grandes Bestias (1)</v>
      </c>
      <c r="M254" s="2218">
        <f t="shared" si="23"/>
        <v>2</v>
      </c>
      <c r="N254" s="119" t="s">
        <v>2937</v>
      </c>
      <c r="O254" s="435">
        <f>2+IF(Principal!$Y$24="No",1,0)</f>
        <v>2</v>
      </c>
      <c r="P254" s="434">
        <f>COUNTIF(Principal!$C$35:$J$53,Tablas!N254)</f>
        <v>0</v>
      </c>
      <c r="Q254" s="427">
        <f t="shared" si="25"/>
        <v>0</v>
      </c>
      <c r="R254" s="2007" t="s">
        <v>10068</v>
      </c>
      <c r="S254" s="2842"/>
      <c r="T254" s="2884" t="str">
        <f t="shared" si="26"/>
        <v/>
      </c>
    </row>
    <row r="255" spans="1:20" ht="12.75" customHeight="1">
      <c r="A255" s="1886">
        <v>255</v>
      </c>
      <c r="B255" s="5250"/>
      <c r="C255" s="5314" t="s">
        <v>7861</v>
      </c>
      <c r="D255" s="5315"/>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10069</v>
      </c>
      <c r="S255" s="2842"/>
      <c r="T255" s="2884" t="str">
        <f t="shared" si="26"/>
        <v/>
      </c>
    </row>
    <row r="256" spans="1:20" ht="12.75" customHeight="1">
      <c r="A256" s="1886">
        <v>256</v>
      </c>
      <c r="B256" s="5250"/>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10070</v>
      </c>
      <c r="S256" s="2842"/>
      <c r="T256" s="2884" t="str">
        <f t="shared" si="26"/>
        <v/>
      </c>
    </row>
    <row r="257" spans="1:26" ht="12.75" customHeight="1">
      <c r="A257" s="1886">
        <v>257</v>
      </c>
      <c r="B257" s="5250"/>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10071</v>
      </c>
      <c r="S257" s="2842"/>
      <c r="T257" s="2884" t="str">
        <f t="shared" si="26"/>
        <v/>
      </c>
    </row>
    <row r="258" spans="1:26" ht="12.75" customHeight="1">
      <c r="A258" s="1886">
        <v>258</v>
      </c>
      <c r="B258" s="5250"/>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10072</v>
      </c>
      <c r="S258" s="2842"/>
      <c r="T258" s="2884" t="str">
        <f t="shared" si="26"/>
        <v/>
      </c>
    </row>
    <row r="259" spans="1:26" ht="12.75" customHeight="1">
      <c r="A259" s="1886">
        <v>259</v>
      </c>
      <c r="B259" s="5250"/>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10073</v>
      </c>
      <c r="S259" s="2842"/>
      <c r="T259" s="2884" t="str">
        <f t="shared" si="26"/>
        <v/>
      </c>
    </row>
    <row r="260" spans="1:26" ht="12.75" customHeight="1">
      <c r="A260" s="1886">
        <v>260</v>
      </c>
      <c r="B260" s="5250"/>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10074</v>
      </c>
      <c r="S260" s="2842"/>
      <c r="T260" s="2884" t="str">
        <f t="shared" si="26"/>
        <v/>
      </c>
    </row>
    <row r="261" spans="1:26" ht="12.75" customHeight="1" thickBot="1">
      <c r="A261" s="1886">
        <v>261</v>
      </c>
      <c r="B261" s="5250"/>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10075</v>
      </c>
      <c r="S261" s="2842"/>
      <c r="T261" s="2884" t="str">
        <f t="shared" si="26"/>
        <v/>
      </c>
    </row>
    <row r="262" spans="1:26" ht="12.75" customHeight="1" thickBot="1">
      <c r="A262" s="1886">
        <v>262</v>
      </c>
      <c r="B262" s="5250"/>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306">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c r="A263" s="1886">
        <v>263</v>
      </c>
      <c r="B263" s="5250"/>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307"/>
      <c r="X263" s="1969"/>
    </row>
    <row r="264" spans="1:26" ht="12.75" customHeight="1" thickBot="1">
      <c r="A264" s="1886">
        <v>264</v>
      </c>
      <c r="B264" s="5250"/>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c r="A265" s="1886">
        <v>265</v>
      </c>
      <c r="B265" s="5250"/>
      <c r="C265" s="2213" t="str">
        <f t="shared" si="28"/>
        <v>Afinidad animal</v>
      </c>
      <c r="D265" s="2218">
        <f t="shared" si="29"/>
        <v>6</v>
      </c>
      <c r="E265" s="2201" t="s">
        <v>2649</v>
      </c>
      <c r="F265" s="432">
        <v>1</v>
      </c>
      <c r="G265" s="370">
        <f>COUNTIF(Principal!$C$35:$J$53,Tablas!E265)</f>
        <v>0</v>
      </c>
      <c r="H265" s="2226">
        <f t="shared" si="30"/>
        <v>0</v>
      </c>
      <c r="I265" s="2231"/>
      <c r="J265" s="2235" t="s">
        <v>3277</v>
      </c>
      <c r="L265" s="5235" t="s">
        <v>2883</v>
      </c>
      <c r="M265" s="5236"/>
      <c r="N265" s="5236"/>
      <c r="O265" s="5236"/>
      <c r="P265" s="5236"/>
      <c r="Q265" s="5236"/>
      <c r="R265" s="5236"/>
      <c r="S265" s="5236"/>
      <c r="T265" s="5236"/>
      <c r="U265" s="5236"/>
      <c r="V265" s="5236"/>
      <c r="W265" s="5236"/>
      <c r="X265" s="5236"/>
      <c r="Y265" s="5236"/>
      <c r="Z265" s="5237"/>
    </row>
    <row r="266" spans="1:26" ht="12.75" customHeight="1">
      <c r="A266" s="1886">
        <v>266</v>
      </c>
      <c r="B266" s="5250"/>
      <c r="C266" s="2213" t="str">
        <f t="shared" si="28"/>
        <v>Afinidad de uso</v>
      </c>
      <c r="D266" s="2218">
        <f t="shared" si="29"/>
        <v>7</v>
      </c>
      <c r="E266" s="119" t="s">
        <v>2650</v>
      </c>
      <c r="F266" s="432">
        <v>2</v>
      </c>
      <c r="G266" s="370">
        <f>COUNTIF(Principal!$C$35:$J$53,Tablas!E266)</f>
        <v>0</v>
      </c>
      <c r="H266" s="2226">
        <f t="shared" si="30"/>
        <v>0</v>
      </c>
      <c r="I266" s="2231"/>
      <c r="J266" s="2235" t="s">
        <v>3277</v>
      </c>
      <c r="L266" s="5440"/>
      <c r="M266" s="5441"/>
      <c r="N266" s="5441"/>
      <c r="O266" s="5441"/>
      <c r="P266" s="5441"/>
      <c r="Q266" s="5441"/>
      <c r="R266" s="5441"/>
      <c r="S266" s="5441"/>
      <c r="T266" s="5441"/>
      <c r="U266" s="5441"/>
      <c r="V266" s="5441"/>
      <c r="W266" s="5441"/>
      <c r="X266" s="5441"/>
      <c r="Y266" s="5441"/>
      <c r="Z266" s="5467"/>
    </row>
    <row r="267" spans="1:26" ht="12.75" customHeight="1">
      <c r="A267" s="1886">
        <v>267</v>
      </c>
      <c r="B267" s="5250"/>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260" t="s">
        <v>1842</v>
      </c>
      <c r="O267" s="5260"/>
      <c r="P267" s="5261" t="s">
        <v>1844</v>
      </c>
      <c r="Q267" s="5261"/>
      <c r="R267" s="5261" t="s">
        <v>1846</v>
      </c>
      <c r="S267" s="5261"/>
      <c r="T267" s="5261" t="s">
        <v>1843</v>
      </c>
      <c r="U267" s="5261"/>
      <c r="V267" s="5261" t="s">
        <v>1845</v>
      </c>
      <c r="W267" s="5261"/>
      <c r="X267" s="5308" t="s">
        <v>1847</v>
      </c>
      <c r="Y267" s="5309"/>
      <c r="Z267" s="5478" t="s">
        <v>8673</v>
      </c>
    </row>
    <row r="268" spans="1:26" ht="13.5" customHeight="1" thickBot="1">
      <c r="A268" s="1886">
        <v>268</v>
      </c>
      <c r="B268" s="5250"/>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479"/>
    </row>
    <row r="269" spans="1:26" ht="12.75" customHeight="1">
      <c r="A269" s="1886">
        <v>269</v>
      </c>
      <c r="B269" s="5250"/>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c r="A270" s="1886">
        <v>270</v>
      </c>
      <c r="B270" s="5250"/>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c r="A271" s="1886">
        <v>271</v>
      </c>
      <c r="B271" s="5250"/>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c r="A272" s="1886">
        <v>272</v>
      </c>
      <c r="B272" s="5250"/>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c r="A273" s="1886">
        <v>273</v>
      </c>
      <c r="B273" s="5250"/>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c r="A274" s="1886">
        <v>274</v>
      </c>
      <c r="B274" s="5250"/>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c r="A275" s="1886">
        <v>275</v>
      </c>
      <c r="B275" s="5250"/>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c r="A276" s="1886">
        <v>276</v>
      </c>
      <c r="B276" s="5250"/>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c r="A277" s="1886">
        <v>277</v>
      </c>
      <c r="B277" s="5250"/>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c r="A278" s="1886">
        <v>278</v>
      </c>
      <c r="B278" s="5250"/>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c r="A279" s="1886">
        <v>279</v>
      </c>
      <c r="B279" s="5250"/>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c r="A280" s="1886">
        <v>280</v>
      </c>
      <c r="B280" s="5250"/>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c r="A281" s="1886">
        <v>281</v>
      </c>
      <c r="B281" s="5250"/>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c r="A282" s="1886">
        <v>282</v>
      </c>
      <c r="B282" s="5250"/>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c r="A283" s="1886">
        <v>283</v>
      </c>
      <c r="B283" s="5250"/>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c r="A284" s="1886">
        <v>284</v>
      </c>
      <c r="B284" s="5250"/>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c r="A285" s="1886">
        <v>285</v>
      </c>
      <c r="B285" s="5250"/>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c r="A286" s="1886">
        <v>286</v>
      </c>
      <c r="B286" s="5250"/>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c r="A287" s="1886">
        <v>287</v>
      </c>
      <c r="B287" s="5250"/>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c r="A288" s="1886">
        <v>288</v>
      </c>
      <c r="B288" s="5250"/>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c r="A289" s="1886">
        <v>289</v>
      </c>
      <c r="B289" s="5250"/>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c r="A290" s="1886">
        <v>290</v>
      </c>
      <c r="B290" s="5250"/>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c r="A291" s="1886">
        <v>291</v>
      </c>
      <c r="B291" s="5250"/>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c r="A292" s="1886">
        <v>292</v>
      </c>
      <c r="B292" s="5250"/>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c r="A293" s="1886">
        <v>293</v>
      </c>
      <c r="B293" s="5250"/>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c r="A294" s="1886">
        <v>294</v>
      </c>
      <c r="B294" s="5250"/>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c r="A295" s="1886">
        <v>295</v>
      </c>
      <c r="B295" s="5250"/>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c r="A296" s="1886">
        <v>296</v>
      </c>
      <c r="B296" s="5250"/>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c r="A297" s="1886">
        <v>297</v>
      </c>
      <c r="B297" s="5250"/>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c r="A298" s="1886">
        <v>298</v>
      </c>
      <c r="B298" s="5250"/>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c r="A299" s="1886">
        <v>299</v>
      </c>
      <c r="B299" s="5250"/>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c r="A300" s="1886">
        <v>300</v>
      </c>
      <c r="B300" s="5250"/>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c r="A301" s="1886">
        <v>301</v>
      </c>
      <c r="B301" s="5250"/>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c r="A302" s="1886">
        <v>302</v>
      </c>
      <c r="B302" s="5250"/>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c r="A303" s="1886">
        <v>303</v>
      </c>
      <c r="B303" s="5250"/>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c r="A304" s="1886">
        <v>304</v>
      </c>
      <c r="B304" s="5250"/>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c r="A305" s="1886">
        <v>305</v>
      </c>
      <c r="B305" s="5250"/>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c r="A306" s="1886">
        <v>306</v>
      </c>
      <c r="B306" s="5250"/>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c r="A307" s="1886">
        <v>307</v>
      </c>
      <c r="B307" s="5250"/>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c r="A308" s="1886">
        <v>308</v>
      </c>
      <c r="B308" s="5250"/>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c r="A309" s="1886">
        <v>309</v>
      </c>
      <c r="B309" s="5250"/>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c r="A310" s="1886">
        <v>310</v>
      </c>
      <c r="B310" s="5250"/>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c r="A311" s="1886">
        <v>311</v>
      </c>
      <c r="B311" s="5250"/>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10223</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c r="A312" s="1886">
        <v>312</v>
      </c>
      <c r="B312" s="5250"/>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c r="A313" s="1886">
        <v>313</v>
      </c>
      <c r="B313" s="5250"/>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c r="A314" s="1886">
        <v>314</v>
      </c>
      <c r="B314" s="5250"/>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c r="A315" s="1886">
        <v>315</v>
      </c>
      <c r="B315" s="5250"/>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c r="A316" s="1886">
        <v>316</v>
      </c>
      <c r="B316" s="5250"/>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c r="A317" s="1886">
        <v>317</v>
      </c>
      <c r="B317" s="5250"/>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c r="A318" s="1886">
        <v>318</v>
      </c>
      <c r="B318" s="5250"/>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c r="A319" s="1886">
        <v>319</v>
      </c>
      <c r="B319" s="5250"/>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c r="A320" s="1886">
        <v>320</v>
      </c>
      <c r="B320" s="5250"/>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c r="A321" s="1886">
        <v>321</v>
      </c>
      <c r="B321" s="5250"/>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c r="A322" s="1886">
        <v>322</v>
      </c>
      <c r="B322" s="5250"/>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c r="A323" s="1886">
        <v>323</v>
      </c>
      <c r="B323" s="5250"/>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c r="A324" s="1886">
        <v>324</v>
      </c>
      <c r="B324" s="5250"/>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c r="A325" s="1886">
        <v>325</v>
      </c>
      <c r="B325" s="5250"/>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c r="A326" s="1886">
        <v>326</v>
      </c>
      <c r="B326" s="5250"/>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c r="A327" s="1886">
        <v>327</v>
      </c>
      <c r="B327" s="5250"/>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c r="A328" s="1886">
        <v>328</v>
      </c>
      <c r="B328" s="5250"/>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c r="A329" s="1886">
        <v>329</v>
      </c>
      <c r="B329" s="5250"/>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c r="A330" s="1886">
        <v>330</v>
      </c>
      <c r="B330" s="5250"/>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c r="A331" s="1886">
        <v>331</v>
      </c>
      <c r="B331" s="5250"/>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c r="A332" s="1886">
        <v>332</v>
      </c>
      <c r="B332" s="5250"/>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c r="A333" s="1886">
        <v>333</v>
      </c>
      <c r="B333" s="5250"/>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c r="A334" s="1886">
        <v>334</v>
      </c>
      <c r="B334" s="5250"/>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c r="A335" s="1886">
        <v>335</v>
      </c>
      <c r="B335" s="5250"/>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c r="A336" s="1886">
        <v>336</v>
      </c>
      <c r="B336" s="5250"/>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c r="A337" s="1886">
        <v>337</v>
      </c>
      <c r="B337" s="5250"/>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c r="A338" s="1886">
        <v>338</v>
      </c>
      <c r="B338" s="5250"/>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c r="A339" s="1886">
        <v>339</v>
      </c>
      <c r="B339" s="5250"/>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c r="A340" s="1886">
        <v>340</v>
      </c>
      <c r="B340" s="5250"/>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c r="A341" s="1886">
        <v>341</v>
      </c>
      <c r="B341" s="5250"/>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c r="A342" s="1886">
        <v>342</v>
      </c>
      <c r="B342" s="5250"/>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c r="A343" s="1886">
        <v>343</v>
      </c>
      <c r="B343" s="5250"/>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c r="A344" s="1886">
        <v>344</v>
      </c>
      <c r="B344" s="5250"/>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c r="A345" s="1886">
        <v>345</v>
      </c>
      <c r="B345" s="5250"/>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c r="A346" s="1886">
        <v>346</v>
      </c>
      <c r="B346" s="5250"/>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c r="A347" s="1886">
        <v>347</v>
      </c>
      <c r="B347" s="5250"/>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c r="A348" s="1886">
        <v>348</v>
      </c>
      <c r="B348" s="5250"/>
      <c r="C348" s="2213" t="str">
        <f t="shared" si="34"/>
        <v>Reflejos rápidos (2)</v>
      </c>
      <c r="D348" s="2218">
        <f t="shared" si="35"/>
        <v>-1</v>
      </c>
      <c r="E348" s="119" t="s">
        <v>2818</v>
      </c>
      <c r="F348" s="370"/>
      <c r="G348" s="370"/>
      <c r="H348" s="2226"/>
      <c r="I348" s="2231"/>
      <c r="J348" s="2235" t="s">
        <v>3277</v>
      </c>
      <c r="N348" s="361"/>
    </row>
    <row r="349" spans="1:31" ht="12.75" customHeight="1">
      <c r="A349" s="1886">
        <v>349</v>
      </c>
      <c r="B349" s="5250"/>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c r="A350" s="1886">
        <v>350</v>
      </c>
      <c r="B350" s="5250"/>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c r="A351" s="1886">
        <v>351</v>
      </c>
      <c r="B351" s="5250"/>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c r="A352" s="1886">
        <v>352</v>
      </c>
      <c r="B352" s="5250"/>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c r="A353" s="1886">
        <v>353</v>
      </c>
      <c r="B353" s="5250"/>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c r="A354" s="1886">
        <v>354</v>
      </c>
      <c r="B354" s="5250"/>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c r="A355" s="1886">
        <v>355</v>
      </c>
      <c r="B355" s="5250"/>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c r="A356" s="1886">
        <v>356</v>
      </c>
      <c r="B356" s="5250"/>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c r="A357" s="1886">
        <v>357</v>
      </c>
      <c r="B357" s="5250"/>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c r="A358" s="1886">
        <v>358</v>
      </c>
      <c r="B358" s="5250"/>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c r="A359" s="1886">
        <v>359</v>
      </c>
      <c r="B359" s="5250"/>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c r="A360" s="1886">
        <v>360</v>
      </c>
      <c r="B360" s="5250"/>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c r="A361" s="1886">
        <v>361</v>
      </c>
      <c r="B361" s="5250"/>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c r="A362" s="1886">
        <v>362</v>
      </c>
      <c r="B362" s="5250"/>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c r="A363" s="1886">
        <v>363</v>
      </c>
      <c r="B363" s="5250"/>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c r="A364" s="1886">
        <v>364</v>
      </c>
      <c r="B364" s="5250"/>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c r="A365" s="1886">
        <v>365</v>
      </c>
      <c r="B365" s="5250"/>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c r="A366" s="1886">
        <v>366</v>
      </c>
      <c r="B366" s="5250"/>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c r="A367" s="1886">
        <v>367</v>
      </c>
      <c r="B367" s="5250"/>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c r="A368" s="1886">
        <v>368</v>
      </c>
      <c r="B368" s="5250"/>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c r="A369" s="1886">
        <v>369</v>
      </c>
      <c r="B369" s="5250"/>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c r="A370" s="1886">
        <v>370</v>
      </c>
      <c r="B370" s="5250"/>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c r="A371" s="1886">
        <v>371</v>
      </c>
      <c r="B371" s="5250"/>
      <c r="C371" s="2215" t="str">
        <f t="shared" si="39"/>
        <v>Tamaño no natural +1</v>
      </c>
      <c r="D371" s="2218">
        <f t="shared" si="40"/>
        <v>-3</v>
      </c>
      <c r="E371" s="119" t="s">
        <v>2858</v>
      </c>
      <c r="F371" s="370"/>
      <c r="G371" s="370"/>
      <c r="H371" s="2226"/>
      <c r="I371" s="2231"/>
      <c r="J371" s="2235" t="s">
        <v>3277</v>
      </c>
      <c r="N371" s="361"/>
    </row>
    <row r="372" spans="1:14" ht="12.75" customHeight="1">
      <c r="A372" s="1886">
        <v>372</v>
      </c>
      <c r="B372" s="5250"/>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c r="A373" s="1886">
        <v>373</v>
      </c>
      <c r="B373" s="5250"/>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c r="A374" s="1886">
        <v>374</v>
      </c>
      <c r="B374" s="5250"/>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c r="A375" s="1886">
        <v>375</v>
      </c>
      <c r="B375" s="5250"/>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c r="A376" s="1886">
        <v>376</v>
      </c>
      <c r="B376" s="5250"/>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c r="A377" s="1886">
        <v>377</v>
      </c>
      <c r="B377" s="5250"/>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c r="A378" s="1886">
        <v>378</v>
      </c>
      <c r="B378" s="5250"/>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c r="A379" s="1886">
        <v>379</v>
      </c>
      <c r="B379" s="5250"/>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c r="A380" s="1886">
        <v>380</v>
      </c>
      <c r="B380" s="5250"/>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c r="A381" s="1886">
        <v>381</v>
      </c>
      <c r="B381" s="5250"/>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c r="A382" s="1886">
        <v>382</v>
      </c>
      <c r="B382" s="5250"/>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c r="A383" s="1886">
        <v>383</v>
      </c>
      <c r="B383" s="5250"/>
      <c r="C383" s="2215" t="str">
        <f t="shared" si="39"/>
        <v>Uso de armadura (1)</v>
      </c>
      <c r="D383" s="2218">
        <f t="shared" si="40"/>
        <v>-4</v>
      </c>
      <c r="E383" s="119" t="s">
        <v>2870</v>
      </c>
      <c r="F383" s="370"/>
      <c r="G383" s="370"/>
      <c r="H383" s="2226"/>
      <c r="I383" s="2231"/>
      <c r="J383" s="2235" t="s">
        <v>3277</v>
      </c>
      <c r="N383" s="361"/>
    </row>
    <row r="384" spans="1:14" ht="12.75" customHeight="1">
      <c r="A384" s="1886">
        <v>384</v>
      </c>
      <c r="B384" s="5250"/>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c r="A385" s="1886">
        <v>385</v>
      </c>
      <c r="B385" s="5250"/>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c r="A386" s="1886">
        <v>386</v>
      </c>
      <c r="B386" s="5250"/>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c r="A387" s="1886">
        <v>387</v>
      </c>
      <c r="B387" s="5250"/>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c r="A388" s="1886">
        <v>388</v>
      </c>
      <c r="B388" s="5250"/>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c r="A389" s="1886">
        <v>389</v>
      </c>
      <c r="B389" s="5250"/>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c r="A390" s="1886">
        <v>390</v>
      </c>
      <c r="B390" s="5250"/>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c r="A391" s="1886">
        <v>391</v>
      </c>
      <c r="B391" s="5250"/>
      <c r="C391" s="2215" t="str">
        <f t="shared" ref="C391:C393" si="45">E395</f>
        <v>Ventaja #2</v>
      </c>
      <c r="D391" s="2218">
        <f t="shared" si="44"/>
        <v>-2</v>
      </c>
      <c r="E391" s="119" t="s">
        <v>2881</v>
      </c>
      <c r="F391" s="370"/>
      <c r="G391" s="370"/>
      <c r="H391" s="2226"/>
      <c r="I391" s="2231"/>
      <c r="J391" s="2235" t="s">
        <v>3277</v>
      </c>
      <c r="N391" s="361"/>
    </row>
    <row r="392" spans="1:14" ht="12.75" customHeight="1">
      <c r="A392" s="1886">
        <v>392</v>
      </c>
      <c r="B392" s="5250"/>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c r="A393" s="1886">
        <v>393</v>
      </c>
      <c r="B393" s="5250"/>
      <c r="C393" s="2215" t="str">
        <f t="shared" si="45"/>
        <v>Ventaja #4</v>
      </c>
      <c r="D393" s="2218">
        <f t="shared" si="44"/>
        <v>0</v>
      </c>
      <c r="E393" s="119" t="s">
        <v>10114</v>
      </c>
      <c r="F393" s="370"/>
      <c r="G393" s="370"/>
      <c r="H393" s="2226"/>
      <c r="I393" s="2231"/>
      <c r="J393" s="2235" t="s">
        <v>3277</v>
      </c>
      <c r="N393" s="361"/>
    </row>
    <row r="394" spans="1:14" ht="12.75" customHeight="1">
      <c r="A394" s="1886">
        <v>394</v>
      </c>
      <c r="B394" s="5250"/>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c r="A395" s="1886">
        <v>395</v>
      </c>
      <c r="B395" s="5250"/>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c r="A396" s="1886">
        <v>396</v>
      </c>
      <c r="B396" s="5250"/>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c r="A397" s="1886">
        <v>397</v>
      </c>
      <c r="B397" s="5250"/>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c r="A398" s="1886">
        <v>398</v>
      </c>
      <c r="B398" s="5250"/>
      <c r="C398" s="1639"/>
      <c r="D398" s="2219"/>
      <c r="E398" s="2214" t="s">
        <v>2722</v>
      </c>
      <c r="F398" s="1957"/>
      <c r="G398" s="1957"/>
      <c r="H398" s="2227"/>
      <c r="I398" s="2230"/>
      <c r="J398" s="2234" t="s">
        <v>2657</v>
      </c>
      <c r="N398" s="361"/>
    </row>
    <row r="399" spans="1:14" ht="12.75" customHeight="1">
      <c r="A399" s="1886">
        <v>399</v>
      </c>
      <c r="B399" s="5250"/>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c r="A400" s="1886">
        <v>400</v>
      </c>
      <c r="B400" s="5250"/>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c r="A401" s="1886">
        <v>401</v>
      </c>
      <c r="B401" s="5250"/>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c r="A402" s="1886">
        <v>402</v>
      </c>
      <c r="B402" s="5250"/>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c r="A403" s="1886">
        <v>403</v>
      </c>
      <c r="B403" s="5250"/>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c r="A404" s="1886">
        <v>404</v>
      </c>
      <c r="B404" s="5250"/>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c r="A405" s="1886">
        <v>405</v>
      </c>
      <c r="B405" s="5250"/>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c r="A406" s="1886">
        <v>406</v>
      </c>
      <c r="B406" s="5250"/>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c r="A407" s="1886">
        <v>407</v>
      </c>
      <c r="B407" s="5250"/>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c r="A408" s="1886">
        <v>408</v>
      </c>
      <c r="B408" s="5250"/>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c r="A409" s="1886">
        <v>409</v>
      </c>
      <c r="B409" s="5250"/>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c r="A410" s="1886">
        <v>410</v>
      </c>
      <c r="B410" s="5250"/>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c r="A411" s="1886">
        <v>411</v>
      </c>
      <c r="B411" s="5250"/>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c r="A412" s="1886">
        <v>412</v>
      </c>
      <c r="B412" s="5250"/>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c r="A413" s="1886">
        <v>413</v>
      </c>
      <c r="B413" s="5250"/>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c r="A414" s="1886">
        <v>414</v>
      </c>
      <c r="B414" s="5250"/>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c r="A415" s="1886">
        <v>415</v>
      </c>
      <c r="B415" s="5250"/>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c r="A416" s="1886">
        <v>416</v>
      </c>
      <c r="B416" s="5250"/>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c r="A417" s="1886">
        <v>417</v>
      </c>
      <c r="B417" s="5250"/>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c r="A418" s="1886">
        <v>418</v>
      </c>
      <c r="B418" s="5250"/>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c r="A419" s="1886">
        <v>419</v>
      </c>
      <c r="B419" s="5250"/>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c r="A420" s="1886">
        <v>420</v>
      </c>
      <c r="B420" s="5250"/>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c r="A421" s="1886">
        <v>421</v>
      </c>
      <c r="B421" s="5250"/>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c r="A422" s="1886">
        <v>422</v>
      </c>
      <c r="B422" s="5250"/>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c r="A423" s="1886">
        <v>423</v>
      </c>
      <c r="B423" s="5250"/>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c r="A424" s="1886">
        <v>424</v>
      </c>
      <c r="B424" s="5250"/>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c r="A425" s="1886">
        <v>425</v>
      </c>
      <c r="B425" s="5250"/>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c r="A426" s="1886">
        <v>426</v>
      </c>
      <c r="B426" s="5250"/>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c r="A427" s="1886">
        <v>427</v>
      </c>
      <c r="B427" s="5250"/>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c r="A428" s="1886">
        <v>428</v>
      </c>
      <c r="B428" s="5250"/>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c r="A429" s="1886">
        <v>429</v>
      </c>
      <c r="B429" s="5250"/>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c r="A430" s="1886">
        <v>430</v>
      </c>
      <c r="B430" s="5250"/>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c r="A431" s="1886">
        <v>431</v>
      </c>
      <c r="B431" s="5250"/>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c r="A432" s="1886">
        <v>432</v>
      </c>
      <c r="B432" s="5250"/>
      <c r="C432" s="2215" t="str">
        <f t="shared" si="48"/>
        <v>Magia innata mejorada (3)</v>
      </c>
      <c r="D432" s="2218">
        <f t="shared" si="46"/>
        <v>0</v>
      </c>
      <c r="E432" s="119" t="s">
        <v>2841</v>
      </c>
      <c r="F432" s="370"/>
      <c r="G432" s="370"/>
      <c r="H432" s="2226"/>
      <c r="I432" s="2231"/>
      <c r="J432" s="2235" t="s">
        <v>2657</v>
      </c>
      <c r="N432" s="361"/>
    </row>
    <row r="433" spans="1:14" ht="12.75" customHeight="1">
      <c r="A433" s="1886">
        <v>433</v>
      </c>
      <c r="B433" s="5250"/>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c r="A434" s="1886">
        <v>434</v>
      </c>
      <c r="B434" s="5250"/>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c r="A435" s="1886">
        <v>435</v>
      </c>
      <c r="B435" s="5250"/>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c r="A436" s="1886">
        <v>436</v>
      </c>
      <c r="B436" s="5250"/>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c r="A437" s="1886">
        <v>437</v>
      </c>
      <c r="B437" s="5250"/>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c r="A438" s="1886">
        <v>438</v>
      </c>
      <c r="B438" s="5250"/>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c r="A439" s="1886">
        <v>439</v>
      </c>
      <c r="B439" s="5250"/>
      <c r="C439" s="2215" t="str">
        <f t="shared" si="48"/>
        <v>Rec. superior de magia (1)</v>
      </c>
      <c r="D439" s="2218">
        <f t="shared" si="46"/>
        <v>-1</v>
      </c>
      <c r="E439" s="119" t="s">
        <v>2877</v>
      </c>
      <c r="F439" s="370"/>
      <c r="G439" s="370"/>
      <c r="H439" s="2226"/>
      <c r="I439" s="2231"/>
      <c r="J439" s="2235" t="s">
        <v>2657</v>
      </c>
      <c r="N439" s="361"/>
    </row>
    <row r="440" spans="1:14" ht="12.75" customHeight="1">
      <c r="A440" s="1886">
        <v>440</v>
      </c>
      <c r="B440" s="5250"/>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c r="A441" s="1886">
        <v>441</v>
      </c>
      <c r="B441" s="5250"/>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c r="A442" s="1886">
        <v>442</v>
      </c>
      <c r="B442" s="5250"/>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c r="A443" s="1886">
        <v>443</v>
      </c>
      <c r="B443" s="5250"/>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c r="A444" s="1886">
        <v>444</v>
      </c>
      <c r="B444" s="5250"/>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c r="A445" s="1886">
        <v>445</v>
      </c>
      <c r="B445" s="5250"/>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c r="A446" s="1886">
        <v>446</v>
      </c>
      <c r="B446" s="5250"/>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c r="A447" s="1886">
        <v>447</v>
      </c>
      <c r="B447" s="5250"/>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c r="A448" s="1886">
        <v>448</v>
      </c>
      <c r="B448" s="5250"/>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c r="A449" s="1886">
        <v>449</v>
      </c>
      <c r="B449" s="5250"/>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c r="A450" s="1886">
        <v>450</v>
      </c>
      <c r="B450" s="5250"/>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c r="A451" s="1886">
        <v>451</v>
      </c>
      <c r="B451" s="5250"/>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c r="A452" s="1886">
        <v>452</v>
      </c>
      <c r="B452" s="5250"/>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c r="A453" s="1886">
        <v>453</v>
      </c>
      <c r="B453" s="5250"/>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c r="A454" s="1886">
        <v>454</v>
      </c>
      <c r="B454" s="5250"/>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c r="A455" s="1886">
        <v>455</v>
      </c>
      <c r="B455" s="5250"/>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c r="A456" s="1886">
        <v>456</v>
      </c>
      <c r="B456" s="5250"/>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c r="A457" s="1886">
        <v>457</v>
      </c>
      <c r="B457" s="5250"/>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c r="A458" s="1886">
        <v>458</v>
      </c>
      <c r="B458" s="5250"/>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c r="A459" s="1886">
        <v>459</v>
      </c>
      <c r="B459" s="5250"/>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c r="A460" s="1886">
        <v>460</v>
      </c>
      <c r="B460" s="5250"/>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c r="A461" s="1886">
        <v>461</v>
      </c>
      <c r="B461" s="5250"/>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c r="A462" s="1886">
        <v>462</v>
      </c>
      <c r="B462" s="5250"/>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c r="A463" s="1886">
        <v>463</v>
      </c>
      <c r="B463" s="5250"/>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c r="A464" s="1886">
        <v>464</v>
      </c>
      <c r="B464" s="5250"/>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c r="A465" s="1886">
        <v>465</v>
      </c>
      <c r="B465" s="5250"/>
      <c r="C465" s="1639" t="str">
        <f t="shared" si="51"/>
        <v>Recuperación de CVs (3)</v>
      </c>
      <c r="D465" s="2218">
        <f t="shared" si="50"/>
        <v>0</v>
      </c>
      <c r="E465" s="119" t="s">
        <v>2848</v>
      </c>
      <c r="F465" s="370"/>
      <c r="G465" s="370"/>
      <c r="H465" s="2226"/>
      <c r="I465" s="2231"/>
      <c r="J465" s="2235" t="s">
        <v>8063</v>
      </c>
      <c r="N465" s="361"/>
    </row>
    <row r="466" spans="1:14" ht="12.75" customHeight="1">
      <c r="A466" s="1886">
        <v>466</v>
      </c>
      <c r="B466" s="5250"/>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c r="A467" s="1886">
        <v>467</v>
      </c>
      <c r="B467" s="5250"/>
      <c r="C467" s="2216"/>
      <c r="D467" s="2220">
        <f t="shared" si="50"/>
        <v>19</v>
      </c>
      <c r="E467" s="2221" t="s">
        <v>2850</v>
      </c>
      <c r="F467" s="2222">
        <v>1</v>
      </c>
      <c r="G467" s="2222">
        <f>COUNTIF(Principal!$C$35:$J$53,Tablas!E467)</f>
        <v>0</v>
      </c>
      <c r="H467" s="2228">
        <f>G467*F467</f>
        <v>0</v>
      </c>
      <c r="I467" s="2232"/>
      <c r="J467" s="2236" t="s">
        <v>8063</v>
      </c>
      <c r="N467" s="361"/>
    </row>
    <row r="468" spans="1:14" ht="12.75" customHeight="1">
      <c r="A468" s="1886">
        <v>468</v>
      </c>
      <c r="B468" s="5250"/>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c r="A469" s="1886">
        <v>469</v>
      </c>
      <c r="B469" s="5250"/>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c r="A470" s="1886">
        <v>470</v>
      </c>
      <c r="B470" s="5250"/>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c r="A471" s="1886">
        <v>471</v>
      </c>
      <c r="B471" s="5250"/>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c r="A472" s="1886">
        <v>472</v>
      </c>
      <c r="B472" s="5250"/>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c r="A473" s="1886">
        <v>473</v>
      </c>
      <c r="B473" s="5250"/>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c r="A474" s="1886">
        <v>474</v>
      </c>
      <c r="B474" s="5250"/>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c r="A475" s="1886">
        <v>475</v>
      </c>
      <c r="B475" s="5250"/>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c r="A476" s="1886">
        <v>476</v>
      </c>
      <c r="B476" s="5250"/>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c r="A477" s="1886">
        <v>477</v>
      </c>
      <c r="B477" s="5250"/>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c r="A478" s="1886">
        <v>478</v>
      </c>
      <c r="B478" s="5250"/>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c r="A479" s="1886">
        <v>479</v>
      </c>
      <c r="B479" s="5250"/>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c r="A480" s="1886">
        <v>480</v>
      </c>
      <c r="B480" s="5250"/>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c r="A481" s="1886">
        <v>481</v>
      </c>
      <c r="B481" s="5250"/>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c r="A482" s="1886">
        <v>482</v>
      </c>
      <c r="B482" s="5250"/>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c r="A483" s="1886">
        <v>483</v>
      </c>
      <c r="B483" s="5250"/>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c r="A484" s="1886">
        <v>484</v>
      </c>
      <c r="B484" s="5250"/>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c r="A485" s="1886">
        <v>485</v>
      </c>
      <c r="B485" s="5250"/>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c r="A486" s="1886">
        <v>486</v>
      </c>
      <c r="B486" s="5250"/>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c r="A487" s="1886">
        <v>487</v>
      </c>
      <c r="B487" s="5250"/>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c r="A488" s="1886">
        <v>488</v>
      </c>
      <c r="B488" s="5250"/>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c r="A489" s="1886">
        <v>489</v>
      </c>
      <c r="B489" s="5250"/>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c r="A490" s="1886">
        <v>490</v>
      </c>
      <c r="B490" s="5250"/>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c r="A491" s="1886">
        <v>491</v>
      </c>
      <c r="B491" s="5250"/>
      <c r="C491" s="1639"/>
      <c r="D491" s="2218">
        <f t="shared" ref="D491:D535" si="56">COUNTIF($E$491:$E$535,"&lt;="&amp;E491)-COUNTIF($E$491:$E$535,"*&gt;*")</f>
        <v>0</v>
      </c>
      <c r="E491" s="119" t="s">
        <v>2777</v>
      </c>
      <c r="F491" s="370"/>
      <c r="G491" s="370"/>
      <c r="H491" s="2226"/>
      <c r="I491" s="2224"/>
      <c r="J491" s="2235" t="s">
        <v>3277</v>
      </c>
      <c r="N491" s="361"/>
    </row>
    <row r="492" spans="1:14" ht="12.75" customHeight="1">
      <c r="A492" s="1886">
        <v>492</v>
      </c>
      <c r="B492" s="5250"/>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c r="A493" s="1886">
        <v>493</v>
      </c>
      <c r="B493" s="5250"/>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c r="A494" s="1886">
        <v>494</v>
      </c>
      <c r="B494" s="5250"/>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c r="A495" s="1886">
        <v>495</v>
      </c>
      <c r="B495" s="5250"/>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c r="A496" s="1886">
        <v>496</v>
      </c>
      <c r="B496" s="5250"/>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c r="A497" s="1886">
        <v>497</v>
      </c>
      <c r="B497" s="5250"/>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c r="A498" s="1886">
        <v>498</v>
      </c>
      <c r="B498" s="5250"/>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c r="A499" s="1886">
        <v>499</v>
      </c>
      <c r="B499" s="5250"/>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c r="A500" s="1886">
        <v>500</v>
      </c>
      <c r="B500" s="5250"/>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c r="A501" s="1886">
        <v>501</v>
      </c>
      <c r="B501" s="5250"/>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c r="A502" s="1886">
        <v>502</v>
      </c>
      <c r="B502" s="5250"/>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c r="A503" s="1886">
        <v>503</v>
      </c>
      <c r="B503" s="5250"/>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c r="A504" s="1886">
        <v>504</v>
      </c>
      <c r="B504" s="5250"/>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c r="A505" s="1886">
        <v>505</v>
      </c>
      <c r="B505" s="5250"/>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c r="A506" s="1886">
        <v>506</v>
      </c>
      <c r="B506" s="5250"/>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c r="A507" s="1886">
        <v>507</v>
      </c>
      <c r="B507" s="5250"/>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c r="A508" s="1886">
        <v>508</v>
      </c>
      <c r="B508" s="5250"/>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c r="A509" s="1886">
        <v>509</v>
      </c>
      <c r="B509" s="5250"/>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c r="A510" s="1886">
        <v>510</v>
      </c>
      <c r="B510" s="5250"/>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c r="A511" s="1886">
        <v>511</v>
      </c>
      <c r="B511" s="5250"/>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c r="A512" s="1886">
        <v>512</v>
      </c>
      <c r="B512" s="5250"/>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c r="A513" s="1886">
        <v>513</v>
      </c>
      <c r="B513" s="5250"/>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c r="A514" s="1886">
        <v>514</v>
      </c>
      <c r="B514" s="5250"/>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c r="A515" s="1886">
        <v>515</v>
      </c>
      <c r="B515" s="5250"/>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c r="A516" s="1886">
        <v>516</v>
      </c>
      <c r="B516" s="5250"/>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c r="A517" s="1886">
        <v>517</v>
      </c>
      <c r="B517" s="5250"/>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c r="A518" s="1886">
        <v>518</v>
      </c>
      <c r="B518" s="5250"/>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c r="A519" s="1886">
        <v>519</v>
      </c>
      <c r="B519" s="5250"/>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c r="A520" s="1886">
        <v>520</v>
      </c>
      <c r="B520" s="5250"/>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c r="A521" s="1886">
        <v>521</v>
      </c>
      <c r="B521" s="5250"/>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c r="A522" s="1886">
        <v>522</v>
      </c>
      <c r="B522" s="5250"/>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c r="A523" s="1886">
        <v>523</v>
      </c>
      <c r="B523" s="5250"/>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c r="A524" s="1886">
        <v>524</v>
      </c>
      <c r="B524" s="5250"/>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c r="A525" s="1886">
        <v>525</v>
      </c>
      <c r="B525" s="5250"/>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c r="A526" s="1886">
        <v>526</v>
      </c>
      <c r="B526" s="5250"/>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c r="A527" s="1886">
        <v>527</v>
      </c>
      <c r="B527" s="5250"/>
      <c r="C527" s="1639" t="str">
        <f t="shared" si="58"/>
        <v>Reacción lenta (2)</v>
      </c>
      <c r="D527" s="2218">
        <f t="shared" si="56"/>
        <v>-1</v>
      </c>
      <c r="E527" s="119" t="s">
        <v>2851</v>
      </c>
      <c r="F527" s="370"/>
      <c r="G527" s="370"/>
      <c r="H527" s="2226"/>
      <c r="I527" s="2231"/>
      <c r="J527" s="2235" t="s">
        <v>3277</v>
      </c>
      <c r="N527" s="361"/>
    </row>
    <row r="528" spans="1:14" ht="12.75" customHeight="1">
      <c r="A528" s="1886">
        <v>528</v>
      </c>
      <c r="B528" s="5250"/>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c r="A529" s="1886">
        <v>529</v>
      </c>
      <c r="B529" s="5250"/>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c r="A530" s="1886">
        <v>530</v>
      </c>
      <c r="B530" s="5250"/>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c r="A531" s="1886">
        <v>531</v>
      </c>
      <c r="B531" s="5250"/>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c r="A532" s="1886">
        <v>532</v>
      </c>
      <c r="B532" s="5250"/>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c r="A533" s="1886">
        <v>533</v>
      </c>
      <c r="B533" s="5250"/>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c r="A534" s="1886">
        <v>534</v>
      </c>
      <c r="B534" s="5250"/>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c r="A535" s="1886">
        <v>535</v>
      </c>
      <c r="B535" s="5250"/>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c r="A536" s="1886">
        <v>536</v>
      </c>
      <c r="B536" s="5250"/>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c r="A537" s="1886">
        <v>537</v>
      </c>
      <c r="B537" s="5250"/>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c r="A538" s="1886">
        <v>538</v>
      </c>
      <c r="B538" s="5250"/>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c r="A539" s="1886">
        <v>539</v>
      </c>
      <c r="B539" s="5250"/>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c r="A540" s="1886">
        <v>540</v>
      </c>
      <c r="B540" s="5250"/>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c r="A541" s="1886">
        <v>541</v>
      </c>
      <c r="B541" s="5250"/>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c r="A542" s="1886">
        <v>542</v>
      </c>
      <c r="B542" s="5250"/>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c r="A543" s="1886">
        <v>543</v>
      </c>
      <c r="B543" s="5250"/>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c r="A544" s="1886">
        <v>544</v>
      </c>
      <c r="B544" s="5250"/>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c r="A545" s="1886">
        <v>545</v>
      </c>
      <c r="B545" s="5250"/>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c r="A546" s="1886">
        <v>546</v>
      </c>
      <c r="B546" s="5250"/>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c r="A547" s="1886">
        <v>547</v>
      </c>
      <c r="B547" s="5250"/>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c r="A548" s="1886">
        <v>548</v>
      </c>
      <c r="B548" s="5250"/>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c r="A549" s="1886">
        <v>549</v>
      </c>
      <c r="B549" s="5250"/>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c r="A550" s="1886">
        <v>550</v>
      </c>
      <c r="B550" s="5250"/>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c r="A551" s="1886">
        <v>551</v>
      </c>
      <c r="B551" s="5250"/>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c r="A552" s="1886">
        <v>552</v>
      </c>
      <c r="B552" s="5250"/>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c r="A553" s="1886">
        <v>553</v>
      </c>
      <c r="B553" s="5250"/>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c r="A554" s="1886">
        <v>554</v>
      </c>
      <c r="B554" s="5250"/>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c r="A555" s="1886">
        <v>555</v>
      </c>
      <c r="B555" s="5250"/>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c r="A556" s="1886">
        <v>556</v>
      </c>
      <c r="B556" s="5250"/>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c r="A557" s="1886">
        <v>557</v>
      </c>
      <c r="B557" s="5250"/>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c r="A558" s="1886">
        <v>558</v>
      </c>
      <c r="B558" s="5250"/>
      <c r="C558" s="2269" t="str">
        <f>E558</f>
        <v>&gt; DESVENTAJAS PRESONALIZADAS</v>
      </c>
      <c r="D558" s="2270"/>
      <c r="E558" s="2280" t="s">
        <v>8803</v>
      </c>
      <c r="F558" s="2271"/>
      <c r="G558" s="2283"/>
      <c r="H558" s="2272"/>
      <c r="I558" s="2286"/>
      <c r="J558" s="2273" t="s">
        <v>3277</v>
      </c>
      <c r="N558" s="361"/>
    </row>
    <row r="559" spans="1:14" ht="12.75" customHeight="1">
      <c r="A559" s="1886">
        <v>559</v>
      </c>
      <c r="B559" s="5250"/>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c r="A560" s="1886">
        <v>560</v>
      </c>
      <c r="B560" s="5250"/>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c r="A561" s="1886">
        <v>561</v>
      </c>
      <c r="B561" s="5250"/>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c r="A562" s="1886">
        <v>562</v>
      </c>
      <c r="B562" s="5250"/>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c r="A563" s="1886">
        <v>563</v>
      </c>
      <c r="B563" s="5250"/>
      <c r="H563" s="361"/>
      <c r="I563" s="1634"/>
      <c r="N563" s="361"/>
      <c r="O563" s="1969"/>
    </row>
    <row r="564" spans="1:30" ht="12.75" customHeight="1">
      <c r="A564" s="1886">
        <v>564</v>
      </c>
      <c r="B564" s="5250"/>
      <c r="H564" s="361"/>
      <c r="I564" s="1634"/>
      <c r="N564" s="361"/>
      <c r="O564" s="1969"/>
    </row>
    <row r="565" spans="1:30" ht="12.75" customHeight="1">
      <c r="A565" s="1886">
        <v>565</v>
      </c>
      <c r="B565" s="5250"/>
      <c r="H565" s="361"/>
      <c r="I565" s="1634"/>
      <c r="N565" s="361"/>
      <c r="O565" s="1969"/>
    </row>
    <row r="566" spans="1:30" ht="12.75" customHeight="1">
      <c r="A566" s="1886">
        <v>566</v>
      </c>
      <c r="B566" s="5250"/>
      <c r="H566" s="361"/>
      <c r="I566" s="1634"/>
      <c r="N566" s="361"/>
      <c r="O566" s="1969"/>
    </row>
    <row r="567" spans="1:30" ht="12.75" customHeight="1">
      <c r="A567" s="1886">
        <v>567</v>
      </c>
      <c r="B567" s="5250"/>
      <c r="H567" s="361"/>
      <c r="I567" s="1634"/>
      <c r="N567" s="361"/>
      <c r="O567" s="1969"/>
    </row>
    <row r="568" spans="1:30" ht="12.75" customHeight="1">
      <c r="A568" s="1886">
        <v>568</v>
      </c>
      <c r="B568" s="5250"/>
      <c r="C568" s="5241" t="s">
        <v>8941</v>
      </c>
      <c r="D568" s="5241"/>
      <c r="E568" s="5241"/>
      <c r="F568" s="5241"/>
      <c r="G568" s="5241"/>
      <c r="H568" s="5241"/>
      <c r="I568" s="5241"/>
      <c r="J568" s="5241"/>
      <c r="K568" s="5241"/>
      <c r="L568" s="5241"/>
      <c r="M568" s="5241"/>
      <c r="N568" s="5241"/>
      <c r="O568" s="5241"/>
      <c r="P568" s="5241"/>
      <c r="Q568" s="5241"/>
      <c r="R568" s="5241"/>
      <c r="S568" s="5241"/>
      <c r="T568" s="5241"/>
      <c r="U568" s="5241"/>
      <c r="V568" s="5241"/>
      <c r="W568" s="5241"/>
      <c r="X568" s="5241"/>
      <c r="Y568" s="5241"/>
      <c r="Z568" s="5241"/>
      <c r="AA568" s="5241"/>
      <c r="AB568" s="5241"/>
      <c r="AC568" s="5241"/>
      <c r="AD568" s="5241"/>
    </row>
    <row r="569" spans="1:30" ht="12.75" customHeight="1">
      <c r="A569" s="1886">
        <v>569</v>
      </c>
      <c r="B569" s="5250"/>
      <c r="C569" s="5241"/>
      <c r="D569" s="5241"/>
      <c r="E569" s="5241"/>
      <c r="F569" s="5241"/>
      <c r="G569" s="5241"/>
      <c r="H569" s="5241"/>
      <c r="I569" s="5241"/>
      <c r="J569" s="5241"/>
      <c r="K569" s="5241"/>
      <c r="L569" s="5241"/>
      <c r="M569" s="5241"/>
      <c r="N569" s="5241"/>
      <c r="O569" s="5241"/>
      <c r="P569" s="5241"/>
      <c r="Q569" s="5241"/>
      <c r="R569" s="5241"/>
      <c r="S569" s="5241"/>
      <c r="T569" s="5241"/>
      <c r="U569" s="5241"/>
      <c r="V569" s="5241"/>
      <c r="W569" s="5241"/>
      <c r="X569" s="5241"/>
      <c r="Y569" s="5241"/>
      <c r="Z569" s="5241"/>
      <c r="AA569" s="5241"/>
      <c r="AB569" s="5241"/>
      <c r="AC569" s="5241"/>
      <c r="AD569" s="5241"/>
    </row>
    <row r="570" spans="1:30" ht="12.75" customHeight="1">
      <c r="A570" s="1886">
        <v>570</v>
      </c>
      <c r="B570" s="5250"/>
      <c r="C570" s="5241"/>
      <c r="D570" s="5241"/>
      <c r="E570" s="5241"/>
      <c r="F570" s="5241"/>
      <c r="G570" s="5241"/>
      <c r="H570" s="5241"/>
      <c r="I570" s="5241"/>
      <c r="J570" s="5241"/>
      <c r="K570" s="5241"/>
      <c r="L570" s="5241"/>
      <c r="M570" s="5241"/>
      <c r="N570" s="5241"/>
      <c r="O570" s="5241"/>
      <c r="P570" s="5241"/>
      <c r="Q570" s="5241"/>
      <c r="R570" s="5241"/>
      <c r="S570" s="5241"/>
      <c r="T570" s="5241"/>
      <c r="U570" s="5241"/>
      <c r="V570" s="5241"/>
      <c r="W570" s="5241"/>
      <c r="X570" s="5241"/>
      <c r="Y570" s="5241"/>
      <c r="Z570" s="5241"/>
      <c r="AA570" s="5241"/>
      <c r="AB570" s="5241"/>
      <c r="AC570" s="5241"/>
      <c r="AD570" s="5241"/>
    </row>
    <row r="571" spans="1:30" ht="12.75" customHeight="1" thickBot="1">
      <c r="A571" s="1886">
        <v>571</v>
      </c>
      <c r="B571" s="5250"/>
      <c r="H571" s="361"/>
      <c r="I571" s="1634"/>
      <c r="N571" s="361"/>
      <c r="O571" s="1969"/>
    </row>
    <row r="572" spans="1:30" ht="12.75" customHeight="1" thickBot="1">
      <c r="A572" s="1886">
        <v>572</v>
      </c>
      <c r="B572" s="5250"/>
      <c r="C572" s="5446" t="s">
        <v>1455</v>
      </c>
      <c r="D572" s="5447"/>
      <c r="E572" s="5447"/>
      <c r="F572" s="5447"/>
      <c r="G572" s="5447"/>
      <c r="H572" s="5447"/>
      <c r="I572" s="5447"/>
      <c r="J572" s="5447"/>
      <c r="K572" s="5447"/>
      <c r="L572" s="5447"/>
      <c r="M572" s="5447"/>
      <c r="N572" s="5447"/>
      <c r="O572" s="5447"/>
      <c r="P572" s="5447"/>
      <c r="Q572" s="5447"/>
      <c r="R572" s="5448"/>
      <c r="T572" s="5358" t="s">
        <v>1508</v>
      </c>
      <c r="U572" s="5358"/>
      <c r="X572" s="4341" t="s">
        <v>2945</v>
      </c>
      <c r="Y572" s="4192"/>
      <c r="Z572" s="4192"/>
      <c r="AA572" s="4337"/>
      <c r="AC572" s="5327" t="s">
        <v>1449</v>
      </c>
    </row>
    <row r="573" spans="1:30" ht="12.75" customHeight="1" thickBot="1">
      <c r="A573" s="1886">
        <v>573</v>
      </c>
      <c r="B573" s="5250"/>
      <c r="C573" s="5449"/>
      <c r="D573" s="5450"/>
      <c r="E573" s="5450"/>
      <c r="F573" s="5450"/>
      <c r="G573" s="5450"/>
      <c r="H573" s="5450"/>
      <c r="I573" s="5450"/>
      <c r="J573" s="5450"/>
      <c r="K573" s="5450"/>
      <c r="L573" s="5450"/>
      <c r="M573" s="5450"/>
      <c r="N573" s="5450"/>
      <c r="O573" s="5450"/>
      <c r="P573" s="5450"/>
      <c r="Q573" s="5450"/>
      <c r="R573" s="5451"/>
      <c r="T573" s="364" t="s">
        <v>2459</v>
      </c>
      <c r="U573" s="366" t="s">
        <v>1509</v>
      </c>
      <c r="X573" s="5225"/>
      <c r="Y573" s="5226"/>
      <c r="Z573" s="5226"/>
      <c r="AA573" s="5227"/>
      <c r="AC573" s="5327"/>
    </row>
    <row r="574" spans="1:30" ht="12.75" customHeight="1" thickBot="1">
      <c r="A574" s="1886">
        <v>574</v>
      </c>
      <c r="B574" s="5250"/>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c r="A575" s="1886">
        <v>575</v>
      </c>
      <c r="B575" s="5250"/>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c r="A576" s="1886">
        <v>576</v>
      </c>
      <c r="B576" s="5250"/>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c r="A577" s="1886">
        <v>577</v>
      </c>
      <c r="B577" s="5250"/>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c r="A578" s="1886">
        <v>578</v>
      </c>
      <c r="B578" s="5250"/>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c r="A579" s="1886">
        <v>579</v>
      </c>
      <c r="B579" s="5250"/>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c r="A580" s="1886">
        <v>580</v>
      </c>
      <c r="B580" s="5250"/>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253" t="s">
        <v>8693</v>
      </c>
      <c r="U580" s="5254"/>
      <c r="V580" s="5255"/>
      <c r="X580" s="2360" t="s">
        <v>2957</v>
      </c>
      <c r="Y580" s="1731">
        <v>50</v>
      </c>
      <c r="Z580" s="2346" t="s">
        <v>2958</v>
      </c>
      <c r="AA580" s="3042"/>
      <c r="AC580" s="3038" t="s">
        <v>1453</v>
      </c>
    </row>
    <row r="581" spans="1:29" ht="12.75" customHeight="1">
      <c r="A581" s="1886">
        <v>581</v>
      </c>
      <c r="B581" s="5250"/>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444" t="s">
        <v>1838</v>
      </c>
      <c r="U581" s="5015"/>
      <c r="V581" s="2172" t="s">
        <v>2637</v>
      </c>
      <c r="X581" s="5310" t="str">
        <f>X580</f>
        <v>Tabla de armas arquetípicas</v>
      </c>
      <c r="Y581" s="5311"/>
      <c r="Z581" s="5311"/>
      <c r="AA581" s="5312"/>
      <c r="AC581" s="3038" t="s">
        <v>1454</v>
      </c>
    </row>
    <row r="582" spans="1:29" ht="12.75" customHeight="1" thickBot="1">
      <c r="A582" s="1886">
        <v>582</v>
      </c>
      <c r="B582" s="5250"/>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251" t="s">
        <v>1956</v>
      </c>
      <c r="U582" s="5252"/>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c r="A583" s="1886">
        <v>583</v>
      </c>
      <c r="B583" s="5250"/>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251" t="s">
        <v>1959</v>
      </c>
      <c r="U583" s="5252"/>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c r="A584" s="1886">
        <v>584</v>
      </c>
      <c r="B584" s="5250"/>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251" t="s">
        <v>2498</v>
      </c>
      <c r="U584" s="5252"/>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304" t="s">
        <v>1483</v>
      </c>
    </row>
    <row r="585" spans="1:29" ht="12.75" customHeight="1" thickBot="1">
      <c r="A585" s="1886">
        <v>585</v>
      </c>
      <c r="B585" s="5250"/>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251" t="s">
        <v>8694</v>
      </c>
      <c r="U585" s="5252"/>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304"/>
    </row>
    <row r="586" spans="1:29" ht="12.75" customHeight="1">
      <c r="A586" s="1886">
        <v>586</v>
      </c>
      <c r="B586" s="5250"/>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251" t="s">
        <v>8695</v>
      </c>
      <c r="U586" s="5252"/>
      <c r="V586" s="2175">
        <f>COUNTIF(Personalización!$W$20:$Y$21,Tablas!$T586)</f>
        <v>0</v>
      </c>
      <c r="X586" s="2274" t="s">
        <v>2959</v>
      </c>
      <c r="Y586" s="442"/>
      <c r="Z586" s="442" t="s">
        <v>2960</v>
      </c>
      <c r="AA586" s="2240">
        <f>COUNTIF(PDs!$Y$40:$AA$45,Tablas!X586)</f>
        <v>0</v>
      </c>
      <c r="AC586" s="3043">
        <v>-10</v>
      </c>
    </row>
    <row r="587" spans="1:29" ht="12.75" customHeight="1">
      <c r="A587" s="1886">
        <v>587</v>
      </c>
      <c r="B587" s="5250"/>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251" t="s">
        <v>8696</v>
      </c>
      <c r="U587" s="5252"/>
      <c r="V587" s="2175">
        <f>COUNTIF(Personalización!$W$20:$Y$21,Tablas!$T587)</f>
        <v>0</v>
      </c>
      <c r="X587" s="2274" t="s">
        <v>2961</v>
      </c>
      <c r="Y587" s="442"/>
      <c r="Z587" s="442" t="s">
        <v>2962</v>
      </c>
      <c r="AA587" s="2240">
        <f>COUNTIF(PDs!$Y$40:$AA$45,Tablas!X587)</f>
        <v>0</v>
      </c>
      <c r="AC587" s="480">
        <v>-5</v>
      </c>
    </row>
    <row r="588" spans="1:29" ht="12.75" customHeight="1">
      <c r="A588" s="1886">
        <v>588</v>
      </c>
      <c r="B588" s="5250"/>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251" t="s">
        <v>8697</v>
      </c>
      <c r="U588" s="5252"/>
      <c r="V588" s="2175">
        <f>COUNTIF(Personalización!$W$20:$Y$21,Tablas!$T588)</f>
        <v>0</v>
      </c>
      <c r="X588" s="2274" t="s">
        <v>2963</v>
      </c>
      <c r="Y588" s="442"/>
      <c r="Z588" s="442" t="s">
        <v>2964</v>
      </c>
      <c r="AA588" s="2240">
        <f>COUNTIF(PDs!$Y$40:$AA$45,Tablas!X588)</f>
        <v>0</v>
      </c>
      <c r="AC588" s="480">
        <v>0</v>
      </c>
    </row>
    <row r="589" spans="1:29" ht="12.75" customHeight="1">
      <c r="A589" s="1886">
        <v>589</v>
      </c>
      <c r="B589" s="5250"/>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251" t="s">
        <v>8698</v>
      </c>
      <c r="U589" s="5252"/>
      <c r="V589" s="2175">
        <f>COUNTIF(Personalización!$W$20:$Y$21,Tablas!$T589)</f>
        <v>0</v>
      </c>
      <c r="X589" s="2274" t="s">
        <v>2965</v>
      </c>
      <c r="Y589" s="442"/>
      <c r="Z589" s="442" t="s">
        <v>2966</v>
      </c>
      <c r="AA589" s="2240">
        <f>COUNTIF(PDs!$Y$40:$AA$45,Tablas!X589)</f>
        <v>0</v>
      </c>
      <c r="AC589" s="480">
        <v>5</v>
      </c>
    </row>
    <row r="590" spans="1:29" ht="12.75" customHeight="1" thickBot="1">
      <c r="A590" s="1886">
        <v>590</v>
      </c>
      <c r="B590" s="5250"/>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406" t="s">
        <v>8699</v>
      </c>
      <c r="U590" s="5407"/>
      <c r="V590" s="2178">
        <f>COUNTIF(Personalización!$W$20:$Y$21,Tablas!$T590)</f>
        <v>0</v>
      </c>
      <c r="X590" s="2274" t="s">
        <v>2967</v>
      </c>
      <c r="Y590" s="442"/>
      <c r="Z590" s="442" t="s">
        <v>10113</v>
      </c>
      <c r="AA590" s="2240">
        <f>COUNTIF(PDs!$Y$40:$AA$45,Tablas!X590)</f>
        <v>0</v>
      </c>
      <c r="AC590" s="480">
        <v>10</v>
      </c>
    </row>
    <row r="591" spans="1:29" ht="12.75" customHeight="1" thickBot="1">
      <c r="A591" s="1886">
        <v>591</v>
      </c>
      <c r="B591" s="5250"/>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c r="A592" s="1886">
        <v>592</v>
      </c>
      <c r="B592" s="5250"/>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253" t="s">
        <v>8701</v>
      </c>
      <c r="U592" s="5254"/>
      <c r="V592" s="5255"/>
      <c r="X592" s="2274" t="s">
        <v>2420</v>
      </c>
      <c r="Y592" s="442"/>
      <c r="Z592" s="442" t="s">
        <v>2970</v>
      </c>
      <c r="AA592" s="2240">
        <f>COUNTIF(PDs!$Y$40:$AA$45,Tablas!X592)</f>
        <v>0</v>
      </c>
      <c r="AC592" s="480">
        <v>20</v>
      </c>
    </row>
    <row r="593" spans="1:29" ht="12.75" customHeight="1">
      <c r="A593" s="1886">
        <v>593</v>
      </c>
      <c r="B593" s="5250"/>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56" t="s">
        <v>7909</v>
      </c>
      <c r="U593" s="5257"/>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c r="A594" s="1886">
        <v>594</v>
      </c>
      <c r="B594" s="5250"/>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56" t="s">
        <v>8703</v>
      </c>
      <c r="U594" s="5257"/>
      <c r="V594" s="2175">
        <f>COUNTIF(Combate!$AB$55:$AG$64,$E$980)*COUNTIF(Personalización!$AB$19:$AE$21,Tablas!$T594)</f>
        <v>0</v>
      </c>
      <c r="X594" s="2274" t="s">
        <v>2973</v>
      </c>
      <c r="Y594" s="442"/>
      <c r="Z594" s="442" t="s">
        <v>2974</v>
      </c>
      <c r="AA594" s="2240">
        <f>COUNTIF(PDs!$Y$40:$AA$45,Tablas!X594)</f>
        <v>0</v>
      </c>
      <c r="AC594" s="496">
        <v>30</v>
      </c>
    </row>
    <row r="595" spans="1:29" ht="12.75" customHeight="1">
      <c r="A595" s="1886">
        <v>595</v>
      </c>
      <c r="B595" s="5250"/>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56" t="s">
        <v>135</v>
      </c>
      <c r="U595" s="5257"/>
      <c r="V595" s="2175">
        <f>COUNTIF(Combate!$AB$55:$AG$64,$E$980)*COUNTIF(Personalización!$AB$19:$AE$21,Tablas!$T595)</f>
        <v>0</v>
      </c>
      <c r="X595" s="2274" t="s">
        <v>2975</v>
      </c>
      <c r="Y595" s="442"/>
      <c r="Z595" s="442" t="s">
        <v>2976</v>
      </c>
      <c r="AA595" s="2240">
        <f>COUNTIF(PDs!$Y$40:$AA$45,Tablas!X595)</f>
        <v>0</v>
      </c>
    </row>
    <row r="596" spans="1:29" ht="12.75" customHeight="1">
      <c r="A596" s="1886">
        <v>596</v>
      </c>
      <c r="B596" s="5250"/>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56" t="s">
        <v>8706</v>
      </c>
      <c r="U596" s="5257"/>
      <c r="V596" s="2175">
        <f>COUNTIF(Combate!$AB$55:$AG$64,$E$980)*COUNTIF(Personalización!$AB$19:$AE$21,Tablas!$T596)</f>
        <v>0</v>
      </c>
      <c r="X596" s="2274" t="s">
        <v>2977</v>
      </c>
      <c r="Y596" s="442"/>
      <c r="Z596" s="442" t="s">
        <v>2978</v>
      </c>
      <c r="AA596" s="2240">
        <f>COUNTIF(PDs!$Y$40:$AA$45,Tablas!X596)</f>
        <v>0</v>
      </c>
    </row>
    <row r="597" spans="1:29" ht="12.75" customHeight="1" thickBot="1">
      <c r="A597" s="1886">
        <v>597</v>
      </c>
      <c r="B597" s="5250"/>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56" t="s">
        <v>8708</v>
      </c>
      <c r="U597" s="5257"/>
      <c r="V597" s="2175">
        <f>COUNTIF(Combate!$AB$55:$AG$64,$E$980)*COUNTIF(Personalización!$AB$19:$AE$21,Tablas!$T597)</f>
        <v>0</v>
      </c>
      <c r="X597" s="2276" t="s">
        <v>2979</v>
      </c>
      <c r="Y597" s="2277"/>
      <c r="Z597" s="2277" t="s">
        <v>2980</v>
      </c>
      <c r="AA597" s="2572">
        <f>COUNTIF(PDs!$Y$40:$AA$45,Tablas!X597)</f>
        <v>0</v>
      </c>
    </row>
    <row r="598" spans="1:29" ht="12.75" customHeight="1" thickBot="1">
      <c r="A598" s="1886">
        <v>598</v>
      </c>
      <c r="B598" s="5250"/>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408" t="s">
        <v>8710</v>
      </c>
      <c r="U598" s="5409"/>
      <c r="V598" s="2178">
        <f>COUNTIF(Combate!$AB$55:$AG$64,$E$980)*COUNTIF(Personalización!$AB$19:$AE$21,Tablas!$T598)</f>
        <v>0</v>
      </c>
      <c r="X598" s="5310" t="str">
        <f>X578</f>
        <v>Tabla de tipología</v>
      </c>
      <c r="Y598" s="5311"/>
      <c r="Z598" s="5311"/>
      <c r="AA598" s="5312"/>
    </row>
    <row r="599" spans="1:29" ht="12.75" customHeight="1" thickBot="1">
      <c r="A599" s="1886">
        <v>599</v>
      </c>
      <c r="B599" s="5250"/>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c r="A600" s="1886">
        <v>600</v>
      </c>
      <c r="B600" s="5250"/>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253" t="s">
        <v>8700</v>
      </c>
      <c r="U600" s="5255"/>
      <c r="X600" s="2274" t="s">
        <v>2470</v>
      </c>
      <c r="Y600" s="442"/>
      <c r="Z600" s="442" t="s">
        <v>9936</v>
      </c>
      <c r="AA600" s="2240">
        <f>COUNTIF(PDs!$Y$40:$AA$45,Tablas!X600)</f>
        <v>0</v>
      </c>
    </row>
    <row r="601" spans="1:29" ht="12.75" customHeight="1">
      <c r="A601" s="1886">
        <v>601</v>
      </c>
      <c r="B601" s="5250"/>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c r="A602" s="1886">
        <v>602</v>
      </c>
      <c r="B602" s="5250"/>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c r="A603" s="1886">
        <v>603</v>
      </c>
      <c r="B603" s="5250"/>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c r="A604" s="1886">
        <v>604</v>
      </c>
      <c r="B604" s="5250"/>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c r="A605" s="1886">
        <v>605</v>
      </c>
      <c r="B605" s="5250"/>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c r="A606" s="1886">
        <v>606</v>
      </c>
      <c r="B606" s="5250"/>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c r="A607" s="1886">
        <v>607</v>
      </c>
      <c r="B607" s="5250"/>
      <c r="C607" s="5262" t="s">
        <v>8942</v>
      </c>
      <c r="D607" s="5263"/>
      <c r="E607" s="5263"/>
      <c r="F607" s="5263"/>
      <c r="G607" s="5263"/>
      <c r="H607" s="5263"/>
      <c r="I607" s="1634"/>
      <c r="N607" s="361"/>
      <c r="O607" s="1969"/>
      <c r="X607" s="2274" t="s">
        <v>2506</v>
      </c>
      <c r="Y607" s="442"/>
      <c r="Z607" s="442" t="s">
        <v>9943</v>
      </c>
      <c r="AA607" s="2240">
        <f>COUNTIF(PDs!$Y$40:$AA$45,Tablas!X607)</f>
        <v>0</v>
      </c>
      <c r="AC607" s="443"/>
    </row>
    <row r="608" spans="1:29" ht="12.75" customHeight="1" thickBot="1">
      <c r="A608" s="1886">
        <v>608</v>
      </c>
      <c r="B608" s="5250"/>
      <c r="H608" s="361"/>
      <c r="I608" s="1634"/>
      <c r="N608" s="361"/>
      <c r="O608" s="1969"/>
      <c r="X608" s="2274" t="s">
        <v>2475</v>
      </c>
      <c r="Y608" s="442"/>
      <c r="Z608" s="442" t="s">
        <v>9944</v>
      </c>
      <c r="AA608" s="2240">
        <f>COUNTIF(PDs!$Y$40:$AA$45,Tablas!X608)</f>
        <v>0</v>
      </c>
      <c r="AC608" s="443"/>
    </row>
    <row r="609" spans="1:469" ht="12.75" customHeight="1">
      <c r="A609" s="1886">
        <v>609</v>
      </c>
      <c r="B609" s="5250"/>
      <c r="C609" s="5313" t="s">
        <v>1484</v>
      </c>
      <c r="D609" s="5313"/>
      <c r="E609" s="5313"/>
      <c r="F609" s="5313"/>
      <c r="G609" s="5313"/>
      <c r="H609" s="5313"/>
      <c r="I609" s="5313"/>
      <c r="J609" s="5313"/>
      <c r="K609" s="5313"/>
      <c r="L609" s="5313"/>
      <c r="M609" s="5313"/>
      <c r="N609" s="5313"/>
      <c r="O609" s="5313"/>
      <c r="P609" s="5313"/>
      <c r="Q609" s="5313"/>
      <c r="X609" s="2274" t="s">
        <v>2574</v>
      </c>
      <c r="Y609" s="442"/>
      <c r="Z609" s="442" t="s">
        <v>9966</v>
      </c>
      <c r="AA609" s="2240">
        <f>COUNTIF(PDs!$Y$40:$AA$45,Tablas!X609)</f>
        <v>0</v>
      </c>
    </row>
    <row r="610" spans="1:469" ht="12.75" customHeight="1" thickBot="1">
      <c r="A610" s="1886">
        <v>610</v>
      </c>
      <c r="B610" s="5250"/>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c r="A611" s="1886">
        <v>611</v>
      </c>
      <c r="B611" s="5250"/>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c r="A612" s="1886">
        <v>612</v>
      </c>
      <c r="B612" s="5250"/>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225" t="s">
        <v>8879</v>
      </c>
      <c r="T612" s="5226"/>
      <c r="U612" s="5226"/>
      <c r="V612" s="5226"/>
      <c r="W612" s="5226"/>
      <c r="X612" s="5226"/>
      <c r="Y612" s="5226"/>
      <c r="Z612" s="5226"/>
      <c r="AA612" s="5226"/>
      <c r="AC612" s="5415" t="s">
        <v>1494</v>
      </c>
      <c r="AD612" s="5415"/>
      <c r="AE612" s="5415"/>
      <c r="AF612" s="5415"/>
      <c r="AG612" s="5415"/>
      <c r="AH612" s="5415"/>
      <c r="AI612" s="5415"/>
    </row>
    <row r="613" spans="1:469" ht="12.75" customHeight="1" thickBot="1">
      <c r="A613" s="1886">
        <v>613</v>
      </c>
      <c r="B613" s="5250"/>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225"/>
      <c r="T613" s="5226"/>
      <c r="U613" s="5226"/>
      <c r="V613" s="5226"/>
      <c r="W613" s="5226"/>
      <c r="X613" s="5226"/>
      <c r="Y613" s="5226"/>
      <c r="Z613" s="5226"/>
      <c r="AA613" s="5226"/>
      <c r="AC613" s="3044" t="s">
        <v>1495</v>
      </c>
      <c r="AD613" s="3045" t="s">
        <v>1496</v>
      </c>
      <c r="AE613" s="3045" t="s">
        <v>1497</v>
      </c>
      <c r="AF613" s="3045" t="s">
        <v>1498</v>
      </c>
      <c r="AG613" s="3045" t="s">
        <v>1499</v>
      </c>
      <c r="AH613" s="3045" t="s">
        <v>1500</v>
      </c>
      <c r="AI613" s="1737" t="s">
        <v>1501</v>
      </c>
    </row>
    <row r="614" spans="1:469" ht="12.75" customHeight="1">
      <c r="A614" s="1886">
        <v>614</v>
      </c>
      <c r="B614" s="5250"/>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476" t="s">
        <v>9946</v>
      </c>
      <c r="T614" s="5477"/>
      <c r="U614" s="2565" t="str">
        <f>Arma_Desarrollada</f>
        <v>Cimitarra</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c r="A615" s="1886">
        <v>615</v>
      </c>
      <c r="B615" s="5250"/>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359" t="s">
        <v>9950</v>
      </c>
      <c r="T615" s="5360"/>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c r="A616" s="1886">
        <v>616</v>
      </c>
      <c r="B616" s="5250"/>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359" t="s">
        <v>9947</v>
      </c>
      <c r="T616" s="5360"/>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c r="A617" s="1886">
        <v>617</v>
      </c>
      <c r="B617" s="5250"/>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359" t="s">
        <v>9948</v>
      </c>
      <c r="T617" s="5360"/>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c r="A618" s="1886">
        <v>618</v>
      </c>
      <c r="B618" s="5250"/>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359" t="s">
        <v>9949</v>
      </c>
      <c r="T618" s="5360"/>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c r="A619" s="1886">
        <v>619</v>
      </c>
      <c r="B619" s="5250"/>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425" t="s">
        <v>4549</v>
      </c>
      <c r="T619" s="5426"/>
      <c r="U619" s="2567" t="str">
        <f>U614&amp;U615&amp;U616&amp;U617&amp;U618</f>
        <v>Cimitarra, 0, 0, 0</v>
      </c>
      <c r="V619" s="2568"/>
      <c r="W619" s="2568"/>
      <c r="X619" s="2568"/>
      <c r="Y619" s="3051"/>
      <c r="Z619" s="3051"/>
      <c r="AA619" s="3052"/>
    </row>
    <row r="620" spans="1:469" ht="12.75" customHeight="1" thickBot="1">
      <c r="A620" s="1886">
        <v>620</v>
      </c>
      <c r="B620" s="5250"/>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c r="A621" s="1886">
        <v>621</v>
      </c>
      <c r="B621" s="5250"/>
    </row>
    <row r="622" spans="1:469" ht="12.75" customHeight="1">
      <c r="A622" s="1886">
        <v>622</v>
      </c>
      <c r="B622" s="5250"/>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6">
        <v>623</v>
      </c>
      <c r="B623" s="5250"/>
    </row>
    <row r="624" spans="1:469" ht="12.75" customHeight="1">
      <c r="A624" s="1886">
        <v>624</v>
      </c>
      <c r="B624" s="5250"/>
      <c r="AG624" s="3153"/>
      <c r="AH624" s="3153"/>
      <c r="AI624" s="3153"/>
      <c r="AJ624" s="3153"/>
      <c r="AK624" s="3153"/>
      <c r="AL624" s="3153"/>
    </row>
    <row r="625" spans="1:40" ht="12.75" customHeight="1" thickBot="1">
      <c r="A625" s="1886">
        <v>625</v>
      </c>
      <c r="B625" s="5250"/>
      <c r="AG625" s="3153"/>
      <c r="AH625" s="3153"/>
      <c r="AI625" s="3153"/>
      <c r="AJ625" s="3153"/>
      <c r="AK625" s="3153"/>
      <c r="AL625" s="3153"/>
    </row>
    <row r="626" spans="1:40" ht="12.75" customHeight="1" thickBot="1">
      <c r="A626" s="1886">
        <v>626</v>
      </c>
      <c r="B626" s="5250"/>
      <c r="C626" s="5433" t="s">
        <v>2454</v>
      </c>
      <c r="D626" s="5434"/>
      <c r="E626" s="5434"/>
      <c r="F626" s="5434"/>
      <c r="G626" s="5434"/>
      <c r="H626" s="5434"/>
      <c r="I626" s="5434"/>
      <c r="J626" s="5434"/>
      <c r="K626" s="5434"/>
      <c r="L626" s="5434"/>
      <c r="M626" s="5434"/>
      <c r="N626" s="5434"/>
      <c r="O626" s="5434"/>
      <c r="P626" s="5434"/>
      <c r="Q626" s="5434"/>
      <c r="R626" s="5434"/>
      <c r="S626" s="5434"/>
      <c r="T626" s="5434"/>
      <c r="U626" s="5434"/>
      <c r="V626" s="5434"/>
      <c r="W626" s="5434"/>
      <c r="X626" s="5435"/>
      <c r="AG626" s="5359" t="s">
        <v>10023</v>
      </c>
      <c r="AH626" s="5360"/>
      <c r="AI626" s="5360"/>
      <c r="AJ626" s="5360"/>
      <c r="AK626" s="5360"/>
      <c r="AL626" s="5439"/>
    </row>
    <row r="627" spans="1:40" ht="12.75" customHeight="1" thickBot="1">
      <c r="A627" s="1886">
        <v>627</v>
      </c>
      <c r="B627" s="5250"/>
      <c r="C627" s="5436"/>
      <c r="D627" s="5437"/>
      <c r="E627" s="5437"/>
      <c r="F627" s="5437"/>
      <c r="G627" s="5437"/>
      <c r="H627" s="5437"/>
      <c r="I627" s="5437"/>
      <c r="J627" s="5437"/>
      <c r="K627" s="5437"/>
      <c r="L627" s="5437"/>
      <c r="M627" s="5437"/>
      <c r="N627" s="5437"/>
      <c r="O627" s="5437"/>
      <c r="P627" s="5437"/>
      <c r="Q627" s="5437"/>
      <c r="R627" s="5437"/>
      <c r="S627" s="5437"/>
      <c r="T627" s="5437"/>
      <c r="U627" s="5437"/>
      <c r="V627" s="5437"/>
      <c r="W627" s="5437"/>
      <c r="X627" s="5438"/>
      <c r="Z627" s="5325" t="s">
        <v>8849</v>
      </c>
      <c r="AG627" s="2992" t="s">
        <v>1513</v>
      </c>
      <c r="AH627" s="2993" t="s">
        <v>1512</v>
      </c>
      <c r="AI627" s="3053" t="s">
        <v>1511</v>
      </c>
      <c r="AJ627" s="2993" t="s">
        <v>1513</v>
      </c>
      <c r="AK627" s="2993" t="s">
        <v>1512</v>
      </c>
      <c r="AL627" s="3053" t="s">
        <v>1511</v>
      </c>
    </row>
    <row r="628" spans="1:40" ht="12.75" customHeight="1">
      <c r="A628" s="1886">
        <v>628</v>
      </c>
      <c r="B628" s="5250"/>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326"/>
      <c r="AB628" s="5364" t="s">
        <v>1506</v>
      </c>
      <c r="AC628" s="5365"/>
      <c r="AD628" s="5365"/>
      <c r="AE628" s="5366"/>
      <c r="AG628" s="2992" t="s">
        <v>10022</v>
      </c>
      <c r="AH628" s="2993" t="s">
        <v>10022</v>
      </c>
      <c r="AI628" s="2993" t="s">
        <v>10022</v>
      </c>
      <c r="AJ628" s="2993" t="s">
        <v>3062</v>
      </c>
      <c r="AK628" s="2993" t="s">
        <v>3062</v>
      </c>
      <c r="AL628" s="3053" t="s">
        <v>3062</v>
      </c>
    </row>
    <row r="629" spans="1:40" ht="12.75" customHeight="1" thickBot="1">
      <c r="A629" s="1886">
        <v>629</v>
      </c>
      <c r="B629" s="5250"/>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367"/>
      <c r="AC629" s="5368"/>
      <c r="AD629" s="5368"/>
      <c r="AE629" s="5369"/>
      <c r="AG629" s="3055" t="str">
        <f>"Tablas!"&amp;ADDRESS(ROW(AG630),COLUMN(AG630))&amp;":"&amp;ADDRESS(ROW(AG630)+MATCH("",AG$630:AG$767,0)-2,COLUMN(AG630))</f>
        <v>Tablas!$AG$630:$AG$647</v>
      </c>
      <c r="AH629" s="3056" t="str">
        <f t="shared" ref="AH629:AI629" si="75">"Tablas!"&amp;ADDRESS(ROW(AH630),COLUMN(AH630))&amp;":"&amp;ADDRESS(ROW(AH630)+MATCH("",AH$630:AH$767,0)-2,COLUMN(AH630))</f>
        <v>Tablas!$AH$630:$AH$638</v>
      </c>
      <c r="AI629" s="3056" t="str">
        <f t="shared" si="75"/>
        <v>Tablas!$AI$630:$AI$748</v>
      </c>
      <c r="AJ629" s="3057"/>
      <c r="AK629" s="3058"/>
      <c r="AL629" s="3059"/>
      <c r="AM629" s="3184"/>
    </row>
    <row r="630" spans="1:40" ht="12.75" customHeight="1" thickBot="1">
      <c r="A630" s="1886">
        <v>630</v>
      </c>
      <c r="B630" s="5250"/>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Desarmado</v>
      </c>
      <c r="AJ630" s="3061">
        <f>IF($L630=AJ$627,COUNTIF($L$630:$L630,AJ$627),0)</f>
        <v>0</v>
      </c>
      <c r="AK630" s="3062">
        <f>IF($L630=AK$627,COUNTIF($L$630:$L630,AK$627),0)</f>
        <v>0</v>
      </c>
      <c r="AL630" s="3063">
        <f>IF($L630=AL$627,COUNTIF($L$630:$L630,AL$627),0)</f>
        <v>1</v>
      </c>
      <c r="AN630" s="3153"/>
    </row>
    <row r="631" spans="1:40" ht="12.75" customHeight="1">
      <c r="A631" s="1886">
        <v>631</v>
      </c>
      <c r="B631" s="5250"/>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Bracamarte</v>
      </c>
      <c r="AH631" s="1971" t="str">
        <f t="shared" si="77"/>
        <v>Espada bastarda</v>
      </c>
      <c r="AI631" s="1971" t="str">
        <f t="shared" si="78"/>
        <v>Armas naturales</v>
      </c>
      <c r="AJ631" s="3061">
        <f>IF($L631=AJ$627,COUNTIF($L$630:$L631,AJ$627),0)</f>
        <v>0</v>
      </c>
      <c r="AK631" s="3062">
        <f>IF($L631=AK$627,COUNTIF($L$630:$L631,AK$627),0)</f>
        <v>0</v>
      </c>
      <c r="AL631" s="3063">
        <f>IF($L631=AL$627,COUNTIF($L$630:$L631,AL$627),0)</f>
        <v>2</v>
      </c>
      <c r="AN631" s="3153"/>
    </row>
    <row r="632" spans="1:40" ht="12.75" customHeight="1">
      <c r="A632" s="1886">
        <v>632</v>
      </c>
      <c r="B632" s="5250"/>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Espada ancha</v>
      </c>
      <c r="AH632" s="1971" t="str">
        <f t="shared" si="77"/>
        <v>Falcata</v>
      </c>
      <c r="AI632" s="1971" t="str">
        <f t="shared" si="78"/>
        <v>Arma #1</v>
      </c>
      <c r="AJ632" s="3061">
        <f>IF($L632=AJ$627,COUNTIF($L$630:$L632,AJ$627),0)</f>
        <v>0</v>
      </c>
      <c r="AK632" s="3062">
        <f>IF($L632=AK$627,COUNTIF($L$630:$L632,AK$627),0)</f>
        <v>0</v>
      </c>
      <c r="AL632" s="3063">
        <f>IF($L632=AL$627,COUNTIF($L$630:$L632,AL$627),0)</f>
        <v>3</v>
      </c>
    </row>
    <row r="633" spans="1:40" ht="12.75" customHeight="1">
      <c r="A633" s="1886">
        <v>633</v>
      </c>
      <c r="B633" s="5250"/>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Espada larga</v>
      </c>
      <c r="AH633" s="1971" t="str">
        <f t="shared" si="77"/>
        <v>Florete</v>
      </c>
      <c r="AI633" s="1971" t="str">
        <f t="shared" si="78"/>
        <v>Arma #2</v>
      </c>
      <c r="AJ633" s="3061">
        <f>IF($L633=AJ$627,COUNTIF($L$630:$L633,AJ$627),0)</f>
        <v>0</v>
      </c>
      <c r="AK633" s="3062">
        <f>IF($L633=AK$627,COUNTIF($L$630:$L633,AK$627),0)</f>
        <v>0</v>
      </c>
      <c r="AL633" s="3063">
        <f>IF($L633=AL$627,COUNTIF($L$630:$L633,AL$627),0)</f>
        <v>4</v>
      </c>
    </row>
    <row r="634" spans="1:40" ht="12.75" customHeight="1">
      <c r="A634" s="1886">
        <v>634</v>
      </c>
      <c r="B634" s="5250"/>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Estoque</v>
      </c>
      <c r="AH634" s="1971" t="str">
        <f t="shared" si="77"/>
        <v>&gt; ESCUDOS</v>
      </c>
      <c r="AI634" s="1971" t="str">
        <f t="shared" si="78"/>
        <v>Arma #3</v>
      </c>
      <c r="AJ634" s="3061">
        <f>IF($L634=AJ$627,COUNTIF($L$630:$L634,AJ$627),0)</f>
        <v>0</v>
      </c>
      <c r="AK634" s="3062">
        <f>IF($L634=AK$627,COUNTIF($L$630:$L634,AK$627),0)</f>
        <v>0</v>
      </c>
      <c r="AL634" s="3063">
        <f>IF($L634=AL$627,COUNTIF($L$630:$L634,AL$627),0)</f>
        <v>5</v>
      </c>
    </row>
    <row r="635" spans="1:40" ht="12.75" customHeight="1">
      <c r="A635" s="1886">
        <v>635</v>
      </c>
      <c r="B635" s="5250"/>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Koncerz</v>
      </c>
      <c r="AH635" s="1971" t="str">
        <f t="shared" si="77"/>
        <v>&gt; ARMAS EXÓTICAS</v>
      </c>
      <c r="AI635" s="1971" t="str">
        <f t="shared" si="78"/>
        <v>&gt; ARMAS COMUNES</v>
      </c>
      <c r="AJ635" s="3061">
        <f>MAX(AJ$630:AJ634)+1</f>
        <v>1</v>
      </c>
      <c r="AK635" s="3062">
        <f>MAX(AK$630:AK634)+1</f>
        <v>1</v>
      </c>
      <c r="AL635" s="3063">
        <f>MAX(AL$630:AL634)+1</f>
        <v>6</v>
      </c>
    </row>
    <row r="636" spans="1:40" ht="12.75" customHeight="1">
      <c r="A636" s="1886">
        <v>636</v>
      </c>
      <c r="B636" s="5250"/>
      <c r="C636" s="2780"/>
      <c r="D636" s="2781" t="s">
        <v>2469</v>
      </c>
      <c r="E636" s="2788">
        <v>60</v>
      </c>
      <c r="F636" s="2778">
        <v>-15</v>
      </c>
      <c r="G636" s="2778">
        <v>11</v>
      </c>
      <c r="H636" s="2778">
        <v>6</v>
      </c>
      <c r="I636" s="2778" t="s">
        <v>1863</v>
      </c>
      <c r="J636" s="2778" t="s">
        <v>1809</v>
      </c>
      <c r="K636" s="2772" t="s">
        <v>8881</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Sable</v>
      </c>
      <c r="AH636" s="1971" t="str">
        <f t="shared" si="77"/>
        <v>Ram Dao</v>
      </c>
      <c r="AI636" s="1971" t="str">
        <f t="shared" si="78"/>
        <v>Alabarda</v>
      </c>
      <c r="AJ636" s="3061">
        <f>IF($L636=AJ$627,COUNTIF($L$630:$L636,AJ$627)+1,0)</f>
        <v>0</v>
      </c>
      <c r="AK636" s="3062">
        <f>IF($L636=AK$627,COUNTIF($L$630:$L636,AK$627)+1,0)</f>
        <v>0</v>
      </c>
      <c r="AL636" s="3063">
        <f>IF($L636=AL$627,COUNTIF($L$630:$L636,AL$627)+1,0)</f>
        <v>7</v>
      </c>
    </row>
    <row r="637" spans="1:40" ht="12.75" customHeight="1">
      <c r="A637" s="1886">
        <v>637</v>
      </c>
      <c r="B637" s="5250"/>
      <c r="C637" s="2780"/>
      <c r="D637" s="2781" t="s">
        <v>2472</v>
      </c>
      <c r="E637" s="2788">
        <v>35</v>
      </c>
      <c r="F637" s="2778">
        <v>-5</v>
      </c>
      <c r="G637" s="2778">
        <v>5</v>
      </c>
      <c r="H637" s="2778">
        <v>5</v>
      </c>
      <c r="I637" s="2778" t="s">
        <v>1864</v>
      </c>
      <c r="J637" s="2778" t="s">
        <v>1766</v>
      </c>
      <c r="K637" s="2772" t="s">
        <v>8882</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8555</v>
      </c>
      <c r="AC637" s="1971" t="s">
        <v>8556</v>
      </c>
      <c r="AD637" s="1971" t="s">
        <v>2575</v>
      </c>
      <c r="AE637" s="2185" t="s">
        <v>2591</v>
      </c>
      <c r="AG637" s="2184" t="str">
        <f t="shared" si="76"/>
        <v>Shang Gou</v>
      </c>
      <c r="AH637" s="1971" t="str">
        <f t="shared" si="77"/>
        <v>&gt; A. DE PROYECTILES</v>
      </c>
      <c r="AI637" s="1971" t="str">
        <f t="shared" si="78"/>
        <v>Arpón</v>
      </c>
      <c r="AJ637" s="3061">
        <f>IF($L637=AJ$627,COUNTIF($L$630:$L637,AJ$627)+1,0)</f>
        <v>0</v>
      </c>
      <c r="AK637" s="3062">
        <f>IF($L637=AK$627,COUNTIF($L$630:$L637,AK$627)+1,0)</f>
        <v>0</v>
      </c>
      <c r="AL637" s="3063">
        <f>IF($L637=AL$627,COUNTIF($L$630:$L637,AL$627)+1,0)</f>
        <v>8</v>
      </c>
    </row>
    <row r="638" spans="1:40" ht="12.75" customHeight="1">
      <c r="A638" s="1886">
        <v>638</v>
      </c>
      <c r="B638" s="5250"/>
      <c r="C638" s="2780"/>
      <c r="D638" s="2781" t="s">
        <v>8555</v>
      </c>
      <c r="E638" s="2788">
        <v>25</v>
      </c>
      <c r="F638" s="2778">
        <v>15</v>
      </c>
      <c r="G638" s="2778">
        <v>5</v>
      </c>
      <c r="H638" s="2778">
        <v>5</v>
      </c>
      <c r="I638" s="2778" t="s">
        <v>1809</v>
      </c>
      <c r="J638" s="2778" t="s">
        <v>1766</v>
      </c>
      <c r="K638" s="2772" t="s">
        <v>8882</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8557</v>
      </c>
      <c r="AD638" s="1971" t="s">
        <v>8558</v>
      </c>
      <c r="AE638" s="2185" t="s">
        <v>2593</v>
      </c>
      <c r="AG638" s="2184" t="str">
        <f t="shared" si="76"/>
        <v>Spatha</v>
      </c>
      <c r="AH638" s="1971" t="str">
        <f t="shared" si="77"/>
        <v>&gt; ARMAS DE ASEDIO</v>
      </c>
      <c r="AI638" s="1971" t="str">
        <f t="shared" si="78"/>
        <v>Bastón de Combate</v>
      </c>
      <c r="AJ638" s="3061">
        <f>IF($L638=AJ$627,COUNTIF($L$630:$L638,AJ$627)+1,0)</f>
        <v>0</v>
      </c>
      <c r="AK638" s="3062">
        <f>IF($L638=AK$627,COUNTIF($L$630:$L638,AK$627)+1,0)</f>
        <v>0</v>
      </c>
      <c r="AL638" s="3063">
        <f>IF($L638=AL$627,COUNTIF($L$630:$L638,AL$627)+1,0)</f>
        <v>9</v>
      </c>
    </row>
    <row r="639" spans="1:40" ht="12.75" customHeight="1">
      <c r="A639" s="1886">
        <v>639</v>
      </c>
      <c r="B639" s="5250"/>
      <c r="C639" s="2780"/>
      <c r="D639" s="2781" t="s">
        <v>8556</v>
      </c>
      <c r="E639" s="2788">
        <v>50</v>
      </c>
      <c r="F639" s="2778">
        <v>-10</v>
      </c>
      <c r="G639" s="2778" t="s">
        <v>1766</v>
      </c>
      <c r="H639" s="2778">
        <v>6</v>
      </c>
      <c r="I639" s="2778" t="s">
        <v>1864</v>
      </c>
      <c r="J639" s="2778" t="s">
        <v>8608</v>
      </c>
      <c r="K639" s="2772" t="s">
        <v>8883</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8559</v>
      </c>
      <c r="AD639" s="1971" t="s">
        <v>2576</v>
      </c>
      <c r="AE639" s="2185" t="s">
        <v>2595</v>
      </c>
      <c r="AG639" s="2184" t="str">
        <f t="shared" si="76"/>
        <v>&gt; ESCUDOS</v>
      </c>
      <c r="AH639" s="1971" t="str">
        <f t="shared" si="77"/>
        <v/>
      </c>
      <c r="AI639" s="1971" t="str">
        <f t="shared" si="78"/>
        <v>Bec deCorbin</v>
      </c>
      <c r="AJ639" s="3061">
        <f>IF($L639=AJ$627,COUNTIF($L$630:$L639,AJ$627)+1,0)</f>
        <v>0</v>
      </c>
      <c r="AK639" s="3062">
        <f>IF($L639=AK$627,COUNTIF($L$630:$L639,AK$627)+1,0)</f>
        <v>0</v>
      </c>
      <c r="AL639" s="3063">
        <f>IF($L639=AL$627,COUNTIF($L$630:$L639,AL$627)+1,0)</f>
        <v>10</v>
      </c>
    </row>
    <row r="640" spans="1:40" ht="12.75" customHeight="1">
      <c r="A640" s="1886">
        <v>640</v>
      </c>
      <c r="B640" s="5250"/>
      <c r="C640" s="2780"/>
      <c r="D640" s="2781" t="s">
        <v>8557</v>
      </c>
      <c r="E640" s="2788">
        <v>50</v>
      </c>
      <c r="F640" s="2778">
        <v>-15</v>
      </c>
      <c r="G640" s="2778" t="s">
        <v>1766</v>
      </c>
      <c r="H640" s="2778">
        <v>6</v>
      </c>
      <c r="I640" s="2778" t="s">
        <v>1863</v>
      </c>
      <c r="J640" s="2778" t="s">
        <v>1809</v>
      </c>
      <c r="K640" s="2772" t="s">
        <v>8882</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8560</v>
      </c>
      <c r="AC640" s="1971" t="s">
        <v>8561</v>
      </c>
      <c r="AD640" s="1971" t="s">
        <v>8562</v>
      </c>
      <c r="AE640" s="2185" t="s">
        <v>2597</v>
      </c>
      <c r="AG640" s="2184" t="str">
        <f t="shared" si="76"/>
        <v>&gt; ARMAS EXÓTICAS</v>
      </c>
      <c r="AH640" s="1971" t="str">
        <f t="shared" si="77"/>
        <v/>
      </c>
      <c r="AI640" s="1971" t="str">
        <f t="shared" si="78"/>
        <v>Berdiche</v>
      </c>
      <c r="AJ640" s="3061">
        <f>IF($L640=AJ$627,COUNTIF($L$630:$L640,AJ$627)+1,0)</f>
        <v>0</v>
      </c>
      <c r="AK640" s="3062">
        <f>IF($L640=AK$627,COUNTIF($L$630:$L640,AK$627)+1,0)</f>
        <v>0</v>
      </c>
      <c r="AL640" s="3063">
        <f>IF($L640=AL$627,COUNTIF($L$630:$L640,AL$627)+1,0)</f>
        <v>11</v>
      </c>
    </row>
    <row r="641" spans="1:38" ht="12.75" customHeight="1">
      <c r="A641" s="1886">
        <v>641</v>
      </c>
      <c r="B641" s="5250"/>
      <c r="C641" s="2780"/>
      <c r="D641" s="2781" t="s">
        <v>2474</v>
      </c>
      <c r="E641" s="2778">
        <v>20</v>
      </c>
      <c r="F641" s="2778">
        <v>0</v>
      </c>
      <c r="G641" s="2778">
        <v>5</v>
      </c>
      <c r="H641" s="2778">
        <v>5</v>
      </c>
      <c r="I641" s="2778" t="s">
        <v>1809</v>
      </c>
      <c r="J641" s="2778" t="s">
        <v>1766</v>
      </c>
      <c r="K641" s="2772" t="s">
        <v>8884</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Katana</v>
      </c>
      <c r="AH641" s="1971" t="str">
        <f t="shared" si="77"/>
        <v/>
      </c>
      <c r="AI641" s="1971" t="str">
        <f t="shared" si="78"/>
        <v>Bolas</v>
      </c>
      <c r="AJ641" s="3061">
        <f>IF($L641=AJ$627,COUNTIF($L$630:$L641,AJ$627)+1,0)</f>
        <v>0</v>
      </c>
      <c r="AK641" s="3062">
        <f>IF($L641=AK$627,COUNTIF($L$630:$L641,AK$627)+1,0)</f>
        <v>0</v>
      </c>
      <c r="AL641" s="3063">
        <f>IF($L641=AL$627,COUNTIF($L$630:$L641,AL$627)+1,0)</f>
        <v>12</v>
      </c>
    </row>
    <row r="642" spans="1:38" ht="12.75" customHeight="1">
      <c r="A642" s="1886">
        <v>642</v>
      </c>
      <c r="B642" s="5250"/>
      <c r="C642" s="2780"/>
      <c r="D642" s="2781" t="s">
        <v>2477</v>
      </c>
      <c r="E642" s="2778">
        <v>30</v>
      </c>
      <c r="F642" s="2778">
        <v>-10</v>
      </c>
      <c r="G642" s="2778">
        <v>5</v>
      </c>
      <c r="H642" s="2778">
        <v>5</v>
      </c>
      <c r="I642" s="2778" t="s">
        <v>2478</v>
      </c>
      <c r="J642" s="2778" t="s">
        <v>1809</v>
      </c>
      <c r="K642" s="2772" t="s">
        <v>8884</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Katana de doble hoja</v>
      </c>
      <c r="AH642" s="1971" t="str">
        <f t="shared" si="77"/>
        <v/>
      </c>
      <c r="AI642" s="1971" t="str">
        <f t="shared" si="78"/>
        <v>Boleadoras</v>
      </c>
      <c r="AJ642" s="3061">
        <f>IF($L642=AJ$627,COUNTIF($L$630:$L642,AJ$627)+1,0)</f>
        <v>0</v>
      </c>
      <c r="AK642" s="3062">
        <f>IF($L642=AK$627,COUNTIF($L$630:$L642,AK$627)+1,0)</f>
        <v>0</v>
      </c>
      <c r="AL642" s="3063">
        <f>IF($L642=AL$627,COUNTIF($L$630:$L642,AL$627)+1,0)</f>
        <v>13</v>
      </c>
    </row>
    <row r="643" spans="1:38" ht="12.75" customHeight="1">
      <c r="A643" s="1886">
        <v>643</v>
      </c>
      <c r="B643" s="5250"/>
      <c r="C643" s="2780"/>
      <c r="D643" s="2781" t="s">
        <v>8560</v>
      </c>
      <c r="E643" s="2788">
        <v>60</v>
      </c>
      <c r="F643" s="2778">
        <v>-10</v>
      </c>
      <c r="G643" s="2778">
        <v>7</v>
      </c>
      <c r="H643" s="2778">
        <v>7</v>
      </c>
      <c r="I643" s="2778" t="s">
        <v>1863</v>
      </c>
      <c r="J643" s="2778" t="s">
        <v>1766</v>
      </c>
      <c r="K643" s="2772" t="s">
        <v>8885</v>
      </c>
      <c r="L643" s="2778" t="str">
        <f t="shared" si="81"/>
        <v>Similar</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8563</v>
      </c>
      <c r="AC643" s="1971" t="s">
        <v>8564</v>
      </c>
      <c r="AD643" s="442" t="s">
        <v>2580</v>
      </c>
      <c r="AE643" s="2185" t="s">
        <v>2603</v>
      </c>
      <c r="AG643" s="2184" t="str">
        <f t="shared" si="76"/>
        <v>Boku-to</v>
      </c>
      <c r="AH643" s="1971" t="str">
        <f t="shared" si="77"/>
        <v/>
      </c>
      <c r="AI643" s="1971" t="str">
        <f t="shared" si="78"/>
        <v>Brandistock</v>
      </c>
      <c r="AJ643" s="3061">
        <f>IF($L643=AJ$627,COUNTIF($L$630:$L643,AJ$627)+1,0)</f>
        <v>2</v>
      </c>
      <c r="AK643" s="3062">
        <f>IF($L643=AK$627,COUNTIF($L$630:$L643,AK$627)+1,0)</f>
        <v>0</v>
      </c>
      <c r="AL643" s="3063">
        <f>IF($L643=AL$627,COUNTIF($L$630:$L643,AL$627)+1,0)</f>
        <v>0</v>
      </c>
    </row>
    <row r="644" spans="1:38" ht="12.75" customHeight="1">
      <c r="A644" s="1886">
        <v>644</v>
      </c>
      <c r="B644" s="5250"/>
      <c r="C644" s="2780"/>
      <c r="D644" s="2781" t="s">
        <v>8559</v>
      </c>
      <c r="E644" s="2788">
        <v>40</v>
      </c>
      <c r="F644" s="2778">
        <v>0</v>
      </c>
      <c r="G644" s="2778" t="s">
        <v>1766</v>
      </c>
      <c r="H644" s="2778">
        <v>6</v>
      </c>
      <c r="I644" s="2778" t="s">
        <v>1864</v>
      </c>
      <c r="J644" s="2778" t="s">
        <v>1809</v>
      </c>
      <c r="K644" s="2772" t="s">
        <v>8882</v>
      </c>
      <c r="L644" s="2778" t="str">
        <f t="shared" si="81"/>
        <v>Distinta</v>
      </c>
      <c r="M644" s="2789">
        <v>9</v>
      </c>
      <c r="N644" s="2789">
        <v>3</v>
      </c>
      <c r="O644" s="2789">
        <v>25</v>
      </c>
      <c r="P644" s="2778"/>
      <c r="Q644" s="2778"/>
      <c r="R644" s="2778" t="s">
        <v>1766</v>
      </c>
      <c r="S644" s="2778" t="s">
        <v>1766</v>
      </c>
      <c r="T644" s="2778" t="s">
        <v>1766</v>
      </c>
      <c r="U644" s="2778"/>
      <c r="V644" s="2772" t="s">
        <v>8609</v>
      </c>
      <c r="W644" s="2772"/>
      <c r="X644" s="2773"/>
      <c r="Z644" s="3060" t="str">
        <f t="shared" si="80"/>
        <v/>
      </c>
      <c r="AB644" s="2184" t="s">
        <v>2485</v>
      </c>
      <c r="AC644" s="1971" t="s">
        <v>8565</v>
      </c>
      <c r="AD644" s="1971" t="s">
        <v>2581</v>
      </c>
      <c r="AE644" s="2185" t="s">
        <v>2605</v>
      </c>
      <c r="AG644" s="2184" t="str">
        <f t="shared" si="76"/>
        <v>Ninja-to</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c r="A645" s="1886">
        <v>645</v>
      </c>
      <c r="B645" s="5250"/>
      <c r="C645" s="2780"/>
      <c r="D645" s="2781" t="s">
        <v>2480</v>
      </c>
      <c r="E645" s="2788">
        <v>25</v>
      </c>
      <c r="F645" s="2778">
        <v>0</v>
      </c>
      <c r="G645" s="2778">
        <v>6</v>
      </c>
      <c r="H645" s="2778">
        <v>6</v>
      </c>
      <c r="I645" s="2778" t="s">
        <v>1809</v>
      </c>
      <c r="J645" s="2778" t="s">
        <v>1766</v>
      </c>
      <c r="K645" s="2772" t="s">
        <v>8886</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8566</v>
      </c>
      <c r="AC645" s="1971" t="s">
        <v>8567</v>
      </c>
      <c r="AD645" s="1971" t="s">
        <v>2582</v>
      </c>
      <c r="AE645" s="3066"/>
      <c r="AG645" s="2184" t="str">
        <f t="shared" si="76"/>
        <v>Wakizasi</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c r="A646" s="1886">
        <v>646</v>
      </c>
      <c r="B646" s="5250"/>
      <c r="C646" s="2780"/>
      <c r="D646" s="2781" t="s">
        <v>2483</v>
      </c>
      <c r="E646" s="2788">
        <v>25</v>
      </c>
      <c r="F646" s="2778">
        <v>10</v>
      </c>
      <c r="G646" s="2778">
        <v>3</v>
      </c>
      <c r="H646" s="2778">
        <v>3</v>
      </c>
      <c r="I646" s="2778" t="s">
        <v>1864</v>
      </c>
      <c r="J646" s="2778" t="s">
        <v>1863</v>
      </c>
      <c r="K646" s="2772" t="s">
        <v>8887</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8568</v>
      </c>
      <c r="AE646" s="3039"/>
      <c r="AG646" s="2184" t="str">
        <f t="shared" si="76"/>
        <v>&gt; A. DE PROYECTILES</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c r="A647" s="1886">
        <v>647</v>
      </c>
      <c r="B647" s="5250"/>
      <c r="C647" s="2780"/>
      <c r="D647" s="2781" t="s">
        <v>8563</v>
      </c>
      <c r="E647" s="2788">
        <v>40</v>
      </c>
      <c r="F647" s="2778">
        <v>5</v>
      </c>
      <c r="G647" s="2778">
        <v>6</v>
      </c>
      <c r="H647" s="2778">
        <v>6</v>
      </c>
      <c r="I647" s="2778" t="s">
        <v>1809</v>
      </c>
      <c r="J647" s="2778" t="s">
        <v>1766</v>
      </c>
      <c r="K647" s="2772" t="s">
        <v>8888</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&gt; ARMAS DE ASEDIO</v>
      </c>
      <c r="AH647" s="1971" t="str">
        <f t="shared" si="77"/>
        <v/>
      </c>
      <c r="AI647" s="1971" t="str">
        <f t="shared" si="78"/>
        <v>Cinquedea</v>
      </c>
      <c r="AJ647" s="3061">
        <f>IF($L647=AJ$627,COUNTIF($L$630:$L647,AJ$627)+1,0)</f>
        <v>0</v>
      </c>
      <c r="AK647" s="3062">
        <f>IF($L647=AK$627,COUNTIF($L$630:$L647,AK$627)+1,0)</f>
        <v>0</v>
      </c>
      <c r="AL647" s="3063">
        <f>IF($L647=AL$627,COUNTIF($L$630:$L647,AL$627)+1,0)</f>
        <v>17</v>
      </c>
    </row>
    <row r="648" spans="1:38" ht="12.75" customHeight="1">
      <c r="A648" s="1886">
        <v>648</v>
      </c>
      <c r="B648" s="5250"/>
      <c r="C648" s="2780"/>
      <c r="D648" s="2781" t="s">
        <v>2485</v>
      </c>
      <c r="E648" s="2788">
        <v>50</v>
      </c>
      <c r="F648" s="2778">
        <v>-5</v>
      </c>
      <c r="G648" s="2778">
        <v>5</v>
      </c>
      <c r="H648" s="2778">
        <v>5</v>
      </c>
      <c r="I648" s="2778" t="s">
        <v>1863</v>
      </c>
      <c r="J648" s="2778" t="s">
        <v>1766</v>
      </c>
      <c r="K648" s="2772" t="s">
        <v>8885</v>
      </c>
      <c r="L648" s="2778" t="str">
        <f t="shared" si="81"/>
        <v>Conocida</v>
      </c>
      <c r="M648" s="2789">
        <v>13</v>
      </c>
      <c r="N648" s="2789">
        <v>4</v>
      </c>
      <c r="O648" s="2789">
        <v>20</v>
      </c>
      <c r="P648" s="2778"/>
      <c r="Q648" s="2778"/>
      <c r="R648" s="2778" t="s">
        <v>1766</v>
      </c>
      <c r="S648" s="2778" t="s">
        <v>1766</v>
      </c>
      <c r="T648" s="2778" t="s">
        <v>1766</v>
      </c>
      <c r="U648" s="2778"/>
      <c r="V648" s="2772" t="s">
        <v>1766</v>
      </c>
      <c r="W648" s="2772"/>
      <c r="X648" s="2773"/>
      <c r="Z648" s="3060" t="str">
        <f t="shared" si="80"/>
        <v>, Espada/-</v>
      </c>
      <c r="AB648" s="2184" t="s">
        <v>2491</v>
      </c>
      <c r="AC648" s="1971" t="s">
        <v>8569</v>
      </c>
      <c r="AD648" s="442" t="s">
        <v>2584</v>
      </c>
      <c r="AE648" s="3039"/>
      <c r="AG648" s="2184" t="str">
        <f t="shared" si="76"/>
        <v/>
      </c>
      <c r="AH648" s="1971" t="str">
        <f t="shared" si="77"/>
        <v/>
      </c>
      <c r="AI648" s="1971" t="str">
        <f t="shared" si="78"/>
        <v>Claymore</v>
      </c>
      <c r="AJ648" s="3061">
        <f>IF($L648=AJ$627,COUNTIF($L$630:$L648,AJ$627)+1,0)</f>
        <v>0</v>
      </c>
      <c r="AK648" s="3062">
        <f>IF($L648=AK$627,COUNTIF($L$630:$L648,AK$627)+1,0)</f>
        <v>0</v>
      </c>
      <c r="AL648" s="3063">
        <f>IF($L648=AL$627,COUNTIF($L$630:$L648,AL$627)+1,0)</f>
        <v>0</v>
      </c>
    </row>
    <row r="649" spans="1:38" ht="12.75" customHeight="1">
      <c r="A649" s="1886">
        <v>649</v>
      </c>
      <c r="B649" s="5250"/>
      <c r="C649" s="2780"/>
      <c r="D649" s="2781" t="s">
        <v>8566</v>
      </c>
      <c r="E649" s="2788">
        <v>35</v>
      </c>
      <c r="F649" s="2778">
        <v>0</v>
      </c>
      <c r="G649" s="2778">
        <v>4</v>
      </c>
      <c r="H649" s="2778">
        <v>4</v>
      </c>
      <c r="I649" s="2778" t="s">
        <v>1864</v>
      </c>
      <c r="J649" s="2778" t="s">
        <v>1863</v>
      </c>
      <c r="K649" s="2772" t="s">
        <v>8887</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8570</v>
      </c>
      <c r="AC649" s="1971" t="s">
        <v>2509</v>
      </c>
      <c r="AD649" s="442" t="s">
        <v>2585</v>
      </c>
      <c r="AE649" s="3039"/>
      <c r="AG649" s="2184" t="str">
        <f t="shared" si="76"/>
        <v/>
      </c>
      <c r="AH649" s="1971" t="str">
        <f t="shared" si="77"/>
        <v/>
      </c>
      <c r="AI649" s="1971" t="str">
        <f t="shared" si="78"/>
        <v>Daga</v>
      </c>
      <c r="AJ649" s="3061">
        <f>IF($L649=AJ$627,COUNTIF($L$630:$L649,AJ$627)+1,0)</f>
        <v>0</v>
      </c>
      <c r="AK649" s="3062">
        <f>IF($L649=AK$627,COUNTIF($L$630:$L649,AK$627)+1,0)</f>
        <v>0</v>
      </c>
      <c r="AL649" s="3063">
        <f>IF($L649=AL$627,COUNTIF($L$630:$L649,AL$627)+1,0)</f>
        <v>18</v>
      </c>
    </row>
    <row r="650" spans="1:38" ht="12.75" customHeight="1">
      <c r="A650" s="1886">
        <v>650</v>
      </c>
      <c r="B650" s="5250"/>
      <c r="C650" s="2780"/>
      <c r="D650" s="2781" t="s">
        <v>8561</v>
      </c>
      <c r="E650" s="2788">
        <v>65</v>
      </c>
      <c r="F650" s="2778">
        <v>-20</v>
      </c>
      <c r="G650" s="2778" t="s">
        <v>1766</v>
      </c>
      <c r="H650" s="2778">
        <v>7</v>
      </c>
      <c r="I650" s="2778" t="s">
        <v>1863</v>
      </c>
      <c r="J650" s="2778" t="s">
        <v>1809</v>
      </c>
      <c r="K650" s="2772" t="s">
        <v>8889</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8571</v>
      </c>
      <c r="AC650" s="1971" t="s">
        <v>2517</v>
      </c>
      <c r="AD650" s="442" t="s">
        <v>9962</v>
      </c>
      <c r="AE650" s="3039"/>
      <c r="AG650" s="2184" t="str">
        <f t="shared" si="76"/>
        <v/>
      </c>
      <c r="AH650" s="1971" t="str">
        <f t="shared" si="77"/>
        <v/>
      </c>
      <c r="AI650" s="1971" t="str">
        <f t="shared" si="78"/>
        <v>Daga de parada</v>
      </c>
      <c r="AJ650" s="3061">
        <f>IF($L650=AJ$627,COUNTIF($L$630:$L650,AJ$627)+1,0)</f>
        <v>0</v>
      </c>
      <c r="AK650" s="3062">
        <f>IF($L650=AK$627,COUNTIF($L$630:$L650,AK$627)+1,0)</f>
        <v>0</v>
      </c>
      <c r="AL650" s="3063">
        <f>IF($L650=AL$627,COUNTIF($L$630:$L650,AL$627)+1,0)</f>
        <v>19</v>
      </c>
    </row>
    <row r="651" spans="1:38" ht="12.75" customHeight="1">
      <c r="A651" s="1886">
        <v>651</v>
      </c>
      <c r="B651" s="5250"/>
      <c r="C651" s="2780"/>
      <c r="D651" s="2781" t="s">
        <v>2487</v>
      </c>
      <c r="E651" s="2788">
        <v>30</v>
      </c>
      <c r="F651" s="2778">
        <v>20</v>
      </c>
      <c r="G651" s="2778">
        <v>3</v>
      </c>
      <c r="H651" s="2778">
        <v>3</v>
      </c>
      <c r="I651" s="2778" t="s">
        <v>1864</v>
      </c>
      <c r="J651" s="2778" t="s">
        <v>1863</v>
      </c>
      <c r="K651" s="2772" t="s">
        <v>8887</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8572</v>
      </c>
      <c r="AD651" s="442" t="s">
        <v>9963</v>
      </c>
      <c r="AE651" s="3039"/>
      <c r="AG651" s="2184" t="str">
        <f t="shared" si="76"/>
        <v/>
      </c>
      <c r="AH651" s="1971" t="str">
        <f t="shared" si="77"/>
        <v/>
      </c>
      <c r="AI651" s="1971" t="str">
        <f t="shared" si="78"/>
        <v>Dardos de mano</v>
      </c>
      <c r="AJ651" s="3061">
        <f>IF($L651=AJ$627,COUNTIF($L$630:$L651,AJ$627)+1,0)</f>
        <v>0</v>
      </c>
      <c r="AK651" s="3062">
        <f>IF($L651=AK$627,COUNTIF($L$630:$L651,AK$627)+1,0)</f>
        <v>0</v>
      </c>
      <c r="AL651" s="3063">
        <f>IF($L651=AL$627,COUNTIF($L$630:$L651,AL$627)+1,0)</f>
        <v>20</v>
      </c>
    </row>
    <row r="652" spans="1:38" ht="12.75" customHeight="1">
      <c r="A652" s="1886">
        <v>652</v>
      </c>
      <c r="B652" s="5250"/>
      <c r="C652" s="2780"/>
      <c r="D652" s="2781" t="s">
        <v>2489</v>
      </c>
      <c r="E652" s="2788">
        <v>30</v>
      </c>
      <c r="F652" s="2778">
        <v>15</v>
      </c>
      <c r="G652" s="2778">
        <v>3</v>
      </c>
      <c r="H652" s="2778">
        <v>3</v>
      </c>
      <c r="I652" s="2778" t="s">
        <v>1864</v>
      </c>
      <c r="J652" s="2778" t="s">
        <v>1863</v>
      </c>
      <c r="K652" s="2772" t="s">
        <v>8887</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8573</v>
      </c>
      <c r="AD652" s="442" t="s">
        <v>9964</v>
      </c>
      <c r="AE652" s="3039"/>
      <c r="AG652" s="2184" t="str">
        <f t="shared" si="76"/>
        <v/>
      </c>
      <c r="AH652" s="1971" t="str">
        <f t="shared" si="77"/>
        <v/>
      </c>
      <c r="AI652" s="1971" t="str">
        <f t="shared" si="78"/>
        <v>Dirk</v>
      </c>
      <c r="AJ652" s="3061">
        <f>IF($L652=AJ$627,COUNTIF($L$630:$L652,AJ$627)+1,0)</f>
        <v>0</v>
      </c>
      <c r="AK652" s="3062">
        <f>IF($L652=AK$627,COUNTIF($L$630:$L652,AK$627)+1,0)</f>
        <v>0</v>
      </c>
      <c r="AL652" s="3063">
        <f>IF($L652=AL$627,COUNTIF($L$630:$L652,AL$627)+1,0)</f>
        <v>21</v>
      </c>
    </row>
    <row r="653" spans="1:38" ht="12.75" customHeight="1">
      <c r="A653" s="1886">
        <v>653</v>
      </c>
      <c r="B653" s="5250"/>
      <c r="C653" s="2780"/>
      <c r="D653" s="2781" t="s">
        <v>2491</v>
      </c>
      <c r="E653" s="2778">
        <v>20</v>
      </c>
      <c r="F653" s="2778">
        <v>20</v>
      </c>
      <c r="G653" s="2778">
        <v>3</v>
      </c>
      <c r="H653" s="2778">
        <v>3</v>
      </c>
      <c r="I653" s="2778" t="s">
        <v>1864</v>
      </c>
      <c r="J653" s="2778" t="s">
        <v>1766</v>
      </c>
      <c r="K653" s="2772" t="s">
        <v>8884</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9965</v>
      </c>
      <c r="AE653" s="3039"/>
      <c r="AG653" s="2184" t="str">
        <f t="shared" si="76"/>
        <v/>
      </c>
      <c r="AH653" s="1971" t="str">
        <f t="shared" si="77"/>
        <v/>
      </c>
      <c r="AI653" s="1971" t="str">
        <f t="shared" si="78"/>
        <v>Escramasajón</v>
      </c>
      <c r="AJ653" s="3061">
        <f>IF($L653=AJ$627,COUNTIF($L$630:$L653,AJ$627)+1,0)</f>
        <v>0</v>
      </c>
      <c r="AK653" s="3062">
        <f>IF($L653=AK$627,COUNTIF($L$630:$L653,AK$627)+1,0)</f>
        <v>0</v>
      </c>
      <c r="AL653" s="3063">
        <f>IF($L653=AL$627,COUNTIF($L$630:$L653,AL$627)+1,0)</f>
        <v>22</v>
      </c>
    </row>
    <row r="654" spans="1:38" ht="12.75" customHeight="1">
      <c r="A654" s="1886">
        <v>654</v>
      </c>
      <c r="B654" s="5250"/>
      <c r="C654" s="2780"/>
      <c r="D654" s="2781" t="s">
        <v>8570</v>
      </c>
      <c r="E654" s="2788">
        <v>35</v>
      </c>
      <c r="F654" s="2778">
        <v>15</v>
      </c>
      <c r="G654" s="2778">
        <v>5</v>
      </c>
      <c r="H654" s="2778">
        <v>5</v>
      </c>
      <c r="I654" s="2778" t="s">
        <v>1864</v>
      </c>
      <c r="J654" s="2778" t="s">
        <v>1766</v>
      </c>
      <c r="K654" s="2772" t="s">
        <v>8887</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8574</v>
      </c>
      <c r="AD654" s="442" t="s">
        <v>2607</v>
      </c>
      <c r="AE654" s="3039"/>
      <c r="AG654" s="2184" t="str">
        <f t="shared" si="76"/>
        <v/>
      </c>
      <c r="AH654" s="1971" t="str">
        <f t="shared" si="77"/>
        <v/>
      </c>
      <c r="AI654" s="1971" t="str">
        <f t="shared" si="78"/>
        <v>Espada a dos manos</v>
      </c>
      <c r="AJ654" s="3061">
        <f>IF($L654=AJ$627,COUNTIF($L$630:$L654,AJ$627)+1,0)</f>
        <v>0</v>
      </c>
      <c r="AK654" s="3062">
        <f>IF($L654=AK$627,COUNTIF($L$630:$L654,AK$627)+1,0)</f>
        <v>0</v>
      </c>
      <c r="AL654" s="3063">
        <f>IF($L654=AL$627,COUNTIF($L$630:$L654,AL$627)+1,0)</f>
        <v>23</v>
      </c>
    </row>
    <row r="655" spans="1:38" ht="12.75" customHeight="1">
      <c r="A655" s="1886">
        <v>655</v>
      </c>
      <c r="B655" s="5250"/>
      <c r="C655" s="2780"/>
      <c r="D655" s="2781" t="s">
        <v>8571</v>
      </c>
      <c r="E655" s="2788">
        <v>45</v>
      </c>
      <c r="F655" s="2778">
        <v>0</v>
      </c>
      <c r="G655" s="2778">
        <v>4</v>
      </c>
      <c r="H655" s="2778">
        <v>4</v>
      </c>
      <c r="I655" s="2778" t="s">
        <v>1863</v>
      </c>
      <c r="J655" s="2778" t="s">
        <v>1864</v>
      </c>
      <c r="K655" s="2772" t="s">
        <v>8887</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8576</v>
      </c>
      <c r="AD655" s="442" t="s">
        <v>2617</v>
      </c>
      <c r="AE655" s="3039"/>
      <c r="AG655" s="2184" t="str">
        <f t="shared" si="76"/>
        <v/>
      </c>
      <c r="AH655" s="1971" t="str">
        <f t="shared" si="77"/>
        <v/>
      </c>
      <c r="AI655" s="1971" t="str">
        <f t="shared" si="78"/>
        <v>Espada corta</v>
      </c>
      <c r="AJ655" s="3061">
        <f>IF($L655=AJ$627,COUNTIF($L$630:$L655,AJ$627)+1,0)</f>
        <v>0</v>
      </c>
      <c r="AK655" s="3062">
        <f>IF($L655=AK$627,COUNTIF($L$630:$L655,AK$627)+1,0)</f>
        <v>0</v>
      </c>
      <c r="AL655" s="3063">
        <f>IF($L655=AL$627,COUNTIF($L$630:$L655,AL$627)+1,0)</f>
        <v>24</v>
      </c>
    </row>
    <row r="656" spans="1:38" ht="12.75" customHeight="1">
      <c r="A656" s="1886">
        <v>656</v>
      </c>
      <c r="B656" s="5250"/>
      <c r="C656" s="2780"/>
      <c r="D656" s="2781" t="s">
        <v>2493</v>
      </c>
      <c r="E656" s="2788">
        <v>90</v>
      </c>
      <c r="F656" s="2778">
        <v>-60</v>
      </c>
      <c r="G656" s="2778">
        <v>10</v>
      </c>
      <c r="H656" s="2778">
        <v>8</v>
      </c>
      <c r="I656" s="2778" t="s">
        <v>1863</v>
      </c>
      <c r="J656" s="2778" t="s">
        <v>1809</v>
      </c>
      <c r="K656" s="2772" t="s">
        <v>8889</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Estilete</v>
      </c>
      <c r="AJ656" s="3061">
        <f>IF($L656=AJ$627,COUNTIF($L$630:$L656,AJ$627)+1,0)</f>
        <v>0</v>
      </c>
      <c r="AK656" s="3062">
        <f>IF($L656=AK$627,COUNTIF($L$630:$L656,AK$627)+1,0)</f>
        <v>0</v>
      </c>
      <c r="AL656" s="3063">
        <f>IF($L656=AL$627,COUNTIF($L$630:$L656,AL$627)+1,0)</f>
        <v>25</v>
      </c>
    </row>
    <row r="657" spans="1:38" ht="12.75" customHeight="1">
      <c r="A657" s="1886">
        <v>657</v>
      </c>
      <c r="B657" s="5250"/>
      <c r="C657" s="2780"/>
      <c r="D657" s="2781" t="s">
        <v>2495</v>
      </c>
      <c r="E657" s="2788">
        <v>55</v>
      </c>
      <c r="F657" s="2778">
        <v>-5</v>
      </c>
      <c r="G657" s="2778">
        <v>5</v>
      </c>
      <c r="H657" s="2778">
        <v>5</v>
      </c>
      <c r="I657" s="2778" t="s">
        <v>1863</v>
      </c>
      <c r="J657" s="2778" t="s">
        <v>1766</v>
      </c>
      <c r="K657" s="2772" t="s">
        <v>8885</v>
      </c>
      <c r="L657" s="2778" t="str">
        <f t="shared" si="81"/>
        <v>Similar</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8577</v>
      </c>
      <c r="AD657" s="442" t="s">
        <v>2620</v>
      </c>
      <c r="AE657" s="3039"/>
      <c r="AG657" s="2184" t="str">
        <f t="shared" si="76"/>
        <v/>
      </c>
      <c r="AH657" s="1971" t="str">
        <f t="shared" si="77"/>
        <v/>
      </c>
      <c r="AI657" s="1971" t="str">
        <f t="shared" si="78"/>
        <v>Garfio</v>
      </c>
      <c r="AJ657" s="3061">
        <f>IF($L657=AJ$627,COUNTIF($L$630:$L657,AJ$627)+1,0)</f>
        <v>3</v>
      </c>
      <c r="AK657" s="3062">
        <f>IF($L657=AK$627,COUNTIF($L$630:$L657,AK$627)+1,0)</f>
        <v>0</v>
      </c>
      <c r="AL657" s="3063">
        <f>IF($L657=AL$627,COUNTIF($L$630:$L657,AL$627)+1,0)</f>
        <v>0</v>
      </c>
    </row>
    <row r="658" spans="1:38" ht="12.75" customHeight="1">
      <c r="A658" s="1886">
        <v>658</v>
      </c>
      <c r="B658" s="5250"/>
      <c r="C658" s="2780"/>
      <c r="D658" s="2781" t="s">
        <v>2496</v>
      </c>
      <c r="E658" s="2788">
        <v>70</v>
      </c>
      <c r="F658" s="2778">
        <v>-30</v>
      </c>
      <c r="G658" s="2778">
        <v>7</v>
      </c>
      <c r="H658" s="2778">
        <v>7</v>
      </c>
      <c r="I658" s="2778" t="s">
        <v>1863</v>
      </c>
      <c r="J658" s="2778" t="s">
        <v>1809</v>
      </c>
      <c r="K658" s="2772" t="s">
        <v>8890</v>
      </c>
      <c r="L658" s="2778" t="str">
        <f t="shared" si="81"/>
        <v>Mixta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8578</v>
      </c>
      <c r="AC658" s="442" t="s">
        <v>2538</v>
      </c>
      <c r="AD658" s="442"/>
      <c r="AE658" s="3039"/>
      <c r="AG658" s="2184" t="str">
        <f t="shared" si="76"/>
        <v/>
      </c>
      <c r="AH658" s="1971" t="str">
        <f t="shared" si="77"/>
        <v/>
      </c>
      <c r="AI658" s="1971" t="str">
        <f t="shared" si="78"/>
        <v>Garrote</v>
      </c>
      <c r="AJ658" s="3061">
        <f>IF($L658=AJ$627,COUNTIF($L$630:$L658,AJ$627)+1,0)</f>
        <v>0</v>
      </c>
      <c r="AK658" s="3062">
        <f>IF($L658=AK$627,COUNTIF($L$630:$L658,AK$627)+1,0)</f>
        <v>2</v>
      </c>
      <c r="AL658" s="3063">
        <f>IF($L658=AL$627,COUNTIF($L$630:$L658,AL$627)+1,0)</f>
        <v>0</v>
      </c>
    </row>
    <row r="659" spans="1:38" ht="12.75" customHeight="1">
      <c r="A659" s="1886">
        <v>659</v>
      </c>
      <c r="B659" s="5250"/>
      <c r="C659" s="2780"/>
      <c r="D659" s="2781" t="s">
        <v>2497</v>
      </c>
      <c r="E659" s="2788">
        <v>40</v>
      </c>
      <c r="F659" s="2778">
        <v>15</v>
      </c>
      <c r="G659" s="2778">
        <v>4</v>
      </c>
      <c r="H659" s="2778">
        <v>4</v>
      </c>
      <c r="I659" s="2778" t="s">
        <v>1864</v>
      </c>
      <c r="J659" s="2778" t="s">
        <v>1863</v>
      </c>
      <c r="K659" s="2772" t="s">
        <v>8887</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Glavius</v>
      </c>
      <c r="AJ659" s="3061">
        <f>IF($L659=AJ$627,COUNTIF($L$630:$L659,AJ$627)+1,0)</f>
        <v>0</v>
      </c>
      <c r="AK659" s="3062">
        <f>IF($L659=AK$627,COUNTIF($L$630:$L659,AK$627)+1,0)</f>
        <v>0</v>
      </c>
      <c r="AL659" s="3063">
        <f>IF($L659=AL$627,COUNTIF($L$630:$L659,AL$627)+1,0)</f>
        <v>26</v>
      </c>
    </row>
    <row r="660" spans="1:38" ht="12.75" customHeight="1">
      <c r="A660" s="1886">
        <v>660</v>
      </c>
      <c r="B660" s="5250"/>
      <c r="C660" s="2780"/>
      <c r="D660" s="2781" t="s">
        <v>2499</v>
      </c>
      <c r="E660" s="2788">
        <v>50</v>
      </c>
      <c r="F660" s="2778">
        <v>0</v>
      </c>
      <c r="G660" s="2778">
        <v>6</v>
      </c>
      <c r="H660" s="2778">
        <v>6</v>
      </c>
      <c r="I660" s="2778" t="s">
        <v>1863</v>
      </c>
      <c r="J660" s="2778" t="s">
        <v>1766</v>
      </c>
      <c r="K660" s="2772" t="s">
        <v>8885</v>
      </c>
      <c r="L660" s="2778" t="str">
        <f t="shared" si="81"/>
        <v>Similar</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Goedendag</v>
      </c>
      <c r="AJ660" s="3061">
        <f>IF($L660=AJ$627,COUNTIF($L$630:$L660,AJ$627)+1,0)</f>
        <v>4</v>
      </c>
      <c r="AK660" s="3062">
        <f>IF($L660=AK$627,COUNTIF($L$630:$L660,AK$627)+1,0)</f>
        <v>0</v>
      </c>
      <c r="AL660" s="3063">
        <f>IF($L660=AL$627,COUNTIF($L$630:$L660,AL$627)+1,0)</f>
        <v>0</v>
      </c>
    </row>
    <row r="661" spans="1:38" ht="12.75" customHeight="1">
      <c r="A661" s="1886">
        <v>661</v>
      </c>
      <c r="B661" s="5250"/>
      <c r="C661" s="2780"/>
      <c r="D661" s="2781" t="s">
        <v>2500</v>
      </c>
      <c r="E661" s="2788">
        <v>25</v>
      </c>
      <c r="F661" s="2778">
        <v>20</v>
      </c>
      <c r="G661" s="2778">
        <v>3</v>
      </c>
      <c r="H661" s="2778">
        <v>3</v>
      </c>
      <c r="I661" s="2778" t="s">
        <v>1864</v>
      </c>
      <c r="J661" s="2778" t="s">
        <v>1766</v>
      </c>
      <c r="K661" s="2772" t="s">
        <v>8887</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Gosse Messer</v>
      </c>
      <c r="AJ661" s="3061">
        <f>IF($L661=AJ$627,COUNTIF($L$630:$L661,AJ$627)+1,0)</f>
        <v>0</v>
      </c>
      <c r="AK661" s="3062">
        <f>IF($L661=AK$627,COUNTIF($L$630:$L661,AK$627)+1,0)</f>
        <v>0</v>
      </c>
      <c r="AL661" s="3063">
        <f>IF($L661=AL$627,COUNTIF($L$630:$L661,AL$627)+1,0)</f>
        <v>27</v>
      </c>
    </row>
    <row r="662" spans="1:38" ht="12.75" customHeight="1">
      <c r="A662" s="1886">
        <v>662</v>
      </c>
      <c r="B662" s="5250"/>
      <c r="C662" s="2780"/>
      <c r="D662" s="2781" t="s">
        <v>2502</v>
      </c>
      <c r="E662" s="2788">
        <v>40</v>
      </c>
      <c r="F662" s="2778">
        <v>15</v>
      </c>
      <c r="G662" s="2778">
        <v>4</v>
      </c>
      <c r="H662" s="2778">
        <v>4</v>
      </c>
      <c r="I662" s="2778" t="s">
        <v>1864</v>
      </c>
      <c r="J662" s="2778" t="s">
        <v>1863</v>
      </c>
      <c r="K662" s="2772" t="s">
        <v>8885</v>
      </c>
      <c r="L662" s="2778" t="str">
        <f t="shared" si="81"/>
        <v>Similar</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8564</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Gran martillo guerra</v>
      </c>
      <c r="AJ662" s="3061">
        <f>IF($L662=AJ$627,COUNTIF($L$630:$L662,AJ$627)+1,0)</f>
        <v>5</v>
      </c>
      <c r="AK662" s="3062">
        <f>IF($L662=AK$627,COUNTIF($L$630:$L662,AK$627)+1,0)</f>
        <v>0</v>
      </c>
      <c r="AL662" s="3063">
        <f>IF($L662=AL$627,COUNTIF($L$630:$L662,AL$627)+1,0)</f>
        <v>0</v>
      </c>
    </row>
    <row r="663" spans="1:38" ht="12.75" customHeight="1">
      <c r="A663" s="1886">
        <v>663</v>
      </c>
      <c r="B663" s="5250"/>
      <c r="C663" s="2780"/>
      <c r="D663" s="2781" t="s">
        <v>8578</v>
      </c>
      <c r="E663" s="2788">
        <v>60</v>
      </c>
      <c r="F663" s="2778">
        <v>-10</v>
      </c>
      <c r="G663" s="2778">
        <v>7</v>
      </c>
      <c r="H663" s="2778">
        <v>7</v>
      </c>
      <c r="I663" s="2778" t="s">
        <v>1863</v>
      </c>
      <c r="J663" s="2778" t="s">
        <v>1766</v>
      </c>
      <c r="K663" s="2772" t="s">
        <v>8891</v>
      </c>
      <c r="L663" s="2778" t="str">
        <f t="shared" si="81"/>
        <v>Mixta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8565</v>
      </c>
      <c r="AC663" s="442" t="s">
        <v>2559</v>
      </c>
      <c r="AD663" s="442"/>
      <c r="AE663" s="3039"/>
      <c r="AG663" s="2184" t="str">
        <f t="shared" si="82"/>
        <v/>
      </c>
      <c r="AH663" s="1971" t="str">
        <f t="shared" si="83"/>
        <v/>
      </c>
      <c r="AI663" s="1971" t="str">
        <f t="shared" si="84"/>
        <v>Guadaña</v>
      </c>
      <c r="AJ663" s="3061">
        <f>IF($L663=AJ$627,COUNTIF($L$630:$L663,AJ$627)+1,0)</f>
        <v>0</v>
      </c>
      <c r="AK663" s="3062">
        <f>IF($L663=AK$627,COUNTIF($L$630:$L663,AK$627)+1,0)</f>
        <v>3</v>
      </c>
      <c r="AL663" s="3063">
        <f>IF($L663=AL$627,COUNTIF($L$630:$L663,AL$627)+1,0)</f>
        <v>0</v>
      </c>
    </row>
    <row r="664" spans="1:38" ht="12.75" customHeight="1">
      <c r="A664" s="1886">
        <v>664</v>
      </c>
      <c r="B664" s="5250"/>
      <c r="C664" s="2780"/>
      <c r="D664" s="2781" t="s">
        <v>2503</v>
      </c>
      <c r="E664" s="2788">
        <v>35</v>
      </c>
      <c r="F664" s="2778">
        <v>15</v>
      </c>
      <c r="G664" s="2778">
        <v>3</v>
      </c>
      <c r="H664" s="2778">
        <v>3</v>
      </c>
      <c r="I664" s="2778" t="s">
        <v>1864</v>
      </c>
      <c r="J664" s="2778" t="s">
        <v>1766</v>
      </c>
      <c r="K664" s="2772" t="s">
        <v>8892</v>
      </c>
      <c r="L664" s="2778" t="str">
        <f t="shared" si="81"/>
        <v>Mixta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Guandao</v>
      </c>
      <c r="AJ664" s="3061">
        <f>IF($L664=AJ$627,COUNTIF($L$630:$L664,AJ$627)+1,0)</f>
        <v>0</v>
      </c>
      <c r="AK664" s="3062">
        <f>IF($L664=AK$627,COUNTIF($L$630:$L664,AK$627)+1,0)</f>
        <v>4</v>
      </c>
      <c r="AL664" s="3063">
        <f>IF($L664=AL$627,COUNTIF($L$630:$L664,AL$627)+1,0)</f>
        <v>0</v>
      </c>
    </row>
    <row r="665" spans="1:38" ht="12.75" customHeight="1">
      <c r="A665" s="1886">
        <v>665</v>
      </c>
      <c r="B665" s="5250"/>
      <c r="C665" s="2780"/>
      <c r="D665" s="2781" t="s">
        <v>2504</v>
      </c>
      <c r="E665" s="2788">
        <v>30</v>
      </c>
      <c r="F665" s="2778">
        <v>10</v>
      </c>
      <c r="G665" s="2778">
        <v>3</v>
      </c>
      <c r="H665" s="2778">
        <v>3</v>
      </c>
      <c r="I665" s="2778" t="s">
        <v>1864</v>
      </c>
      <c r="J665" s="2778" t="s">
        <v>1766</v>
      </c>
      <c r="K665" s="2772" t="s">
        <v>8887</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Hacha a dos manos</v>
      </c>
      <c r="AJ665" s="3061">
        <f>IF($L665=AJ$627,COUNTIF($L$630:$L665,AJ$627)+1,0)</f>
        <v>0</v>
      </c>
      <c r="AK665" s="3062">
        <f>IF($L665=AK$627,COUNTIF($L$630:$L665,AK$627)+1,0)</f>
        <v>0</v>
      </c>
      <c r="AL665" s="3063">
        <f>IF($L665=AL$627,COUNTIF($L$630:$L665,AL$627)+1,0)</f>
        <v>28</v>
      </c>
    </row>
    <row r="666" spans="1:38" ht="12.75" customHeight="1">
      <c r="A666" s="1886">
        <v>666</v>
      </c>
      <c r="B666" s="5250"/>
      <c r="C666" s="2780"/>
      <c r="D666" s="2781" t="s">
        <v>2505</v>
      </c>
      <c r="E666" s="2788">
        <v>30</v>
      </c>
      <c r="F666" s="2778">
        <v>0</v>
      </c>
      <c r="G666" s="2778">
        <v>5</v>
      </c>
      <c r="H666" s="2778">
        <v>5</v>
      </c>
      <c r="I666" s="2778" t="s">
        <v>1809</v>
      </c>
      <c r="J666" s="2778" t="s">
        <v>1766</v>
      </c>
      <c r="K666" s="2772" t="s">
        <v>8888</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8579</v>
      </c>
      <c r="AD666" s="442"/>
      <c r="AE666" s="3039"/>
      <c r="AG666" s="2184" t="str">
        <f t="shared" si="82"/>
        <v/>
      </c>
      <c r="AH666" s="1971" t="str">
        <f t="shared" si="83"/>
        <v/>
      </c>
      <c r="AI666" s="1971" t="str">
        <f t="shared" si="84"/>
        <v>Hacha de guerra</v>
      </c>
      <c r="AJ666" s="3061">
        <f>IF($L666=AJ$627,COUNTIF($L$630:$L666,AJ$627)+1,0)</f>
        <v>0</v>
      </c>
      <c r="AK666" s="3062">
        <f>IF($L666=AK$627,COUNTIF($L$630:$L666,AK$627)+1,0)</f>
        <v>0</v>
      </c>
      <c r="AL666" s="3063">
        <f>IF($L666=AL$627,COUNTIF($L$630:$L666,AL$627)+1,0)</f>
        <v>29</v>
      </c>
    </row>
    <row r="667" spans="1:38" ht="12.75" customHeight="1">
      <c r="A667" s="1886">
        <v>667</v>
      </c>
      <c r="B667" s="5250"/>
      <c r="C667" s="2780"/>
      <c r="D667" s="2781" t="s">
        <v>8564</v>
      </c>
      <c r="E667" s="2788">
        <v>40</v>
      </c>
      <c r="F667" s="2778">
        <v>0</v>
      </c>
      <c r="G667" s="2778">
        <v>7</v>
      </c>
      <c r="H667" s="2778">
        <v>6</v>
      </c>
      <c r="I667" s="2778" t="s">
        <v>1864</v>
      </c>
      <c r="J667" s="2778" t="s">
        <v>1863</v>
      </c>
      <c r="K667" s="2772" t="s">
        <v>8882</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8580</v>
      </c>
      <c r="AD667" s="442"/>
      <c r="AE667" s="3039"/>
      <c r="AG667" s="2184" t="str">
        <f t="shared" si="82"/>
        <v/>
      </c>
      <c r="AH667" s="1971" t="str">
        <f t="shared" si="83"/>
        <v/>
      </c>
      <c r="AI667" s="1971" t="str">
        <f t="shared" si="84"/>
        <v>Hacha de mano</v>
      </c>
      <c r="AJ667" s="3061">
        <f>IF($L667=AJ$627,COUNTIF($L$630:$L667,AJ$627)+1,0)</f>
        <v>0</v>
      </c>
      <c r="AK667" s="3062">
        <f>IF($L667=AK$627,COUNTIF($L$630:$L667,AK$627)+1,0)</f>
        <v>0</v>
      </c>
      <c r="AL667" s="3063">
        <f>IF($L667=AL$627,COUNTIF($L$630:$L667,AL$627)+1,0)</f>
        <v>30</v>
      </c>
    </row>
    <row r="668" spans="1:38" ht="12.75" customHeight="1">
      <c r="A668" s="1886">
        <v>668</v>
      </c>
      <c r="B668" s="5250"/>
      <c r="C668" s="2780"/>
      <c r="D668" s="2781" t="s">
        <v>8565</v>
      </c>
      <c r="E668" s="2788">
        <v>35</v>
      </c>
      <c r="F668" s="2778">
        <v>5</v>
      </c>
      <c r="G668" s="2778">
        <v>6</v>
      </c>
      <c r="H668" s="2778">
        <v>4</v>
      </c>
      <c r="I668" s="2778" t="s">
        <v>1864</v>
      </c>
      <c r="J668" s="2778" t="s">
        <v>1809</v>
      </c>
      <c r="K668" s="2772" t="s">
        <v>8882</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60" t="str">
        <f t="shared" si="85"/>
        <v/>
      </c>
      <c r="AB668" s="2184" t="s">
        <v>2513</v>
      </c>
      <c r="AC668" s="442" t="s">
        <v>8582</v>
      </c>
      <c r="AD668" s="442"/>
      <c r="AE668" s="3039"/>
      <c r="AG668" s="2184" t="str">
        <f t="shared" si="82"/>
        <v/>
      </c>
      <c r="AH668" s="1971" t="str">
        <f t="shared" si="83"/>
        <v/>
      </c>
      <c r="AI668" s="1971" t="str">
        <f t="shared" si="84"/>
        <v>Hu Die Dao</v>
      </c>
      <c r="AJ668" s="3061">
        <f>IF($L668=AJ$627,COUNTIF($L$630:$L668,AJ$627)+1,0)</f>
        <v>0</v>
      </c>
      <c r="AK668" s="3062">
        <f>IF($L668=AK$627,COUNTIF($L$630:$L668,AK$627)+1,0)</f>
        <v>0</v>
      </c>
      <c r="AL668" s="3063">
        <f>IF($L668=AL$627,COUNTIF($L$630:$L668,AL$627)+1,0)</f>
        <v>31</v>
      </c>
    </row>
    <row r="669" spans="1:38" ht="12.75" customHeight="1">
      <c r="A669" s="1886">
        <v>669</v>
      </c>
      <c r="B669" s="5250"/>
      <c r="C669" s="2780"/>
      <c r="D669" s="2781" t="s">
        <v>8567</v>
      </c>
      <c r="E669" s="2788">
        <v>75</v>
      </c>
      <c r="F669" s="2778">
        <v>-30</v>
      </c>
      <c r="G669" s="2778">
        <v>9</v>
      </c>
      <c r="H669" s="2778">
        <v>6</v>
      </c>
      <c r="I669" s="2778" t="s">
        <v>1863</v>
      </c>
      <c r="J669" s="2778" t="s">
        <v>1766</v>
      </c>
      <c r="K669" s="2772" t="s">
        <v>8889</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8583</v>
      </c>
      <c r="AC669" s="442" t="s">
        <v>8584</v>
      </c>
      <c r="AD669" s="442"/>
      <c r="AE669" s="3039"/>
      <c r="AG669" s="2184" t="str">
        <f t="shared" si="82"/>
        <v/>
      </c>
      <c r="AH669" s="1971" t="str">
        <f t="shared" si="83"/>
        <v/>
      </c>
      <c r="AI669" s="1971" t="str">
        <f t="shared" si="84"/>
        <v>Jabalina</v>
      </c>
      <c r="AJ669" s="3061">
        <f>IF($L669=AJ$627,COUNTIF($L$630:$L669,AJ$627)+1,0)</f>
        <v>0</v>
      </c>
      <c r="AK669" s="3062">
        <f>IF($L669=AK$627,COUNTIF($L$630:$L669,AK$627)+1,0)</f>
        <v>0</v>
      </c>
      <c r="AL669" s="3063">
        <f>IF($L669=AL$627,COUNTIF($L$630:$L669,AL$627)+1,0)</f>
        <v>32</v>
      </c>
    </row>
    <row r="670" spans="1:38" ht="12.75" customHeight="1">
      <c r="A670" s="1886">
        <v>670</v>
      </c>
      <c r="B670" s="5250"/>
      <c r="C670" s="2780"/>
      <c r="D670" s="2781" t="s">
        <v>2507</v>
      </c>
      <c r="E670" s="2788">
        <v>70</v>
      </c>
      <c r="F670" s="2778">
        <v>-35</v>
      </c>
      <c r="G670" s="2778">
        <v>10</v>
      </c>
      <c r="H670" s="2778">
        <v>7</v>
      </c>
      <c r="I670" s="2778" t="s">
        <v>1809</v>
      </c>
      <c r="J670" s="2778" t="s">
        <v>1766</v>
      </c>
      <c r="K670" s="2772" t="s">
        <v>8888</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8585</v>
      </c>
      <c r="AD670" s="442"/>
      <c r="AE670" s="3039"/>
      <c r="AG670" s="2184" t="str">
        <f t="shared" si="82"/>
        <v/>
      </c>
      <c r="AH670" s="1971" t="str">
        <f t="shared" si="83"/>
        <v/>
      </c>
      <c r="AI670" s="1971" t="str">
        <f t="shared" si="84"/>
        <v>Katzbalger</v>
      </c>
      <c r="AJ670" s="3061">
        <f>IF($L670=AJ$627,COUNTIF($L$630:$L670,AJ$627)+1,0)</f>
        <v>0</v>
      </c>
      <c r="AK670" s="3062">
        <f>IF($L670=AK$627,COUNTIF($L$630:$L670,AK$627)+1,0)</f>
        <v>0</v>
      </c>
      <c r="AL670" s="3063">
        <f>IF($L670=AL$627,COUNTIF($L$630:$L670,AL$627)+1,0)</f>
        <v>33</v>
      </c>
    </row>
    <row r="671" spans="1:38" ht="12.75" customHeight="1">
      <c r="A671" s="1886">
        <v>671</v>
      </c>
      <c r="B671" s="5250"/>
      <c r="C671" s="2780"/>
      <c r="D671" s="2781" t="s">
        <v>2508</v>
      </c>
      <c r="E671" s="2788">
        <v>35</v>
      </c>
      <c r="F671" s="2778">
        <v>0</v>
      </c>
      <c r="G671" s="2778">
        <v>9</v>
      </c>
      <c r="H671" s="2778">
        <v>5</v>
      </c>
      <c r="I671" s="2778" t="s">
        <v>1863</v>
      </c>
      <c r="J671" s="2778" t="s">
        <v>1809</v>
      </c>
      <c r="K671" s="2772" t="s">
        <v>8881</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8586</v>
      </c>
      <c r="AC671" s="442" t="s">
        <v>8587</v>
      </c>
      <c r="AD671" s="442"/>
      <c r="AE671" s="3039"/>
      <c r="AG671" s="2184" t="str">
        <f t="shared" si="82"/>
        <v/>
      </c>
      <c r="AH671" s="1971" t="str">
        <f t="shared" si="83"/>
        <v/>
      </c>
      <c r="AI671" s="1971" t="str">
        <f t="shared" si="84"/>
        <v>Kerambit</v>
      </c>
      <c r="AJ671" s="3061">
        <f>IF($L671=AJ$627,COUNTIF($L$630:$L671,AJ$627)+1,0)</f>
        <v>0</v>
      </c>
      <c r="AK671" s="3062">
        <f>IF($L671=AK$627,COUNTIF($L$630:$L671,AK$627)+1,0)</f>
        <v>0</v>
      </c>
      <c r="AL671" s="3063">
        <f>IF($L671=AL$627,COUNTIF($L$630:$L671,AL$627)+1,0)</f>
        <v>34</v>
      </c>
    </row>
    <row r="672" spans="1:38" ht="12.75" customHeight="1">
      <c r="A672" s="1886">
        <v>672</v>
      </c>
      <c r="B672" s="5250"/>
      <c r="C672" s="2780"/>
      <c r="D672" s="2781" t="s">
        <v>8569</v>
      </c>
      <c r="E672" s="2788">
        <v>65</v>
      </c>
      <c r="F672" s="2778">
        <v>-20</v>
      </c>
      <c r="G672" s="2778">
        <v>11</v>
      </c>
      <c r="H672" s="2778">
        <v>7</v>
      </c>
      <c r="I672" s="2778" t="s">
        <v>1863</v>
      </c>
      <c r="J672" s="2778" t="s">
        <v>1864</v>
      </c>
      <c r="K672" s="2772" t="s">
        <v>8882</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8588</v>
      </c>
      <c r="AC672" s="442" t="s">
        <v>2607</v>
      </c>
      <c r="AD672" s="442"/>
      <c r="AE672" s="3039"/>
      <c r="AG672" s="2184" t="str">
        <f t="shared" si="82"/>
        <v/>
      </c>
      <c r="AH672" s="1971" t="str">
        <f t="shared" si="83"/>
        <v/>
      </c>
      <c r="AI672" s="1971" t="str">
        <f t="shared" si="84"/>
        <v>Kukri</v>
      </c>
      <c r="AJ672" s="3061">
        <f>IF($L672=AJ$627,COUNTIF($L$630:$L672,AJ$627)+1,0)</f>
        <v>0</v>
      </c>
      <c r="AK672" s="3062">
        <f>IF($L672=AK$627,COUNTIF($L$630:$L672,AK$627)+1,0)</f>
        <v>0</v>
      </c>
      <c r="AL672" s="3063">
        <f>IF($L672=AL$627,COUNTIF($L$630:$L672,AL$627)+1,0)</f>
        <v>35</v>
      </c>
    </row>
    <row r="673" spans="1:38" ht="12.75" customHeight="1">
      <c r="A673" s="1886">
        <v>673</v>
      </c>
      <c r="B673" s="5250"/>
      <c r="C673" s="2780"/>
      <c r="D673" s="2781" t="s">
        <v>2509</v>
      </c>
      <c r="E673" s="2788">
        <v>100</v>
      </c>
      <c r="F673" s="2778">
        <v>-70</v>
      </c>
      <c r="G673" s="2778">
        <v>11</v>
      </c>
      <c r="H673" s="2778">
        <v>9</v>
      </c>
      <c r="I673" s="2778" t="s">
        <v>1863</v>
      </c>
      <c r="J673" s="2778" t="s">
        <v>1809</v>
      </c>
      <c r="K673" s="2772" t="s">
        <v>8893</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8589</v>
      </c>
      <c r="AC673" s="442" t="s">
        <v>2612</v>
      </c>
      <c r="AD673" s="442"/>
      <c r="AE673" s="3039"/>
      <c r="AG673" s="2184" t="str">
        <f t="shared" si="82"/>
        <v/>
      </c>
      <c r="AH673" s="1971" t="str">
        <f t="shared" si="83"/>
        <v/>
      </c>
      <c r="AI673" s="1971" t="str">
        <f t="shared" si="84"/>
        <v>Lanza</v>
      </c>
      <c r="AJ673" s="3061">
        <f>IF($L673=AJ$627,COUNTIF($L$630:$L673,AJ$627)+1,0)</f>
        <v>0</v>
      </c>
      <c r="AK673" s="3062">
        <f>IF($L673=AK$627,COUNTIF($L$630:$L673,AK$627)+1,0)</f>
        <v>0</v>
      </c>
      <c r="AL673" s="3063">
        <f>IF($L673=AL$627,COUNTIF($L$630:$L673,AL$627)+1,0)</f>
        <v>36</v>
      </c>
    </row>
    <row r="674" spans="1:38" ht="12.75" customHeight="1">
      <c r="A674" s="1886">
        <v>674</v>
      </c>
      <c r="B674" s="5250"/>
      <c r="C674" s="2780"/>
      <c r="D674" s="2781" t="s">
        <v>2511</v>
      </c>
      <c r="E674" s="2788">
        <v>70</v>
      </c>
      <c r="F674" s="2778">
        <v>-30</v>
      </c>
      <c r="G674" s="2778">
        <v>7</v>
      </c>
      <c r="H674" s="2778">
        <v>7</v>
      </c>
      <c r="I674" s="2778" t="s">
        <v>1863</v>
      </c>
      <c r="J674" s="2778" t="s">
        <v>1809</v>
      </c>
      <c r="K674" s="2772" t="s">
        <v>8894</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8590</v>
      </c>
      <c r="AC674" s="442" t="s">
        <v>2614</v>
      </c>
      <c r="AD674" s="442"/>
      <c r="AE674" s="3039"/>
      <c r="AG674" s="2184" t="str">
        <f t="shared" si="82"/>
        <v/>
      </c>
      <c r="AH674" s="1971" t="str">
        <f t="shared" si="83"/>
        <v/>
      </c>
      <c r="AI674" s="1971" t="str">
        <f t="shared" si="84"/>
        <v>Lanza de caballería</v>
      </c>
      <c r="AJ674" s="3061">
        <f>IF($L674=AJ$627,COUNTIF($L$630:$L674,AJ$627)+1,0)</f>
        <v>0</v>
      </c>
      <c r="AK674" s="3062">
        <f>IF($L674=AK$627,COUNTIF($L$630:$L674,AK$627)+1,0)</f>
        <v>0</v>
      </c>
      <c r="AL674" s="3063">
        <f>IF($L674=AL$627,COUNTIF($L$630:$L674,AL$627)+1,0)</f>
        <v>37</v>
      </c>
    </row>
    <row r="675" spans="1:38" ht="12.75" customHeight="1">
      <c r="A675" s="1886">
        <v>675</v>
      </c>
      <c r="B675" s="5250"/>
      <c r="C675" s="2780"/>
      <c r="D675" s="2781" t="s">
        <v>2513</v>
      </c>
      <c r="E675" s="2788">
        <v>45</v>
      </c>
      <c r="F675" s="2778">
        <v>0</v>
      </c>
      <c r="G675" s="2778">
        <v>5</v>
      </c>
      <c r="H675" s="2778">
        <v>5</v>
      </c>
      <c r="I675" s="2778" t="s">
        <v>1863</v>
      </c>
      <c r="J675" s="2778" t="s">
        <v>1766</v>
      </c>
      <c r="K675" s="2772" t="s">
        <v>8894</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Látigo</v>
      </c>
      <c r="AJ675" s="3061">
        <f>IF($L675=AJ$627,COUNTIF($L$630:$L675,AJ$627)+1,0)</f>
        <v>0</v>
      </c>
      <c r="AK675" s="3062">
        <f>IF($L675=AK$627,COUNTIF($L$630:$L675,AK$627)+1,0)</f>
        <v>0</v>
      </c>
      <c r="AL675" s="3063">
        <f>IF($L675=AL$627,COUNTIF($L$630:$L675,AL$627)+1,0)</f>
        <v>38</v>
      </c>
    </row>
    <row r="676" spans="1:38" ht="12.75" customHeight="1">
      <c r="A676" s="1886">
        <v>676</v>
      </c>
      <c r="B676" s="5250"/>
      <c r="C676" s="2780"/>
      <c r="D676" s="2781" t="s">
        <v>8583</v>
      </c>
      <c r="E676" s="2788">
        <v>30</v>
      </c>
      <c r="F676" s="2778">
        <v>15</v>
      </c>
      <c r="G676" s="2778">
        <v>5</v>
      </c>
      <c r="H676" s="2778">
        <v>5</v>
      </c>
      <c r="I676" s="2778" t="s">
        <v>1863</v>
      </c>
      <c r="J676" s="2778" t="s">
        <v>1809</v>
      </c>
      <c r="K676" s="2772" t="s">
        <v>8887</v>
      </c>
      <c r="L676" s="2778" t="str">
        <f t="shared" si="86"/>
        <v>Distinta</v>
      </c>
      <c r="M676" s="2789">
        <v>10</v>
      </c>
      <c r="N676" s="2789">
        <v>-2</v>
      </c>
      <c r="O676" s="2789">
        <v>20</v>
      </c>
      <c r="P676" s="2778"/>
      <c r="Q676" s="2778"/>
      <c r="R676" s="2778" t="s">
        <v>1766</v>
      </c>
      <c r="S676" s="2778" t="s">
        <v>1766</v>
      </c>
      <c r="T676" s="2778" t="s">
        <v>1766</v>
      </c>
      <c r="U676" s="2778"/>
      <c r="V676" s="2772" t="s">
        <v>8611</v>
      </c>
      <c r="W676" s="2772"/>
      <c r="X676" s="2773"/>
      <c r="Z676" s="3060" t="str">
        <f t="shared" si="85"/>
        <v/>
      </c>
      <c r="AB676" s="2184" t="s">
        <v>2519</v>
      </c>
      <c r="AC676" s="442" t="s">
        <v>2617</v>
      </c>
      <c r="AD676" s="442"/>
      <c r="AE676" s="3039"/>
      <c r="AG676" s="2184" t="str">
        <f t="shared" si="82"/>
        <v/>
      </c>
      <c r="AH676" s="1971" t="str">
        <f t="shared" si="83"/>
        <v/>
      </c>
      <c r="AI676" s="1971" t="str">
        <f t="shared" si="84"/>
        <v>Lazo</v>
      </c>
      <c r="AJ676" s="3061">
        <f>IF($L676=AJ$627,COUNTIF($L$630:$L676,AJ$627)+1,0)</f>
        <v>0</v>
      </c>
      <c r="AK676" s="3062">
        <f>IF($L676=AK$627,COUNTIF($L$630:$L676,AK$627)+1,0)</f>
        <v>0</v>
      </c>
      <c r="AL676" s="3063">
        <f>IF($L676=AL$627,COUNTIF($L$630:$L676,AL$627)+1,0)</f>
        <v>39</v>
      </c>
    </row>
    <row r="677" spans="1:38" ht="12.75" customHeight="1">
      <c r="A677" s="1886">
        <v>677</v>
      </c>
      <c r="B677" s="5250"/>
      <c r="C677" s="2780"/>
      <c r="D677" s="2781" t="s">
        <v>2515</v>
      </c>
      <c r="E677" s="2788">
        <v>35</v>
      </c>
      <c r="F677" s="2778">
        <v>5</v>
      </c>
      <c r="G677" s="2778">
        <v>4</v>
      </c>
      <c r="H677" s="2778">
        <v>4</v>
      </c>
      <c r="I677" s="2778" t="s">
        <v>1864</v>
      </c>
      <c r="J677" s="2778" t="s">
        <v>1766</v>
      </c>
      <c r="K677" s="2772" t="s">
        <v>8882</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Liu Xing Chui</v>
      </c>
      <c r="AJ677" s="3061">
        <f>IF($L677=AJ$627,COUNTIF($L$630:$L677,AJ$627)+1,0)</f>
        <v>0</v>
      </c>
      <c r="AK677" s="3062">
        <f>IF($L677=AK$627,COUNTIF($L$630:$L677,AK$627)+1,0)</f>
        <v>0</v>
      </c>
      <c r="AL677" s="3063">
        <f>IF($L677=AL$627,COUNTIF($L$630:$L677,AL$627)+1,0)</f>
        <v>40</v>
      </c>
    </row>
    <row r="678" spans="1:38" ht="12.75" customHeight="1">
      <c r="A678" s="1886">
        <v>678</v>
      </c>
      <c r="B678" s="5250"/>
      <c r="C678" s="2780"/>
      <c r="D678" s="2781" t="s">
        <v>8586</v>
      </c>
      <c r="E678" s="2788">
        <v>45</v>
      </c>
      <c r="F678" s="2778">
        <v>10</v>
      </c>
      <c r="G678" s="2778">
        <v>5</v>
      </c>
      <c r="H678" s="2778">
        <v>5</v>
      </c>
      <c r="I678" s="2778" t="s">
        <v>1863</v>
      </c>
      <c r="J678" s="2778" t="s">
        <v>1766</v>
      </c>
      <c r="K678" s="2772" t="s">
        <v>8887</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Lujiaodao</v>
      </c>
      <c r="AJ678" s="3061">
        <f>IF($L678=AJ$627,COUNTIF($L$630:$L678,AJ$627)+1,0)</f>
        <v>0</v>
      </c>
      <c r="AK678" s="3062">
        <f>IF($L678=AK$627,COUNTIF($L$630:$L678,AK$627)+1,0)</f>
        <v>0</v>
      </c>
      <c r="AL678" s="3063">
        <f>IF($L678=AL$627,COUNTIF($L$630:$L678,AL$627)+1,0)</f>
        <v>41</v>
      </c>
    </row>
    <row r="679" spans="1:38" ht="12.75" customHeight="1">
      <c r="A679" s="1886">
        <v>679</v>
      </c>
      <c r="B679" s="5250"/>
      <c r="C679" s="2780"/>
      <c r="D679" s="2781" t="s">
        <v>8588</v>
      </c>
      <c r="E679" s="2788">
        <v>25</v>
      </c>
      <c r="F679" s="2778">
        <v>20</v>
      </c>
      <c r="G679" s="2778">
        <v>4</v>
      </c>
      <c r="H679" s="2778">
        <v>4</v>
      </c>
      <c r="I679" s="2778" t="s">
        <v>1863</v>
      </c>
      <c r="J679" s="2778" t="s">
        <v>1809</v>
      </c>
      <c r="K679" s="2772" t="s">
        <v>8887</v>
      </c>
      <c r="L679" s="2778" t="str">
        <f t="shared" si="86"/>
        <v>Distinta</v>
      </c>
      <c r="M679" s="2789">
        <v>10</v>
      </c>
      <c r="N679" s="2789">
        <v>-2</v>
      </c>
      <c r="O679" s="2789">
        <v>15</v>
      </c>
      <c r="P679" s="2778"/>
      <c r="Q679" s="2778"/>
      <c r="R679" s="2778" t="s">
        <v>1766</v>
      </c>
      <c r="S679" s="2778" t="s">
        <v>1766</v>
      </c>
      <c r="T679" s="2778" t="s">
        <v>1766</v>
      </c>
      <c r="U679" s="2778"/>
      <c r="V679" s="2772" t="s">
        <v>8611</v>
      </c>
      <c r="W679" s="2772"/>
      <c r="X679" s="2773"/>
      <c r="Z679" s="3060" t="str">
        <f t="shared" si="85"/>
        <v/>
      </c>
      <c r="AB679" s="2184" t="s">
        <v>8591</v>
      </c>
      <c r="AC679" s="442" t="s">
        <v>2634</v>
      </c>
      <c r="AD679" s="442"/>
      <c r="AE679" s="3039"/>
      <c r="AG679" s="2184" t="str">
        <f t="shared" si="82"/>
        <v/>
      </c>
      <c r="AH679" s="1971" t="str">
        <f t="shared" si="83"/>
        <v/>
      </c>
      <c r="AI679" s="1971" t="str">
        <f t="shared" si="84"/>
        <v>Mangual</v>
      </c>
      <c r="AJ679" s="3061">
        <f>IF($L679=AJ$627,COUNTIF($L$630:$L679,AJ$627)+1,0)</f>
        <v>0</v>
      </c>
      <c r="AK679" s="3062">
        <f>IF($L679=AK$627,COUNTIF($L$630:$L679,AK$627)+1,0)</f>
        <v>0</v>
      </c>
      <c r="AL679" s="3063">
        <f>IF($L679=AL$627,COUNTIF($L$630:$L679,AL$627)+1,0)</f>
        <v>42</v>
      </c>
    </row>
    <row r="680" spans="1:38" ht="12.75" customHeight="1">
      <c r="A680" s="1886">
        <v>680</v>
      </c>
      <c r="B680" s="5250"/>
      <c r="C680" s="2780"/>
      <c r="D680" s="2781" t="s">
        <v>8589</v>
      </c>
      <c r="E680" s="2788">
        <v>60</v>
      </c>
      <c r="F680" s="2778">
        <v>-30</v>
      </c>
      <c r="G680" s="2778">
        <v>8</v>
      </c>
      <c r="H680" s="2778">
        <v>8</v>
      </c>
      <c r="I680" s="2778" t="s">
        <v>1864</v>
      </c>
      <c r="J680" s="2778" t="s">
        <v>1766</v>
      </c>
      <c r="K680" s="2772" t="s">
        <v>8885</v>
      </c>
      <c r="L680" s="2778" t="str">
        <f t="shared" si="86"/>
        <v>Similar</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Martillo de guerra</v>
      </c>
      <c r="AJ680" s="3061">
        <f>IF($L680=AJ$627,COUNTIF($L$630:$L680,AJ$627)+1,0)</f>
        <v>6</v>
      </c>
      <c r="AK680" s="3062">
        <f>IF($L680=AK$627,COUNTIF($L$630:$L680,AK$627)+1,0)</f>
        <v>0</v>
      </c>
      <c r="AL680" s="3063">
        <f>IF($L680=AL$627,COUNTIF($L$630:$L680,AL$627)+1,0)</f>
        <v>0</v>
      </c>
    </row>
    <row r="681" spans="1:38" ht="12.75" customHeight="1">
      <c r="A681" s="1886">
        <v>681</v>
      </c>
      <c r="B681" s="5250"/>
      <c r="C681" s="2780"/>
      <c r="D681" s="2781" t="s">
        <v>8590</v>
      </c>
      <c r="E681" s="2788">
        <v>35</v>
      </c>
      <c r="F681" s="2778">
        <v>10</v>
      </c>
      <c r="G681" s="2778">
        <v>6</v>
      </c>
      <c r="H681" s="2778">
        <v>6</v>
      </c>
      <c r="I681" s="2778" t="s">
        <v>1863</v>
      </c>
      <c r="J681" s="2778" t="s">
        <v>1766</v>
      </c>
      <c r="K681" s="2772" t="s">
        <v>8887</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Mayal</v>
      </c>
      <c r="AJ681" s="3061">
        <f>IF($L681=AJ$627,COUNTIF($L$630:$L681,AJ$627)+1,0)</f>
        <v>0</v>
      </c>
      <c r="AK681" s="3062">
        <f>IF($L681=AK$627,COUNTIF($L$630:$L681,AK$627)+1,0)</f>
        <v>0</v>
      </c>
      <c r="AL681" s="3063">
        <f>IF($L681=AL$627,COUNTIF($L$630:$L681,AL$627)+1,0)</f>
        <v>43</v>
      </c>
    </row>
    <row r="682" spans="1:38" ht="12.75" customHeight="1">
      <c r="A682" s="1886">
        <v>682</v>
      </c>
      <c r="B682" s="5250"/>
      <c r="C682" s="2780"/>
      <c r="D682" s="2781" t="s">
        <v>2517</v>
      </c>
      <c r="E682" s="2788">
        <v>40</v>
      </c>
      <c r="F682" s="2778">
        <v>5</v>
      </c>
      <c r="G682" s="2778">
        <v>4</v>
      </c>
      <c r="H682" s="2778">
        <v>4</v>
      </c>
      <c r="I682" s="2778" t="s">
        <v>1864</v>
      </c>
      <c r="J682" s="2778" t="s">
        <v>1766</v>
      </c>
      <c r="K682" s="2772" t="s">
        <v>8882</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Maza Barra</v>
      </c>
      <c r="AJ682" s="3061">
        <f>IF($L682=AJ$627,COUNTIF($L$630:$L682,AJ$627)+1,0)</f>
        <v>0</v>
      </c>
      <c r="AK682" s="3062">
        <f>IF($L682=AK$627,COUNTIF($L$630:$L682,AK$627)+1,0)</f>
        <v>0</v>
      </c>
      <c r="AL682" s="3063">
        <f>IF($L682=AL$627,COUNTIF($L$630:$L682,AL$627)+1,0)</f>
        <v>44</v>
      </c>
    </row>
    <row r="683" spans="1:38" ht="12.75" customHeight="1">
      <c r="A683" s="1886">
        <v>683</v>
      </c>
      <c r="B683" s="5250"/>
      <c r="C683" s="2780"/>
      <c r="D683" s="2781" t="s">
        <v>2519</v>
      </c>
      <c r="E683" s="2788">
        <v>80</v>
      </c>
      <c r="F683" s="2778">
        <v>-30</v>
      </c>
      <c r="G683" s="2778">
        <v>8</v>
      </c>
      <c r="H683" s="2778">
        <v>8</v>
      </c>
      <c r="I683" s="2778" t="s">
        <v>1864</v>
      </c>
      <c r="J683" s="2778" t="s">
        <v>1766</v>
      </c>
      <c r="K683" s="2772" t="s">
        <v>8882</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8573</v>
      </c>
      <c r="AC683" s="442"/>
      <c r="AD683" s="442"/>
      <c r="AE683" s="3039"/>
      <c r="AG683" s="2184" t="str">
        <f t="shared" si="82"/>
        <v/>
      </c>
      <c r="AH683" s="1971" t="str">
        <f t="shared" si="83"/>
        <v/>
      </c>
      <c r="AI683" s="1971" t="str">
        <f t="shared" si="84"/>
        <v>Maza ligera</v>
      </c>
      <c r="AJ683" s="3061">
        <f>IF($L683=AJ$627,COUNTIF($L$630:$L683,AJ$627)+1,0)</f>
        <v>0</v>
      </c>
      <c r="AK683" s="3062">
        <f>IF($L683=AK$627,COUNTIF($L$630:$L683,AK$627)+1,0)</f>
        <v>0</v>
      </c>
      <c r="AL683" s="3063">
        <f>IF($L683=AL$627,COUNTIF($L$630:$L683,AL$627)+1,0)</f>
        <v>45</v>
      </c>
    </row>
    <row r="684" spans="1:38" ht="12.75" customHeight="1">
      <c r="A684" s="1886">
        <v>684</v>
      </c>
      <c r="B684" s="5250"/>
      <c r="C684" s="2780"/>
      <c r="D684" s="2781" t="s">
        <v>2521</v>
      </c>
      <c r="E684" s="2788">
        <v>35</v>
      </c>
      <c r="F684" s="2778">
        <v>-20</v>
      </c>
      <c r="G684" s="2778">
        <v>4</v>
      </c>
      <c r="H684" s="2778">
        <v>4</v>
      </c>
      <c r="I684" s="2778" t="s">
        <v>1863</v>
      </c>
      <c r="J684" s="2778" t="s">
        <v>1809</v>
      </c>
      <c r="K684" s="2772" t="s">
        <v>8886</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Maza pesada</v>
      </c>
      <c r="AJ684" s="3061">
        <f>IF($L684=AJ$627,COUNTIF($L$630:$L684,AJ$627)+1,0)</f>
        <v>0</v>
      </c>
      <c r="AK684" s="3062">
        <f>IF($L684=AK$627,COUNTIF($L$630:$L684,AK$627)+1,0)</f>
        <v>0</v>
      </c>
      <c r="AL684" s="3063">
        <f>IF($L684=AL$627,COUNTIF($L$630:$L684,AL$627)+1,0)</f>
        <v>46</v>
      </c>
    </row>
    <row r="685" spans="1:38" ht="12.75" customHeight="1">
      <c r="A685" s="1886">
        <v>685</v>
      </c>
      <c r="B685" s="5250"/>
      <c r="C685" s="2780"/>
      <c r="D685" s="2781" t="s">
        <v>2523</v>
      </c>
      <c r="E685" s="2788">
        <v>5</v>
      </c>
      <c r="F685" s="2778">
        <v>10</v>
      </c>
      <c r="G685" s="2778">
        <v>4</v>
      </c>
      <c r="H685" s="2778">
        <v>4</v>
      </c>
      <c r="I685" s="2778" t="s">
        <v>1809</v>
      </c>
      <c r="J685" s="2778" t="s">
        <v>1766</v>
      </c>
      <c r="K685" s="2772" t="s">
        <v>8886</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Montante</v>
      </c>
      <c r="AJ685" s="3061">
        <f>IF($L685=AJ$627,COUNTIF($L$630:$L685,AJ$627)+1,0)</f>
        <v>0</v>
      </c>
      <c r="AK685" s="3062">
        <f>IF($L685=AK$627,COUNTIF($L$630:$L685,AK$627)+1,0)</f>
        <v>0</v>
      </c>
      <c r="AL685" s="3063">
        <f>IF($L685=AL$627,COUNTIF($L$630:$L685,AL$627)+1,0)</f>
        <v>47</v>
      </c>
    </row>
    <row r="686" spans="1:38" ht="12.75" customHeight="1">
      <c r="A686" s="1886">
        <v>686</v>
      </c>
      <c r="B686" s="5250"/>
      <c r="C686" s="2780"/>
      <c r="D686" s="2781" t="s">
        <v>8572</v>
      </c>
      <c r="E686" s="2788">
        <v>30</v>
      </c>
      <c r="F686" s="2778">
        <v>15</v>
      </c>
      <c r="G686" s="2778">
        <v>5</v>
      </c>
      <c r="H686" s="2778">
        <v>5</v>
      </c>
      <c r="I686" s="2778" t="s">
        <v>1809</v>
      </c>
      <c r="J686" s="2778" t="s">
        <v>1766</v>
      </c>
      <c r="K686" s="2772" t="s">
        <v>8886</v>
      </c>
      <c r="L686" s="2778" t="str">
        <f t="shared" si="86"/>
        <v>Distinta</v>
      </c>
      <c r="M686" s="2789">
        <v>8</v>
      </c>
      <c r="N686" s="2789">
        <v>1</v>
      </c>
      <c r="O686" s="2789">
        <v>15</v>
      </c>
      <c r="P686" s="2778"/>
      <c r="Q686" s="2778"/>
      <c r="R686" s="2778" t="s">
        <v>1766</v>
      </c>
      <c r="S686" s="2778" t="s">
        <v>1766</v>
      </c>
      <c r="T686" s="2778" t="s">
        <v>1766</v>
      </c>
      <c r="U686" s="2778"/>
      <c r="V686" s="2772" t="s">
        <v>8612</v>
      </c>
      <c r="W686" s="2772"/>
      <c r="X686" s="2773"/>
      <c r="Z686" s="3060" t="str">
        <f t="shared" si="85"/>
        <v/>
      </c>
      <c r="AB686" s="2184" t="s">
        <v>8592</v>
      </c>
      <c r="AC686" s="442"/>
      <c r="AD686" s="442"/>
      <c r="AE686" s="3039"/>
      <c r="AG686" s="2184" t="str">
        <f t="shared" si="82"/>
        <v/>
      </c>
      <c r="AH686" s="1971" t="str">
        <f t="shared" si="83"/>
        <v/>
      </c>
      <c r="AI686" s="1971" t="str">
        <f t="shared" si="84"/>
        <v>Pata</v>
      </c>
      <c r="AJ686" s="3061">
        <f>IF($L686=AJ$627,COUNTIF($L$630:$L686,AJ$627)+1,0)</f>
        <v>0</v>
      </c>
      <c r="AK686" s="3062">
        <f>IF($L686=AK$627,COUNTIF($L$630:$L686,AK$627)+1,0)</f>
        <v>0</v>
      </c>
      <c r="AL686" s="3063">
        <f>IF($L686=AL$627,COUNTIF($L$630:$L686,AL$627)+1,0)</f>
        <v>48</v>
      </c>
    </row>
    <row r="687" spans="1:38" ht="12.75" customHeight="1">
      <c r="A687" s="1886">
        <v>687</v>
      </c>
      <c r="B687" s="5250"/>
      <c r="C687" s="2780"/>
      <c r="D687" s="2781" t="s">
        <v>8591</v>
      </c>
      <c r="E687" s="2788">
        <v>25</v>
      </c>
      <c r="F687" s="2778">
        <v>20</v>
      </c>
      <c r="G687" s="2778">
        <v>5</v>
      </c>
      <c r="H687" s="2778">
        <v>5</v>
      </c>
      <c r="I687" s="2778" t="s">
        <v>1863</v>
      </c>
      <c r="J687" s="2778" t="s">
        <v>1766</v>
      </c>
      <c r="K687" s="2772" t="s">
        <v>8887</v>
      </c>
      <c r="L687" s="2778" t="str">
        <f t="shared" si="86"/>
        <v>Distinta</v>
      </c>
      <c r="M687" s="2789">
        <v>12</v>
      </c>
      <c r="N687" s="2789">
        <v>5</v>
      </c>
      <c r="O687" s="2789">
        <v>15</v>
      </c>
      <c r="P687" s="2778"/>
      <c r="Q687" s="2778"/>
      <c r="R687" s="2778" t="s">
        <v>1766</v>
      </c>
      <c r="S687" s="2778" t="s">
        <v>1766</v>
      </c>
      <c r="T687" s="2778" t="s">
        <v>1766</v>
      </c>
      <c r="U687" s="2778"/>
      <c r="V687" s="2772" t="s">
        <v>8613</v>
      </c>
      <c r="W687" s="2772"/>
      <c r="X687" s="2773"/>
      <c r="Z687" s="3060" t="str">
        <f t="shared" si="85"/>
        <v/>
      </c>
      <c r="AB687" s="2184" t="s">
        <v>8576</v>
      </c>
      <c r="AC687" s="442"/>
      <c r="AD687" s="442"/>
      <c r="AE687" s="3039"/>
      <c r="AG687" s="2184" t="str">
        <f t="shared" si="82"/>
        <v/>
      </c>
      <c r="AH687" s="1971" t="str">
        <f t="shared" si="83"/>
        <v/>
      </c>
      <c r="AI687" s="1971" t="str">
        <f t="shared" si="84"/>
        <v>Pica</v>
      </c>
      <c r="AJ687" s="3061">
        <f>IF($L687=AJ$627,COUNTIF($L$630:$L687,AJ$627)+1,0)</f>
        <v>0</v>
      </c>
      <c r="AK687" s="3062">
        <f>IF($L687=AK$627,COUNTIF($L$630:$L687,AK$627)+1,0)</f>
        <v>0</v>
      </c>
      <c r="AL687" s="3063">
        <f>IF($L687=AL$627,COUNTIF($L$630:$L687,AL$627)+1,0)</f>
        <v>49</v>
      </c>
    </row>
    <row r="688" spans="1:38" ht="12.75" customHeight="1">
      <c r="A688" s="1886">
        <v>688</v>
      </c>
      <c r="B688" s="5250"/>
      <c r="C688" s="2780"/>
      <c r="D688" s="2781" t="s">
        <v>2525</v>
      </c>
      <c r="E688" s="2788">
        <v>80</v>
      </c>
      <c r="F688" s="2778">
        <v>-50</v>
      </c>
      <c r="G688" s="2778">
        <v>10</v>
      </c>
      <c r="H688" s="2778">
        <v>8</v>
      </c>
      <c r="I688" s="2778" t="s">
        <v>1809</v>
      </c>
      <c r="J688" s="2778" t="s">
        <v>1766</v>
      </c>
      <c r="K688" s="2772" t="s">
        <v>8895</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Pudao</v>
      </c>
      <c r="AJ688" s="3061">
        <f>IF($L688=AJ$627,COUNTIF($L$630:$L688,AJ$627)+1,0)</f>
        <v>0</v>
      </c>
      <c r="AK688" s="3062">
        <f>IF($L688=AK$627,COUNTIF($L$630:$L688,AK$627)+1,0)</f>
        <v>0</v>
      </c>
      <c r="AL688" s="3063">
        <f>IF($L688=AL$627,COUNTIF($L$630:$L688,AL$627)+1,0)</f>
        <v>50</v>
      </c>
    </row>
    <row r="689" spans="1:38" ht="12.75" customHeight="1">
      <c r="A689" s="1886">
        <v>689</v>
      </c>
      <c r="B689" s="5250"/>
      <c r="C689" s="2780"/>
      <c r="D689" s="2781" t="s">
        <v>2527</v>
      </c>
      <c r="E689" s="2788">
        <v>50</v>
      </c>
      <c r="F689" s="2778">
        <v>-5</v>
      </c>
      <c r="G689" s="2778">
        <v>6</v>
      </c>
      <c r="H689" s="2778">
        <v>6</v>
      </c>
      <c r="I689" s="2778" t="s">
        <v>1809</v>
      </c>
      <c r="J689" s="2778" t="s">
        <v>1766</v>
      </c>
      <c r="K689" s="2772" t="s">
        <v>8888</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Red</v>
      </c>
      <c r="AJ689" s="3061">
        <f>IF($L689=AJ$627,COUNTIF($L$630:$L689,AJ$627)+1,0)</f>
        <v>0</v>
      </c>
      <c r="AK689" s="3062">
        <f>IF($L689=AK$627,COUNTIF($L$630:$L689,AK$627)+1,0)</f>
        <v>0</v>
      </c>
      <c r="AL689" s="3063">
        <f>IF($L689=AL$627,COUNTIF($L$630:$L689,AL$627)+1,0)</f>
        <v>51</v>
      </c>
    </row>
    <row r="690" spans="1:38" ht="12.75" customHeight="1">
      <c r="A690" s="1886">
        <v>690</v>
      </c>
      <c r="B690" s="5250"/>
      <c r="C690" s="2780"/>
      <c r="D690" s="2781" t="s">
        <v>2528</v>
      </c>
      <c r="E690" s="2788">
        <v>40</v>
      </c>
      <c r="F690" s="2778">
        <v>0</v>
      </c>
      <c r="G690" s="2778">
        <v>6</v>
      </c>
      <c r="H690" s="2778">
        <v>6</v>
      </c>
      <c r="I690" s="2778" t="s">
        <v>1809</v>
      </c>
      <c r="J690" s="2778" t="s">
        <v>1766</v>
      </c>
      <c r="K690" s="2772" t="s">
        <v>8896</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8593</v>
      </c>
      <c r="AC690" s="442"/>
      <c r="AD690" s="442"/>
      <c r="AE690" s="3039"/>
      <c r="AG690" s="2184" t="str">
        <f t="shared" si="82"/>
        <v/>
      </c>
      <c r="AH690" s="1971" t="str">
        <f t="shared" si="83"/>
        <v/>
      </c>
      <c r="AI690" s="1971" t="str">
        <f t="shared" si="84"/>
        <v>Tridente</v>
      </c>
      <c r="AJ690" s="3061">
        <f>IF($L690=AJ$627,COUNTIF($L$630:$L690,AJ$627)+1,0)</f>
        <v>0</v>
      </c>
      <c r="AK690" s="3062">
        <f>IF($L690=AK$627,COUNTIF($L$630:$L690,AK$627)+1,0)</f>
        <v>0</v>
      </c>
      <c r="AL690" s="3063">
        <f>IF($L690=AL$627,COUNTIF($L$630:$L690,AL$627)+1,0)</f>
        <v>52</v>
      </c>
    </row>
    <row r="691" spans="1:38" ht="12.75" customHeight="1">
      <c r="A691" s="1886">
        <v>691</v>
      </c>
      <c r="B691" s="5250"/>
      <c r="C691" s="2780"/>
      <c r="D691" s="2781" t="s">
        <v>8573</v>
      </c>
      <c r="E691" s="2788">
        <v>50</v>
      </c>
      <c r="F691" s="2778">
        <v>0</v>
      </c>
      <c r="G691" s="2778">
        <v>7</v>
      </c>
      <c r="H691" s="2778">
        <v>6</v>
      </c>
      <c r="I691" s="2778" t="s">
        <v>1809</v>
      </c>
      <c r="J691" s="2778" t="s">
        <v>1766</v>
      </c>
      <c r="K691" s="2772" t="s">
        <v>8888</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8594</v>
      </c>
      <c r="AC691" s="442"/>
      <c r="AD691" s="442"/>
      <c r="AE691" s="3039"/>
      <c r="AG691" s="2184" t="str">
        <f t="shared" si="82"/>
        <v/>
      </c>
      <c r="AH691" s="1971" t="str">
        <f t="shared" si="83"/>
        <v/>
      </c>
      <c r="AI691" s="1971" t="str">
        <f t="shared" si="84"/>
        <v>Turcus</v>
      </c>
      <c r="AJ691" s="3061">
        <f>IF($L691=AJ$627,COUNTIF($L$630:$L691,AJ$627)+1,0)</f>
        <v>0</v>
      </c>
      <c r="AK691" s="3062">
        <f>IF($L691=AK$627,COUNTIF($L$630:$L691,AK$627)+1,0)</f>
        <v>0</v>
      </c>
      <c r="AL691" s="3063">
        <f>IF($L691=AL$627,COUNTIF($L$630:$L691,AL$627)+1,0)</f>
        <v>53</v>
      </c>
    </row>
    <row r="692" spans="1:38" ht="12.75" customHeight="1">
      <c r="A692" s="1886">
        <v>692</v>
      </c>
      <c r="B692" s="5250"/>
      <c r="C692" s="2780"/>
      <c r="D692" s="2781" t="s">
        <v>2529</v>
      </c>
      <c r="E692" s="2788">
        <v>40</v>
      </c>
      <c r="F692" s="2778">
        <v>0</v>
      </c>
      <c r="G692" s="2778">
        <v>6</v>
      </c>
      <c r="H692" s="2778">
        <v>6</v>
      </c>
      <c r="I692" s="2778" t="s">
        <v>1809</v>
      </c>
      <c r="J692" s="2778" t="s">
        <v>1766</v>
      </c>
      <c r="K692" s="2772" t="s">
        <v>8888</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Urumi</v>
      </c>
      <c r="AJ692" s="3061">
        <f>IF($L692=AJ$627,COUNTIF($L$630:$L692,AJ$627)+1,0)</f>
        <v>0</v>
      </c>
      <c r="AK692" s="3062">
        <f>IF($L692=AK$627,COUNTIF($L$630:$L692,AK$627)+1,0)</f>
        <v>0</v>
      </c>
      <c r="AL692" s="3063">
        <f>IF($L692=AL$627,COUNTIF($L$630:$L692,AL$627)+1,0)</f>
        <v>54</v>
      </c>
    </row>
    <row r="693" spans="1:38" ht="12.75" customHeight="1">
      <c r="A693" s="1886">
        <v>693</v>
      </c>
      <c r="B693" s="5250"/>
      <c r="C693" s="2780"/>
      <c r="D693" s="2781" t="s">
        <v>2530</v>
      </c>
      <c r="E693" s="2788">
        <v>60</v>
      </c>
      <c r="F693" s="2778">
        <v>-15</v>
      </c>
      <c r="G693" s="2778">
        <v>10</v>
      </c>
      <c r="H693" s="2778">
        <v>6</v>
      </c>
      <c r="I693" s="2778" t="s">
        <v>1809</v>
      </c>
      <c r="J693" s="2778" t="s">
        <v>1766</v>
      </c>
      <c r="K693" s="2772" t="s">
        <v>8895</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Valaska</v>
      </c>
      <c r="AJ693" s="3061">
        <f>IF($L693=AJ$627,COUNTIF($L$630:$L693,AJ$627)+1,0)</f>
        <v>0</v>
      </c>
      <c r="AK693" s="3062">
        <f>IF($L693=AK$627,COUNTIF($L$630:$L693,AK$627)+1,0)</f>
        <v>0</v>
      </c>
      <c r="AL693" s="3063">
        <f>IF($L693=AL$627,COUNTIF($L$630:$L693,AL$627)+1,0)</f>
        <v>55</v>
      </c>
    </row>
    <row r="694" spans="1:38" ht="12.75" customHeight="1">
      <c r="A694" s="1886">
        <v>694</v>
      </c>
      <c r="B694" s="5250"/>
      <c r="C694" s="2780"/>
      <c r="D694" s="2781" t="s">
        <v>8574</v>
      </c>
      <c r="E694" s="2788">
        <v>80</v>
      </c>
      <c r="F694" s="2778">
        <v>-50</v>
      </c>
      <c r="G694" s="2778">
        <v>11</v>
      </c>
      <c r="H694" s="2778">
        <v>8</v>
      </c>
      <c r="I694" s="2778" t="s">
        <v>1864</v>
      </c>
      <c r="J694" s="2778" t="s">
        <v>1863</v>
      </c>
      <c r="K694" s="2772" t="s">
        <v>8889</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8595</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Vara</v>
      </c>
      <c r="AJ694" s="3061">
        <f>IF($L694=AJ$627,COUNTIF($L$630:$L694,AJ$627)+1,0)</f>
        <v>0</v>
      </c>
      <c r="AK694" s="3062">
        <f>IF($L694=AK$627,COUNTIF($L$630:$L694,AK$627)+1,0)</f>
        <v>0</v>
      </c>
      <c r="AL694" s="3063">
        <f>IF($L694=AL$627,COUNTIF($L$630:$L694,AL$627)+1,0)</f>
        <v>56</v>
      </c>
    </row>
    <row r="695" spans="1:38" ht="12.75" customHeight="1">
      <c r="A695" s="1886">
        <v>695</v>
      </c>
      <c r="B695" s="5250"/>
      <c r="C695" s="2780"/>
      <c r="D695" s="2781" t="s">
        <v>8592</v>
      </c>
      <c r="E695" s="2788">
        <v>40</v>
      </c>
      <c r="F695" s="2778">
        <v>15</v>
      </c>
      <c r="G695" s="2778">
        <v>6</v>
      </c>
      <c r="H695" s="2778" t="s">
        <v>1766</v>
      </c>
      <c r="I695" s="2778" t="s">
        <v>1863</v>
      </c>
      <c r="J695" s="2778" t="s">
        <v>1864</v>
      </c>
      <c r="K695" s="2772" t="s">
        <v>8887</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8577</v>
      </c>
      <c r="AC695" s="442"/>
      <c r="AD695" s="442"/>
      <c r="AE695" s="3039"/>
      <c r="AG695" s="2184" t="str">
        <f t="shared" si="87"/>
        <v/>
      </c>
      <c r="AH695" s="1971" t="str">
        <f t="shared" si="88"/>
        <v/>
      </c>
      <c r="AI695" s="1971" t="str">
        <f t="shared" si="89"/>
        <v>&gt; ESCUDOS</v>
      </c>
      <c r="AJ695" s="3061">
        <f>IF($L695=AJ$627,COUNTIF($L$630:$L695,AJ$627)+1,0)</f>
        <v>0</v>
      </c>
      <c r="AK695" s="3062">
        <f>IF($L695=AK$627,COUNTIF($L$630:$L695,AK$627)+1,0)</f>
        <v>0</v>
      </c>
      <c r="AL695" s="3063">
        <f>IF($L695=AL$627,COUNTIF($L$630:$L695,AL$627)+1,0)</f>
        <v>57</v>
      </c>
    </row>
    <row r="696" spans="1:38" ht="12.75" customHeight="1">
      <c r="A696" s="1886">
        <v>696</v>
      </c>
      <c r="B696" s="5250"/>
      <c r="C696" s="2780"/>
      <c r="D696" s="2781" t="s">
        <v>8575</v>
      </c>
      <c r="E696" s="2788">
        <v>60</v>
      </c>
      <c r="F696" s="2778">
        <v>-30</v>
      </c>
      <c r="G696" s="2778" t="s">
        <v>1766</v>
      </c>
      <c r="H696" s="2778">
        <v>6</v>
      </c>
      <c r="I696" s="2778" t="s">
        <v>1864</v>
      </c>
      <c r="J696" s="2778" t="s">
        <v>1766</v>
      </c>
      <c r="K696" s="2772" t="s">
        <v>8882</v>
      </c>
      <c r="L696" s="2778" t="str">
        <f t="shared" si="86"/>
        <v>Distinta</v>
      </c>
      <c r="M696" s="2789">
        <v>12</v>
      </c>
      <c r="N696" s="2789">
        <v>4</v>
      </c>
      <c r="O696" s="2789">
        <v>15</v>
      </c>
      <c r="P696" s="2778"/>
      <c r="Q696" s="2778"/>
      <c r="R696" s="2778" t="s">
        <v>1766</v>
      </c>
      <c r="S696" s="2778" t="s">
        <v>1766</v>
      </c>
      <c r="T696" s="2778" t="s">
        <v>1766</v>
      </c>
      <c r="U696" s="2778"/>
      <c r="V696" s="2772" t="s">
        <v>8614</v>
      </c>
      <c r="W696" s="2772"/>
      <c r="X696" s="2773"/>
      <c r="Z696" s="3060" t="str">
        <f t="shared" si="85"/>
        <v/>
      </c>
      <c r="AB696" s="1639" t="s">
        <v>2539</v>
      </c>
      <c r="AC696" s="442"/>
      <c r="AD696" s="442"/>
      <c r="AE696" s="3039"/>
      <c r="AG696" s="2184" t="str">
        <f t="shared" si="87"/>
        <v/>
      </c>
      <c r="AH696" s="1971" t="str">
        <f t="shared" si="88"/>
        <v/>
      </c>
      <c r="AI696" s="1971" t="str">
        <f t="shared" si="89"/>
        <v>Escudo corporal</v>
      </c>
      <c r="AJ696" s="3061">
        <f>IF($L696=AJ$627,COUNTIF($L$630:$L696,AJ$627)+1,0)</f>
        <v>0</v>
      </c>
      <c r="AK696" s="3062">
        <f>IF($L696=AK$627,COUNTIF($L$630:$L696,AK$627)+1,0)</f>
        <v>0</v>
      </c>
      <c r="AL696" s="3063">
        <f>IF($L696=AL$627,COUNTIF($L$630:$L696,AL$627)+1,0)</f>
        <v>58</v>
      </c>
    </row>
    <row r="697" spans="1:38" ht="12.75" customHeight="1">
      <c r="A697" s="1886">
        <v>697</v>
      </c>
      <c r="B697" s="5250"/>
      <c r="C697" s="2780"/>
      <c r="D697" s="2781" t="s">
        <v>8576</v>
      </c>
      <c r="E697" s="2788">
        <v>40</v>
      </c>
      <c r="F697" s="2778">
        <v>-5</v>
      </c>
      <c r="G697" s="2778">
        <v>7</v>
      </c>
      <c r="H697" s="2778">
        <v>6</v>
      </c>
      <c r="I697" s="2778" t="s">
        <v>1863</v>
      </c>
      <c r="J697" s="2778" t="s">
        <v>1809</v>
      </c>
      <c r="K697" s="2772" t="s">
        <v>8882</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Escudo medio</v>
      </c>
      <c r="AJ697" s="3061">
        <f>IF($L697=AJ$627,COUNTIF($L$630:$L697,AJ$627)+1,0)</f>
        <v>0</v>
      </c>
      <c r="AK697" s="3062">
        <f>IF($L697=AK$627,COUNTIF($L$630:$L697,AK$627)+1,0)</f>
        <v>0</v>
      </c>
      <c r="AL697" s="3063">
        <f>IF($L697=AL$627,COUNTIF($L$630:$L697,AL$627)+1,0)</f>
        <v>59</v>
      </c>
    </row>
    <row r="698" spans="1:38" ht="12.75" customHeight="1">
      <c r="A698" s="1886">
        <v>698</v>
      </c>
      <c r="B698" s="5250"/>
      <c r="C698" s="2780"/>
      <c r="D698" s="2781" t="s">
        <v>2531</v>
      </c>
      <c r="E698" s="2788">
        <v>5</v>
      </c>
      <c r="F698" s="2778">
        <v>0</v>
      </c>
      <c r="G698" s="2778">
        <v>4</v>
      </c>
      <c r="H698" s="2778">
        <v>4</v>
      </c>
      <c r="I698" s="2778" t="s">
        <v>2478</v>
      </c>
      <c r="J698" s="2778" t="s">
        <v>1863</v>
      </c>
      <c r="K698" s="2772" t="s">
        <v>8886</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Rodela</v>
      </c>
      <c r="AJ698" s="3061">
        <f>IF($L698=AJ$627,COUNTIF($L$630:$L698,AJ$627)+1,0)</f>
        <v>0</v>
      </c>
      <c r="AK698" s="3062">
        <f>IF($L698=AK$627,COUNTIF($L$630:$L698,AK$627)+1,0)</f>
        <v>0</v>
      </c>
      <c r="AL698" s="3063">
        <f>IF($L698=AL$627,COUNTIF($L$630:$L698,AL$627)+1,0)</f>
        <v>60</v>
      </c>
    </row>
    <row r="699" spans="1:38" ht="12.75" customHeight="1">
      <c r="A699" s="1886">
        <v>699</v>
      </c>
      <c r="B699" s="5250"/>
      <c r="C699" s="2780"/>
      <c r="D699" s="2781" t="s">
        <v>2533</v>
      </c>
      <c r="E699" s="2788">
        <v>45</v>
      </c>
      <c r="F699" s="2778">
        <v>10</v>
      </c>
      <c r="G699" s="2778">
        <v>6</v>
      </c>
      <c r="H699" s="2778">
        <v>6</v>
      </c>
      <c r="I699" s="2778" t="s">
        <v>1863</v>
      </c>
      <c r="J699" s="2778" t="s">
        <v>1864</v>
      </c>
      <c r="K699" s="2772" t="s">
        <v>8885</v>
      </c>
      <c r="L699" s="2778" t="str">
        <f t="shared" si="86"/>
        <v>Similar</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&gt; ARMAS EXÓTICAS</v>
      </c>
      <c r="AJ699" s="3061">
        <f>IF($L699=AJ$627,COUNTIF($L$630:$L699,AJ$627)+1,0)</f>
        <v>7</v>
      </c>
      <c r="AK699" s="3062">
        <f>IF($L699=AK$627,COUNTIF($L$630:$L699,AK$627)+1,0)</f>
        <v>0</v>
      </c>
      <c r="AL699" s="3063">
        <f>IF($L699=AL$627,COUNTIF($L$630:$L699,AL$627)+1,0)</f>
        <v>0</v>
      </c>
    </row>
    <row r="700" spans="1:38" ht="12.75" customHeight="1">
      <c r="A700" s="1886">
        <v>700</v>
      </c>
      <c r="B700" s="5250"/>
      <c r="C700" s="2780"/>
      <c r="D700" s="2781" t="s">
        <v>8593</v>
      </c>
      <c r="E700" s="2788">
        <v>40</v>
      </c>
      <c r="F700" s="2778">
        <v>5</v>
      </c>
      <c r="G700" s="2778">
        <v>5</v>
      </c>
      <c r="H700" s="2778">
        <v>5</v>
      </c>
      <c r="I700" s="2778" t="s">
        <v>1863</v>
      </c>
      <c r="J700" s="2778" t="s">
        <v>1766</v>
      </c>
      <c r="K700" s="2772" t="s">
        <v>8885</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Similar</v>
      </c>
      <c r="M700" s="2789">
        <v>12</v>
      </c>
      <c r="N700" s="2789">
        <v>1</v>
      </c>
      <c r="O700" s="2789">
        <v>20</v>
      </c>
      <c r="P700" s="2778"/>
      <c r="Q700" s="2778"/>
      <c r="R700" s="2778" t="s">
        <v>1766</v>
      </c>
      <c r="S700" s="2778" t="s">
        <v>1766</v>
      </c>
      <c r="T700" s="2778" t="s">
        <v>1766</v>
      </c>
      <c r="U700" s="2778"/>
      <c r="V700" s="2772" t="s">
        <v>8615</v>
      </c>
      <c r="W700" s="2772"/>
      <c r="X700" s="2773"/>
      <c r="Z700" s="3060" t="str">
        <f t="shared" si="90"/>
        <v/>
      </c>
      <c r="AB700" s="2184" t="s">
        <v>2544</v>
      </c>
      <c r="AC700" s="442"/>
      <c r="AD700" s="442"/>
      <c r="AE700" s="3039"/>
      <c r="AG700" s="2184" t="str">
        <f t="shared" si="87"/>
        <v/>
      </c>
      <c r="AH700" s="1971" t="str">
        <f t="shared" si="88"/>
        <v/>
      </c>
      <c r="AI700" s="1971" t="str">
        <f t="shared" si="89"/>
        <v>Abanico de combate</v>
      </c>
      <c r="AJ700" s="3061">
        <f>IF($L700=AJ$627,COUNTIF($L$630:$L700,AJ$627)+1,0)</f>
        <v>8</v>
      </c>
      <c r="AK700" s="3062">
        <f>IF($L700=AK$627,COUNTIF($L$630:$L700,AK$627)+1,0)</f>
        <v>0</v>
      </c>
      <c r="AL700" s="3063">
        <f>IF($L700=AL$627,COUNTIF($L$630:$L700,AL$627)+1,0)</f>
        <v>0</v>
      </c>
    </row>
    <row r="701" spans="1:38" ht="12.75" customHeight="1">
      <c r="A701" s="1886">
        <v>701</v>
      </c>
      <c r="B701" s="5250"/>
      <c r="C701" s="2780"/>
      <c r="D701" s="2781" t="s">
        <v>8594</v>
      </c>
      <c r="E701" s="2788">
        <v>45</v>
      </c>
      <c r="F701" s="2778">
        <v>5</v>
      </c>
      <c r="G701" s="2778">
        <v>6</v>
      </c>
      <c r="H701" s="2778">
        <v>6</v>
      </c>
      <c r="I701" s="2778" t="s">
        <v>1864</v>
      </c>
      <c r="J701" s="2778" t="s">
        <v>1863</v>
      </c>
      <c r="K701" s="2772" t="s">
        <v>8885</v>
      </c>
      <c r="L701" s="2778" t="str">
        <f t="shared" si="91"/>
        <v>Similar</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Anciano de primavera</v>
      </c>
      <c r="AJ701" s="3061">
        <f>IF($L701=AJ$627,COUNTIF($L$630:$L701,AJ$627)+1,0)</f>
        <v>9</v>
      </c>
      <c r="AK701" s="3062">
        <f>IF($L701=AK$627,COUNTIF($L$630:$L701,AK$627)+1,0)</f>
        <v>0</v>
      </c>
      <c r="AL701" s="3063">
        <f>IF($L701=AL$627,COUNTIF($L$630:$L701,AL$627)+1,0)</f>
        <v>0</v>
      </c>
    </row>
    <row r="702" spans="1:38" ht="12.75" customHeight="1">
      <c r="A702" s="1886">
        <v>702</v>
      </c>
      <c r="B702" s="5250"/>
      <c r="C702" s="2780"/>
      <c r="D702" s="2781" t="s">
        <v>2534</v>
      </c>
      <c r="E702" s="2788">
        <v>40</v>
      </c>
      <c r="F702" s="2778">
        <v>-10</v>
      </c>
      <c r="G702" s="2778">
        <v>6</v>
      </c>
      <c r="H702" s="2778">
        <v>6</v>
      </c>
      <c r="I702" s="2778" t="s">
        <v>1864</v>
      </c>
      <c r="J702" s="2778" t="s">
        <v>1766</v>
      </c>
      <c r="K702" s="2772" t="s">
        <v>8882</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Bumerang</v>
      </c>
      <c r="AJ702" s="3061">
        <f>IF($L702=AJ$627,COUNTIF($L$630:$L702,AJ$627)+1,0)</f>
        <v>0</v>
      </c>
      <c r="AK702" s="3062">
        <f>IF($L702=AK$627,COUNTIF($L$630:$L702,AK$627)+1,0)</f>
        <v>0</v>
      </c>
      <c r="AL702" s="3063">
        <f>IF($L702=AL$627,COUNTIF($L$630:$L702,AL$627)+1,0)</f>
        <v>61</v>
      </c>
    </row>
    <row r="703" spans="1:38" ht="12.75" customHeight="1">
      <c r="A703" s="1886">
        <v>703</v>
      </c>
      <c r="B703" s="5250"/>
      <c r="C703" s="2780"/>
      <c r="D703" s="2781" t="s">
        <v>2536</v>
      </c>
      <c r="E703" s="2778">
        <v>40</v>
      </c>
      <c r="F703" s="2778">
        <v>0</v>
      </c>
      <c r="G703" s="2778">
        <v>6</v>
      </c>
      <c r="H703" s="2778">
        <v>6</v>
      </c>
      <c r="I703" s="2778" t="s">
        <v>1863</v>
      </c>
      <c r="J703" s="2778" t="s">
        <v>1766</v>
      </c>
      <c r="K703" s="2772" t="s">
        <v>8884</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Cuervo</v>
      </c>
      <c r="AJ703" s="3061">
        <f>IF($L703=AJ$627,COUNTIF($L$630:$L703,AJ$627)+1,0)</f>
        <v>0</v>
      </c>
      <c r="AK703" s="3062">
        <f>IF($L703=AK$627,COUNTIF($L$630:$L703,AK$627)+1,0)</f>
        <v>0</v>
      </c>
      <c r="AL703" s="3063">
        <f>IF($L703=AL$627,COUNTIF($L$630:$L703,AL$627)+1,0)</f>
        <v>62</v>
      </c>
    </row>
    <row r="704" spans="1:38" ht="12.75" customHeight="1">
      <c r="A704" s="1886">
        <v>704</v>
      </c>
      <c r="B704" s="5250"/>
      <c r="C704" s="2780"/>
      <c r="D704" s="2781" t="s">
        <v>8595</v>
      </c>
      <c r="E704" s="2788">
        <v>25</v>
      </c>
      <c r="F704" s="2778">
        <v>15</v>
      </c>
      <c r="G704" s="2778">
        <v>4</v>
      </c>
      <c r="H704" s="2778">
        <v>4</v>
      </c>
      <c r="I704" s="2778" t="s">
        <v>1863</v>
      </c>
      <c r="J704" s="2778" t="s">
        <v>1766</v>
      </c>
      <c r="K704" s="2772" t="s">
        <v>8886</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Garras</v>
      </c>
      <c r="AJ704" s="3061">
        <f>IF($L704=AJ$627,COUNTIF($L$630:$L704,AJ$627)+1,0)</f>
        <v>0</v>
      </c>
      <c r="AK704" s="3062">
        <f>IF($L704=AK$627,COUNTIF($L$630:$L704,AK$627)+1,0)</f>
        <v>0</v>
      </c>
      <c r="AL704" s="3063">
        <f>IF($L704=AL$627,COUNTIF($L$630:$L704,AL$627)+1,0)</f>
        <v>63</v>
      </c>
    </row>
    <row r="705" spans="1:38" ht="12.75" customHeight="1">
      <c r="A705" s="1886">
        <v>705</v>
      </c>
      <c r="B705" s="5250"/>
      <c r="C705" s="2780"/>
      <c r="D705" s="2781" t="s">
        <v>8577</v>
      </c>
      <c r="E705" s="2788">
        <v>40</v>
      </c>
      <c r="F705" s="2778">
        <v>0</v>
      </c>
      <c r="G705" s="2778">
        <v>8</v>
      </c>
      <c r="H705" s="2778">
        <v>5</v>
      </c>
      <c r="I705" s="2778" t="s">
        <v>1863</v>
      </c>
      <c r="J705" s="2778" t="s">
        <v>1809</v>
      </c>
      <c r="K705" s="2772" t="s">
        <v>8897</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Katar</v>
      </c>
      <c r="AJ705" s="3061">
        <f>IF($L705=AJ$627,COUNTIF($L$630:$L705,AJ$627)+1,0)</f>
        <v>0</v>
      </c>
      <c r="AK705" s="3062">
        <f>IF($L705=AK$627,COUNTIF($L$630:$L705,AK$627)+1,0)</f>
        <v>0</v>
      </c>
      <c r="AL705" s="3063">
        <f>IF($L705=AL$627,COUNTIF($L$630:$L705,AL$627)+1,0)</f>
        <v>64</v>
      </c>
    </row>
    <row r="706" spans="1:38" ht="12.75" customHeight="1">
      <c r="A706" s="1886">
        <v>706</v>
      </c>
      <c r="B706" s="5250"/>
      <c r="C706" s="2780"/>
      <c r="D706" s="2781" t="s">
        <v>2538</v>
      </c>
      <c r="E706" s="2788">
        <v>30</v>
      </c>
      <c r="F706" s="2778">
        <v>10</v>
      </c>
      <c r="G706" s="2778">
        <v>4</v>
      </c>
      <c r="H706" s="2778">
        <v>4</v>
      </c>
      <c r="I706" s="2778" t="s">
        <v>1809</v>
      </c>
      <c r="J706" s="2778" t="s">
        <v>1766</v>
      </c>
      <c r="K706" s="2772" t="s">
        <v>8882</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Kusari-Gama</v>
      </c>
      <c r="AJ706" s="3061">
        <f>IF($L706=AJ$627,COUNTIF($L$630:$L706,AJ$627)+1,0)</f>
        <v>0</v>
      </c>
      <c r="AK706" s="3062">
        <f>IF($L706=AK$627,COUNTIF($L$630:$L706,AK$627)+1,0)</f>
        <v>0</v>
      </c>
      <c r="AL706" s="3063">
        <f>IF($L706=AL$627,COUNTIF($L$630:$L706,AL$627)+1,0)</f>
        <v>65</v>
      </c>
    </row>
    <row r="707" spans="1:38" ht="12.75" customHeight="1">
      <c r="A707" s="1886">
        <v>707</v>
      </c>
      <c r="B707" s="5250"/>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Nodachi</v>
      </c>
      <c r="AJ707" s="3061">
        <f>MAX(AJ$630:AJ706)+1</f>
        <v>10</v>
      </c>
      <c r="AK707" s="3062">
        <f>MAX(AK$630:AK706)+1</f>
        <v>5</v>
      </c>
      <c r="AL707" s="3063">
        <f>MAX(AL$630:AL706)+1</f>
        <v>66</v>
      </c>
    </row>
    <row r="708" spans="1:38" ht="12.75" customHeight="1">
      <c r="A708" s="1886">
        <v>708</v>
      </c>
      <c r="B708" s="5250"/>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268" t="str">
        <f>"Escudo. -"&amp;P708&amp;" HP/-"&amp;Q708&amp;" HE si se usa para atacar."</f>
        <v>Escudo. -30 HP/-15 HE si se usa para atacar.</v>
      </c>
      <c r="W708" s="5268"/>
      <c r="X708" s="5269"/>
      <c r="Z708" s="3060" t="str">
        <f t="shared" si="90"/>
        <v/>
      </c>
      <c r="AB708" s="2184" t="s">
        <v>2563</v>
      </c>
      <c r="AC708" s="442"/>
      <c r="AD708" s="442"/>
      <c r="AE708" s="3039"/>
      <c r="AG708" s="2184" t="str">
        <f t="shared" si="87"/>
        <v/>
      </c>
      <c r="AH708" s="1971" t="str">
        <f t="shared" si="88"/>
        <v/>
      </c>
      <c r="AI708" s="1971" t="str">
        <f t="shared" si="89"/>
        <v>Nunchaku</v>
      </c>
      <c r="AJ708" s="3061">
        <f>IF($L708=AJ$627,COUNTIF($L$630:$L708,AJ$627)+2,0)</f>
        <v>0</v>
      </c>
      <c r="AK708" s="3062">
        <f>IF($L708=AK$627,COUNTIF($L$630:$L708,AK$627)+2,0)</f>
        <v>0</v>
      </c>
      <c r="AL708" s="3063">
        <f>IF($L708=AL$627,COUNTIF($L$630:$L708,AL$627)+2,0)</f>
        <v>67</v>
      </c>
    </row>
    <row r="709" spans="1:38" ht="12.75" customHeight="1">
      <c r="A709" s="1886">
        <v>709</v>
      </c>
      <c r="B709" s="5250"/>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268" t="str">
        <f>"Escudo. -"&amp;P709&amp;" HP/-"&amp;Q709&amp;" HE si se usa para atacar."</f>
        <v>Escudo. -20 HP/-10 HE si se usa para atacar.</v>
      </c>
      <c r="W709" s="5268"/>
      <c r="X709" s="5269"/>
      <c r="Z709" s="3060" t="str">
        <f t="shared" si="90"/>
        <v/>
      </c>
      <c r="AB709" s="1639" t="s">
        <v>2564</v>
      </c>
      <c r="AC709" s="442"/>
      <c r="AD709" s="442"/>
      <c r="AE709" s="3039"/>
      <c r="AG709" s="2184" t="str">
        <f t="shared" si="87"/>
        <v/>
      </c>
      <c r="AH709" s="1971" t="str">
        <f t="shared" si="88"/>
        <v/>
      </c>
      <c r="AI709" s="1971" t="str">
        <f t="shared" si="89"/>
        <v>Quebradora</v>
      </c>
      <c r="AJ709" s="3061">
        <f>IF($L709=AJ$627,COUNTIF($L$630:$L709,AJ$627)+2,0)</f>
        <v>0</v>
      </c>
      <c r="AK709" s="3062">
        <f>IF($L709=AK$627,COUNTIF($L$630:$L709,AK$627)+2,0)</f>
        <v>0</v>
      </c>
      <c r="AL709" s="3063">
        <f>IF($L709=AL$627,COUNTIF($L$630:$L709,AL$627)+2,0)</f>
        <v>68</v>
      </c>
    </row>
    <row r="710" spans="1:38" ht="12.75" customHeight="1">
      <c r="A710" s="1886">
        <v>710</v>
      </c>
      <c r="B710" s="5250"/>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268" t="str">
        <f>"Escudo. -"&amp;P710&amp;" HP/-"&amp;Q710&amp;" HE si se usa para atacar."</f>
        <v>Escudo. -10 HP/-5 HE si se usa para atacar.</v>
      </c>
      <c r="W710" s="5268"/>
      <c r="X710" s="5269"/>
      <c r="Z710" s="3060" t="str">
        <f t="shared" si="90"/>
        <v/>
      </c>
      <c r="AB710" s="2184" t="s">
        <v>2565</v>
      </c>
      <c r="AC710" s="442"/>
      <c r="AD710" s="442"/>
      <c r="AE710" s="3039"/>
      <c r="AG710" s="2184" t="str">
        <f t="shared" si="87"/>
        <v/>
      </c>
      <c r="AH710" s="1971" t="str">
        <f t="shared" si="88"/>
        <v/>
      </c>
      <c r="AI710" s="1971" t="str">
        <f t="shared" si="89"/>
        <v>Sai</v>
      </c>
      <c r="AJ710" s="3061">
        <f>IF($L710=AJ$627,COUNTIF($L$630:$L710,AJ$627)+2,0)</f>
        <v>0</v>
      </c>
      <c r="AK710" s="3062">
        <f>IF($L710=AK$627,COUNTIF($L$630:$L710,AK$627)+2,0)</f>
        <v>0</v>
      </c>
      <c r="AL710" s="3063">
        <f>IF($L710=AL$627,COUNTIF($L$630:$L710,AL$627)+2,0)</f>
        <v>69</v>
      </c>
    </row>
    <row r="711" spans="1:38" ht="12.75" customHeight="1">
      <c r="A711" s="1886">
        <v>711</v>
      </c>
      <c r="B711" s="5250"/>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Shuko</v>
      </c>
      <c r="AJ711" s="3061">
        <f>MAX(AJ$630:AJ710)+1</f>
        <v>11</v>
      </c>
      <c r="AK711" s="3062">
        <f>MAX(AK$630:AK710)+1</f>
        <v>6</v>
      </c>
      <c r="AL711" s="3063">
        <f>MAX(AL$630:AL710)+1</f>
        <v>70</v>
      </c>
    </row>
    <row r="712" spans="1:38" ht="12.75" customHeight="1">
      <c r="A712" s="1886">
        <v>712</v>
      </c>
      <c r="B712" s="5250"/>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268" t="s">
        <v>2546</v>
      </c>
      <c r="W712" s="5268"/>
      <c r="X712" s="5269"/>
      <c r="Z712" s="3060" t="str">
        <f t="shared" si="90"/>
        <v/>
      </c>
      <c r="AB712" s="1639" t="s">
        <v>2568</v>
      </c>
      <c r="AC712" s="442"/>
      <c r="AD712" s="442"/>
      <c r="AE712" s="3039"/>
      <c r="AG712" s="2184" t="str">
        <f t="shared" si="87"/>
        <v/>
      </c>
      <c r="AH712" s="1971" t="str">
        <f t="shared" si="88"/>
        <v/>
      </c>
      <c r="AI712" s="1971" t="str">
        <f t="shared" si="89"/>
        <v>Shuriken</v>
      </c>
      <c r="AJ712" s="3061">
        <f>IF($L712=AJ$627,COUNTIF($L$630:$L712,AJ$627)+3,0)</f>
        <v>0</v>
      </c>
      <c r="AK712" s="3062">
        <f>IF($L712=AK$627,COUNTIF($L$630:$L712,AK$627)+3,0)</f>
        <v>0</v>
      </c>
      <c r="AL712" s="3063">
        <f>IF($L712=AL$627,COUNTIF($L$630:$L712,AL$627)+3,0)</f>
        <v>71</v>
      </c>
    </row>
    <row r="713" spans="1:38" ht="12.75" customHeight="1">
      <c r="A713" s="1886">
        <v>713</v>
      </c>
      <c r="B713" s="5250"/>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268" t="s">
        <v>2548</v>
      </c>
      <c r="W713" s="5268"/>
      <c r="X713" s="5269"/>
      <c r="Z713" s="3060" t="str">
        <f t="shared" si="90"/>
        <v/>
      </c>
      <c r="AB713" s="1639" t="s">
        <v>2570</v>
      </c>
      <c r="AC713" s="442"/>
      <c r="AD713" s="442"/>
      <c r="AE713" s="3039"/>
      <c r="AG713" s="2184" t="str">
        <f t="shared" si="87"/>
        <v/>
      </c>
      <c r="AH713" s="1971" t="str">
        <f t="shared" si="88"/>
        <v/>
      </c>
      <c r="AI713" s="1971" t="str">
        <f t="shared" si="89"/>
        <v>Tanto</v>
      </c>
      <c r="AJ713" s="3061">
        <f>IF($L713=AJ$627,COUNTIF($L$630:$L713,AJ$627)+3,0)</f>
        <v>0</v>
      </c>
      <c r="AK713" s="3062">
        <f>IF($L713=AK$627,COUNTIF($L$630:$L713,AK$627)+3,0)</f>
        <v>0</v>
      </c>
      <c r="AL713" s="3063">
        <f>IF($L713=AL$627,COUNTIF($L$630:$L713,AL$627)+3,0)</f>
        <v>72</v>
      </c>
    </row>
    <row r="714" spans="1:38" ht="12.75" customHeight="1">
      <c r="A714" s="1886">
        <v>714</v>
      </c>
      <c r="B714" s="5250"/>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268" t="s">
        <v>2550</v>
      </c>
      <c r="W714" s="5268"/>
      <c r="X714" s="5269"/>
      <c r="Z714" s="3060" t="str">
        <f t="shared" si="90"/>
        <v/>
      </c>
      <c r="AB714" s="1639" t="s">
        <v>2571</v>
      </c>
      <c r="AC714" s="442"/>
      <c r="AD714" s="442"/>
      <c r="AE714" s="3039"/>
      <c r="AG714" s="2184" t="str">
        <f t="shared" si="87"/>
        <v/>
      </c>
      <c r="AH714" s="1971" t="str">
        <f t="shared" si="88"/>
        <v/>
      </c>
      <c r="AI714" s="1971" t="str">
        <f t="shared" si="89"/>
        <v>Tonfa</v>
      </c>
      <c r="AJ714" s="3061">
        <f>IF($L714=AJ$627,COUNTIF($L$630:$L714,AJ$627)+3,0)</f>
        <v>0</v>
      </c>
      <c r="AK714" s="3062">
        <f>IF($L714=AK$627,COUNTIF($L$630:$L714,AK$627)+3,0)</f>
        <v>0</v>
      </c>
      <c r="AL714" s="3063">
        <f>IF($L714=AL$627,COUNTIF($L$630:$L714,AL$627)+3,0)</f>
        <v>73</v>
      </c>
    </row>
    <row r="715" spans="1:38" ht="12.75" customHeight="1">
      <c r="A715" s="1886">
        <v>715</v>
      </c>
      <c r="B715" s="5250"/>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268" t="s">
        <v>2552</v>
      </c>
      <c r="W715" s="5268"/>
      <c r="X715" s="5269"/>
      <c r="Z715" s="3060" t="str">
        <f t="shared" si="90"/>
        <v/>
      </c>
      <c r="AB715" s="1639" t="s">
        <v>8579</v>
      </c>
      <c r="AC715" s="442"/>
      <c r="AD715" s="442"/>
      <c r="AE715" s="3039"/>
      <c r="AG715" s="2184" t="str">
        <f t="shared" si="87"/>
        <v/>
      </c>
      <c r="AH715" s="1971" t="str">
        <f t="shared" si="88"/>
        <v/>
      </c>
      <c r="AI715" s="1971" t="str">
        <f t="shared" si="89"/>
        <v>Jutte</v>
      </c>
      <c r="AJ715" s="3061">
        <f>IF($L715=AJ$627,COUNTIF($L$630:$L715,AJ$627)+3,0)</f>
        <v>0</v>
      </c>
      <c r="AK715" s="3062">
        <f>IF($L715=AK$627,COUNTIF($L$630:$L715,AK$627)+3,0)</f>
        <v>0</v>
      </c>
      <c r="AL715" s="3063">
        <f>IF($L715=AL$627,COUNTIF($L$630:$L715,AL$627)+3,0)</f>
        <v>74</v>
      </c>
    </row>
    <row r="716" spans="1:38" ht="12.75" customHeight="1">
      <c r="A716" s="1886">
        <v>716</v>
      </c>
      <c r="B716" s="5250"/>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268" t="s">
        <v>1766</v>
      </c>
      <c r="W716" s="5268"/>
      <c r="X716" s="5269"/>
      <c r="Z716" s="3060" t="str">
        <f t="shared" si="90"/>
        <v/>
      </c>
      <c r="AB716" s="1639" t="s">
        <v>8596</v>
      </c>
      <c r="AC716" s="442"/>
      <c r="AD716" s="442"/>
      <c r="AE716" s="3039"/>
      <c r="AG716" s="2184" t="str">
        <f t="shared" si="87"/>
        <v/>
      </c>
      <c r="AH716" s="1971" t="str">
        <f t="shared" si="88"/>
        <v/>
      </c>
      <c r="AI716" s="1971" t="str">
        <f t="shared" si="89"/>
        <v>Kama</v>
      </c>
      <c r="AJ716" s="3061">
        <f>IF($L716=AJ$627,COUNTIF($L$630:$L716,AJ$627)+3,0)</f>
        <v>0</v>
      </c>
      <c r="AK716" s="3062">
        <f>IF($L716=AK$627,COUNTIF($L$630:$L716,AK$627)+3,0)</f>
        <v>0</v>
      </c>
      <c r="AL716" s="3063">
        <f>IF($L716=AL$627,COUNTIF($L$630:$L716,AL$627)+3,0)</f>
        <v>75</v>
      </c>
    </row>
    <row r="717" spans="1:38" ht="12.75" customHeight="1">
      <c r="A717" s="1886">
        <v>717</v>
      </c>
      <c r="B717" s="5250"/>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789">
        <v>11</v>
      </c>
      <c r="N717" s="2789">
        <v>3</v>
      </c>
      <c r="O717" s="2789">
        <v>40</v>
      </c>
      <c r="P717" s="2778"/>
      <c r="Q717" s="2778"/>
      <c r="R717" s="2778" t="s">
        <v>1766</v>
      </c>
      <c r="S717" s="2778" t="s">
        <v>1766</v>
      </c>
      <c r="T717" s="2778" t="s">
        <v>1766</v>
      </c>
      <c r="U717" s="2778"/>
      <c r="V717" s="5268" t="s">
        <v>2494</v>
      </c>
      <c r="W717" s="5268"/>
      <c r="X717" s="5269"/>
      <c r="Z717" s="3060" t="str">
        <f t="shared" si="90"/>
        <v/>
      </c>
      <c r="AB717" s="2184" t="s">
        <v>8597</v>
      </c>
      <c r="AC717" s="442"/>
      <c r="AD717" s="442"/>
      <c r="AE717" s="3039"/>
      <c r="AG717" s="2184" t="str">
        <f t="shared" si="87"/>
        <v/>
      </c>
      <c r="AH717" s="1971" t="str">
        <f t="shared" si="88"/>
        <v/>
      </c>
      <c r="AI717" s="1971" t="str">
        <f t="shared" si="89"/>
        <v>Kau Sin Ke</v>
      </c>
      <c r="AJ717" s="3061">
        <f>IF($L717=AJ$627,COUNTIF($L$630:$L717,AJ$627)+3,0)</f>
        <v>12</v>
      </c>
      <c r="AK717" s="3062">
        <f>IF($L717=AK$627,COUNTIF($L$630:$L717,AK$627)+3,0)</f>
        <v>0</v>
      </c>
      <c r="AL717" s="3063">
        <f>IF($L717=AL$627,COUNTIF($L$630:$L717,AL$627)+3,0)</f>
        <v>0</v>
      </c>
    </row>
    <row r="718" spans="1:38" ht="12.75" customHeight="1">
      <c r="A718" s="1886">
        <v>718</v>
      </c>
      <c r="B718" s="5250"/>
      <c r="C718" s="2780"/>
      <c r="D718" s="2781" t="s">
        <v>2555</v>
      </c>
      <c r="E718" s="2788">
        <v>55</v>
      </c>
      <c r="F718" s="2778">
        <v>-5</v>
      </c>
      <c r="G718" s="2778">
        <v>8</v>
      </c>
      <c r="H718" s="2778">
        <v>8</v>
      </c>
      <c r="I718" s="2778" t="s">
        <v>1863</v>
      </c>
      <c r="J718" s="2778" t="s">
        <v>1766</v>
      </c>
      <c r="K718" s="2772" t="s">
        <v>8885</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Similar</v>
      </c>
      <c r="M718" s="2789">
        <v>11</v>
      </c>
      <c r="N718" s="2789">
        <v>3</v>
      </c>
      <c r="O718" s="2789">
        <v>40</v>
      </c>
      <c r="P718" s="2778"/>
      <c r="Q718" s="2778"/>
      <c r="R718" s="2778" t="s">
        <v>1766</v>
      </c>
      <c r="S718" s="2778" t="s">
        <v>1766</v>
      </c>
      <c r="T718" s="2778" t="s">
        <v>1766</v>
      </c>
      <c r="U718" s="2778"/>
      <c r="V718" s="5268" t="s">
        <v>2556</v>
      </c>
      <c r="W718" s="5268"/>
      <c r="X718" s="5269"/>
      <c r="Z718" s="3060" t="str">
        <f t="shared" si="90"/>
        <v/>
      </c>
      <c r="AB718" s="2184" t="s">
        <v>8598</v>
      </c>
      <c r="AC718" s="442"/>
      <c r="AD718" s="442"/>
      <c r="AE718" s="3039"/>
      <c r="AG718" s="2184" t="str">
        <f t="shared" si="87"/>
        <v/>
      </c>
      <c r="AH718" s="1971" t="str">
        <f t="shared" si="88"/>
        <v/>
      </c>
      <c r="AI718" s="1971" t="str">
        <f t="shared" si="89"/>
        <v>Kiseru</v>
      </c>
      <c r="AJ718" s="3061">
        <f>IF($L718=AJ$627,COUNTIF($L$630:$L718,AJ$627)+3,0)</f>
        <v>13</v>
      </c>
      <c r="AK718" s="3062">
        <f>IF($L718=AK$627,COUNTIF($L$630:$L718,AK$627)+3,0)</f>
        <v>0</v>
      </c>
      <c r="AL718" s="3063">
        <f>IF($L718=AL$627,COUNTIF($L$630:$L718,AL$627)+3,0)</f>
        <v>0</v>
      </c>
    </row>
    <row r="719" spans="1:38" ht="12.75" customHeight="1">
      <c r="A719" s="1886">
        <v>719</v>
      </c>
      <c r="B719" s="5250"/>
      <c r="C719" s="2780"/>
      <c r="D719" s="2781" t="s">
        <v>2557</v>
      </c>
      <c r="E719" s="2788">
        <v>40</v>
      </c>
      <c r="F719" s="2778">
        <v>10</v>
      </c>
      <c r="G719" s="2778">
        <v>8</v>
      </c>
      <c r="H719" s="2778">
        <v>8</v>
      </c>
      <c r="I719" s="2778" t="s">
        <v>1864</v>
      </c>
      <c r="J719" s="2778" t="s">
        <v>1863</v>
      </c>
      <c r="K719" s="2772" t="s">
        <v>8887</v>
      </c>
      <c r="L719" s="2778" t="str">
        <f t="shared" si="92"/>
        <v>Distinta</v>
      </c>
      <c r="M719" s="2789">
        <v>13</v>
      </c>
      <c r="N719" s="2789">
        <v>3</v>
      </c>
      <c r="O719" s="2789">
        <v>25</v>
      </c>
      <c r="P719" s="2778"/>
      <c r="Q719" s="2778"/>
      <c r="R719" s="2778" t="s">
        <v>1766</v>
      </c>
      <c r="S719" s="2778" t="s">
        <v>1766</v>
      </c>
      <c r="T719" s="2778" t="s">
        <v>1766</v>
      </c>
      <c r="U719" s="2778"/>
      <c r="V719" s="5268" t="s">
        <v>2558</v>
      </c>
      <c r="W719" s="5268"/>
      <c r="X719" s="5269"/>
      <c r="Z719" s="3060" t="str">
        <f t="shared" si="90"/>
        <v/>
      </c>
      <c r="AB719" s="1639" t="s">
        <v>8599</v>
      </c>
      <c r="AC719" s="442"/>
      <c r="AD719" s="442"/>
      <c r="AE719" s="3039"/>
      <c r="AG719" s="2184" t="str">
        <f t="shared" si="87"/>
        <v/>
      </c>
      <c r="AH719" s="1971" t="str">
        <f t="shared" si="88"/>
        <v/>
      </c>
      <c r="AI719" s="1971" t="str">
        <f t="shared" si="89"/>
        <v>Kris</v>
      </c>
      <c r="AJ719" s="3061">
        <f>IF($L719=AJ$627,COUNTIF($L$630:$L719,AJ$627)+3,0)</f>
        <v>0</v>
      </c>
      <c r="AK719" s="3062">
        <f>IF($L719=AK$627,COUNTIF($L$630:$L719,AK$627)+3,0)</f>
        <v>0</v>
      </c>
      <c r="AL719" s="3063">
        <f>IF($L719=AL$627,COUNTIF($L$630:$L719,AL$627)+3,0)</f>
        <v>76</v>
      </c>
    </row>
    <row r="720" spans="1:38" ht="12.75" customHeight="1">
      <c r="A720" s="1886">
        <v>720</v>
      </c>
      <c r="B720" s="5250"/>
      <c r="C720" s="2780"/>
      <c r="D720" s="2781" t="s">
        <v>2559</v>
      </c>
      <c r="E720" s="2788">
        <f>40-Bono_Fue</f>
        <v>40</v>
      </c>
      <c r="F720" s="2778">
        <v>5</v>
      </c>
      <c r="G720" s="2778">
        <v>5</v>
      </c>
      <c r="H720" s="2778">
        <v>5</v>
      </c>
      <c r="I720" s="2778" t="s">
        <v>1863</v>
      </c>
      <c r="J720" s="2778" t="s">
        <v>2560</v>
      </c>
      <c r="K720" s="2772" t="s">
        <v>8899</v>
      </c>
      <c r="L720" s="2778" t="str">
        <f t="shared" si="92"/>
        <v>Distinta</v>
      </c>
      <c r="M720" s="2789">
        <v>12</v>
      </c>
      <c r="N720" s="2789">
        <v>4</v>
      </c>
      <c r="O720" s="2789">
        <v>25</v>
      </c>
      <c r="P720" s="2778"/>
      <c r="Q720" s="2778"/>
      <c r="R720" s="2778" t="s">
        <v>1766</v>
      </c>
      <c r="S720" s="2778" t="s">
        <v>1766</v>
      </c>
      <c r="T720" s="2778" t="s">
        <v>1766</v>
      </c>
      <c r="U720" s="2778"/>
      <c r="V720" s="5268" t="s">
        <v>2561</v>
      </c>
      <c r="W720" s="5268"/>
      <c r="X720" s="5269"/>
      <c r="Z720" s="3060" t="str">
        <f t="shared" si="90"/>
        <v/>
      </c>
      <c r="AB720" s="1639" t="s">
        <v>8600</v>
      </c>
      <c r="AC720" s="442"/>
      <c r="AD720" s="442"/>
      <c r="AE720" s="3039"/>
      <c r="AG720" s="2184" t="str">
        <f t="shared" si="87"/>
        <v/>
      </c>
      <c r="AH720" s="1971" t="str">
        <f t="shared" si="88"/>
        <v/>
      </c>
      <c r="AI720" s="1971" t="str">
        <f t="shared" si="89"/>
        <v>Kumade</v>
      </c>
      <c r="AJ720" s="3061">
        <f>IF($L720=AJ$627,COUNTIF($L$630:$L720,AJ$627)+3,0)</f>
        <v>0</v>
      </c>
      <c r="AK720" s="3062">
        <f>IF($L720=AK$627,COUNTIF($L$630:$L720,AK$627)+3,0)</f>
        <v>0</v>
      </c>
      <c r="AL720" s="3063">
        <f>IF($L720=AL$627,COUNTIF($L$630:$L720,AL$627)+3,0)</f>
        <v>77</v>
      </c>
    </row>
    <row r="721" spans="1:38" ht="12.75" customHeight="1">
      <c r="A721" s="1886">
        <v>721</v>
      </c>
      <c r="B721" s="5250"/>
      <c r="C721" s="2780"/>
      <c r="D721" s="2781" t="s">
        <v>2562</v>
      </c>
      <c r="E721" s="2788">
        <v>80</v>
      </c>
      <c r="F721" s="2778">
        <v>-35</v>
      </c>
      <c r="G721" s="2778">
        <v>10</v>
      </c>
      <c r="H721" s="2778">
        <v>8</v>
      </c>
      <c r="I721" s="2778" t="s">
        <v>1863</v>
      </c>
      <c r="J721" s="2778" t="s">
        <v>1766</v>
      </c>
      <c r="K721" s="2772" t="s">
        <v>8889</v>
      </c>
      <c r="L721" s="2778" t="str">
        <f t="shared" si="92"/>
        <v>Distinta</v>
      </c>
      <c r="M721" s="2789">
        <v>14</v>
      </c>
      <c r="N721" s="2789">
        <v>4</v>
      </c>
      <c r="O721" s="2789">
        <v>40</v>
      </c>
      <c r="P721" s="2778"/>
      <c r="Q721" s="2778"/>
      <c r="R721" s="2778" t="s">
        <v>1766</v>
      </c>
      <c r="S721" s="2778" t="s">
        <v>1766</v>
      </c>
      <c r="T721" s="2778" t="s">
        <v>1766</v>
      </c>
      <c r="U721" s="2778"/>
      <c r="V721" s="5268" t="s">
        <v>2494</v>
      </c>
      <c r="W721" s="5268"/>
      <c r="X721" s="5269"/>
      <c r="Z721" s="3060" t="str">
        <f t="shared" si="90"/>
        <v/>
      </c>
      <c r="AB721" s="1639" t="s">
        <v>8601</v>
      </c>
      <c r="AC721" s="442"/>
      <c r="AD721" s="442"/>
      <c r="AE721" s="3039"/>
      <c r="AG721" s="2184" t="str">
        <f t="shared" si="87"/>
        <v/>
      </c>
      <c r="AH721" s="1971" t="str">
        <f t="shared" si="88"/>
        <v/>
      </c>
      <c r="AI721" s="1971" t="str">
        <f t="shared" si="89"/>
        <v>Kunai</v>
      </c>
      <c r="AJ721" s="3061">
        <f>IF($L721=AJ$627,COUNTIF($L$630:$L721,AJ$627)+3,0)</f>
        <v>0</v>
      </c>
      <c r="AK721" s="3062">
        <f>IF($L721=AK$627,COUNTIF($L$630:$L721,AK$627)+3,0)</f>
        <v>0</v>
      </c>
      <c r="AL721" s="3063">
        <f>IF($L721=AL$627,COUNTIF($L$630:$L721,AL$627)+3,0)</f>
        <v>78</v>
      </c>
    </row>
    <row r="722" spans="1:38" ht="12.75" customHeight="1">
      <c r="A722" s="1886">
        <v>722</v>
      </c>
      <c r="B722" s="5250"/>
      <c r="C722" s="2780"/>
      <c r="D722" s="2781" t="s">
        <v>2563</v>
      </c>
      <c r="E722" s="2788">
        <v>30</v>
      </c>
      <c r="F722" s="2778">
        <v>15</v>
      </c>
      <c r="G722" s="2778">
        <v>5</v>
      </c>
      <c r="H722" s="2778">
        <v>5</v>
      </c>
      <c r="I722" s="2778" t="s">
        <v>1809</v>
      </c>
      <c r="J722" s="2778" t="s">
        <v>1766</v>
      </c>
      <c r="K722" s="2772" t="s">
        <v>8886</v>
      </c>
      <c r="L722" s="2778" t="str">
        <f t="shared" si="92"/>
        <v>Distinta</v>
      </c>
      <c r="M722" s="2789">
        <v>11</v>
      </c>
      <c r="N722" s="2789">
        <v>0</v>
      </c>
      <c r="O722" s="2789">
        <v>15</v>
      </c>
      <c r="P722" s="2778"/>
      <c r="Q722" s="2778"/>
      <c r="R722" s="2778" t="s">
        <v>1766</v>
      </c>
      <c r="S722" s="2778" t="s">
        <v>1766</v>
      </c>
      <c r="T722" s="2778" t="s">
        <v>1766</v>
      </c>
      <c r="U722" s="2778"/>
      <c r="V722" s="5268" t="s">
        <v>1766</v>
      </c>
      <c r="W722" s="5268"/>
      <c r="X722" s="5269"/>
      <c r="Z722" s="3060" t="str">
        <f t="shared" si="90"/>
        <v/>
      </c>
      <c r="AB722" s="1639" t="s">
        <v>8602</v>
      </c>
      <c r="AC722" s="442"/>
      <c r="AD722" s="442"/>
      <c r="AE722" s="3039"/>
      <c r="AG722" s="2184" t="str">
        <f t="shared" si="87"/>
        <v/>
      </c>
      <c r="AH722" s="1971" t="str">
        <f t="shared" si="88"/>
        <v/>
      </c>
      <c r="AI722" s="1971" t="str">
        <f t="shared" si="89"/>
        <v>Kyoketsu-shogui</v>
      </c>
      <c r="AJ722" s="3061">
        <f>IF($L722=AJ$627,COUNTIF($L$630:$L722,AJ$627)+3,0)</f>
        <v>0</v>
      </c>
      <c r="AK722" s="3062">
        <f>IF($L722=AK$627,COUNTIF($L$630:$L722,AK$627)+3,0)</f>
        <v>0</v>
      </c>
      <c r="AL722" s="3063">
        <f>IF($L722=AL$627,COUNTIF($L$630:$L722,AL$627)+3,0)</f>
        <v>79</v>
      </c>
    </row>
    <row r="723" spans="1:38" ht="12.75" customHeight="1">
      <c r="A723" s="1886">
        <v>723</v>
      </c>
      <c r="B723" s="5250"/>
      <c r="C723" s="2780"/>
      <c r="D723" s="2781" t="s">
        <v>2564</v>
      </c>
      <c r="E723" s="2788">
        <v>50</v>
      </c>
      <c r="F723" s="2778">
        <v>-20</v>
      </c>
      <c r="G723" s="2778">
        <v>10</v>
      </c>
      <c r="H723" s="2778">
        <v>8</v>
      </c>
      <c r="I723" s="2778" t="s">
        <v>1809</v>
      </c>
      <c r="J723" s="2778" t="s">
        <v>1863</v>
      </c>
      <c r="K723" s="2772" t="s">
        <v>8889</v>
      </c>
      <c r="L723" s="2778" t="str">
        <f t="shared" si="92"/>
        <v>Distinta</v>
      </c>
      <c r="M723" s="2789">
        <v>16</v>
      </c>
      <c r="N723" s="2789">
        <v>8</v>
      </c>
      <c r="O723" s="2789">
        <v>25</v>
      </c>
      <c r="P723" s="2778"/>
      <c r="Q723" s="2778"/>
      <c r="R723" s="2778" t="s">
        <v>1766</v>
      </c>
      <c r="S723" s="2778" t="s">
        <v>1766</v>
      </c>
      <c r="T723" s="2778" t="s">
        <v>1766</v>
      </c>
      <c r="U723" s="2778"/>
      <c r="V723" s="5268" t="s">
        <v>2494</v>
      </c>
      <c r="W723" s="5268"/>
      <c r="X723" s="5269"/>
      <c r="Z723" s="3060" t="str">
        <f t="shared" si="90"/>
        <v/>
      </c>
      <c r="AB723" s="1639" t="s">
        <v>8603</v>
      </c>
      <c r="AC723" s="442"/>
      <c r="AD723" s="442"/>
      <c r="AE723" s="3039"/>
      <c r="AG723" s="2184" t="str">
        <f t="shared" si="87"/>
        <v/>
      </c>
      <c r="AH723" s="1971" t="str">
        <f t="shared" si="88"/>
        <v/>
      </c>
      <c r="AI723" s="1971" t="str">
        <f t="shared" si="89"/>
        <v>Lajatang</v>
      </c>
      <c r="AJ723" s="3061">
        <f>IF($L723=AJ$627,COUNTIF($L$630:$L723,AJ$627)+3,0)</f>
        <v>0</v>
      </c>
      <c r="AK723" s="3062">
        <f>IF($L723=AK$627,COUNTIF($L$630:$L723,AK$627)+3,0)</f>
        <v>0</v>
      </c>
      <c r="AL723" s="3063">
        <f>IF($L723=AL$627,COUNTIF($L$630:$L723,AL$627)+3,0)</f>
        <v>80</v>
      </c>
    </row>
    <row r="724" spans="1:38" ht="12.75" customHeight="1">
      <c r="A724" s="1886">
        <v>724</v>
      </c>
      <c r="B724" s="5250"/>
      <c r="C724" s="2780"/>
      <c r="D724" s="2781" t="s">
        <v>2565</v>
      </c>
      <c r="E724" s="2788">
        <v>35</v>
      </c>
      <c r="F724" s="2778">
        <v>15</v>
      </c>
      <c r="G724" s="2778">
        <v>4</v>
      </c>
      <c r="H724" s="2778">
        <v>4</v>
      </c>
      <c r="I724" s="2778" t="s">
        <v>1864</v>
      </c>
      <c r="J724" s="2778" t="s">
        <v>1863</v>
      </c>
      <c r="K724" s="2772" t="s">
        <v>8887</v>
      </c>
      <c r="L724" s="2778" t="str">
        <f t="shared" si="92"/>
        <v>Distinta</v>
      </c>
      <c r="M724" s="2789">
        <v>12</v>
      </c>
      <c r="N724" s="2789">
        <v>0</v>
      </c>
      <c r="O724" s="2789">
        <v>25</v>
      </c>
      <c r="P724" s="2778"/>
      <c r="Q724" s="2778"/>
      <c r="R724" s="2778" t="s">
        <v>1766</v>
      </c>
      <c r="S724" s="2778" t="s">
        <v>1766</v>
      </c>
      <c r="T724" s="2778" t="s">
        <v>1766</v>
      </c>
      <c r="U724" s="2778"/>
      <c r="V724" s="5268" t="s">
        <v>2566</v>
      </c>
      <c r="W724" s="5268"/>
      <c r="X724" s="5269"/>
      <c r="Z724" s="3060" t="str">
        <f t="shared" si="90"/>
        <v/>
      </c>
      <c r="AB724" s="2184" t="s">
        <v>8582</v>
      </c>
      <c r="AC724" s="442"/>
      <c r="AD724" s="442"/>
      <c r="AE724" s="3039"/>
      <c r="AG724" s="2184" t="str">
        <f t="shared" si="87"/>
        <v/>
      </c>
      <c r="AH724" s="1971" t="str">
        <f t="shared" si="88"/>
        <v/>
      </c>
      <c r="AI724" s="1971" t="str">
        <f t="shared" si="89"/>
        <v>Nagimaki</v>
      </c>
      <c r="AJ724" s="3061">
        <f>IF($L724=AJ$627,COUNTIF($L$630:$L724,AJ$627)+3,0)</f>
        <v>0</v>
      </c>
      <c r="AK724" s="3062">
        <f>IF($L724=AK$627,COUNTIF($L$630:$L724,AK$627)+3,0)</f>
        <v>0</v>
      </c>
      <c r="AL724" s="3063">
        <f>IF($L724=AL$627,COUNTIF($L$630:$L724,AL$627)+3,0)</f>
        <v>81</v>
      </c>
    </row>
    <row r="725" spans="1:38" ht="12.75" customHeight="1">
      <c r="A725" s="1886">
        <v>725</v>
      </c>
      <c r="B725" s="5250"/>
      <c r="C725" s="2780"/>
      <c r="D725" s="2781" t="s">
        <v>2567</v>
      </c>
      <c r="E725" s="2788">
        <v>20</v>
      </c>
      <c r="F725" s="2778">
        <v>10</v>
      </c>
      <c r="G725" s="2778">
        <v>4</v>
      </c>
      <c r="H725" s="2778">
        <v>4</v>
      </c>
      <c r="I725" s="2778" t="s">
        <v>1864</v>
      </c>
      <c r="J725" s="2778" t="s">
        <v>1766</v>
      </c>
      <c r="K725" s="2772" t="s">
        <v>8887</v>
      </c>
      <c r="L725" s="2778" t="str">
        <f t="shared" si="92"/>
        <v>Distinta</v>
      </c>
      <c r="M725" s="2789">
        <v>9</v>
      </c>
      <c r="N725" s="2789">
        <v>-2</v>
      </c>
      <c r="O725" s="2789">
        <v>25</v>
      </c>
      <c r="P725" s="2778"/>
      <c r="Q725" s="2778"/>
      <c r="R725" s="2778" t="s">
        <v>1766</v>
      </c>
      <c r="S725" s="2778" t="s">
        <v>1766</v>
      </c>
      <c r="T725" s="2778" t="s">
        <v>1766</v>
      </c>
      <c r="U725" s="2778"/>
      <c r="V725" s="5268" t="s">
        <v>2520</v>
      </c>
      <c r="W725" s="5268"/>
      <c r="X725" s="5269"/>
      <c r="Z725" s="3060" t="str">
        <f t="shared" si="90"/>
        <v/>
      </c>
      <c r="AB725" s="1639" t="s">
        <v>8604</v>
      </c>
      <c r="AC725" s="442"/>
      <c r="AD725" s="442"/>
      <c r="AE725" s="3039"/>
      <c r="AG725" s="2184" t="str">
        <f t="shared" si="87"/>
        <v/>
      </c>
      <c r="AH725" s="1971" t="str">
        <f t="shared" si="88"/>
        <v/>
      </c>
      <c r="AI725" s="1971" t="str">
        <f t="shared" si="89"/>
        <v>Naginata</v>
      </c>
      <c r="AJ725" s="3061">
        <f>IF($L725=AJ$627,COUNTIF($L$630:$L725,AJ$627)+3,0)</f>
        <v>0</v>
      </c>
      <c r="AK725" s="3062">
        <f>IF($L725=AK$627,COUNTIF($L$630:$L725,AK$627)+3,0)</f>
        <v>0</v>
      </c>
      <c r="AL725" s="3063">
        <f>IF($L725=AL$627,COUNTIF($L$630:$L725,AL$627)+3,0)</f>
        <v>82</v>
      </c>
    </row>
    <row r="726" spans="1:38" ht="12.75" customHeight="1">
      <c r="A726" s="1886">
        <v>726</v>
      </c>
      <c r="B726" s="5250"/>
      <c r="C726" s="2780"/>
      <c r="D726" s="2781" t="s">
        <v>2568</v>
      </c>
      <c r="E726" s="2788">
        <v>25</v>
      </c>
      <c r="F726" s="2778">
        <v>20</v>
      </c>
      <c r="G726" s="2778">
        <v>4</v>
      </c>
      <c r="H726" s="2778">
        <v>4</v>
      </c>
      <c r="I726" s="2778" t="s">
        <v>1863</v>
      </c>
      <c r="J726" s="2778" t="s">
        <v>1864</v>
      </c>
      <c r="K726" s="2772" t="s">
        <v>8887</v>
      </c>
      <c r="L726" s="2778" t="str">
        <f t="shared" si="92"/>
        <v>Distinta</v>
      </c>
      <c r="M726" s="2789">
        <v>10</v>
      </c>
      <c r="N726" s="2789">
        <v>1</v>
      </c>
      <c r="O726" s="2789">
        <v>20</v>
      </c>
      <c r="P726" s="2778"/>
      <c r="Q726" s="2778"/>
      <c r="R726" s="2789">
        <v>30</v>
      </c>
      <c r="S726" s="2778" t="s">
        <v>1766</v>
      </c>
      <c r="T726" s="2778">
        <v>20</v>
      </c>
      <c r="U726" s="2778"/>
      <c r="V726" s="5268" t="s">
        <v>2569</v>
      </c>
      <c r="W726" s="5268"/>
      <c r="X726" s="5269"/>
      <c r="Z726" s="3060" t="str">
        <f t="shared" si="90"/>
        <v/>
      </c>
      <c r="AB726" s="1639" t="s">
        <v>8584</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Sang Kauw</v>
      </c>
      <c r="AJ726" s="3061">
        <f>IF($L726=AJ$627,COUNTIF($L$630:$L726,AJ$627)+3,0)</f>
        <v>0</v>
      </c>
      <c r="AK726" s="3062">
        <f>IF($L726=AK$627,COUNTIF($L$630:$L726,AK$627)+3,0)</f>
        <v>0</v>
      </c>
      <c r="AL726" s="3063">
        <f>IF($L726=AL$627,COUNTIF($L$630:$L726,AL$627)+3,0)</f>
        <v>83</v>
      </c>
    </row>
    <row r="727" spans="1:38" ht="12.75" customHeight="1">
      <c r="A727" s="1886">
        <v>727</v>
      </c>
      <c r="B727" s="5250"/>
      <c r="C727" s="2780"/>
      <c r="D727" s="2781" t="s">
        <v>2570</v>
      </c>
      <c r="E727" s="2788">
        <v>40</v>
      </c>
      <c r="F727" s="2778">
        <v>20</v>
      </c>
      <c r="G727" s="2778">
        <v>3</v>
      </c>
      <c r="H727" s="2778">
        <v>3</v>
      </c>
      <c r="I727" s="2778" t="s">
        <v>1863</v>
      </c>
      <c r="J727" s="2778" t="s">
        <v>1766</v>
      </c>
      <c r="K727" s="2772" t="s">
        <v>8887</v>
      </c>
      <c r="L727" s="2778" t="str">
        <f t="shared" si="92"/>
        <v>Distinta</v>
      </c>
      <c r="M727" s="2789">
        <v>9</v>
      </c>
      <c r="N727" s="2789">
        <v>1</v>
      </c>
      <c r="O727" s="2789">
        <v>40</v>
      </c>
      <c r="P727" s="2778"/>
      <c r="Q727" s="2778"/>
      <c r="R727" s="2778" t="s">
        <v>1766</v>
      </c>
      <c r="S727" s="2778" t="s">
        <v>1766</v>
      </c>
      <c r="T727" s="2778" t="s">
        <v>1766</v>
      </c>
      <c r="U727" s="2778"/>
      <c r="V727" s="5268" t="s">
        <v>2498</v>
      </c>
      <c r="W727" s="5268"/>
      <c r="X727" s="5269"/>
      <c r="Z727" s="3060" t="str">
        <f t="shared" si="90"/>
        <v/>
      </c>
      <c r="AB727" s="1639" t="s">
        <v>8605</v>
      </c>
      <c r="AC727" s="442"/>
      <c r="AD727" s="442"/>
      <c r="AE727" s="3039"/>
      <c r="AG727" s="2184" t="str">
        <f t="shared" si="93"/>
        <v/>
      </c>
      <c r="AH727" s="1971" t="str">
        <f t="shared" si="94"/>
        <v/>
      </c>
      <c r="AI727" s="1971" t="str">
        <f t="shared" si="95"/>
        <v>Sode Garami</v>
      </c>
      <c r="AJ727" s="3061">
        <f>IF($L727=AJ$627,COUNTIF($L$630:$L727,AJ$627)+3,0)</f>
        <v>0</v>
      </c>
      <c r="AK727" s="3062">
        <f>IF($L727=AK$627,COUNTIF($L$630:$L727,AK$627)+3,0)</f>
        <v>0</v>
      </c>
      <c r="AL727" s="3063">
        <f>IF($L727=AL$627,COUNTIF($L$630:$L727,AL$627)+3,0)</f>
        <v>84</v>
      </c>
    </row>
    <row r="728" spans="1:38" ht="12.75" customHeight="1">
      <c r="A728" s="1886">
        <v>728</v>
      </c>
      <c r="B728" s="5250"/>
      <c r="C728" s="2780"/>
      <c r="D728" s="2781" t="s">
        <v>2571</v>
      </c>
      <c r="E728" s="2788">
        <v>30</v>
      </c>
      <c r="F728" s="2778">
        <v>20</v>
      </c>
      <c r="G728" s="2778">
        <v>4</v>
      </c>
      <c r="H728" s="2778">
        <v>4</v>
      </c>
      <c r="I728" s="2778" t="s">
        <v>1809</v>
      </c>
      <c r="J728" s="2778" t="s">
        <v>1766</v>
      </c>
      <c r="K728" s="2772" t="s">
        <v>8887</v>
      </c>
      <c r="L728" s="2778" t="str">
        <f t="shared" si="92"/>
        <v>Distinta</v>
      </c>
      <c r="M728" s="2789">
        <v>13</v>
      </c>
      <c r="N728" s="2789">
        <v>0</v>
      </c>
      <c r="O728" s="2789">
        <v>25</v>
      </c>
      <c r="P728" s="2778"/>
      <c r="Q728" s="2778"/>
      <c r="R728" s="2778" t="s">
        <v>1766</v>
      </c>
      <c r="S728" s="2778" t="s">
        <v>1766</v>
      </c>
      <c r="T728" s="2778" t="s">
        <v>1766</v>
      </c>
      <c r="U728" s="2778"/>
      <c r="V728" s="5268" t="s">
        <v>2498</v>
      </c>
      <c r="W728" s="5268"/>
      <c r="X728" s="5269"/>
      <c r="Z728" s="3060" t="str">
        <f t="shared" si="90"/>
        <v/>
      </c>
      <c r="AB728" s="1639" t="s">
        <v>8587</v>
      </c>
      <c r="AC728" s="442"/>
      <c r="AD728" s="442"/>
      <c r="AE728" s="3039"/>
      <c r="AG728" s="2184" t="str">
        <f t="shared" si="93"/>
        <v/>
      </c>
      <c r="AH728" s="1971" t="str">
        <f t="shared" si="94"/>
        <v/>
      </c>
      <c r="AI728" s="1971" t="str">
        <f t="shared" si="95"/>
        <v>Tetsubo</v>
      </c>
      <c r="AJ728" s="3061">
        <f>IF($L728=AJ$627,COUNTIF($L$630:$L728,AJ$627)+3,0)</f>
        <v>0</v>
      </c>
      <c r="AK728" s="3062">
        <f>IF($L728=AK$627,COUNTIF($L$630:$L728,AK$627)+3,0)</f>
        <v>0</v>
      </c>
      <c r="AL728" s="3063">
        <f>IF($L728=AL$627,COUNTIF($L$630:$L728,AL$627)+3,0)</f>
        <v>85</v>
      </c>
    </row>
    <row r="729" spans="1:38" ht="12.75" customHeight="1">
      <c r="A729" s="1886">
        <v>729</v>
      </c>
      <c r="B729" s="5250"/>
      <c r="C729" s="2780"/>
      <c r="D729" s="2781" t="s">
        <v>8579</v>
      </c>
      <c r="E729" s="2788">
        <v>25</v>
      </c>
      <c r="F729" s="2778">
        <v>0</v>
      </c>
      <c r="G729" s="2778">
        <v>6</v>
      </c>
      <c r="H729" s="2778">
        <v>5</v>
      </c>
      <c r="I729" s="2778" t="s">
        <v>1809</v>
      </c>
      <c r="J729" s="2778" t="s">
        <v>1766</v>
      </c>
      <c r="K729" s="2772" t="s">
        <v>8885</v>
      </c>
      <c r="L729" s="2791" t="str">
        <f>L717</f>
        <v>Similar</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8606</v>
      </c>
      <c r="AC729" s="442"/>
      <c r="AD729" s="442"/>
      <c r="AE729" s="3039"/>
      <c r="AG729" s="2184" t="str">
        <f t="shared" si="93"/>
        <v/>
      </c>
      <c r="AH729" s="1971" t="str">
        <f t="shared" si="94"/>
        <v/>
      </c>
      <c r="AI729" s="1971" t="str">
        <f t="shared" si="95"/>
        <v>Uchi-ne</v>
      </c>
      <c r="AJ729" s="3061">
        <f>IF($L729=AJ$627,COUNTIF($L$630:$L729,AJ$627)+3,0)</f>
        <v>14</v>
      </c>
      <c r="AK729" s="3062">
        <f>IF($L729=AK$627,COUNTIF($L$630:$L729,AK$627)+3,0)</f>
        <v>0</v>
      </c>
      <c r="AL729" s="3063">
        <f>IF($L729=AL$627,COUNTIF($L$630:$L729,AL$627)+3,0)</f>
        <v>0</v>
      </c>
    </row>
    <row r="730" spans="1:38" ht="12.75" customHeight="1">
      <c r="A730" s="1886">
        <v>730</v>
      </c>
      <c r="B730" s="5250"/>
      <c r="C730" s="2780"/>
      <c r="D730" s="2781" t="s">
        <v>8596</v>
      </c>
      <c r="E730" s="2788">
        <v>20</v>
      </c>
      <c r="F730" s="2778">
        <v>15</v>
      </c>
      <c r="G730" s="2778">
        <v>4</v>
      </c>
      <c r="H730" s="2778">
        <v>4</v>
      </c>
      <c r="I730" s="2778" t="s">
        <v>1809</v>
      </c>
      <c r="J730" s="2778" t="s">
        <v>1766</v>
      </c>
      <c r="K730" s="2772" t="s">
        <v>8887</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60" t="str">
        <f t="shared" si="90"/>
        <v/>
      </c>
      <c r="AB730" s="1639" t="s">
        <v>8607</v>
      </c>
      <c r="AC730" s="442"/>
      <c r="AD730" s="442"/>
      <c r="AE730" s="3039"/>
      <c r="AG730" s="2184" t="str">
        <f t="shared" si="93"/>
        <v/>
      </c>
      <c r="AH730" s="1971" t="str">
        <f t="shared" si="94"/>
        <v/>
      </c>
      <c r="AI730" s="1971" t="str">
        <f t="shared" si="95"/>
        <v>&gt; A. DE PROYECTILES</v>
      </c>
      <c r="AJ730" s="3061">
        <f>IF($L730=AJ$627,COUNTIF($L$630:$L730,AJ$627)+3,0)</f>
        <v>0</v>
      </c>
      <c r="AK730" s="3062">
        <f>IF($L730=AK$627,COUNTIF($L$630:$L730,AK$627)+3,0)</f>
        <v>0</v>
      </c>
      <c r="AL730" s="3063">
        <f>IF($L730=AL$627,COUNTIF($L$630:$L730,AL$627)+3,0)</f>
        <v>86</v>
      </c>
    </row>
    <row r="731" spans="1:38" ht="12.75" customHeight="1">
      <c r="A731" s="1886">
        <v>731</v>
      </c>
      <c r="B731" s="5250"/>
      <c r="C731" s="2780"/>
      <c r="D731" s="2781" t="s">
        <v>8597</v>
      </c>
      <c r="E731" s="2788">
        <v>40</v>
      </c>
      <c r="F731" s="2778">
        <v>5</v>
      </c>
      <c r="G731" s="2778">
        <v>4</v>
      </c>
      <c r="H731" s="2778">
        <v>4</v>
      </c>
      <c r="I731" s="2778" t="s">
        <v>1863</v>
      </c>
      <c r="J731" s="2778" t="s">
        <v>1864</v>
      </c>
      <c r="K731" s="2772" t="s">
        <v>8887</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Arco compuesto</v>
      </c>
      <c r="AJ731" s="3061">
        <f>IF($L731=AJ$627,COUNTIF($L$630:$L731,AJ$627)+3,0)</f>
        <v>0</v>
      </c>
      <c r="AK731" s="3062">
        <f>IF($L731=AK$627,COUNTIF($L$630:$L731,AK$627)+3,0)</f>
        <v>0</v>
      </c>
      <c r="AL731" s="3063">
        <f>IF($L731=AL$627,COUNTIF($L$630:$L731,AL$627)+3,0)</f>
        <v>87</v>
      </c>
    </row>
    <row r="732" spans="1:38" ht="12.75" customHeight="1">
      <c r="A732" s="1886">
        <v>732</v>
      </c>
      <c r="B732" s="5250"/>
      <c r="C732" s="2780"/>
      <c r="D732" s="2781" t="s">
        <v>8598</v>
      </c>
      <c r="E732" s="2788">
        <v>30</v>
      </c>
      <c r="F732" s="2778">
        <v>0</v>
      </c>
      <c r="G732" s="2778">
        <v>6</v>
      </c>
      <c r="H732" s="2778">
        <v>6</v>
      </c>
      <c r="I732" s="2778" t="s">
        <v>1809</v>
      </c>
      <c r="J732" s="2778" t="s">
        <v>1766</v>
      </c>
      <c r="K732" s="2772" t="s">
        <v>8886</v>
      </c>
      <c r="L732" s="2778" t="str">
        <f t="shared" si="96"/>
        <v>Distinta</v>
      </c>
      <c r="M732" s="2789">
        <v>13</v>
      </c>
      <c r="N732" s="2789">
        <v>3</v>
      </c>
      <c r="O732" s="2789">
        <v>20</v>
      </c>
      <c r="P732" s="2778"/>
      <c r="Q732" s="2778"/>
      <c r="R732" s="2778" t="s">
        <v>1766</v>
      </c>
      <c r="S732" s="2778" t="s">
        <v>1766</v>
      </c>
      <c r="T732" s="2778" t="s">
        <v>1766</v>
      </c>
      <c r="U732" s="2778"/>
      <c r="V732" s="2772" t="s">
        <v>8617</v>
      </c>
      <c r="W732" s="2772"/>
      <c r="X732" s="2773"/>
      <c r="Z732" s="3060" t="str">
        <f t="shared" si="97"/>
        <v/>
      </c>
      <c r="AB732" s="2184" t="s">
        <v>2631</v>
      </c>
      <c r="AC732" s="442"/>
      <c r="AD732" s="442"/>
      <c r="AE732" s="3039"/>
      <c r="AG732" s="2184" t="str">
        <f t="shared" si="93"/>
        <v/>
      </c>
      <c r="AH732" s="1971" t="str">
        <f t="shared" si="94"/>
        <v/>
      </c>
      <c r="AI732" s="1971" t="str">
        <f t="shared" si="95"/>
        <v>Arco corto</v>
      </c>
      <c r="AJ732" s="3061">
        <f>IF($L732=AJ$627,COUNTIF($L$630:$L732,AJ$627)+3,0)</f>
        <v>0</v>
      </c>
      <c r="AK732" s="3062">
        <f>IF($L732=AK$627,COUNTIF($L$630:$L732,AK$627)+3,0)</f>
        <v>0</v>
      </c>
      <c r="AL732" s="3063">
        <f>IF($L732=AL$627,COUNTIF($L$630:$L732,AL$627)+3,0)</f>
        <v>88</v>
      </c>
    </row>
    <row r="733" spans="1:38" ht="12.75" customHeight="1">
      <c r="A733" s="1886">
        <v>733</v>
      </c>
      <c r="B733" s="5250"/>
      <c r="C733" s="2780"/>
      <c r="D733" s="2781" t="s">
        <v>8599</v>
      </c>
      <c r="E733" s="2788">
        <v>20</v>
      </c>
      <c r="F733" s="2778">
        <v>15</v>
      </c>
      <c r="G733" s="2778">
        <v>4</v>
      </c>
      <c r="H733" s="2778">
        <v>4</v>
      </c>
      <c r="I733" s="2778" t="s">
        <v>1809</v>
      </c>
      <c r="J733" s="2778" t="s">
        <v>1766</v>
      </c>
      <c r="K733" s="2772" t="s">
        <v>8888</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Arco de balas</v>
      </c>
      <c r="AJ733" s="3061">
        <f>IF($L733=AJ$627,COUNTIF($L$630:$L733,AJ$627)+3,0)</f>
        <v>0</v>
      </c>
      <c r="AK733" s="3062">
        <f>IF($L733=AK$627,COUNTIF($L$630:$L733,AK$627)+3,0)</f>
        <v>0</v>
      </c>
      <c r="AL733" s="3063">
        <f>IF($L733=AL$627,COUNTIF($L$630:$L733,AL$627)+3,0)</f>
        <v>89</v>
      </c>
    </row>
    <row r="734" spans="1:38" ht="12.75" customHeight="1">
      <c r="A734" s="1886">
        <v>734</v>
      </c>
      <c r="B734" s="5250"/>
      <c r="C734" s="2780"/>
      <c r="D734" s="2781" t="s">
        <v>8600</v>
      </c>
      <c r="E734" s="2788">
        <v>30</v>
      </c>
      <c r="F734" s="2778">
        <v>15</v>
      </c>
      <c r="G734" s="2778">
        <v>4</v>
      </c>
      <c r="H734" s="2778">
        <v>4</v>
      </c>
      <c r="I734" s="2778" t="s">
        <v>1864</v>
      </c>
      <c r="J734" s="2778" t="s">
        <v>1863</v>
      </c>
      <c r="K734" s="2772" t="s">
        <v>8887</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Arco largo</v>
      </c>
      <c r="AJ734" s="3061">
        <f>IF($L734=AJ$627,COUNTIF($L$630:$L734,AJ$627)+3,0)</f>
        <v>0</v>
      </c>
      <c r="AK734" s="3062">
        <f>IF($L734=AK$627,COUNTIF($L$630:$L734,AK$627)+3,0)</f>
        <v>0</v>
      </c>
      <c r="AL734" s="3063">
        <f>IF($L734=AL$627,COUNTIF($L$630:$L734,AL$627)+3,0)</f>
        <v>90</v>
      </c>
    </row>
    <row r="735" spans="1:38" ht="12.75" customHeight="1">
      <c r="A735" s="1886">
        <v>735</v>
      </c>
      <c r="B735" s="5250"/>
      <c r="C735" s="2780"/>
      <c r="D735" s="2781" t="s">
        <v>8601</v>
      </c>
      <c r="E735" s="2788">
        <v>35</v>
      </c>
      <c r="F735" s="2778">
        <v>-10</v>
      </c>
      <c r="G735" s="2778">
        <v>4</v>
      </c>
      <c r="H735" s="2778">
        <v>4</v>
      </c>
      <c r="I735" s="2778" t="s">
        <v>1864</v>
      </c>
      <c r="J735" s="2778" t="s">
        <v>1766</v>
      </c>
      <c r="K735" s="2772" t="s">
        <v>8882</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Atlatl</v>
      </c>
      <c r="AJ735" s="3061">
        <f>IF($L735=AJ$627,COUNTIF($L$630:$L735,AJ$627)+3,0)</f>
        <v>0</v>
      </c>
      <c r="AK735" s="3062">
        <f>IF($L735=AK$627,COUNTIF($L$630:$L735,AK$627)+3,0)</f>
        <v>0</v>
      </c>
      <c r="AL735" s="3063">
        <f>IF($L735=AL$627,COUNTIF($L$630:$L735,AL$627)+3,0)</f>
        <v>91</v>
      </c>
    </row>
    <row r="736" spans="1:38" ht="12.75" customHeight="1">
      <c r="A736" s="1886">
        <v>736</v>
      </c>
      <c r="B736" s="5250"/>
      <c r="C736" s="2780"/>
      <c r="D736" s="2781" t="s">
        <v>8602</v>
      </c>
      <c r="E736" s="2788">
        <v>25</v>
      </c>
      <c r="F736" s="2778">
        <v>20</v>
      </c>
      <c r="G736" s="2778">
        <v>4</v>
      </c>
      <c r="H736" s="2778">
        <v>4</v>
      </c>
      <c r="I736" s="2778" t="s">
        <v>1864</v>
      </c>
      <c r="J736" s="2778" t="s">
        <v>1766</v>
      </c>
      <c r="K736" s="2772" t="s">
        <v>8887</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Ballesta</v>
      </c>
      <c r="AJ736" s="3061">
        <f>IF($L736=AJ$627,COUNTIF($L$630:$L736,AJ$627)+3,0)</f>
        <v>0</v>
      </c>
      <c r="AK736" s="3062">
        <f>IF($L736=AK$627,COUNTIF($L$630:$L736,AK$627)+3,0)</f>
        <v>0</v>
      </c>
      <c r="AL736" s="3063">
        <f>IF($L736=AL$627,COUNTIF($L$630:$L736,AL$627)+3,0)</f>
        <v>92</v>
      </c>
    </row>
    <row r="737" spans="1:38" ht="12.75" customHeight="1">
      <c r="A737" s="1886">
        <v>737</v>
      </c>
      <c r="B737" s="5250"/>
      <c r="C737" s="2780"/>
      <c r="D737" s="2781" t="s">
        <v>8603</v>
      </c>
      <c r="E737" s="2788">
        <v>25</v>
      </c>
      <c r="F737" s="2778">
        <v>10</v>
      </c>
      <c r="G737" s="2778">
        <v>4</v>
      </c>
      <c r="H737" s="2778">
        <v>4</v>
      </c>
      <c r="I737" s="2778" t="s">
        <v>1864</v>
      </c>
      <c r="J737" s="2778" t="s">
        <v>1766</v>
      </c>
      <c r="K737" s="2772" t="s">
        <v>8899</v>
      </c>
      <c r="L737" s="2778" t="str">
        <f t="shared" si="96"/>
        <v>Distinta</v>
      </c>
      <c r="M737" s="2789">
        <v>9</v>
      </c>
      <c r="N737" s="2789">
        <v>-3</v>
      </c>
      <c r="O737" s="2789">
        <v>20</v>
      </c>
      <c r="P737" s="2778"/>
      <c r="Q737" s="2778"/>
      <c r="R737" s="2778" t="s">
        <v>1766</v>
      </c>
      <c r="S737" s="2778" t="s">
        <v>1766</v>
      </c>
      <c r="T737" s="2778" t="s">
        <v>1766</v>
      </c>
      <c r="U737" s="2778"/>
      <c r="V737" s="2772" t="s">
        <v>8618</v>
      </c>
      <c r="W737" s="2772"/>
      <c r="X737" s="2773"/>
      <c r="Z737" s="3060" t="str">
        <f t="shared" si="97"/>
        <v/>
      </c>
      <c r="AB737" s="2184" t="s">
        <v>2632</v>
      </c>
      <c r="AC737" s="442"/>
      <c r="AD737" s="442"/>
      <c r="AE737" s="3039"/>
      <c r="AG737" s="2184" t="str">
        <f t="shared" si="93"/>
        <v/>
      </c>
      <c r="AH737" s="1971" t="str">
        <f t="shared" si="94"/>
        <v/>
      </c>
      <c r="AI737" s="1971" t="str">
        <f t="shared" si="95"/>
        <v>Ballesta de mano</v>
      </c>
      <c r="AJ737" s="3061">
        <f>IF($L737=AJ$627,COUNTIF($L$630:$L737,AJ$627)+3,0)</f>
        <v>0</v>
      </c>
      <c r="AK737" s="3062">
        <f>IF($L737=AK$627,COUNTIF($L$630:$L737,AK$627)+3,0)</f>
        <v>0</v>
      </c>
      <c r="AL737" s="3063">
        <f>IF($L737=AL$627,COUNTIF($L$630:$L737,AL$627)+3,0)</f>
        <v>93</v>
      </c>
    </row>
    <row r="738" spans="1:38" ht="12.75" customHeight="1">
      <c r="A738" s="1886">
        <v>738</v>
      </c>
      <c r="B738" s="5250"/>
      <c r="C738" s="2780"/>
      <c r="D738" s="2781" t="s">
        <v>8580</v>
      </c>
      <c r="E738" s="2788">
        <v>40</v>
      </c>
      <c r="F738" s="2778">
        <v>-5</v>
      </c>
      <c r="G738" s="2778">
        <v>6</v>
      </c>
      <c r="H738" s="2778">
        <v>6</v>
      </c>
      <c r="I738" s="2778" t="s">
        <v>1863</v>
      </c>
      <c r="J738" s="2778" t="s">
        <v>1766</v>
      </c>
      <c r="K738" s="2772" t="s">
        <v>8882</v>
      </c>
      <c r="L738" s="2778" t="str">
        <f t="shared" si="96"/>
        <v>Distinta</v>
      </c>
      <c r="M738" s="2789">
        <v>13</v>
      </c>
      <c r="N738" s="2789">
        <v>3</v>
      </c>
      <c r="O738" s="2789">
        <v>25</v>
      </c>
      <c r="P738" s="2778"/>
      <c r="Q738" s="2778"/>
      <c r="R738" s="2778" t="s">
        <v>1766</v>
      </c>
      <c r="S738" s="2778" t="s">
        <v>1766</v>
      </c>
      <c r="T738" s="2778" t="s">
        <v>1766</v>
      </c>
      <c r="U738" s="2778"/>
      <c r="V738" s="2772" t="s">
        <v>8619</v>
      </c>
      <c r="W738" s="2772"/>
      <c r="X738" s="2773"/>
      <c r="Z738" s="3060" t="str">
        <f t="shared" si="97"/>
        <v/>
      </c>
      <c r="AB738" s="1639" t="s">
        <v>2628</v>
      </c>
      <c r="AC738" s="442"/>
      <c r="AD738" s="442"/>
      <c r="AE738" s="3039"/>
      <c r="AG738" s="2184" t="str">
        <f t="shared" si="93"/>
        <v/>
      </c>
      <c r="AH738" s="1971" t="str">
        <f t="shared" si="94"/>
        <v/>
      </c>
      <c r="AI738" s="1971" t="str">
        <f t="shared" si="95"/>
        <v>Ballesta de repetición</v>
      </c>
      <c r="AJ738" s="3061">
        <f>IF($L738=AJ$627,COUNTIF($L$630:$L738,AJ$627)+3,0)</f>
        <v>0</v>
      </c>
      <c r="AK738" s="3062">
        <f>IF($L738=AK$627,COUNTIF($L$630:$L738,AK$627)+3,0)</f>
        <v>0</v>
      </c>
      <c r="AL738" s="3063">
        <f>IF($L738=AL$627,COUNTIF($L$630:$L738,AL$627)+3,0)</f>
        <v>94</v>
      </c>
    </row>
    <row r="739" spans="1:38" ht="12.75" customHeight="1">
      <c r="A739" s="1886">
        <v>739</v>
      </c>
      <c r="B739" s="5250"/>
      <c r="C739" s="2780"/>
      <c r="D739" s="2781" t="s">
        <v>8581</v>
      </c>
      <c r="E739" s="2788">
        <v>40</v>
      </c>
      <c r="F739" s="2778">
        <v>10</v>
      </c>
      <c r="G739" s="2778">
        <v>6</v>
      </c>
      <c r="H739" s="2778">
        <v>6</v>
      </c>
      <c r="I739" s="2778" t="s">
        <v>1863</v>
      </c>
      <c r="J739" s="2778" t="s">
        <v>1766</v>
      </c>
      <c r="K739" s="2772" t="s">
        <v>8882</v>
      </c>
      <c r="L739" s="2778" t="str">
        <f t="shared" si="96"/>
        <v>Distinta</v>
      </c>
      <c r="M739" s="2789">
        <v>12</v>
      </c>
      <c r="N739" s="2789">
        <v>2</v>
      </c>
      <c r="O739" s="2789">
        <v>20</v>
      </c>
      <c r="P739" s="2778"/>
      <c r="Q739" s="2778"/>
      <c r="R739" s="2778" t="s">
        <v>1766</v>
      </c>
      <c r="S739" s="2778" t="s">
        <v>1766</v>
      </c>
      <c r="T739" s="2778" t="s">
        <v>1766</v>
      </c>
      <c r="U739" s="2778"/>
      <c r="V739" s="2772" t="s">
        <v>8620</v>
      </c>
      <c r="W739" s="2772"/>
      <c r="X739" s="2773"/>
      <c r="Z739" s="3060" t="str">
        <f t="shared" si="97"/>
        <v/>
      </c>
      <c r="AB739" s="1639" t="s">
        <v>2626</v>
      </c>
      <c r="AC739" s="442"/>
      <c r="AD739" s="442"/>
      <c r="AE739" s="3039"/>
      <c r="AG739" s="2184" t="str">
        <f t="shared" si="93"/>
        <v/>
      </c>
      <c r="AH739" s="1971" t="str">
        <f t="shared" si="94"/>
        <v/>
      </c>
      <c r="AI739" s="1971" t="str">
        <f t="shared" si="95"/>
        <v>Ballesta pesada</v>
      </c>
      <c r="AJ739" s="3061">
        <f>IF($L739=AJ$627,COUNTIF($L$630:$L739,AJ$627)+3,0)</f>
        <v>0</v>
      </c>
      <c r="AK739" s="3062">
        <f>IF($L739=AK$627,COUNTIF($L$630:$L739,AK$627)+3,0)</f>
        <v>0</v>
      </c>
      <c r="AL739" s="3063">
        <f>IF($L739=AL$627,COUNTIF($L$630:$L739,AL$627)+3,0)</f>
        <v>95</v>
      </c>
    </row>
    <row r="740" spans="1:38" ht="12.75" customHeight="1">
      <c r="A740" s="1886">
        <v>740</v>
      </c>
      <c r="B740" s="5250"/>
      <c r="C740" s="2780"/>
      <c r="D740" s="2781" t="s">
        <v>8582</v>
      </c>
      <c r="E740" s="2788">
        <v>55</v>
      </c>
      <c r="F740" s="2778">
        <v>-10</v>
      </c>
      <c r="G740" s="2778">
        <v>8</v>
      </c>
      <c r="H740" s="2778">
        <v>6</v>
      </c>
      <c r="I740" s="2778" t="s">
        <v>1863</v>
      </c>
      <c r="J740" s="2778" t="s">
        <v>1864</v>
      </c>
      <c r="K740" s="2772" t="s">
        <v>8882</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Cerbatana</v>
      </c>
      <c r="AJ740" s="3061">
        <f>IF($L740=AJ$627,COUNTIF($L$630:$L740,AJ$627)+3,0)</f>
        <v>0</v>
      </c>
      <c r="AK740" s="3062">
        <f>IF($L740=AK$627,COUNTIF($L$630:$L740,AK$627)+3,0)</f>
        <v>0</v>
      </c>
      <c r="AL740" s="3063">
        <f>IF($L740=AL$627,COUNTIF($L$630:$L740,AL$627)+3,0)</f>
        <v>96</v>
      </c>
    </row>
    <row r="741" spans="1:38" ht="12.75" customHeight="1">
      <c r="A741" s="1886">
        <v>741</v>
      </c>
      <c r="B741" s="5250"/>
      <c r="C741" s="2780"/>
      <c r="D741" s="2781" t="s">
        <v>8604</v>
      </c>
      <c r="E741" s="2788">
        <v>45</v>
      </c>
      <c r="F741" s="2778">
        <v>10</v>
      </c>
      <c r="G741" s="2778">
        <v>4</v>
      </c>
      <c r="H741" s="2778">
        <v>4</v>
      </c>
      <c r="I741" s="2778" t="s">
        <v>1863</v>
      </c>
      <c r="J741" s="2778" t="s">
        <v>1864</v>
      </c>
      <c r="K741" s="2772" t="s">
        <v>8885</v>
      </c>
      <c r="L741" s="2778" t="str">
        <f t="shared" si="96"/>
        <v>Similar</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Daikyu</v>
      </c>
      <c r="AJ741" s="3061">
        <f>IF($L741=AJ$627,COUNTIF($L$630:$L741,AJ$627)+3,0)</f>
        <v>15</v>
      </c>
      <c r="AK741" s="3062">
        <f>IF($L741=AK$627,COUNTIF($L$630:$L741,AK$627)+3,0)</f>
        <v>0</v>
      </c>
      <c r="AL741" s="3063">
        <f>IF($L741=AL$627,COUNTIF($L$630:$L741,AL$627)+3,0)</f>
        <v>0</v>
      </c>
    </row>
    <row r="742" spans="1:38" ht="12.75" customHeight="1" thickBot="1">
      <c r="A742" s="1886">
        <v>742</v>
      </c>
      <c r="B742" s="5250"/>
      <c r="C742" s="2780"/>
      <c r="D742" s="2781" t="s">
        <v>8584</v>
      </c>
      <c r="E742" s="2788">
        <v>60</v>
      </c>
      <c r="F742" s="2778">
        <v>-20</v>
      </c>
      <c r="G742" s="2778">
        <v>9</v>
      </c>
      <c r="H742" s="2778">
        <v>7</v>
      </c>
      <c r="I742" s="2778" t="s">
        <v>1863</v>
      </c>
      <c r="J742" s="2778" t="s">
        <v>1766</v>
      </c>
      <c r="K742" s="2772" t="s">
        <v>8890</v>
      </c>
      <c r="L742" s="2778" t="str">
        <f t="shared" si="96"/>
        <v>Mixta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Fusil</v>
      </c>
      <c r="AJ742" s="3061">
        <f>IF($L742=AJ$627,COUNTIF($L$630:$L742,AJ$627)+3,0)</f>
        <v>0</v>
      </c>
      <c r="AK742" s="3062">
        <f>IF($L742=AK$627,COUNTIF($L$630:$L742,AK$627)+3,0)</f>
        <v>7</v>
      </c>
      <c r="AL742" s="3063">
        <f>IF($L742=AL$627,COUNTIF($L$630:$L742,AL$627)+3,0)</f>
        <v>0</v>
      </c>
    </row>
    <row r="743" spans="1:38" ht="12.75" customHeight="1">
      <c r="A743" s="1886">
        <v>743</v>
      </c>
      <c r="B743" s="5250"/>
      <c r="C743" s="2780"/>
      <c r="D743" s="2781" t="s">
        <v>8605</v>
      </c>
      <c r="E743" s="2788">
        <v>50</v>
      </c>
      <c r="F743" s="2778">
        <v>-10</v>
      </c>
      <c r="G743" s="2778">
        <v>6</v>
      </c>
      <c r="H743" s="2778">
        <v>6</v>
      </c>
      <c r="I743" s="2778" t="s">
        <v>1863</v>
      </c>
      <c r="J743" s="2778" t="s">
        <v>1864</v>
      </c>
      <c r="K743" s="2772" t="s">
        <v>8882</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Honda</v>
      </c>
      <c r="AJ743" s="3061">
        <f>IF($L743=AJ$627,COUNTIF($L$630:$L743,AJ$627)+3,0)</f>
        <v>0</v>
      </c>
      <c r="AK743" s="3062">
        <f>IF($L743=AK$627,COUNTIF($L$630:$L743,AK$627)+3,0)</f>
        <v>0</v>
      </c>
      <c r="AL743" s="3063">
        <f>IF($L743=AL$627,COUNTIF($L$630:$L743,AL$627)+3,0)</f>
        <v>97</v>
      </c>
    </row>
    <row r="744" spans="1:38" ht="12.75" customHeight="1">
      <c r="A744" s="1886">
        <v>744</v>
      </c>
      <c r="B744" s="5250"/>
      <c r="C744" s="2780"/>
      <c r="D744" s="2781" t="s">
        <v>8585</v>
      </c>
      <c r="E744" s="2788">
        <v>20</v>
      </c>
      <c r="F744" s="2778">
        <v>0</v>
      </c>
      <c r="G744" s="2778">
        <v>5</v>
      </c>
      <c r="H744" s="2778">
        <v>5</v>
      </c>
      <c r="I744" s="2778" t="s">
        <v>1809</v>
      </c>
      <c r="J744" s="2778" t="s">
        <v>1766</v>
      </c>
      <c r="K744" s="2772" t="s">
        <v>8882</v>
      </c>
      <c r="L744" s="2778" t="str">
        <f t="shared" si="96"/>
        <v>Distinta</v>
      </c>
      <c r="M744" s="2789">
        <v>13</v>
      </c>
      <c r="N744" s="2789">
        <v>2</v>
      </c>
      <c r="O744" s="2789">
        <v>20</v>
      </c>
      <c r="P744" s="2778"/>
      <c r="Q744" s="2778"/>
      <c r="R744" s="2778" t="s">
        <v>1766</v>
      </c>
      <c r="S744" s="2778" t="s">
        <v>1766</v>
      </c>
      <c r="T744" s="2778" t="s">
        <v>1766</v>
      </c>
      <c r="U744" s="2778"/>
      <c r="V744" s="2772" t="s">
        <v>8621</v>
      </c>
      <c r="W744" s="2772"/>
      <c r="X744" s="2773"/>
      <c r="Z744" s="3060" t="str">
        <f t="shared" si="97"/>
        <v/>
      </c>
      <c r="AG744" s="2184" t="str">
        <f t="shared" si="93"/>
        <v/>
      </c>
      <c r="AH744" s="1971" t="str">
        <f t="shared" si="94"/>
        <v/>
      </c>
      <c r="AI744" s="1971" t="str">
        <f t="shared" si="95"/>
        <v>Pistola</v>
      </c>
      <c r="AJ744" s="3061">
        <f>IF($L744=AJ$627,COUNTIF($L$630:$L744,AJ$627)+3,0)</f>
        <v>0</v>
      </c>
      <c r="AK744" s="3062">
        <f>IF($L744=AK$627,COUNTIF($L$630:$L744,AK$627)+3,0)</f>
        <v>0</v>
      </c>
      <c r="AL744" s="3063">
        <f>IF($L744=AL$627,COUNTIF($L$630:$L744,AL$627)+3,0)</f>
        <v>98</v>
      </c>
    </row>
    <row r="745" spans="1:38" ht="12.75" customHeight="1">
      <c r="A745" s="1886">
        <v>745</v>
      </c>
      <c r="B745" s="5250"/>
      <c r="C745" s="2780"/>
      <c r="D745" s="2781" t="s">
        <v>8587</v>
      </c>
      <c r="E745" s="2788">
        <v>80</v>
      </c>
      <c r="F745" s="2778">
        <v>-50</v>
      </c>
      <c r="G745" s="2778">
        <v>10</v>
      </c>
      <c r="H745" s="2778">
        <v>8</v>
      </c>
      <c r="I745" s="2778" t="s">
        <v>1809</v>
      </c>
      <c r="J745" s="2778" t="s">
        <v>1766</v>
      </c>
      <c r="K745" s="2772" t="s">
        <v>8888</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&gt; ARMAS DE ASEDIO</v>
      </c>
      <c r="AJ745" s="3061">
        <f>IF($L745=AJ$627,COUNTIF($L$630:$L745,AJ$627)+3,0)</f>
        <v>0</v>
      </c>
      <c r="AK745" s="3062">
        <f>IF($L745=AK$627,COUNTIF($L$630:$L745,AK$627)+3,0)</f>
        <v>0</v>
      </c>
      <c r="AL745" s="3063">
        <f>IF($L745=AL$627,COUNTIF($L$630:$L745,AL$627)+3,0)</f>
        <v>99</v>
      </c>
    </row>
    <row r="746" spans="1:38" ht="12.75" customHeight="1">
      <c r="A746" s="1886">
        <v>746</v>
      </c>
      <c r="B746" s="5250"/>
      <c r="C746" s="2780"/>
      <c r="D746" s="2781" t="s">
        <v>8606</v>
      </c>
      <c r="E746" s="2788">
        <v>25</v>
      </c>
      <c r="F746" s="2778">
        <v>10</v>
      </c>
      <c r="G746" s="2778">
        <v>4</v>
      </c>
      <c r="H746" s="2778">
        <v>4</v>
      </c>
      <c r="I746" s="2778" t="s">
        <v>1864</v>
      </c>
      <c r="J746" s="2778" t="s">
        <v>1766</v>
      </c>
      <c r="K746" s="2772" t="s">
        <v>8882</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Balista ligera</v>
      </c>
      <c r="AJ746" s="3061">
        <f>IF($L746=AJ$627,COUNTIF($L$630:$L746,AJ$627)+3,0)</f>
        <v>0</v>
      </c>
      <c r="AK746" s="3062">
        <f>IF($L746=AK$627,COUNTIF($L$630:$L746,AK$627)+3,0)</f>
        <v>0</v>
      </c>
      <c r="AL746" s="3063">
        <f>IF($L746=AL$627,COUNTIF($L$630:$L746,AL$627)+3,0)</f>
        <v>100</v>
      </c>
    </row>
    <row r="747" spans="1:38" ht="12.75" customHeight="1">
      <c r="A747" s="1886">
        <v>747</v>
      </c>
      <c r="B747" s="5250"/>
      <c r="C747" s="2780"/>
      <c r="D747" s="2781" t="s">
        <v>8607</v>
      </c>
      <c r="E747" s="2788">
        <v>45</v>
      </c>
      <c r="F747" s="2778">
        <v>0</v>
      </c>
      <c r="G747" s="2778">
        <v>4</v>
      </c>
      <c r="H747" s="2778">
        <v>4</v>
      </c>
      <c r="I747" s="2778" t="s">
        <v>1863</v>
      </c>
      <c r="J747" s="2778" t="s">
        <v>1766</v>
      </c>
      <c r="K747" s="2772" t="s">
        <v>8885</v>
      </c>
      <c r="L747" s="2778" t="str">
        <f t="shared" si="96"/>
        <v>Similar</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Balista pesada</v>
      </c>
      <c r="AJ747" s="3061">
        <f>IF($L747=AJ$627,COUNTIF($L$630:$L747,AJ$627)+3,0)</f>
        <v>16</v>
      </c>
      <c r="AK747" s="3062">
        <f>IF($L747=AK$627,COUNTIF($L$630:$L747,AK$627)+3,0)</f>
        <v>0</v>
      </c>
      <c r="AL747" s="3063">
        <f>IF($L747=AL$627,COUNTIF($L$630:$L747,AL$627)+3,0)</f>
        <v>0</v>
      </c>
    </row>
    <row r="748" spans="1:38" ht="12.75" customHeight="1">
      <c r="A748" s="1886">
        <v>748</v>
      </c>
      <c r="B748" s="5250"/>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Cañón</v>
      </c>
      <c r="AJ748" s="3061">
        <f>MAX(AJ$630:AJ747)+1</f>
        <v>17</v>
      </c>
      <c r="AK748" s="3062">
        <f>MAX(AK$630:AK747)+1</f>
        <v>8</v>
      </c>
      <c r="AL748" s="3063">
        <f>MAX(AL$630:AL747)+1</f>
        <v>101</v>
      </c>
    </row>
    <row r="749" spans="1:38" ht="12.75" customHeight="1">
      <c r="A749" s="1886">
        <v>749</v>
      </c>
      <c r="B749" s="5250"/>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
      </c>
      <c r="AJ749" s="3061">
        <f>IF($L749=AJ$627,COUNTIF($L$630:$L749,AJ$627)+4,0)</f>
        <v>0</v>
      </c>
      <c r="AK749" s="3062">
        <f>IF($L749=AK$627,COUNTIF($L$630:$L749,AK$627)+4,0)</f>
        <v>0</v>
      </c>
      <c r="AL749" s="3063">
        <f>IF($L749=AL$627,COUNTIF($L$630:$L749,AL$627)+4,0)</f>
        <v>102</v>
      </c>
    </row>
    <row r="750" spans="1:38" ht="12.75" customHeight="1">
      <c r="A750" s="1886">
        <v>750</v>
      </c>
      <c r="B750" s="5250"/>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
      </c>
      <c r="AJ750" s="3061">
        <f>IF($L750=AJ$627,COUNTIF($L$630:$L750,AJ$627)+4,0)</f>
        <v>0</v>
      </c>
      <c r="AK750" s="3062">
        <f>IF($L750=AK$627,COUNTIF($L$630:$L750,AK$627)+4,0)</f>
        <v>0</v>
      </c>
      <c r="AL750" s="3063">
        <f>IF($L750=AL$627,COUNTIF($L$630:$L750,AL$627)+4,0)</f>
        <v>103</v>
      </c>
    </row>
    <row r="751" spans="1:38" ht="12.75" customHeight="1">
      <c r="A751" s="1886">
        <v>751</v>
      </c>
      <c r="B751" s="5250"/>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60" t="str">
        <f t="shared" si="97"/>
        <v/>
      </c>
      <c r="AG751" s="2184" t="str">
        <f t="shared" si="93"/>
        <v/>
      </c>
      <c r="AH751" s="1971" t="str">
        <f t="shared" si="94"/>
        <v/>
      </c>
      <c r="AI751" s="1971" t="str">
        <f t="shared" si="95"/>
        <v/>
      </c>
      <c r="AJ751" s="3061">
        <f>IF($L751=AJ$627,COUNTIF($L$630:$L751,AJ$627)+4,0)</f>
        <v>0</v>
      </c>
      <c r="AK751" s="3062">
        <f>IF($L751=AK$627,COUNTIF($L$630:$L751,AK$627)+4,0)</f>
        <v>0</v>
      </c>
      <c r="AL751" s="3063">
        <f>IF($L751=AL$627,COUNTIF($L$630:$L751,AL$627)+4,0)</f>
        <v>104</v>
      </c>
    </row>
    <row r="752" spans="1:38" ht="12.75" customHeight="1">
      <c r="A752" s="1886">
        <v>752</v>
      </c>
      <c r="B752" s="5250"/>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
      </c>
      <c r="AJ752" s="3061">
        <f>IF($L752=AJ$627,COUNTIF($L$630:$L752,AJ$627)+4,0)</f>
        <v>0</v>
      </c>
      <c r="AK752" s="3062">
        <f>IF($L752=AK$627,COUNTIF($L$630:$L752,AK$627)+4,0)</f>
        <v>0</v>
      </c>
      <c r="AL752" s="3063">
        <f>IF($L752=AL$627,COUNTIF($L$630:$L752,AL$627)+4,0)</f>
        <v>105</v>
      </c>
    </row>
    <row r="753" spans="1:38" ht="12.75" customHeight="1">
      <c r="A753" s="1886">
        <v>753</v>
      </c>
      <c r="B753" s="5250"/>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
      </c>
      <c r="AJ753" s="3061">
        <f>IF($L753=AJ$627,COUNTIF($L$630:$L753,AJ$627)+4,0)</f>
        <v>0</v>
      </c>
      <c r="AK753" s="3062">
        <f>IF($L753=AK$627,COUNTIF($L$630:$L753,AK$627)+4,0)</f>
        <v>0</v>
      </c>
      <c r="AL753" s="3063">
        <f>IF($L753=AL$627,COUNTIF($L$630:$L753,AL$627)+4,0)</f>
        <v>106</v>
      </c>
    </row>
    <row r="754" spans="1:38" ht="12.75" customHeight="1">
      <c r="A754" s="1886">
        <v>754</v>
      </c>
      <c r="B754" s="5250"/>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
      </c>
      <c r="AJ754" s="3061">
        <f>IF($L754=AJ$627,COUNTIF($L$630:$L754,AJ$627)+4,0)</f>
        <v>0</v>
      </c>
      <c r="AK754" s="3062">
        <f>IF($L754=AK$627,COUNTIF($L$630:$L754,AK$627)+4,0)</f>
        <v>0</v>
      </c>
      <c r="AL754" s="3063">
        <f>IF($L754=AL$627,COUNTIF($L$630:$L754,AL$627)+4,0)</f>
        <v>107</v>
      </c>
    </row>
    <row r="755" spans="1:38" ht="12.75" customHeight="1">
      <c r="A755" s="1886">
        <v>755</v>
      </c>
      <c r="B755" s="5250"/>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
      </c>
      <c r="AJ755" s="3061">
        <f>IF($L755=AJ$627,COUNTIF($L$630:$L755,AJ$627)+4,0)</f>
        <v>0</v>
      </c>
      <c r="AK755" s="3062">
        <f>IF($L755=AK$627,COUNTIF($L$630:$L755,AK$627)+4,0)</f>
        <v>0</v>
      </c>
      <c r="AL755" s="3063">
        <f>IF($L755=AL$627,COUNTIF($L$630:$L755,AL$627)+4,0)</f>
        <v>108</v>
      </c>
    </row>
    <row r="756" spans="1:38" ht="12.75" customHeight="1">
      <c r="A756" s="1886">
        <v>756</v>
      </c>
      <c r="B756" s="5250"/>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
      </c>
      <c r="AJ756" s="3061">
        <f>IF($L756=AJ$627,COUNTIF($L$630:$L756,AJ$627)+4,0)</f>
        <v>0</v>
      </c>
      <c r="AK756" s="3062">
        <f>IF($L756=AK$627,COUNTIF($L$630:$L756,AK$627)+4,0)</f>
        <v>0</v>
      </c>
      <c r="AL756" s="3063">
        <f>IF($L756=AL$627,COUNTIF($L$630:$L756,AL$627)+4,0)</f>
        <v>109</v>
      </c>
    </row>
    <row r="757" spans="1:38" ht="12.75" customHeight="1">
      <c r="A757" s="1886">
        <v>757</v>
      </c>
      <c r="B757" s="5250"/>
      <c r="C757" s="2780"/>
      <c r="D757" s="2781" t="s">
        <v>2581</v>
      </c>
      <c r="E757" s="2778">
        <v>0</v>
      </c>
      <c r="F757" s="2778">
        <v>-20</v>
      </c>
      <c r="G757" s="2778">
        <v>10</v>
      </c>
      <c r="H757" s="2778">
        <v>7</v>
      </c>
      <c r="I757" s="2778" t="s">
        <v>1864</v>
      </c>
      <c r="J757" s="2778" t="s">
        <v>1766</v>
      </c>
      <c r="K757" s="2772" t="s">
        <v>8900</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
      </c>
      <c r="AJ757" s="3061">
        <f>IF($L757=AJ$627,COUNTIF($L$630:$L757,AJ$627)+4,0)</f>
        <v>0</v>
      </c>
      <c r="AK757" s="3062">
        <f>IF($L757=AK$627,COUNTIF($L$630:$L757,AK$627)+4,0)</f>
        <v>0</v>
      </c>
      <c r="AL757" s="3063">
        <f>IF($L757=AL$627,COUNTIF($L$630:$L757,AL$627)+4,0)</f>
        <v>110</v>
      </c>
    </row>
    <row r="758" spans="1:38" ht="12.75" customHeight="1">
      <c r="A758" s="1886">
        <v>758</v>
      </c>
      <c r="B758" s="5250"/>
      <c r="C758" s="2780"/>
      <c r="D758" s="2781" t="s">
        <v>2582</v>
      </c>
      <c r="E758" s="2778">
        <v>0</v>
      </c>
      <c r="F758" s="2778">
        <v>-10</v>
      </c>
      <c r="G758" s="2778">
        <v>4</v>
      </c>
      <c r="H758" s="2778">
        <v>4</v>
      </c>
      <c r="I758" s="2778" t="s">
        <v>1864</v>
      </c>
      <c r="J758" s="2778" t="s">
        <v>1766</v>
      </c>
      <c r="K758" s="2772" t="s">
        <v>8900</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66" si="100">IF(ISNA(INDEX(Lista_Armas,MATCH($A129,AJ$630:AJ$766,0))),"",INDEX(Lista_Armas,MATCH($A129,AJ$630:AJ$766,0)))</f>
        <v/>
      </c>
      <c r="AH758" s="1971" t="str">
        <f t="shared" ref="AH758:AH766" si="101">IF(ISNA(INDEX(Lista_Armas,MATCH($A129,AK$630:AK$766,0))),"",INDEX(Lista_Armas,MATCH($A129,AK$630:AK$766,0)))</f>
        <v/>
      </c>
      <c r="AI758" s="1971" t="str">
        <f t="shared" ref="AI758:AI766" si="102">IF(ISNA(INDEX(Lista_Armas,MATCH($A129,AL$630:AL$766,0))),"",INDEX(Lista_Armas,MATCH($A129,AL$630:AL$766,0)))</f>
        <v/>
      </c>
      <c r="AJ758" s="3061">
        <f>IF($L758=AJ$627,COUNTIF($L$630:$L758,AJ$627)+4,0)</f>
        <v>0</v>
      </c>
      <c r="AK758" s="3062">
        <f>IF($L758=AK$627,COUNTIF($L$630:$L758,AK$627)+4,0)</f>
        <v>0</v>
      </c>
      <c r="AL758" s="3063">
        <f>IF($L758=AL$627,COUNTIF($L$630:$L758,AL$627)+4,0)</f>
        <v>111</v>
      </c>
    </row>
    <row r="759" spans="1:38" ht="12.75" customHeight="1">
      <c r="A759" s="1886">
        <v>759</v>
      </c>
      <c r="B759" s="5250"/>
      <c r="C759" s="2780"/>
      <c r="D759" s="2781" t="s">
        <v>8568</v>
      </c>
      <c r="E759" s="2778">
        <v>0</v>
      </c>
      <c r="F759" s="2778">
        <v>-30</v>
      </c>
      <c r="G759" s="2778">
        <v>7</v>
      </c>
      <c r="H759" s="2778">
        <v>7</v>
      </c>
      <c r="I759" s="2778" t="s">
        <v>1864</v>
      </c>
      <c r="J759" s="2778" t="s">
        <v>1766</v>
      </c>
      <c r="K759" s="2772" t="s">
        <v>8900</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
      </c>
      <c r="AJ759" s="3061">
        <f>IF($L759=AJ$627,COUNTIF($L$630:$L759,AJ$627)+4,0)</f>
        <v>0</v>
      </c>
      <c r="AK759" s="3062">
        <f>IF($L759=AK$627,COUNTIF($L$630:$L759,AK$627)+4,0)</f>
        <v>0</v>
      </c>
      <c r="AL759" s="3063">
        <f>IF($L759=AL$627,COUNTIF($L$630:$L759,AL$627)+4,0)</f>
        <v>112</v>
      </c>
    </row>
    <row r="760" spans="1:38" ht="12.75" customHeight="1">
      <c r="A760" s="1886">
        <v>760</v>
      </c>
      <c r="B760" s="5250"/>
      <c r="C760" s="2780"/>
      <c r="D760" s="2781" t="s">
        <v>2583</v>
      </c>
      <c r="E760" s="2778">
        <v>0</v>
      </c>
      <c r="F760" s="2778">
        <v>-20</v>
      </c>
      <c r="G760" s="2778">
        <v>0</v>
      </c>
      <c r="H760" s="2778">
        <v>0</v>
      </c>
      <c r="I760" s="2778" t="s">
        <v>1864</v>
      </c>
      <c r="J760" s="2778" t="s">
        <v>1766</v>
      </c>
      <c r="K760" s="2772" t="s">
        <v>8900</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
      </c>
      <c r="AJ760" s="3061">
        <f>IF($L760=AJ$627,COUNTIF($L$630:$L760,AJ$627)+4,0)</f>
        <v>0</v>
      </c>
      <c r="AK760" s="3062">
        <f>IF($L760=AK$627,COUNTIF($L$630:$L760,AK$627)+4,0)</f>
        <v>0</v>
      </c>
      <c r="AL760" s="3063">
        <f>IF($L760=AL$627,COUNTIF($L$630:$L760,AL$627)+4,0)</f>
        <v>113</v>
      </c>
    </row>
    <row r="761" spans="1:38" ht="12.75" customHeight="1">
      <c r="A761" s="1886">
        <v>761</v>
      </c>
      <c r="B761" s="5250"/>
      <c r="C761" s="2780"/>
      <c r="D761" s="2781" t="s">
        <v>2584</v>
      </c>
      <c r="E761" s="2778">
        <v>0</v>
      </c>
      <c r="F761" s="2778">
        <v>-40</v>
      </c>
      <c r="G761" s="2778">
        <v>4</v>
      </c>
      <c r="H761" s="2778">
        <v>4</v>
      </c>
      <c r="I761" s="2778" t="s">
        <v>1809</v>
      </c>
      <c r="J761" s="2778" t="s">
        <v>1766</v>
      </c>
      <c r="K761" s="2772" t="s">
        <v>8900</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
      </c>
      <c r="AJ761" s="3061">
        <f>IF($L761=AJ$627,COUNTIF($L$630:$L761,AJ$627)+4,0)</f>
        <v>0</v>
      </c>
      <c r="AK761" s="3062">
        <f>IF($L761=AK$627,COUNTIF($L$630:$L761,AK$627)+4,0)</f>
        <v>0</v>
      </c>
      <c r="AL761" s="3063">
        <f>IF($L761=AL$627,COUNTIF($L$630:$L761,AL$627)+4,0)</f>
        <v>114</v>
      </c>
    </row>
    <row r="762" spans="1:38" ht="12.75" customHeight="1">
      <c r="A762" s="1886">
        <v>762</v>
      </c>
      <c r="B762" s="5250"/>
      <c r="C762" s="2780"/>
      <c r="D762" s="2781" t="s">
        <v>2585</v>
      </c>
      <c r="E762" s="2778">
        <v>0</v>
      </c>
      <c r="F762" s="2778">
        <v>0</v>
      </c>
      <c r="G762" s="2778">
        <v>0</v>
      </c>
      <c r="H762" s="2778">
        <v>0</v>
      </c>
      <c r="I762" s="2778" t="s">
        <v>1864</v>
      </c>
      <c r="J762" s="2778" t="s">
        <v>1766</v>
      </c>
      <c r="K762" s="2772" t="s">
        <v>8900</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
      </c>
      <c r="AJ762" s="3061">
        <f>IF($L762=AJ$627,COUNTIF($L$630:$L762,AJ$627)+4,0)</f>
        <v>0</v>
      </c>
      <c r="AK762" s="3062">
        <f>IF($L762=AK$627,COUNTIF($L$630:$L762,AK$627)+4,0)</f>
        <v>0</v>
      </c>
      <c r="AL762" s="3063">
        <f>IF($L762=AL$627,COUNTIF($L$630:$L762,AL$627)+4,0)</f>
        <v>115</v>
      </c>
    </row>
    <row r="763" spans="1:38" ht="12.75" customHeight="1">
      <c r="A763" s="1886">
        <v>763</v>
      </c>
      <c r="B763" s="5250"/>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
      </c>
      <c r="AJ763" s="3061">
        <f>MAX(AJ$630:AJ762)+1</f>
        <v>18</v>
      </c>
      <c r="AK763" s="3062">
        <f>MAX(AK$630:AK762)+1</f>
        <v>9</v>
      </c>
      <c r="AL763" s="3063">
        <f>MAX(AL$630:AL762)+1</f>
        <v>116</v>
      </c>
    </row>
    <row r="764" spans="1:38" ht="12.75" customHeight="1">
      <c r="A764" s="1886">
        <v>764</v>
      </c>
      <c r="B764" s="5250"/>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
      </c>
      <c r="AJ764" s="3061">
        <f>IF($L764=AJ$627,COUNTIF($L$630:$L764,AJ$627)+5,0)</f>
        <v>0</v>
      </c>
      <c r="AK764" s="3062">
        <f>IF($L764=AK$627,COUNTIF($L$630:$L764,AK$627)+5,0)</f>
        <v>0</v>
      </c>
      <c r="AL764" s="3063">
        <f>IF($L764=AL$627,COUNTIF($L$630:$L764,AL$627)+5,0)</f>
        <v>117</v>
      </c>
    </row>
    <row r="765" spans="1:38" ht="12.75" customHeight="1">
      <c r="A765" s="1886">
        <v>765</v>
      </c>
      <c r="B765" s="5250"/>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
      </c>
      <c r="AJ765" s="3061">
        <f>IF($L765=AJ$627,COUNTIF($L$630:$L765,AJ$627)+5,0)</f>
        <v>0</v>
      </c>
      <c r="AK765" s="3062">
        <f>IF($L765=AK$627,COUNTIF($L$630:$L765,AK$627)+5,0)</f>
        <v>0</v>
      </c>
      <c r="AL765" s="3063">
        <f>IF($L765=AL$627,COUNTIF($L$630:$L765,AL$627)+5,0)</f>
        <v>118</v>
      </c>
    </row>
    <row r="766" spans="1:38" ht="12.75" customHeight="1" thickBot="1">
      <c r="A766" s="1886">
        <v>766</v>
      </c>
      <c r="B766" s="5250"/>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119</v>
      </c>
    </row>
    <row r="767" spans="1:38" ht="12.75" customHeight="1" thickBot="1">
      <c r="A767" s="1886">
        <v>767</v>
      </c>
      <c r="B767" s="5250"/>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c r="A768" s="1886">
        <v>768</v>
      </c>
      <c r="B768" s="5250"/>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268" t="s">
        <v>2588</v>
      </c>
      <c r="W768" s="5268"/>
      <c r="X768" s="5269"/>
      <c r="Z768" s="3060" t="str">
        <f t="shared" si="99"/>
        <v/>
      </c>
      <c r="AA768" s="3054"/>
      <c r="AC768" s="3054"/>
    </row>
    <row r="769" spans="1:29" ht="12.75" customHeight="1">
      <c r="A769" s="1886">
        <v>769</v>
      </c>
      <c r="B769" s="5250"/>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268" t="s">
        <v>2590</v>
      </c>
      <c r="W769" s="5268"/>
      <c r="X769" s="5269"/>
      <c r="Z769" s="3060" t="str">
        <f t="shared" si="99"/>
        <v/>
      </c>
      <c r="AA769" s="3054"/>
      <c r="AC769" s="3054"/>
    </row>
    <row r="770" spans="1:29" ht="12.75" customHeight="1">
      <c r="A770" s="1886">
        <v>770</v>
      </c>
      <c r="B770" s="5250"/>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268" t="s">
        <v>2592</v>
      </c>
      <c r="W770" s="5268"/>
      <c r="X770" s="5269"/>
      <c r="Z770" s="3060" t="str">
        <f t="shared" si="99"/>
        <v/>
      </c>
      <c r="AA770" s="3054"/>
      <c r="AC770" s="3054"/>
    </row>
    <row r="771" spans="1:29" ht="12.75" customHeight="1">
      <c r="A771" s="1886">
        <v>771</v>
      </c>
      <c r="B771" s="5250"/>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268" t="s">
        <v>2594</v>
      </c>
      <c r="W771" s="5268"/>
      <c r="X771" s="5269"/>
      <c r="Z771" s="3060" t="str">
        <f t="shared" si="99"/>
        <v/>
      </c>
      <c r="AA771" s="3054"/>
      <c r="AC771" s="3054"/>
    </row>
    <row r="772" spans="1:29" ht="12.75" customHeight="1">
      <c r="A772" s="1886">
        <v>772</v>
      </c>
      <c r="B772" s="5250"/>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268" t="s">
        <v>2596</v>
      </c>
      <c r="W772" s="5268"/>
      <c r="X772" s="5269"/>
      <c r="Z772" s="3060" t="str">
        <f t="shared" si="99"/>
        <v/>
      </c>
      <c r="AA772" s="3054"/>
      <c r="AC772" s="3054"/>
    </row>
    <row r="773" spans="1:29" ht="12.75" customHeight="1">
      <c r="A773" s="1886">
        <v>773</v>
      </c>
      <c r="B773" s="5250"/>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268" t="s">
        <v>2598</v>
      </c>
      <c r="W773" s="5268"/>
      <c r="X773" s="5269"/>
      <c r="Z773" s="3060" t="str">
        <f t="shared" si="99"/>
        <v/>
      </c>
      <c r="AA773" s="3054"/>
      <c r="AC773" s="3054"/>
    </row>
    <row r="774" spans="1:29" ht="12.75" customHeight="1">
      <c r="A774" s="1886">
        <v>774</v>
      </c>
      <c r="B774" s="5250"/>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268" t="s">
        <v>2600</v>
      </c>
      <c r="W774" s="5268"/>
      <c r="X774" s="5269"/>
      <c r="Z774" s="3060" t="str">
        <f t="shared" si="99"/>
        <v/>
      </c>
      <c r="AA774" s="3054"/>
      <c r="AC774" s="3054"/>
    </row>
    <row r="775" spans="1:29" ht="12.75" customHeight="1">
      <c r="A775" s="1886">
        <v>775</v>
      </c>
      <c r="B775" s="5250"/>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268" t="s">
        <v>2602</v>
      </c>
      <c r="W775" s="5268"/>
      <c r="X775" s="5269"/>
      <c r="Z775" s="3060" t="str">
        <f t="shared" si="99"/>
        <v/>
      </c>
      <c r="AA775" s="3054"/>
      <c r="AC775" s="3054"/>
    </row>
    <row r="776" spans="1:29" ht="12.75" customHeight="1">
      <c r="A776" s="1886">
        <v>776</v>
      </c>
      <c r="B776" s="5250"/>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268" t="s">
        <v>2604</v>
      </c>
      <c r="W776" s="5268"/>
      <c r="X776" s="5269"/>
      <c r="Z776" s="3060" t="str">
        <f t="shared" si="99"/>
        <v/>
      </c>
      <c r="AA776" s="3054"/>
      <c r="AC776" s="3054"/>
    </row>
    <row r="777" spans="1:29" ht="12.75" customHeight="1">
      <c r="A777" s="1886">
        <v>777</v>
      </c>
      <c r="B777" s="5250"/>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268" t="s">
        <v>2606</v>
      </c>
      <c r="W777" s="5268"/>
      <c r="X777" s="5269"/>
      <c r="Z777" s="3060" t="str">
        <f t="shared" si="99"/>
        <v/>
      </c>
      <c r="AA777" s="3054"/>
      <c r="AC777" s="3054"/>
    </row>
    <row r="778" spans="1:29" ht="12.75" customHeight="1">
      <c r="A778" s="1886">
        <v>778</v>
      </c>
      <c r="B778" s="5250"/>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c r="A779" s="1886">
        <v>779</v>
      </c>
      <c r="B779" s="5250"/>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c r="A780" s="1886">
        <v>780</v>
      </c>
      <c r="B780" s="5250"/>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c r="A781" s="1886">
        <v>781</v>
      </c>
      <c r="B781" s="5250"/>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c r="A782" s="1886">
        <v>782</v>
      </c>
      <c r="B782" s="5250"/>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c r="A783" s="1886">
        <v>783</v>
      </c>
      <c r="B783" s="5250"/>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c r="A784" s="1886">
        <v>784</v>
      </c>
      <c r="B784" s="5250"/>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c r="A785" s="1886">
        <v>785</v>
      </c>
      <c r="B785" s="5250"/>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c r="A786" s="1886">
        <v>786</v>
      </c>
      <c r="B786" s="5250"/>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c r="A787" s="1886">
        <v>787</v>
      </c>
      <c r="B787" s="5250"/>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64"/>
      <c r="AA787" s="3054"/>
      <c r="AC787" s="3054"/>
    </row>
    <row r="788" spans="1:31" ht="12.75" customHeight="1">
      <c r="A788" s="1886">
        <v>788</v>
      </c>
      <c r="B788" s="5250"/>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c r="A789" s="1886">
        <v>789</v>
      </c>
      <c r="B789" s="5250"/>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c r="A790" s="1886">
        <v>790</v>
      </c>
      <c r="B790" s="5250"/>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c r="A791" s="1886">
        <v>791</v>
      </c>
      <c r="B791" s="5250"/>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c r="A792" s="1886">
        <v>792</v>
      </c>
      <c r="B792" s="5250"/>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c r="A793" s="1886">
        <v>793</v>
      </c>
      <c r="B793" s="5250"/>
      <c r="C793" s="2793"/>
      <c r="D793" s="2781" t="s">
        <v>2631</v>
      </c>
      <c r="E793" s="2778">
        <f>70-Bono_Fue-10</f>
        <v>60</v>
      </c>
      <c r="F793" s="2778">
        <v>10</v>
      </c>
      <c r="G793" s="2778">
        <v>3</v>
      </c>
      <c r="H793" s="2778">
        <v>3</v>
      </c>
      <c r="I793" s="2778" t="s">
        <v>1863</v>
      </c>
      <c r="J793" s="2778" t="s">
        <v>1809</v>
      </c>
      <c r="K793" s="2772" t="s">
        <v>8880</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64"/>
    </row>
    <row r="794" spans="1:31" ht="12.75" customHeight="1">
      <c r="A794" s="1886">
        <v>794</v>
      </c>
      <c r="B794" s="5250"/>
      <c r="C794" s="2793"/>
      <c r="D794" s="2781" t="s">
        <v>2632</v>
      </c>
      <c r="E794" s="2778">
        <f>30-Bono_Fue+Bono_Des</f>
        <v>30</v>
      </c>
      <c r="F794" s="2778">
        <v>20</v>
      </c>
      <c r="G794" s="2778">
        <v>0</v>
      </c>
      <c r="H794" s="2778">
        <v>0</v>
      </c>
      <c r="I794" s="2778" t="s">
        <v>1809</v>
      </c>
      <c r="J794" s="2778" t="s">
        <v>1766</v>
      </c>
      <c r="K794" s="2772" t="s">
        <v>8880</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c r="A795" s="1886">
        <v>795</v>
      </c>
      <c r="B795" s="5250"/>
      <c r="C795" s="2795"/>
      <c r="D795" s="2796" t="s">
        <v>2634</v>
      </c>
      <c r="E795" s="2797">
        <f>60-2*Bono_Fue+IF(Extensióndelauraalarma,-10,0)</f>
        <v>60</v>
      </c>
      <c r="F795" s="2797">
        <v>0</v>
      </c>
      <c r="G795" s="2797">
        <v>0</v>
      </c>
      <c r="H795" s="2797">
        <v>0</v>
      </c>
      <c r="I795" s="2797" t="s">
        <v>1863</v>
      </c>
      <c r="J795" s="2797" t="s">
        <v>1864</v>
      </c>
      <c r="K795" s="2604" t="s">
        <v>8880</v>
      </c>
      <c r="L795" s="2798" t="str">
        <f t="shared" si="103"/>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70"/>
    </row>
    <row r="796" spans="1:31" ht="12.75" customHeight="1">
      <c r="A796" s="1886">
        <v>796</v>
      </c>
      <c r="B796" s="5250"/>
      <c r="H796" s="361"/>
      <c r="I796" s="1634"/>
      <c r="N796" s="361"/>
      <c r="O796" s="1969"/>
    </row>
    <row r="797" spans="1:31" ht="12.75" customHeight="1">
      <c r="A797" s="1886">
        <v>797</v>
      </c>
      <c r="B797" s="5250"/>
      <c r="H797" s="361"/>
      <c r="I797" s="1634"/>
      <c r="N797" s="361"/>
      <c r="O797" s="1969"/>
    </row>
    <row r="798" spans="1:31" ht="12.75" customHeight="1">
      <c r="A798" s="1886">
        <v>798</v>
      </c>
      <c r="B798" s="5250"/>
      <c r="C798" s="5241" t="s">
        <v>8933</v>
      </c>
      <c r="D798" s="5241"/>
      <c r="E798" s="5241"/>
      <c r="F798" s="5241"/>
      <c r="G798" s="5241"/>
      <c r="H798" s="5241"/>
      <c r="I798" s="5241"/>
      <c r="J798" s="5241"/>
      <c r="K798" s="5241"/>
      <c r="L798" s="5241"/>
      <c r="M798" s="5241"/>
      <c r="N798" s="5241"/>
      <c r="O798" s="5241"/>
      <c r="P798" s="5241"/>
      <c r="Q798" s="5241"/>
      <c r="R798" s="5241"/>
      <c r="S798" s="5241"/>
      <c r="T798" s="5241"/>
      <c r="U798" s="5241"/>
      <c r="V798" s="5241"/>
      <c r="W798" s="5241"/>
      <c r="X798" s="5241"/>
      <c r="Y798" s="5241"/>
      <c r="Z798" s="5241"/>
      <c r="AA798" s="5241"/>
      <c r="AB798" s="5241"/>
      <c r="AC798" s="5241"/>
      <c r="AD798" s="5241"/>
      <c r="AE798" s="5241"/>
    </row>
    <row r="799" spans="1:31" ht="12.75" customHeight="1">
      <c r="A799" s="1886">
        <v>799</v>
      </c>
      <c r="B799" s="5250"/>
      <c r="C799" s="5241"/>
      <c r="D799" s="5241"/>
      <c r="E799" s="5241"/>
      <c r="F799" s="5241"/>
      <c r="G799" s="5241"/>
      <c r="H799" s="5241"/>
      <c r="I799" s="5241"/>
      <c r="J799" s="5241"/>
      <c r="K799" s="5241"/>
      <c r="L799" s="5241"/>
      <c r="M799" s="5241"/>
      <c r="N799" s="5241"/>
      <c r="O799" s="5241"/>
      <c r="P799" s="5241"/>
      <c r="Q799" s="5241"/>
      <c r="R799" s="5241"/>
      <c r="S799" s="5241"/>
      <c r="T799" s="5241"/>
      <c r="U799" s="5241"/>
      <c r="V799" s="5241"/>
      <c r="W799" s="5241"/>
      <c r="X799" s="5241"/>
      <c r="Y799" s="5241"/>
      <c r="Z799" s="5241"/>
      <c r="AA799" s="5241"/>
      <c r="AB799" s="5241"/>
      <c r="AC799" s="5241"/>
      <c r="AD799" s="5241"/>
      <c r="AE799" s="5241"/>
    </row>
    <row r="800" spans="1:31" ht="12.75" customHeight="1">
      <c r="A800" s="1886">
        <v>800</v>
      </c>
      <c r="B800" s="5250"/>
      <c r="C800" s="5241"/>
      <c r="D800" s="5241"/>
      <c r="E800" s="5241"/>
      <c r="F800" s="5241"/>
      <c r="G800" s="5241"/>
      <c r="H800" s="5241"/>
      <c r="I800" s="5241"/>
      <c r="J800" s="5241"/>
      <c r="K800" s="5241"/>
      <c r="L800" s="5241"/>
      <c r="M800" s="5241"/>
      <c r="N800" s="5241"/>
      <c r="O800" s="5241"/>
      <c r="P800" s="5241"/>
      <c r="Q800" s="5241"/>
      <c r="R800" s="5241"/>
      <c r="S800" s="5241"/>
      <c r="T800" s="5241"/>
      <c r="U800" s="5241"/>
      <c r="V800" s="5241"/>
      <c r="W800" s="5241"/>
      <c r="X800" s="5241"/>
      <c r="Y800" s="5241"/>
      <c r="Z800" s="5241"/>
      <c r="AA800" s="5241"/>
      <c r="AB800" s="5241"/>
      <c r="AC800" s="5241"/>
      <c r="AD800" s="5241"/>
      <c r="AE800" s="5241"/>
    </row>
    <row r="801" spans="1:30" ht="12.75" customHeight="1" thickBot="1">
      <c r="A801" s="1886">
        <v>801</v>
      </c>
      <c r="B801" s="5250"/>
      <c r="C801" s="1885"/>
      <c r="H801" s="361"/>
      <c r="N801" s="361"/>
    </row>
    <row r="802" spans="1:30" ht="12.75" customHeight="1" thickBot="1">
      <c r="A802" s="1886">
        <v>802</v>
      </c>
      <c r="B802" s="5250"/>
      <c r="C802" s="5328" t="s">
        <v>1124</v>
      </c>
      <c r="D802" s="5329"/>
      <c r="E802" s="5329"/>
      <c r="F802" s="5329"/>
      <c r="G802" s="5329"/>
      <c r="H802" s="5329"/>
      <c r="I802" s="5329"/>
      <c r="J802" s="5329"/>
      <c r="K802" s="5329"/>
      <c r="L802" s="5329"/>
      <c r="M802" s="5329"/>
      <c r="N802" s="5329"/>
      <c r="O802" s="5329"/>
      <c r="P802" s="5329"/>
      <c r="Q802" s="5329"/>
      <c r="R802" s="5329"/>
      <c r="S802" s="5329"/>
      <c r="T802" s="5329"/>
      <c r="U802" s="5329"/>
      <c r="V802" s="5329"/>
      <c r="W802" s="5329"/>
      <c r="X802" s="5329"/>
      <c r="Y802" s="3071"/>
      <c r="Z802" s="3071"/>
      <c r="AA802" s="3072"/>
    </row>
    <row r="803" spans="1:30" ht="12.75" customHeight="1" thickBot="1">
      <c r="A803" s="1886">
        <v>803</v>
      </c>
      <c r="B803" s="5250"/>
      <c r="C803" s="5330"/>
      <c r="D803" s="5331"/>
      <c r="E803" s="5331"/>
      <c r="F803" s="5331"/>
      <c r="G803" s="5331"/>
      <c r="H803" s="5331"/>
      <c r="I803" s="5331"/>
      <c r="J803" s="5331"/>
      <c r="K803" s="5331"/>
      <c r="L803" s="5331"/>
      <c r="M803" s="5331"/>
      <c r="N803" s="5331"/>
      <c r="O803" s="5331"/>
      <c r="P803" s="5331"/>
      <c r="Q803" s="5331"/>
      <c r="R803" s="5331"/>
      <c r="S803" s="5331"/>
      <c r="T803" s="5331"/>
      <c r="U803" s="5331"/>
      <c r="V803" s="5331"/>
      <c r="W803" s="5331"/>
      <c r="X803" s="5331"/>
      <c r="Y803" s="5264" t="s">
        <v>9960</v>
      </c>
      <c r="Z803" s="5264"/>
      <c r="AA803" s="5265"/>
      <c r="AC803" s="3073" t="s">
        <v>9961</v>
      </c>
      <c r="AD803" s="3074" t="s">
        <v>8756</v>
      </c>
    </row>
    <row r="804" spans="1:30" ht="12.75" customHeight="1">
      <c r="A804" s="1886">
        <v>804</v>
      </c>
      <c r="B804" s="5250"/>
      <c r="C804" s="5425">
        <v>1</v>
      </c>
      <c r="D804" s="5426"/>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264"/>
      <c r="Z804" s="5264"/>
      <c r="AA804" s="5265"/>
      <c r="AC804" s="1971" t="s">
        <v>1135</v>
      </c>
      <c r="AD804" s="3039" t="s">
        <v>1674</v>
      </c>
    </row>
    <row r="805" spans="1:30" ht="12.75" customHeight="1">
      <c r="A805" s="1886">
        <v>805</v>
      </c>
      <c r="B805" s="5250"/>
      <c r="C805" s="5413" t="s">
        <v>1125</v>
      </c>
      <c r="D805" s="5414"/>
      <c r="E805" s="2459" t="s">
        <v>1126</v>
      </c>
      <c r="F805" s="2459" t="s">
        <v>1127</v>
      </c>
      <c r="G805" s="2459" t="s">
        <v>1811</v>
      </c>
      <c r="H805" s="2459" t="s">
        <v>1128</v>
      </c>
      <c r="I805" s="2459" t="s">
        <v>8805</v>
      </c>
      <c r="J805" s="2459" t="s">
        <v>8806</v>
      </c>
      <c r="K805" s="2459" t="s">
        <v>1129</v>
      </c>
      <c r="L805" s="4166" t="s">
        <v>1788</v>
      </c>
      <c r="M805" s="4166"/>
      <c r="N805" s="4166"/>
      <c r="O805" s="4166"/>
      <c r="P805" s="4166"/>
      <c r="Q805" s="2459" t="s">
        <v>1131</v>
      </c>
      <c r="R805" s="2459" t="s">
        <v>1131</v>
      </c>
      <c r="S805" s="2459" t="s">
        <v>1132</v>
      </c>
      <c r="T805" s="2459" t="s">
        <v>1133</v>
      </c>
      <c r="U805" s="2459" t="s">
        <v>1134</v>
      </c>
      <c r="V805" s="2459" t="s">
        <v>1801</v>
      </c>
      <c r="W805" s="2459" t="s">
        <v>2637</v>
      </c>
      <c r="X805" s="2459" t="s">
        <v>1130</v>
      </c>
      <c r="Y805" s="2993" t="s">
        <v>8845</v>
      </c>
      <c r="Z805" s="2993" t="s">
        <v>8846</v>
      </c>
      <c r="AA805" s="3053" t="s">
        <v>8847</v>
      </c>
      <c r="AC805" s="3075" t="s">
        <v>8720</v>
      </c>
      <c r="AD805" s="3039" t="s">
        <v>4571</v>
      </c>
    </row>
    <row r="806" spans="1:30" ht="12.75" customHeight="1" thickBot="1">
      <c r="A806" s="1886">
        <v>806</v>
      </c>
      <c r="B806" s="5250"/>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8721</v>
      </c>
      <c r="AD806" s="3077" t="s">
        <v>8755</v>
      </c>
    </row>
    <row r="807" spans="1:30" ht="12.75" customHeight="1" thickBot="1">
      <c r="A807" s="1886">
        <v>807</v>
      </c>
      <c r="B807" s="5250"/>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76">
        <f>HP_final-PDs!$X$23+MIN(PDs!$X$23+J$896-J807,50)</f>
        <v>5</v>
      </c>
      <c r="AC807" s="3075" t="s">
        <v>8722</v>
      </c>
      <c r="AD807" s="3078" t="s">
        <v>8757</v>
      </c>
    </row>
    <row r="808" spans="1:30" ht="12.75" customHeight="1">
      <c r="A808" s="1886">
        <v>808</v>
      </c>
      <c r="B808" s="5250"/>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76">
        <f>HP_final-PDs!$X$23+MIN(PDs!$X$23+J$896-J808,50)</f>
        <v>-5</v>
      </c>
      <c r="AC808" s="3075" t="s">
        <v>8723</v>
      </c>
      <c r="AD808" s="3079" t="s">
        <v>1674</v>
      </c>
    </row>
    <row r="809" spans="1:30" ht="12.75" customHeight="1" thickBot="1">
      <c r="A809" s="1886">
        <v>809</v>
      </c>
      <c r="B809" s="5250"/>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76">
        <f>HP_final-PDs!$X$23+MIN(PDs!$X$23+J$896-J809,50)</f>
        <v>-5</v>
      </c>
      <c r="AC809" s="3075" t="s">
        <v>8724</v>
      </c>
      <c r="AD809" s="3077" t="s">
        <v>4572</v>
      </c>
    </row>
    <row r="810" spans="1:30" ht="12.75" customHeight="1">
      <c r="A810" s="1886">
        <v>810</v>
      </c>
      <c r="B810" s="5250"/>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76">
        <f>HP_final-PDs!$X$23+MIN(PDs!$X$23+J$896-J810,50)</f>
        <v>5</v>
      </c>
      <c r="AC810" s="3075" t="s">
        <v>8725</v>
      </c>
    </row>
    <row r="811" spans="1:30" ht="12.75" customHeight="1">
      <c r="A811" s="1886">
        <v>811</v>
      </c>
      <c r="B811" s="5250"/>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76">
        <f>HP_final-PDs!$X$23+MIN(PDs!$X$23+J$896-J811,50)</f>
        <v>5</v>
      </c>
      <c r="AC811" s="3075" t="s">
        <v>8726</v>
      </c>
    </row>
    <row r="812" spans="1:30" ht="12.75" customHeight="1">
      <c r="A812" s="1886">
        <v>812</v>
      </c>
      <c r="B812" s="5250"/>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76">
        <f>HP_final-PDs!$X$23+MIN(PDs!$X$23+J$896-J812,50)</f>
        <v>5</v>
      </c>
      <c r="AC812" s="3075" t="s">
        <v>8727</v>
      </c>
    </row>
    <row r="813" spans="1:30" ht="12.75" customHeight="1">
      <c r="A813" s="1886">
        <v>813</v>
      </c>
      <c r="B813" s="5250"/>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76">
        <f>HP_final-PDs!$X$23+MIN(PDs!$X$23+J$896-J813,50)</f>
        <v>5</v>
      </c>
      <c r="AC813" s="3075" t="s">
        <v>8728</v>
      </c>
    </row>
    <row r="814" spans="1:30" ht="12.75" customHeight="1">
      <c r="A814" s="1886">
        <v>814</v>
      </c>
      <c r="B814" s="5250"/>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76">
        <f>HP_final-PDs!$X$23+MIN(PDs!$X$23+J$896-J814,50)</f>
        <v>5</v>
      </c>
      <c r="AC814" s="3075" t="s">
        <v>8729</v>
      </c>
    </row>
    <row r="815" spans="1:30" ht="12.75" customHeight="1">
      <c r="A815" s="1886">
        <v>815</v>
      </c>
      <c r="B815" s="5250"/>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76">
        <f>HP_final-PDs!$X$23+MIN(PDs!$X$23+J$896-J815,50)</f>
        <v>5</v>
      </c>
      <c r="AC815" s="3075" t="s">
        <v>8730</v>
      </c>
    </row>
    <row r="816" spans="1:30" ht="12.75" customHeight="1">
      <c r="A816" s="1886">
        <v>816</v>
      </c>
      <c r="B816" s="5250"/>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76">
        <f>HP_final-PDs!$X$23+MIN(PDs!$X$23+J$896-J816,50)</f>
        <v>5</v>
      </c>
      <c r="AC816" s="3075" t="s">
        <v>8731</v>
      </c>
    </row>
    <row r="817" spans="1:29" ht="12.75" customHeight="1">
      <c r="A817" s="1886">
        <v>817</v>
      </c>
      <c r="B817" s="5250"/>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76">
        <f>HP_final-PDs!$X$23+MIN(PDs!$X$23+J$896-J817,50)</f>
        <v>5</v>
      </c>
      <c r="AC817" s="3075" t="s">
        <v>8732</v>
      </c>
    </row>
    <row r="818" spans="1:29" ht="12.75" customHeight="1">
      <c r="A818" s="1886">
        <v>818</v>
      </c>
      <c r="B818" s="5250"/>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76">
        <f>HP_final-PDs!$X$23+MIN(PDs!$X$23+J$896-J818,50)</f>
        <v>5</v>
      </c>
      <c r="AC818" s="3075" t="s">
        <v>8733</v>
      </c>
    </row>
    <row r="819" spans="1:29" ht="12.75" customHeight="1">
      <c r="A819" s="1886">
        <v>819</v>
      </c>
      <c r="B819" s="5250"/>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76">
        <f>HP_final-PDs!$X$23+MIN(PDs!$X$23+J$896-J819,50)</f>
        <v>5</v>
      </c>
      <c r="AC819" s="3075" t="s">
        <v>8734</v>
      </c>
    </row>
    <row r="820" spans="1:29" ht="12.75" customHeight="1">
      <c r="A820" s="1886">
        <v>820</v>
      </c>
      <c r="B820" s="5250"/>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76">
        <f>HP_final-PDs!$X$23+MIN(PDs!$X$23+J$896-J820,50)</f>
        <v>-5</v>
      </c>
      <c r="AC820" s="3075" t="s">
        <v>8735</v>
      </c>
    </row>
    <row r="821" spans="1:29" ht="12.75" customHeight="1">
      <c r="A821" s="1886">
        <v>821</v>
      </c>
      <c r="B821" s="5250"/>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76">
        <f>HP_final-PDs!$X$23+MIN(PDs!$X$23+J$896-J821,50)</f>
        <v>-5</v>
      </c>
      <c r="AC821" s="3075" t="s">
        <v>8736</v>
      </c>
    </row>
    <row r="822" spans="1:29" ht="12.75" customHeight="1">
      <c r="A822" s="1886">
        <v>822</v>
      </c>
      <c r="B822" s="5250"/>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76">
        <f>HP_final-PDs!$X$23+MIN(PDs!$X$23+J$896-J822,50)</f>
        <v>5</v>
      </c>
      <c r="AC822" s="3075" t="s">
        <v>8737</v>
      </c>
    </row>
    <row r="823" spans="1:29" ht="12.75" customHeight="1">
      <c r="A823" s="1886">
        <v>823</v>
      </c>
      <c r="B823" s="5250"/>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76">
        <f>HP_final-PDs!$X$23+MIN(PDs!$X$23+J$896-J823,50)</f>
        <v>5</v>
      </c>
      <c r="AC823" s="3080" t="s">
        <v>1232</v>
      </c>
    </row>
    <row r="824" spans="1:29" ht="12.75" customHeight="1">
      <c r="A824" s="1886">
        <v>824</v>
      </c>
      <c r="B824" s="5250"/>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76">
        <f>HP_final-PDs!$X$23+MIN(PDs!$X$23+J$896-J824,50)</f>
        <v>5</v>
      </c>
      <c r="AC824" s="3075" t="s">
        <v>8738</v>
      </c>
    </row>
    <row r="825" spans="1:29" ht="12.75" customHeight="1">
      <c r="A825" s="1886">
        <v>825</v>
      </c>
      <c r="B825" s="5250"/>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76">
        <f>HP_final-PDs!$X$23+MIN(PDs!$X$23+J$896-J825,50)</f>
        <v>5</v>
      </c>
      <c r="AC825" s="3075" t="s">
        <v>8739</v>
      </c>
    </row>
    <row r="826" spans="1:29" ht="12.75" customHeight="1">
      <c r="A826" s="1886">
        <v>826</v>
      </c>
      <c r="B826" s="5250"/>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76">
        <f>HP_final-PDs!$X$23+MIN(PDs!$X$23+J$896-J826,50)</f>
        <v>-5</v>
      </c>
      <c r="AC826" s="3075" t="s">
        <v>8740</v>
      </c>
    </row>
    <row r="827" spans="1:29" ht="12.75" customHeight="1">
      <c r="A827" s="1886">
        <v>827</v>
      </c>
      <c r="B827" s="5250"/>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76">
        <f>HP_final-PDs!$X$23+MIN(PDs!$X$23+J$896-J827,50)</f>
        <v>-5</v>
      </c>
      <c r="AC827" s="3075" t="s">
        <v>8741</v>
      </c>
    </row>
    <row r="828" spans="1:29" ht="12.75" customHeight="1">
      <c r="A828" s="1886">
        <v>828</v>
      </c>
      <c r="B828" s="5250"/>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76">
        <f>HP_final-PDs!$X$23+MIN(PDs!$X$23+J$896-J828,50)</f>
        <v>5</v>
      </c>
      <c r="AC828" s="3075" t="s">
        <v>8742</v>
      </c>
    </row>
    <row r="829" spans="1:29" ht="12.75" customHeight="1">
      <c r="A829" s="1886">
        <v>829</v>
      </c>
      <c r="B829" s="5250"/>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76">
        <f>HP_final-PDs!$X$23+MIN(PDs!$X$23+J$896-J829,50)</f>
        <v>5</v>
      </c>
      <c r="AC829" s="3075" t="s">
        <v>8743</v>
      </c>
    </row>
    <row r="830" spans="1:29" ht="12.75" customHeight="1">
      <c r="A830" s="1886">
        <v>830</v>
      </c>
      <c r="B830" s="5250"/>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76">
        <f>HP_final-PDs!$X$23+MIN(PDs!$X$23+J$896-J830,50)</f>
        <v>5</v>
      </c>
      <c r="AC830" s="3075" t="s">
        <v>8744</v>
      </c>
    </row>
    <row r="831" spans="1:29" ht="12.75" customHeight="1">
      <c r="A831" s="1886">
        <v>831</v>
      </c>
      <c r="B831" s="5250"/>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76">
        <f>HP_final-PDs!$X$23+MIN(PDs!$X$23+J$896-J831,50)</f>
        <v>-5</v>
      </c>
      <c r="AC831" s="3075" t="s">
        <v>8745</v>
      </c>
    </row>
    <row r="832" spans="1:29" ht="12.75" customHeight="1">
      <c r="A832" s="1886">
        <v>832</v>
      </c>
      <c r="B832" s="5250"/>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76">
        <f>HP_final-PDs!$X$23+MIN(PDs!$X$23+J$896-J832,50)</f>
        <v>5</v>
      </c>
      <c r="AC832" s="3075" t="s">
        <v>8746</v>
      </c>
    </row>
    <row r="833" spans="1:29" ht="12.75" customHeight="1">
      <c r="A833" s="1886">
        <v>833</v>
      </c>
      <c r="B833" s="5250"/>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76">
        <f>HP_final-PDs!$X$23+MIN(PDs!$X$23+J$896-J833,50)</f>
        <v>-5</v>
      </c>
      <c r="AC833" s="3075" t="s">
        <v>8747</v>
      </c>
    </row>
    <row r="834" spans="1:29" ht="12.75" customHeight="1">
      <c r="A834" s="1886">
        <v>834</v>
      </c>
      <c r="B834" s="5250"/>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76">
        <f>HP_final-PDs!$X$23+MIN(PDs!$X$23+J$896-J834,50)</f>
        <v>5</v>
      </c>
      <c r="AC834" s="3075" t="s">
        <v>8748</v>
      </c>
    </row>
    <row r="835" spans="1:29" ht="12.75" customHeight="1">
      <c r="A835" s="1886">
        <v>835</v>
      </c>
      <c r="B835" s="5250"/>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76">
        <f>HP_final-PDs!$X$23+MIN(PDs!$X$23+J$896-J835,50)</f>
        <v>-5</v>
      </c>
      <c r="AC835" s="3075" t="s">
        <v>8749</v>
      </c>
    </row>
    <row r="836" spans="1:29" ht="12.75" customHeight="1">
      <c r="A836" s="1886">
        <v>836</v>
      </c>
      <c r="B836" s="5250"/>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76">
        <f>HP_final-PDs!$X$23+MIN(PDs!$X$23+J$896-J836,50)</f>
        <v>-15</v>
      </c>
      <c r="AC836" s="3075" t="s">
        <v>8750</v>
      </c>
    </row>
    <row r="837" spans="1:29" ht="12.75" customHeight="1">
      <c r="A837" s="1886">
        <v>837</v>
      </c>
      <c r="B837" s="5250"/>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76">
        <f>HP_final-PDs!$X$23+MIN(PDs!$X$23+J$896-J837,50)</f>
        <v>5</v>
      </c>
      <c r="AC837" s="3075" t="s">
        <v>8751</v>
      </c>
    </row>
    <row r="838" spans="1:29" ht="12.75" customHeight="1">
      <c r="A838" s="1886">
        <v>838</v>
      </c>
      <c r="B838" s="5250"/>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76">
        <f>HP_final-PDs!$X$23+MIN(PDs!$X$23+J$896-J838,50)</f>
        <v>5</v>
      </c>
      <c r="AC838" s="3075" t="s">
        <v>8752</v>
      </c>
    </row>
    <row r="839" spans="1:29" ht="12.75" customHeight="1">
      <c r="A839" s="1886">
        <v>839</v>
      </c>
      <c r="B839" s="5250"/>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76">
        <f>HP_final-PDs!$X$23+MIN(PDs!$X$23+J$896-J839,50)</f>
        <v>5</v>
      </c>
      <c r="AC839" s="3075" t="s">
        <v>8753</v>
      </c>
    </row>
    <row r="840" spans="1:29" ht="12.75" customHeight="1" thickBot="1">
      <c r="A840" s="1886">
        <v>840</v>
      </c>
      <c r="B840" s="5250"/>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76">
        <f>HP_final-PDs!$X$23+MIN(PDs!$X$23+J$896-J840,50)</f>
        <v>5</v>
      </c>
      <c r="AC840" s="3077" t="s">
        <v>8754</v>
      </c>
    </row>
    <row r="841" spans="1:29" ht="12.75" customHeight="1">
      <c r="A841" s="1886">
        <v>841</v>
      </c>
      <c r="B841" s="5250"/>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76">
        <f>HP_final-PDs!$X$23+MIN(PDs!$X$23+J$896-J841,50)</f>
        <v>5</v>
      </c>
    </row>
    <row r="842" spans="1:29" ht="12.75" customHeight="1">
      <c r="A842" s="1886">
        <v>842</v>
      </c>
      <c r="B842" s="5250"/>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76">
        <f>HP_final-PDs!$X$23+MIN(PDs!$X$23+J$896-J842,50)</f>
        <v>-5</v>
      </c>
    </row>
    <row r="843" spans="1:29" ht="12.75" customHeight="1">
      <c r="A843" s="1886">
        <v>843</v>
      </c>
      <c r="B843" s="5250"/>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76">
        <f>HP_final-PDs!$X$23+MIN(PDs!$X$23+J$896-J843,50)</f>
        <v>5</v>
      </c>
    </row>
    <row r="844" spans="1:29" ht="12.75" customHeight="1">
      <c r="A844" s="1886">
        <v>844</v>
      </c>
      <c r="B844" s="5250"/>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76">
        <f>HP_final-PDs!$X$23+MIN(PDs!$X$23+J$896-J844,50)</f>
        <v>-5</v>
      </c>
    </row>
    <row r="845" spans="1:29" ht="12.75" customHeight="1">
      <c r="A845" s="1886">
        <v>845</v>
      </c>
      <c r="B845" s="5250"/>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76">
        <f>HP_final-PDs!$X$23+MIN(PDs!$X$23+J$896-J845,50)</f>
        <v>-5</v>
      </c>
    </row>
    <row r="846" spans="1:29" ht="12.75" customHeight="1">
      <c r="A846" s="1886">
        <v>846</v>
      </c>
      <c r="B846" s="5250"/>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76">
        <f>HP_final-PDs!$X$23+MIN(PDs!$X$23+J$896-J846,50)</f>
        <v>5</v>
      </c>
    </row>
    <row r="847" spans="1:29" ht="12.75" customHeight="1">
      <c r="A847" s="1886">
        <v>847</v>
      </c>
      <c r="B847" s="5250"/>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76">
        <f>HP_final-PDs!$X$23+MIN(PDs!$X$23+J$896-J847,50)</f>
        <v>5</v>
      </c>
    </row>
    <row r="848" spans="1:29" ht="12.75" customHeight="1">
      <c r="A848" s="1886">
        <v>848</v>
      </c>
      <c r="B848" s="5250"/>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76">
        <f>HP_final-PDs!$X$23+MIN(PDs!$X$23+J$896-J848,50)</f>
        <v>5</v>
      </c>
    </row>
    <row r="849" spans="1:27" ht="12.75" customHeight="1">
      <c r="A849" s="1886">
        <v>849</v>
      </c>
      <c r="B849" s="5250"/>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76">
        <f>HP_final-PDs!$X$23+MIN(PDs!$X$23+J$896-J849,50)</f>
        <v>5</v>
      </c>
    </row>
    <row r="850" spans="1:27" ht="12.75" customHeight="1">
      <c r="A850" s="1886">
        <v>850</v>
      </c>
      <c r="B850" s="5250"/>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76">
        <f>HP_final-PDs!$X$23+MIN(PDs!$X$23+J$896-J850,50)</f>
        <v>-5</v>
      </c>
    </row>
    <row r="851" spans="1:27" ht="12.75" customHeight="1">
      <c r="A851" s="1886">
        <v>851</v>
      </c>
      <c r="B851" s="5250"/>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76">
        <f>HP_final-PDs!$X$23+MIN(PDs!$X$23+J$896-J851,50)</f>
        <v>-5</v>
      </c>
    </row>
    <row r="852" spans="1:27" ht="12.75" customHeight="1">
      <c r="A852" s="1886">
        <v>852</v>
      </c>
      <c r="B852" s="5250"/>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76">
        <f>HP_final-PDs!$X$23+MIN(PDs!$X$23+J$896-J852,50)</f>
        <v>5</v>
      </c>
    </row>
    <row r="853" spans="1:27" ht="12.75" customHeight="1">
      <c r="A853" s="1886">
        <v>853</v>
      </c>
      <c r="B853" s="5250"/>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76">
        <f>HP_final-PDs!$X$23+MIN(PDs!$X$23+J$896-J853,50)</f>
        <v>5</v>
      </c>
    </row>
    <row r="854" spans="1:27" ht="12.75" customHeight="1">
      <c r="A854" s="1886">
        <v>854</v>
      </c>
      <c r="B854" s="5250"/>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76">
        <f>HP_final-PDs!$X$23+MIN(PDs!$X$23+J$896-J854,50)</f>
        <v>5</v>
      </c>
    </row>
    <row r="855" spans="1:27" ht="12.75" customHeight="1">
      <c r="A855" s="1886">
        <v>855</v>
      </c>
      <c r="B855" s="5250"/>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76">
        <f>HP_final-PDs!$X$23+MIN(PDs!$X$23+J$896-J855,50)</f>
        <v>5</v>
      </c>
    </row>
    <row r="856" spans="1:27" ht="12.75" customHeight="1">
      <c r="A856" s="1886">
        <v>856</v>
      </c>
      <c r="B856" s="5250"/>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76">
        <f>HP_final-PDs!$X$23+MIN(PDs!$X$23+J$896-J856,50)</f>
        <v>5</v>
      </c>
    </row>
    <row r="857" spans="1:27" ht="12.75" customHeight="1">
      <c r="A857" s="1886">
        <v>857</v>
      </c>
      <c r="B857" s="5250"/>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76">
        <f>HP_final-PDs!$X$23+MIN(PDs!$X$23+J$896-J857,50)</f>
        <v>5</v>
      </c>
    </row>
    <row r="858" spans="1:27" ht="12.75" customHeight="1">
      <c r="A858" s="1886">
        <v>858</v>
      </c>
      <c r="B858" s="5250"/>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76">
        <f>HP_final-PDs!$X$23+MIN(PDs!$X$23+J$896-J858,50)</f>
        <v>5</v>
      </c>
    </row>
    <row r="859" spans="1:27" ht="12.75" customHeight="1">
      <c r="A859" s="1886">
        <v>859</v>
      </c>
      <c r="B859" s="5250"/>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76">
        <f>HP_final-PDs!$X$23+MIN(PDs!$X$23+J$896-J859,50)</f>
        <v>5</v>
      </c>
    </row>
    <row r="860" spans="1:27" ht="12.75" customHeight="1">
      <c r="A860" s="1886">
        <v>860</v>
      </c>
      <c r="B860" s="5250"/>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76">
        <f>HP_final-PDs!$X$23+MIN(PDs!$X$23+J$896-J860,50)</f>
        <v>5</v>
      </c>
    </row>
    <row r="861" spans="1:27" ht="12.75" customHeight="1">
      <c r="A861" s="1886">
        <v>861</v>
      </c>
      <c r="B861" s="5250"/>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c r="A862" s="1886">
        <v>862</v>
      </c>
      <c r="B862" s="5250"/>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76">
        <f t="array" ref="AA862">HP_final-PDs!$X$23+MIN(PDs!$X$23+J$896-J862,50)+MAX(T$806:T861*$W$806:$W861,T863:T$895*$W863:$W$895)</f>
        <v>-5</v>
      </c>
    </row>
    <row r="863" spans="1:27" ht="12.75" customHeight="1">
      <c r="A863" s="1886">
        <v>863</v>
      </c>
      <c r="B863" s="5250"/>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76">
        <f t="array" ref="AA863">HP_final-PDs!$X$23+MIN(PDs!$X$23+J$896-J863,50)+MAX(T$806:T862*$W$806:$W862,T864:T$895*$W864:$W$895)</f>
        <v>5</v>
      </c>
    </row>
    <row r="864" spans="1:27" ht="12.75" customHeight="1">
      <c r="A864" s="1886">
        <v>864</v>
      </c>
      <c r="B864" s="5250"/>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76">
        <f t="array" ref="AA864">HP_final-PDs!$X$23+MIN(PDs!$X$23+J$896-J864,50)+MAX(T$806:T863*$W$806:$W863,T865:T$895*$W865:$W$895)</f>
        <v>5</v>
      </c>
    </row>
    <row r="865" spans="1:27" ht="12.75" customHeight="1">
      <c r="A865" s="1886">
        <v>865</v>
      </c>
      <c r="B865" s="5250"/>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76">
        <f t="array" ref="AA865">HP_final-PDs!$X$23+MIN(PDs!$X$23+J$896-J865,50)+MAX(T$806:T864*$W$806:$W864,T866:T$895*$W866:$W$895)</f>
        <v>5</v>
      </c>
    </row>
    <row r="866" spans="1:27" ht="12.75" customHeight="1">
      <c r="A866" s="1886">
        <v>866</v>
      </c>
      <c r="B866" s="5250"/>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76">
        <f t="array" ref="AA866">HP_final-PDs!$X$23+MIN(PDs!$X$23+J$896-J866,50)+MAX(T$806:T865*$W$806:$W865,T867:T$895*$W867:$W$895)</f>
        <v>5</v>
      </c>
    </row>
    <row r="867" spans="1:27" ht="12.75" customHeight="1">
      <c r="A867" s="1886">
        <v>867</v>
      </c>
      <c r="B867" s="5250"/>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76">
        <f t="array" ref="AA867">HP_final-PDs!$X$23+MIN(PDs!$X$23+J$896-J867,50)+MAX(T$806:T866*$W$806:$W866,T868:T$895*$W868:$W$895)</f>
        <v>5</v>
      </c>
    </row>
    <row r="868" spans="1:27" ht="12.75" customHeight="1">
      <c r="A868" s="1886">
        <v>868</v>
      </c>
      <c r="B868" s="5250"/>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76">
        <f t="array" ref="AA868">HP_final-PDs!$X$23+MIN(PDs!$X$23+J$896-J868,50)+MAX(T$806:T867*$W$806:$W867,T869:T$895*$W869:$W$895)</f>
        <v>-15</v>
      </c>
    </row>
    <row r="869" spans="1:27" ht="12.75" customHeight="1">
      <c r="A869" s="1886">
        <v>869</v>
      </c>
      <c r="B869" s="5250"/>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76">
        <f t="array" ref="AA869">HP_final-PDs!$X$23+MIN(PDs!$X$23+J$896-J869,50)+MAX(T$806:T868*$W$806:$W868,T870:T$895*$W870:$W$895)</f>
        <v>5</v>
      </c>
    </row>
    <row r="870" spans="1:27" ht="12.75" customHeight="1">
      <c r="A870" s="1886">
        <v>870</v>
      </c>
      <c r="B870" s="5250"/>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76">
        <f t="array" ref="AA870">HP_final-PDs!$X$23+MIN(PDs!$X$23+J$896-J870,50)+MAX(T$806:T869*$W$806:$W869,T871:T$895*$W871:$W$895)</f>
        <v>5</v>
      </c>
    </row>
    <row r="871" spans="1:27" ht="12.75" customHeight="1">
      <c r="A871" s="1886">
        <v>871</v>
      </c>
      <c r="B871" s="5250"/>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76">
        <f t="array" ref="AA871">HP_final-PDs!$X$23+MIN(PDs!$X$23+J$896-J871,50)+MAX(T$806:T870*$W$806:$W870,T872:T$895*$W872:$W$895)</f>
        <v>5</v>
      </c>
    </row>
    <row r="872" spans="1:27" ht="12.75" customHeight="1">
      <c r="A872" s="1886">
        <v>872</v>
      </c>
      <c r="B872" s="5250"/>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76">
        <f t="array" ref="AA872">HP_final-PDs!$X$23+MIN(PDs!$X$23+J$896-J872,50)+MAX(T$806:T871*$W$806:$W871,T873:T$895*$W873:$W$895)</f>
        <v>5</v>
      </c>
    </row>
    <row r="873" spans="1:27" ht="12.75" customHeight="1">
      <c r="A873" s="1886">
        <v>873</v>
      </c>
      <c r="B873" s="5250"/>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76">
        <f t="array" ref="AA873">HP_final-PDs!$X$23+MIN(PDs!$X$23+J$896-J873,50)+MAX(T$806:T872*$W$806:$W872,T874:T$895*$W874:$W$895)</f>
        <v>5</v>
      </c>
    </row>
    <row r="874" spans="1:27" ht="12.75" customHeight="1">
      <c r="A874" s="1886">
        <v>874</v>
      </c>
      <c r="B874" s="5250"/>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76">
        <f t="array" ref="AA874">HP_final-PDs!$X$23+MIN(PDs!$X$23+J$896-J874,50)+MAX(T$806:T873*$W$806:$W873,T875:T$895*$W875:$W$895)</f>
        <v>5</v>
      </c>
    </row>
    <row r="875" spans="1:27" ht="12.75" customHeight="1">
      <c r="A875" s="1886">
        <v>875</v>
      </c>
      <c r="B875" s="5250"/>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76">
        <f t="array" ref="AA875">HP_final-PDs!$X$23+MIN(PDs!$X$23+J$896-J875,50)+MAX(T$806:T874*$W$806:$W874,T876:T$895*$W876:$W$895)</f>
        <v>5</v>
      </c>
    </row>
    <row r="876" spans="1:27" ht="12.75" customHeight="1">
      <c r="A876" s="1886">
        <v>876</v>
      </c>
      <c r="B876" s="5250"/>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76">
        <f t="array" ref="AA876">HP_final-PDs!$X$23+MIN(PDs!$X$23+J$896-J876,50)+MAX(T$806:T875*$W$806:$W875,T877:T$895*$W877:$W$895)</f>
        <v>-5</v>
      </c>
    </row>
    <row r="877" spans="1:27" ht="12.75" customHeight="1">
      <c r="A877" s="1886">
        <v>877</v>
      </c>
      <c r="B877" s="5250"/>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76">
        <f t="array" ref="AA877">HP_final-PDs!$X$23+MIN(PDs!$X$23+J$896-J877,50)+MAX(T$806:T876*$W$806:$W876,T878:T$895*$W878:$W$895)</f>
        <v>5</v>
      </c>
    </row>
    <row r="878" spans="1:27" ht="12.75" customHeight="1">
      <c r="A878" s="1886">
        <v>878</v>
      </c>
      <c r="B878" s="5250"/>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76">
        <f t="array" ref="AA878">HP_final-PDs!$X$23+MIN(PDs!$X$23+J$896-J878,50)+MAX(T$806:T877*$W$806:$W877,T879:T$895*$W879:$W$895)</f>
        <v>-15</v>
      </c>
    </row>
    <row r="879" spans="1:27" ht="12.75" customHeight="1">
      <c r="A879" s="1886">
        <v>879</v>
      </c>
      <c r="B879" s="5250"/>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76">
        <f t="array" ref="AA879">HP_final-PDs!$X$23+MIN(PDs!$X$23+J$896-J879,50)+MAX(T$806:T878*$W$806:$W878,T880:T$895*$W880:$W$895)</f>
        <v>5</v>
      </c>
    </row>
    <row r="880" spans="1:27" ht="12.75" customHeight="1">
      <c r="A880" s="1886">
        <v>880</v>
      </c>
      <c r="B880" s="5250"/>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76">
        <f t="array" ref="AA880">HP_final-PDs!$X$23+MIN(PDs!$X$23+J$896-J880,50)+MAX(T$806:T879*$W$806:$W879,T881:T$895*$W881:$W$895)</f>
        <v>5</v>
      </c>
    </row>
    <row r="881" spans="1:27" ht="12.75" customHeight="1">
      <c r="A881" s="1886">
        <v>881</v>
      </c>
      <c r="B881" s="5250"/>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76">
        <f t="array" ref="AA881">HP_final-PDs!$X$23+MIN(PDs!$X$23+J$896-J881,50)+MAX(T$806:T880*$W$806:$W880,T882:T$895*$W882:$W$895)</f>
        <v>5</v>
      </c>
    </row>
    <row r="882" spans="1:27" ht="12.75" customHeight="1">
      <c r="A882" s="1886">
        <v>882</v>
      </c>
      <c r="B882" s="5250"/>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76">
        <f t="array" ref="AA882">HP_final-PDs!$X$23+MIN(PDs!$X$23+J$896-J882,50)+MAX(T$806:T881*$W$806:$W881,T883:T$895*$W883:$W$895)</f>
        <v>5</v>
      </c>
    </row>
    <row r="883" spans="1:27" ht="12.75" customHeight="1">
      <c r="A883" s="1886">
        <v>883</v>
      </c>
      <c r="B883" s="5250"/>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76">
        <f t="array" ref="AA883">HP_final-PDs!$X$23+MIN(PDs!$X$23+J$896-J883,50)+MAX(T$806:T882*$W$806:$W882,T884:T$895*$W884:$W$895)</f>
        <v>5</v>
      </c>
    </row>
    <row r="884" spans="1:27" ht="12.75" customHeight="1">
      <c r="A884" s="1886">
        <v>884</v>
      </c>
      <c r="B884" s="5250"/>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76">
        <f t="array" ref="AA884">HP_final-PDs!$X$23+MIN(PDs!$X$23+J$896-J884,50)+MAX(T$806:T883*$W$806:$W883,T885:T$895*$W885:$W$895)</f>
        <v>-5</v>
      </c>
    </row>
    <row r="885" spans="1:27" ht="12.75" customHeight="1">
      <c r="A885" s="1886">
        <v>885</v>
      </c>
      <c r="B885" s="5250"/>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76">
        <f t="array" ref="AA885">HP_final-PDs!$X$23+MIN(PDs!$X$23+J$896-J885,50)+MAX(T$806:T884*$W$806:$W884,T886:T$895*$W886:$W$895)</f>
        <v>5</v>
      </c>
    </row>
    <row r="886" spans="1:27" ht="12.75" customHeight="1">
      <c r="A886" s="1886">
        <v>886</v>
      </c>
      <c r="B886" s="5250"/>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76">
        <f t="array" ref="AA886">HP_final-PDs!$X$23+MIN(PDs!$X$23+J$896-J886,50)+MAX(T$806:T885*$W$806:$W885,T887:T$895*$W887:$W$895)</f>
        <v>-15</v>
      </c>
    </row>
    <row r="887" spans="1:27" ht="12.75" customHeight="1">
      <c r="A887" s="1886">
        <v>887</v>
      </c>
      <c r="B887" s="5250"/>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76">
        <f t="array" ref="AA887">HP_final-PDs!$X$23+MIN(PDs!$X$23+J$896-J887,50)+MAX(T$806:T886*$W$806:$W886,T888:T$895*$W888:$W$895)</f>
        <v>5</v>
      </c>
    </row>
    <row r="888" spans="1:27" ht="12.75" customHeight="1">
      <c r="A888" s="1886">
        <v>888</v>
      </c>
      <c r="B888" s="5250"/>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76">
        <f t="array" ref="AA888">HP_final-PDs!$X$23+MIN(PDs!$X$23+J$896-J888,50)+MAX(T$806:T887*$W$806:$W887,T889:T$895*$W889:$W$895)</f>
        <v>5</v>
      </c>
    </row>
    <row r="889" spans="1:27" ht="12.75" customHeight="1">
      <c r="A889" s="1886">
        <v>889</v>
      </c>
      <c r="B889" s="5250"/>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76">
        <f t="array" ref="AA889">HP_final-PDs!$X$23+MIN(PDs!$X$23+J$896-J889,50)+MAX(T$806:T888*$W$806:$W888,T890:T$895*$W890:$W$895)</f>
        <v>5</v>
      </c>
    </row>
    <row r="890" spans="1:27" ht="12.75" customHeight="1">
      <c r="A890" s="1886">
        <v>890</v>
      </c>
      <c r="B890" s="5250"/>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76">
        <f t="array" ref="AA890">HP_final-PDs!$X$23+MIN(PDs!$X$23+J$896-J890,50)+MAX(T$806:T889*$W$806:$W889,T891:T$895*$W891:$W$895)</f>
        <v>-15</v>
      </c>
    </row>
    <row r="891" spans="1:27" ht="12.75" customHeight="1">
      <c r="A891" s="1886">
        <v>891</v>
      </c>
      <c r="B891" s="5250"/>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76">
        <f t="array" ref="AA891">HP_final-PDs!$X$23+MIN(PDs!$X$23+J$896-J891,50)+MAX(T$806:T890*$W$806:$W890,T892:T$895*$W892:$W$895)</f>
        <v>5</v>
      </c>
    </row>
    <row r="892" spans="1:27" ht="12.75" customHeight="1">
      <c r="A892" s="1886">
        <v>892</v>
      </c>
      <c r="B892" s="5250"/>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76">
        <f t="array" ref="AA892">HP_final-PDs!$X$23+MIN(PDs!$X$23+J$896-J892,50)+MAX(T$806:T891*$W$806:$W891,T893:T$895*$W893:$W$895)</f>
        <v>5</v>
      </c>
    </row>
    <row r="893" spans="1:27" ht="12.75" customHeight="1">
      <c r="A893" s="1886">
        <v>893</v>
      </c>
      <c r="B893" s="5250"/>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76">
        <f t="array" ref="AA893">HP_final-PDs!$X$23+MIN(PDs!$X$23+J$896-J893,50)+MAX(T$806:T892*$W$806:$W892,T894:T$895*$W894:$W$895)</f>
        <v>5</v>
      </c>
    </row>
    <row r="894" spans="1:27" ht="12.75" customHeight="1">
      <c r="A894" s="1886">
        <v>894</v>
      </c>
      <c r="B894" s="5250"/>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76">
        <f t="array" ref="AA894">HP_final-PDs!$X$23+MIN(PDs!$X$23+J$896-J894,50)+MAX(T$806:T893*$W$806:$W893,T895:T$895*$W895:$W$895)</f>
        <v>-15</v>
      </c>
    </row>
    <row r="895" spans="1:27" ht="12.75" customHeight="1" thickBot="1">
      <c r="A895" s="1886">
        <v>895</v>
      </c>
      <c r="B895" s="5250"/>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55</v>
      </c>
      <c r="Z895" s="3023">
        <f t="array" ref="Z895">HE_final-PDs!$X$24+MIN(PDs!$X$24+I$896-I895,50)+MAX(T$806:T894*$W$806:$W894)</f>
        <v>0</v>
      </c>
      <c r="AA895" s="3081">
        <f t="array" ref="AA895">HP_final-PDs!$X$23+MIN(PDs!$X$23+J$896-J895,50)+MAX(T$806:T894*$W$806:$W894)</f>
        <v>5</v>
      </c>
    </row>
    <row r="896" spans="1:27" ht="12.75" customHeight="1" thickBot="1">
      <c r="A896" s="1886">
        <v>896</v>
      </c>
      <c r="B896" s="5250"/>
      <c r="F896" s="5427">
        <f>SUMPRODUCT($F$807:$F$895,$W$807:$W$895)</f>
        <v>0</v>
      </c>
      <c r="G896" s="5400" t="s">
        <v>1297</v>
      </c>
      <c r="H896" s="540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0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0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92">
        <f>Tablas!$K$862*Tablas!$W$862+Tablas!K811*Tablas!$W$811+Tablas!K810*Tablas!$W$810+Tablas!K812*Tablas!$W$812+Tablas!K867*Tablas!$W$867+Tablas!K866*Tablas!$W$866+Tablas!K875*Tablas!$W$875+Tablas!K874*Tablas!$W$874</f>
        <v>0</v>
      </c>
      <c r="N896" s="361"/>
      <c r="O896" s="1969"/>
      <c r="T896" s="5394" t="s">
        <v>1298</v>
      </c>
      <c r="U896" s="5396">
        <f>+MAX(Tablas!S863*Tablas!W863,Tablas!S865*Tablas!W865,Tablas!S867*Tablas!W867,Tablas!S869*Tablas!W869,Tablas!S871*Tablas!W871,Tablas!S873*Tablas!W873,Tablas!S875*Tablas!W875,Tablas!S877*Tablas!W877,Tablas!S881*Tablas!W881,Tablas!S883*Tablas!W883,Tablas!S889*Tablas!W889,Tablas!S893*Tablas!W893)</f>
        <v>0</v>
      </c>
      <c r="V896" s="5398">
        <f>+MAX(Tablas!T863*Tablas!W863,Tablas!T869*Tablas!W869,Tablas!T879*Tablas!W879,Tablas!T881*Tablas!W881,Tablas!T885*Tablas!W885,Tablas!T887*Tablas!W887,Tablas!T891*Tablas!W891,Tablas!T895*Tablas!W895)</f>
        <v>0</v>
      </c>
      <c r="W896" s="2591" t="s">
        <v>1134</v>
      </c>
    </row>
    <row r="897" spans="1:23" ht="12.75" customHeight="1" thickBot="1">
      <c r="A897" s="1886">
        <v>897</v>
      </c>
      <c r="B897" s="5250"/>
      <c r="F897" s="5428"/>
      <c r="G897" s="5401"/>
      <c r="H897" s="5403"/>
      <c r="I897" s="5405"/>
      <c r="J897" s="5403"/>
      <c r="K897" s="5393"/>
      <c r="N897" s="361"/>
      <c r="O897" s="1969"/>
      <c r="T897" s="5395"/>
      <c r="U897" s="5397"/>
      <c r="V897" s="5399"/>
      <c r="W897" s="2296">
        <f>MAX(Tablas!$U$806:$U$895)</f>
        <v>0</v>
      </c>
    </row>
    <row r="898" spans="1:23" ht="12.75" customHeight="1">
      <c r="A898" s="1886">
        <v>898</v>
      </c>
      <c r="B898" s="5250"/>
      <c r="H898" s="361"/>
      <c r="I898" s="1634"/>
      <c r="N898" s="361"/>
      <c r="O898" s="1969"/>
    </row>
    <row r="899" spans="1:23" ht="12.75" customHeight="1" thickBot="1">
      <c r="A899" s="1886">
        <v>899</v>
      </c>
      <c r="B899" s="5250"/>
      <c r="H899" s="361"/>
      <c r="I899" s="1634"/>
      <c r="N899" s="361"/>
      <c r="O899" s="1969"/>
    </row>
    <row r="900" spans="1:23" ht="12.75" customHeight="1" thickBot="1">
      <c r="A900" s="1886">
        <v>900</v>
      </c>
      <c r="B900" s="5250"/>
      <c r="C900" s="5235" t="s">
        <v>8844</v>
      </c>
      <c r="D900" s="5236"/>
      <c r="E900" s="5236"/>
      <c r="F900" s="5236"/>
      <c r="G900" s="5236"/>
      <c r="H900" s="5236"/>
      <c r="I900" s="5236"/>
      <c r="J900" s="5236"/>
      <c r="K900" s="5236"/>
      <c r="L900" s="5236"/>
      <c r="M900" s="5236"/>
      <c r="N900" s="5237"/>
      <c r="P900" s="5313" t="s">
        <v>2981</v>
      </c>
      <c r="Q900" s="5313"/>
      <c r="R900" s="5313"/>
      <c r="S900" s="5313"/>
      <c r="T900" s="5313"/>
      <c r="U900" s="5313"/>
      <c r="V900" s="5313"/>
      <c r="W900" s="5313"/>
    </row>
    <row r="901" spans="1:23" ht="12.75" customHeight="1">
      <c r="A901" s="1886">
        <v>901</v>
      </c>
      <c r="B901" s="5250"/>
      <c r="C901" s="2404"/>
      <c r="D901" s="2329"/>
      <c r="E901" s="2329">
        <v>1</v>
      </c>
      <c r="F901" s="2329">
        <v>2</v>
      </c>
      <c r="G901" s="2329">
        <v>3</v>
      </c>
      <c r="H901" s="2329">
        <v>4</v>
      </c>
      <c r="I901" s="2329">
        <v>5</v>
      </c>
      <c r="J901" s="2329">
        <v>6</v>
      </c>
      <c r="K901" s="2329">
        <v>7</v>
      </c>
      <c r="L901" s="2329">
        <v>8</v>
      </c>
      <c r="M901" s="2329">
        <v>9</v>
      </c>
      <c r="N901" s="2405">
        <v>10</v>
      </c>
      <c r="P901" s="5313"/>
      <c r="Q901" s="5313"/>
      <c r="R901" s="5313"/>
      <c r="S901" s="5313"/>
      <c r="T901" s="5313"/>
      <c r="U901" s="5313"/>
      <c r="V901" s="5313"/>
      <c r="W901" s="5313"/>
    </row>
    <row r="902" spans="1:23" ht="12.75" customHeight="1" thickBot="1">
      <c r="A902" s="1886">
        <v>902</v>
      </c>
      <c r="B902" s="5250"/>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c r="A903" s="1886">
        <v>903</v>
      </c>
      <c r="B903" s="5250"/>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c r="A904" s="1886">
        <v>904</v>
      </c>
      <c r="B904" s="5250"/>
      <c r="C904" s="2486"/>
      <c r="D904" s="67"/>
      <c r="E904" s="422" t="s">
        <v>1299</v>
      </c>
      <c r="F904" s="193">
        <v>40</v>
      </c>
      <c r="G904" s="193">
        <f>IF(COUNTIF(PDs!$E$75:$E$77,Tablas!E904)&gt;0,1,0)</f>
        <v>0</v>
      </c>
      <c r="H904" s="193" t="str">
        <f>IF(Tablas!W807=0,"NO","-")</f>
        <v>NO</v>
      </c>
      <c r="I904" s="67" t="s">
        <v>8850</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8720</v>
      </c>
      <c r="P904" s="65"/>
      <c r="Q904" s="67"/>
      <c r="R904" s="436" t="s">
        <v>2984</v>
      </c>
      <c r="S904" s="303">
        <v>50</v>
      </c>
      <c r="T904" s="19" t="s">
        <v>2985</v>
      </c>
      <c r="U904" s="67"/>
      <c r="V904" s="253"/>
      <c r="W904" s="68"/>
    </row>
    <row r="905" spans="1:23" ht="12.75" customHeight="1">
      <c r="A905" s="1886">
        <v>905</v>
      </c>
      <c r="B905" s="5250"/>
      <c r="C905" s="2486"/>
      <c r="D905" s="67"/>
      <c r="E905" s="422" t="s">
        <v>1300</v>
      </c>
      <c r="F905" s="193">
        <v>10</v>
      </c>
      <c r="G905" s="193">
        <f>IF(COUNTIF(PDs!$E$75:$E$77,Tablas!E905)&gt;0,1,0)</f>
        <v>0</v>
      </c>
      <c r="H905" s="193" t="str">
        <f>IF(Tablas!W810=0,"NO","-")</f>
        <v>NO</v>
      </c>
      <c r="I905" s="67" t="s">
        <v>8851</v>
      </c>
      <c r="J905" s="67"/>
      <c r="K905" s="2402">
        <f t="shared" si="107"/>
        <v>0</v>
      </c>
      <c r="L905" s="2402">
        <f t="shared" si="108"/>
        <v>0</v>
      </c>
      <c r="M905" s="2402">
        <f t="shared" si="109"/>
        <v>0</v>
      </c>
      <c r="N905" s="2487" t="s">
        <v>8721</v>
      </c>
      <c r="P905" s="65"/>
      <c r="Q905" s="67"/>
      <c r="R905" s="436" t="s">
        <v>2986</v>
      </c>
      <c r="S905" s="303">
        <v>50</v>
      </c>
      <c r="T905" s="19" t="s">
        <v>2987</v>
      </c>
      <c r="U905" s="67"/>
      <c r="V905" s="253"/>
      <c r="W905" s="68"/>
    </row>
    <row r="906" spans="1:23" ht="12.75" customHeight="1">
      <c r="A906" s="1886">
        <v>906</v>
      </c>
      <c r="B906" s="5250"/>
      <c r="C906" s="2486"/>
      <c r="D906" s="67"/>
      <c r="E906" s="422" t="s">
        <v>1301</v>
      </c>
      <c r="F906" s="193">
        <v>30</v>
      </c>
      <c r="G906" s="193">
        <f>IF(COUNTIF(PDs!$E$75:$E$77,Tablas!E906)&gt;0,1,0)</f>
        <v>0</v>
      </c>
      <c r="H906" s="193" t="str">
        <f>IF(Tablas!W813=0,"NO","-")</f>
        <v>NO</v>
      </c>
      <c r="I906" s="67" t="s">
        <v>8852</v>
      </c>
      <c r="J906" s="67"/>
      <c r="K906" s="2402">
        <f t="shared" si="107"/>
        <v>0</v>
      </c>
      <c r="L906" s="2402">
        <f t="shared" si="108"/>
        <v>0</v>
      </c>
      <c r="M906" s="2402">
        <f t="shared" si="109"/>
        <v>0</v>
      </c>
      <c r="N906" s="2487" t="s">
        <v>8722</v>
      </c>
      <c r="P906" s="65"/>
      <c r="Q906" s="67"/>
      <c r="R906" s="436" t="s">
        <v>2988</v>
      </c>
      <c r="S906" s="303">
        <v>40</v>
      </c>
      <c r="T906" s="19" t="s">
        <v>2989</v>
      </c>
      <c r="U906" s="67"/>
      <c r="V906" s="253"/>
      <c r="W906" s="68"/>
    </row>
    <row r="907" spans="1:23" ht="12.75" customHeight="1">
      <c r="A907" s="1886">
        <v>907</v>
      </c>
      <c r="B907" s="5250"/>
      <c r="C907" s="2486"/>
      <c r="D907" s="67"/>
      <c r="E907" s="422" t="s">
        <v>1302</v>
      </c>
      <c r="F907" s="193">
        <v>10</v>
      </c>
      <c r="G907" s="193">
        <f>IF(COUNTIF(PDs!$E$75:$E$77,Tablas!E907)&gt;0,1,0)</f>
        <v>0</v>
      </c>
      <c r="H907" s="193" t="str">
        <f>IF(Tablas!W816=0,"NO","-")</f>
        <v>NO</v>
      </c>
      <c r="I907" s="67" t="s">
        <v>8853</v>
      </c>
      <c r="J907" s="67"/>
      <c r="K907" s="2402">
        <f t="shared" si="107"/>
        <v>0</v>
      </c>
      <c r="L907" s="2402">
        <f t="shared" si="108"/>
        <v>0</v>
      </c>
      <c r="M907" s="2402">
        <f t="shared" si="109"/>
        <v>0</v>
      </c>
      <c r="N907" s="2487" t="s">
        <v>8723</v>
      </c>
      <c r="P907" s="65"/>
      <c r="Q907" s="67"/>
      <c r="R907" s="436" t="s">
        <v>2990</v>
      </c>
      <c r="S907" s="303">
        <v>50</v>
      </c>
      <c r="T907" s="19" t="s">
        <v>1089</v>
      </c>
      <c r="U907" s="67"/>
      <c r="V907" s="253"/>
      <c r="W907" s="68"/>
    </row>
    <row r="908" spans="1:23" ht="12.75" customHeight="1">
      <c r="A908" s="1886">
        <v>908</v>
      </c>
      <c r="B908" s="5250"/>
      <c r="C908" s="2486"/>
      <c r="D908" s="67"/>
      <c r="E908" s="422" t="s">
        <v>1303</v>
      </c>
      <c r="F908" s="193">
        <v>40</v>
      </c>
      <c r="G908" s="193">
        <f>IF(COUNTIF(PDs!$E$75:$E$77,Tablas!E908)&gt;0,1,0)</f>
        <v>0</v>
      </c>
      <c r="H908" s="193" t="str">
        <f>IF(Tablas!W819=0,"NO","-")</f>
        <v>NO</v>
      </c>
      <c r="I908" s="67" t="s">
        <v>8854</v>
      </c>
      <c r="J908" s="67"/>
      <c r="K908" s="2402">
        <f t="shared" si="107"/>
        <v>0</v>
      </c>
      <c r="L908" s="2402">
        <f t="shared" si="108"/>
        <v>0</v>
      </c>
      <c r="M908" s="2402">
        <f t="shared" si="109"/>
        <v>0</v>
      </c>
      <c r="N908" s="2487" t="s">
        <v>8724</v>
      </c>
      <c r="P908" s="65"/>
      <c r="Q908" s="67"/>
      <c r="R908" s="436" t="s">
        <v>1090</v>
      </c>
      <c r="S908" s="303">
        <v>30</v>
      </c>
      <c r="T908" s="19" t="s">
        <v>1091</v>
      </c>
      <c r="U908" s="67"/>
      <c r="V908" s="253"/>
      <c r="W908" s="68"/>
    </row>
    <row r="909" spans="1:23" ht="12.75" customHeight="1">
      <c r="A909" s="1886">
        <v>909</v>
      </c>
      <c r="B909" s="5250"/>
      <c r="C909" s="2486"/>
      <c r="D909" s="67"/>
      <c r="E909" s="422" t="s">
        <v>1304</v>
      </c>
      <c r="F909" s="193">
        <v>10</v>
      </c>
      <c r="G909" s="193">
        <f>IF(COUNTIF(PDs!$E$75:$E$77,Tablas!E909)&gt;0,1,0)</f>
        <v>0</v>
      </c>
      <c r="H909" s="193" t="str">
        <f>IF(Tablas!W822=0,"NO","-")</f>
        <v>NO</v>
      </c>
      <c r="I909" s="67" t="s">
        <v>8855</v>
      </c>
      <c r="J909" s="67"/>
      <c r="K909" s="2402">
        <f t="shared" si="107"/>
        <v>0</v>
      </c>
      <c r="L909" s="2402">
        <f t="shared" si="108"/>
        <v>0</v>
      </c>
      <c r="M909" s="2402">
        <f t="shared" si="109"/>
        <v>0</v>
      </c>
      <c r="N909" s="2487" t="s">
        <v>8725</v>
      </c>
      <c r="P909" s="65"/>
      <c r="Q909" s="67"/>
      <c r="R909" s="436" t="s">
        <v>1092</v>
      </c>
      <c r="S909" s="303">
        <v>40</v>
      </c>
      <c r="T909" s="19" t="s">
        <v>1093</v>
      </c>
      <c r="U909" s="67"/>
      <c r="V909" s="253"/>
      <c r="W909" s="68"/>
    </row>
    <row r="910" spans="1:23" ht="12.75" customHeight="1">
      <c r="A910" s="1886">
        <v>910</v>
      </c>
      <c r="B910" s="5250"/>
      <c r="C910" s="2486"/>
      <c r="D910" s="67"/>
      <c r="E910" s="422" t="s">
        <v>1305</v>
      </c>
      <c r="F910" s="193">
        <v>30</v>
      </c>
      <c r="G910" s="193">
        <f>IF(COUNTIF(PDs!$E$75:$E$77,Tablas!E910)&gt;0,1,0)</f>
        <v>0</v>
      </c>
      <c r="H910" s="193" t="str">
        <f>IF(Tablas!W825=0,"NO","-")</f>
        <v>NO</v>
      </c>
      <c r="I910" s="67" t="s">
        <v>8856</v>
      </c>
      <c r="J910" s="67"/>
      <c r="K910" s="2402">
        <f t="shared" si="107"/>
        <v>0</v>
      </c>
      <c r="L910" s="2402">
        <f t="shared" si="108"/>
        <v>0</v>
      </c>
      <c r="M910" s="2402">
        <f t="shared" si="109"/>
        <v>0</v>
      </c>
      <c r="N910" s="2487" t="s">
        <v>8726</v>
      </c>
      <c r="P910" s="65"/>
      <c r="Q910" s="67"/>
      <c r="R910" s="436" t="s">
        <v>1094</v>
      </c>
      <c r="S910" s="303">
        <v>40</v>
      </c>
      <c r="T910" s="19" t="s">
        <v>1095</v>
      </c>
      <c r="U910" s="67"/>
      <c r="V910" s="253"/>
      <c r="W910" s="68"/>
    </row>
    <row r="911" spans="1:23" ht="12.75" customHeight="1">
      <c r="A911" s="1886">
        <v>911</v>
      </c>
      <c r="B911" s="5250"/>
      <c r="C911" s="2486"/>
      <c r="D911" s="67"/>
      <c r="E911" s="422" t="s">
        <v>1306</v>
      </c>
      <c r="F911" s="193">
        <v>60</v>
      </c>
      <c r="G911" s="193">
        <f>IF(COUNTIF(PDs!$E$75:$E$77,Tablas!E911)&gt;0,1,0)</f>
        <v>0</v>
      </c>
      <c r="H911" s="193" t="str">
        <f>IF(Tablas!W828=0,"NO","-")</f>
        <v>NO</v>
      </c>
      <c r="I911" s="67" t="s">
        <v>8857</v>
      </c>
      <c r="J911" s="67"/>
      <c r="K911" s="2402">
        <f t="shared" si="107"/>
        <v>0</v>
      </c>
      <c r="L911" s="2402">
        <f t="shared" si="108"/>
        <v>0</v>
      </c>
      <c r="M911" s="2402">
        <f t="shared" si="109"/>
        <v>0</v>
      </c>
      <c r="N911" s="2487" t="s">
        <v>8727</v>
      </c>
      <c r="P911" s="65"/>
      <c r="Q911" s="67"/>
      <c r="R911" s="436" t="s">
        <v>1096</v>
      </c>
      <c r="S911" s="303">
        <v>40</v>
      </c>
      <c r="T911" s="19" t="s">
        <v>1097</v>
      </c>
      <c r="U911" s="67"/>
      <c r="V911" s="253"/>
      <c r="W911" s="68"/>
    </row>
    <row r="912" spans="1:23" ht="12.75" customHeight="1">
      <c r="A912" s="1886">
        <v>912</v>
      </c>
      <c r="B912" s="5250"/>
      <c r="C912" s="2486"/>
      <c r="D912" s="67"/>
      <c r="E912" s="422" t="s">
        <v>1307</v>
      </c>
      <c r="F912" s="193">
        <v>10</v>
      </c>
      <c r="G912" s="193">
        <f>IF(COUNTIF(PDs!$E$75:$E$77,Tablas!E912)&gt;0,1,0)</f>
        <v>0</v>
      </c>
      <c r="H912" s="193" t="str">
        <f>IF(Tablas!W831=0,"NO","-")</f>
        <v>NO</v>
      </c>
      <c r="I912" s="67" t="s">
        <v>8858</v>
      </c>
      <c r="J912" s="67"/>
      <c r="K912" s="2402">
        <f t="shared" si="107"/>
        <v>0</v>
      </c>
      <c r="L912" s="2402">
        <f t="shared" si="108"/>
        <v>0</v>
      </c>
      <c r="M912" s="2402">
        <f t="shared" si="109"/>
        <v>0</v>
      </c>
      <c r="N912" s="2487" t="s">
        <v>8728</v>
      </c>
      <c r="P912" s="65"/>
      <c r="Q912" s="67"/>
      <c r="R912" s="436" t="s">
        <v>1098</v>
      </c>
      <c r="S912" s="303">
        <v>50</v>
      </c>
      <c r="T912" s="19" t="s">
        <v>1099</v>
      </c>
      <c r="U912" s="67"/>
      <c r="V912" s="253"/>
      <c r="W912" s="68"/>
    </row>
    <row r="913" spans="1:23" ht="12.75" customHeight="1">
      <c r="A913" s="1886">
        <v>913</v>
      </c>
      <c r="B913" s="5250"/>
      <c r="C913" s="2486"/>
      <c r="D913" s="67"/>
      <c r="E913" s="422" t="s">
        <v>1308</v>
      </c>
      <c r="F913" s="193">
        <v>20</v>
      </c>
      <c r="G913" s="193">
        <f>IF(COUNTIF(PDs!$E$75:$E$77,Tablas!E913)&gt;0,1,0)</f>
        <v>0</v>
      </c>
      <c r="H913" s="193" t="str">
        <f>IF(Tablas!W834=0,"NO","-")</f>
        <v>NO</v>
      </c>
      <c r="I913" s="67" t="s">
        <v>8859</v>
      </c>
      <c r="J913" s="67"/>
      <c r="K913" s="2402">
        <f t="shared" si="107"/>
        <v>0</v>
      </c>
      <c r="L913" s="2402">
        <f t="shared" si="108"/>
        <v>0</v>
      </c>
      <c r="M913" s="2402">
        <f t="shared" si="109"/>
        <v>0</v>
      </c>
      <c r="N913" s="2487" t="s">
        <v>8729</v>
      </c>
      <c r="P913" s="65"/>
      <c r="Q913" s="67"/>
      <c r="R913" s="436" t="s">
        <v>1100</v>
      </c>
      <c r="S913" s="303">
        <v>40</v>
      </c>
      <c r="T913" s="19" t="s">
        <v>1101</v>
      </c>
      <c r="U913" s="67"/>
      <c r="V913" s="253"/>
      <c r="W913" s="68"/>
    </row>
    <row r="914" spans="1:23" ht="12.75" customHeight="1">
      <c r="A914" s="1886">
        <v>914</v>
      </c>
      <c r="B914" s="5250"/>
      <c r="C914" s="2486"/>
      <c r="D914" s="67"/>
      <c r="E914" s="422" t="s">
        <v>1309</v>
      </c>
      <c r="F914" s="193">
        <v>20</v>
      </c>
      <c r="G914" s="193">
        <f>IF(COUNTIF(PDs!$E$75:$E$77,Tablas!E914)&gt;0,1,0)</f>
        <v>0</v>
      </c>
      <c r="H914" s="193" t="str">
        <f>IF(Tablas!W837=0,"NO","-")</f>
        <v>NO</v>
      </c>
      <c r="I914" s="67" t="s">
        <v>8860</v>
      </c>
      <c r="J914" s="67"/>
      <c r="K914" s="2402">
        <f t="shared" si="107"/>
        <v>0</v>
      </c>
      <c r="L914" s="2402">
        <f t="shared" si="108"/>
        <v>0</v>
      </c>
      <c r="M914" s="2402">
        <f t="shared" si="109"/>
        <v>0</v>
      </c>
      <c r="N914" s="2487" t="s">
        <v>8730</v>
      </c>
      <c r="P914" s="65"/>
      <c r="Q914" s="67"/>
      <c r="R914" s="436" t="s">
        <v>1102</v>
      </c>
      <c r="S914" s="303">
        <v>40</v>
      </c>
      <c r="T914" s="19" t="s">
        <v>1103</v>
      </c>
      <c r="U914" s="67"/>
      <c r="V914" s="253"/>
      <c r="W914" s="68"/>
    </row>
    <row r="915" spans="1:23" ht="12.75" customHeight="1">
      <c r="A915" s="1886">
        <v>915</v>
      </c>
      <c r="B915" s="5250"/>
      <c r="C915" s="2486"/>
      <c r="D915" s="67"/>
      <c r="E915" s="422" t="s">
        <v>1310</v>
      </c>
      <c r="F915" s="193">
        <v>20</v>
      </c>
      <c r="G915" s="193">
        <f>IF(COUNTIF(PDs!$E$75:$E$77,Tablas!E915)&gt;0,1,0)</f>
        <v>0</v>
      </c>
      <c r="H915" s="193" t="str">
        <f>IF(Tablas!W840=0,"NO","-")</f>
        <v>NO</v>
      </c>
      <c r="I915" s="67" t="s">
        <v>8861</v>
      </c>
      <c r="J915" s="67"/>
      <c r="K915" s="2402">
        <f t="shared" si="107"/>
        <v>0</v>
      </c>
      <c r="L915" s="2402">
        <f t="shared" si="108"/>
        <v>0</v>
      </c>
      <c r="M915" s="2402">
        <f t="shared" si="109"/>
        <v>0</v>
      </c>
      <c r="N915" s="2487" t="s">
        <v>8731</v>
      </c>
      <c r="P915" s="65"/>
      <c r="Q915" s="67"/>
      <c r="R915" s="436" t="s">
        <v>1104</v>
      </c>
      <c r="S915" s="303">
        <v>40</v>
      </c>
      <c r="T915" s="19" t="s">
        <v>1105</v>
      </c>
      <c r="U915" s="67"/>
      <c r="V915" s="253"/>
      <c r="W915" s="68"/>
    </row>
    <row r="916" spans="1:23" ht="12.75" customHeight="1">
      <c r="A916" s="1886">
        <v>916</v>
      </c>
      <c r="B916" s="5250"/>
      <c r="C916" s="2486"/>
      <c r="D916" s="67"/>
      <c r="E916" s="422" t="s">
        <v>1311</v>
      </c>
      <c r="F916" s="193">
        <v>30</v>
      </c>
      <c r="G916" s="193">
        <f>IF(COUNTIF(PDs!$E$75:$E$77,Tablas!E916)&gt;0,1,0)</f>
        <v>0</v>
      </c>
      <c r="H916" s="193" t="str">
        <f>IF(Tablas!W843=0,"NO","-")</f>
        <v>NO</v>
      </c>
      <c r="I916" s="67" t="s">
        <v>8862</v>
      </c>
      <c r="J916" s="67"/>
      <c r="K916" s="2402">
        <f t="shared" si="107"/>
        <v>0</v>
      </c>
      <c r="L916" s="2402">
        <f t="shared" si="108"/>
        <v>0</v>
      </c>
      <c r="M916" s="2402">
        <f t="shared" si="109"/>
        <v>0</v>
      </c>
      <c r="N916" s="2487" t="s">
        <v>8732</v>
      </c>
      <c r="P916" s="65"/>
      <c r="Q916" s="67"/>
      <c r="R916" s="436" t="s">
        <v>1106</v>
      </c>
      <c r="S916" s="303">
        <v>20</v>
      </c>
      <c r="T916" s="19" t="s">
        <v>1107</v>
      </c>
      <c r="U916" s="67"/>
      <c r="V916" s="253"/>
      <c r="W916" s="68"/>
    </row>
    <row r="917" spans="1:23" ht="12.75" customHeight="1">
      <c r="A917" s="1886">
        <v>917</v>
      </c>
      <c r="B917" s="5250"/>
      <c r="C917" s="2486"/>
      <c r="D917" s="67"/>
      <c r="E917" s="422" t="s">
        <v>1312</v>
      </c>
      <c r="F917" s="193">
        <v>20</v>
      </c>
      <c r="G917" s="193">
        <f>IF(COUNTIF(PDs!$E$75:$E$77,Tablas!E917)&gt;0,1,0)</f>
        <v>0</v>
      </c>
      <c r="H917" s="193" t="str">
        <f>IF(Tablas!W846=0,"NO","-")</f>
        <v>NO</v>
      </c>
      <c r="I917" s="67" t="s">
        <v>8863</v>
      </c>
      <c r="J917" s="67"/>
      <c r="K917" s="2402">
        <f t="shared" si="107"/>
        <v>0</v>
      </c>
      <c r="L917" s="2402">
        <f t="shared" si="108"/>
        <v>0</v>
      </c>
      <c r="M917" s="2402">
        <f t="shared" si="109"/>
        <v>0</v>
      </c>
      <c r="N917" s="2487" t="s">
        <v>8733</v>
      </c>
      <c r="P917" s="65"/>
      <c r="Q917" s="67"/>
      <c r="R917" s="436" t="s">
        <v>1108</v>
      </c>
      <c r="S917" s="303">
        <v>30</v>
      </c>
      <c r="T917" s="19" t="s">
        <v>1109</v>
      </c>
      <c r="U917" s="67"/>
      <c r="V917" s="253"/>
      <c r="W917" s="68"/>
    </row>
    <row r="918" spans="1:23" ht="12.75" customHeight="1">
      <c r="A918" s="1886">
        <v>918</v>
      </c>
      <c r="B918" s="5250"/>
      <c r="C918" s="2486"/>
      <c r="D918" s="67"/>
      <c r="E918" s="422" t="s">
        <v>1313</v>
      </c>
      <c r="F918" s="193">
        <v>10</v>
      </c>
      <c r="G918" s="193">
        <f>IF(COUNTIF(PDs!$E$75:$E$77,Tablas!E918)&gt;0,1,0)</f>
        <v>0</v>
      </c>
      <c r="H918" s="193" t="str">
        <f>IF(Tablas!W849=0,"NO","-")</f>
        <v>NO</v>
      </c>
      <c r="I918" s="67" t="s">
        <v>8864</v>
      </c>
      <c r="J918" s="67"/>
      <c r="K918" s="2402">
        <f t="shared" si="107"/>
        <v>0</v>
      </c>
      <c r="L918" s="2402">
        <f t="shared" si="108"/>
        <v>0</v>
      </c>
      <c r="M918" s="2402">
        <f t="shared" si="109"/>
        <v>0</v>
      </c>
      <c r="N918" s="2487" t="s">
        <v>8734</v>
      </c>
      <c r="P918" s="65"/>
      <c r="Q918" s="67"/>
      <c r="R918" s="436" t="s">
        <v>1110</v>
      </c>
      <c r="S918" s="303">
        <v>20</v>
      </c>
      <c r="T918" s="19" t="s">
        <v>1111</v>
      </c>
      <c r="U918" s="67"/>
      <c r="V918" s="253"/>
      <c r="W918" s="68"/>
    </row>
    <row r="919" spans="1:23" ht="12.75" customHeight="1">
      <c r="A919" s="1886">
        <v>919</v>
      </c>
      <c r="B919" s="5250"/>
      <c r="C919" s="2486"/>
      <c r="D919" s="67"/>
      <c r="E919" s="422" t="s">
        <v>1314</v>
      </c>
      <c r="F919" s="193">
        <v>40</v>
      </c>
      <c r="G919" s="193">
        <f>IF(COUNTIF(PDs!$E$75:$E$77,Tablas!E919)&gt;0,1,0)</f>
        <v>0</v>
      </c>
      <c r="H919" s="193" t="str">
        <f>IF(Tablas!W852=0,"NO","-")</f>
        <v>NO</v>
      </c>
      <c r="I919" s="67" t="s">
        <v>8865</v>
      </c>
      <c r="J919" s="67"/>
      <c r="K919" s="2402">
        <f t="shared" si="107"/>
        <v>0</v>
      </c>
      <c r="L919" s="2402">
        <f t="shared" si="108"/>
        <v>0</v>
      </c>
      <c r="M919" s="2402">
        <f t="shared" si="109"/>
        <v>0</v>
      </c>
      <c r="N919" s="2487" t="s">
        <v>8735</v>
      </c>
      <c r="P919" s="65"/>
      <c r="Q919" s="67"/>
      <c r="R919" s="436" t="s">
        <v>1112</v>
      </c>
      <c r="S919" s="303">
        <v>20</v>
      </c>
      <c r="T919" s="19" t="s">
        <v>1113</v>
      </c>
      <c r="U919" s="67"/>
      <c r="V919" s="253"/>
      <c r="W919" s="68"/>
    </row>
    <row r="920" spans="1:23" ht="12.75" customHeight="1">
      <c r="A920" s="1886">
        <v>920</v>
      </c>
      <c r="B920" s="5250"/>
      <c r="C920" s="2486"/>
      <c r="D920" s="67"/>
      <c r="E920" s="422" t="s">
        <v>1315</v>
      </c>
      <c r="F920" s="193">
        <v>30</v>
      </c>
      <c r="G920" s="193">
        <f>IF(COUNTIF(PDs!$E$75:$E$77,Tablas!E920)&gt;0,1,0)</f>
        <v>0</v>
      </c>
      <c r="H920" s="193" t="str">
        <f>IF(Tablas!W855=0,"NO","-")</f>
        <v>NO</v>
      </c>
      <c r="I920" s="67" t="s">
        <v>8866</v>
      </c>
      <c r="J920" s="67"/>
      <c r="K920" s="2402">
        <f t="shared" si="107"/>
        <v>0</v>
      </c>
      <c r="L920" s="2402">
        <f t="shared" si="108"/>
        <v>0</v>
      </c>
      <c r="M920" s="2402">
        <f t="shared" si="109"/>
        <v>0</v>
      </c>
      <c r="N920" s="2487" t="s">
        <v>8736</v>
      </c>
      <c r="P920" s="65"/>
      <c r="Q920" s="67"/>
      <c r="R920" s="436" t="s">
        <v>1114</v>
      </c>
      <c r="S920" s="303">
        <v>40</v>
      </c>
      <c r="T920" s="19" t="s">
        <v>1115</v>
      </c>
      <c r="U920" s="67"/>
      <c r="V920" s="253"/>
      <c r="W920" s="68"/>
    </row>
    <row r="921" spans="1:23" ht="12.75" customHeight="1">
      <c r="A921" s="1886">
        <v>921</v>
      </c>
      <c r="B921" s="5250"/>
      <c r="C921" s="2486"/>
      <c r="D921" s="67"/>
      <c r="E921" s="422" t="s">
        <v>1316</v>
      </c>
      <c r="F921" s="193">
        <v>40</v>
      </c>
      <c r="G921" s="193">
        <f>IF(COUNTIF(PDs!$E$75:$E$77,Tablas!E921)&gt;0,1,0)</f>
        <v>0</v>
      </c>
      <c r="H921" s="193" t="str">
        <f>IF(Tablas!W858=0,"NO","-")</f>
        <v>NO</v>
      </c>
      <c r="I921" s="67" t="s">
        <v>8867</v>
      </c>
      <c r="J921" s="67"/>
      <c r="K921" s="2402">
        <f t="shared" si="107"/>
        <v>0</v>
      </c>
      <c r="L921" s="2402">
        <f t="shared" si="108"/>
        <v>0</v>
      </c>
      <c r="M921" s="2402">
        <f t="shared" si="109"/>
        <v>0</v>
      </c>
      <c r="N921" s="2487" t="s">
        <v>8737</v>
      </c>
      <c r="P921" s="65"/>
      <c r="Q921" s="67"/>
      <c r="R921" s="436" t="s">
        <v>1116</v>
      </c>
      <c r="S921" s="303">
        <v>30</v>
      </c>
      <c r="T921" s="19" t="s">
        <v>1117</v>
      </c>
      <c r="U921" s="67"/>
      <c r="V921" s="253"/>
      <c r="W921" s="68"/>
    </row>
    <row r="922" spans="1:23" ht="12.75" customHeight="1">
      <c r="A922" s="1886">
        <v>922</v>
      </c>
      <c r="B922" s="5250"/>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c r="A923" s="1886">
        <v>923</v>
      </c>
      <c r="B923" s="5250"/>
      <c r="C923" s="2486"/>
      <c r="D923" s="67"/>
      <c r="E923" s="422" t="s">
        <v>1317</v>
      </c>
      <c r="F923" s="193">
        <v>40</v>
      </c>
      <c r="G923" s="193">
        <f>IF(COUNTIF(PDs!$E$75:$E$77,Tablas!E923)&gt;0,1,0)</f>
        <v>0</v>
      </c>
      <c r="H923" s="193" t="str">
        <f>IF(Tablas!W866=0,"NO","-")</f>
        <v>NO</v>
      </c>
      <c r="I923" s="67" t="s">
        <v>8868</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8740</v>
      </c>
      <c r="P923" s="65"/>
      <c r="Q923" s="67"/>
      <c r="R923" s="436" t="s">
        <v>1120</v>
      </c>
      <c r="S923" s="303">
        <v>30</v>
      </c>
      <c r="T923" s="19" t="s">
        <v>1121</v>
      </c>
      <c r="U923" s="67"/>
      <c r="V923" s="253"/>
      <c r="W923" s="68"/>
    </row>
    <row r="924" spans="1:23" ht="12.75" customHeight="1" thickBot="1">
      <c r="A924" s="1886">
        <v>924</v>
      </c>
      <c r="B924" s="5250"/>
      <c r="C924" s="2486"/>
      <c r="D924" s="67"/>
      <c r="E924" s="422" t="s">
        <v>1318</v>
      </c>
      <c r="F924" s="193">
        <v>10</v>
      </c>
      <c r="G924" s="193">
        <f>IF(COUNTIF(PDs!$E$75:$E$77,Tablas!E924)&gt;0,1,0)</f>
        <v>0</v>
      </c>
      <c r="H924" s="193" t="str">
        <f>IF(Tablas!W868=0,"NO","-")</f>
        <v>NO</v>
      </c>
      <c r="I924" s="67" t="s">
        <v>8869</v>
      </c>
      <c r="J924" s="67"/>
      <c r="K924" s="2402">
        <f t="shared" si="110"/>
        <v>0</v>
      </c>
      <c r="L924" s="2402">
        <f t="shared" si="111"/>
        <v>0</v>
      </c>
      <c r="M924" s="2402">
        <f t="shared" si="112"/>
        <v>0</v>
      </c>
      <c r="N924" s="2487" t="s">
        <v>8741</v>
      </c>
      <c r="P924" s="178"/>
      <c r="Q924" s="179"/>
      <c r="R924" s="437" t="s">
        <v>1122</v>
      </c>
      <c r="S924" s="381">
        <v>10</v>
      </c>
      <c r="T924" s="41" t="s">
        <v>1123</v>
      </c>
      <c r="U924" s="179"/>
      <c r="V924" s="1732"/>
      <c r="W924" s="180"/>
    </row>
    <row r="925" spans="1:23" ht="12.75" customHeight="1">
      <c r="A925" s="1886">
        <v>925</v>
      </c>
      <c r="B925" s="5250"/>
      <c r="C925" s="2486"/>
      <c r="D925" s="67"/>
      <c r="E925" s="422" t="s">
        <v>1319</v>
      </c>
      <c r="F925" s="193">
        <v>20</v>
      </c>
      <c r="G925" s="193">
        <f>IF(COUNTIF(PDs!$E$75:$E$77,Tablas!E925)&gt;0,1,0)</f>
        <v>0</v>
      </c>
      <c r="H925" s="193" t="str">
        <f>IF(Tablas!W874=0,"NO","-")</f>
        <v>NO</v>
      </c>
      <c r="I925" s="67" t="s">
        <v>8870</v>
      </c>
      <c r="J925" s="67"/>
      <c r="K925" s="2402">
        <f t="shared" si="110"/>
        <v>0</v>
      </c>
      <c r="L925" s="2402">
        <f t="shared" si="111"/>
        <v>0</v>
      </c>
      <c r="M925" s="2402">
        <f t="shared" si="112"/>
        <v>0</v>
      </c>
      <c r="N925" s="2487" t="s">
        <v>8744</v>
      </c>
    </row>
    <row r="926" spans="1:23" ht="12.75" customHeight="1">
      <c r="A926" s="1886">
        <v>926</v>
      </c>
      <c r="B926" s="5250"/>
      <c r="C926" s="2486"/>
      <c r="D926" s="67"/>
      <c r="E926" s="422" t="s">
        <v>1320</v>
      </c>
      <c r="F926" s="193">
        <v>20</v>
      </c>
      <c r="G926" s="193">
        <f>IF(COUNTIF(PDs!$E$75:$E$77,Tablas!E926)&gt;0,1,0)</f>
        <v>0</v>
      </c>
      <c r="H926" s="193" t="str">
        <f>IF(Tablas!W876=0,"NO","-")</f>
        <v>NO</v>
      </c>
      <c r="I926" s="67" t="s">
        <v>8871</v>
      </c>
      <c r="J926" s="67"/>
      <c r="K926" s="2402">
        <f t="shared" si="110"/>
        <v>0</v>
      </c>
      <c r="L926" s="2402">
        <f t="shared" si="111"/>
        <v>0</v>
      </c>
      <c r="M926" s="2402">
        <f t="shared" si="112"/>
        <v>0</v>
      </c>
      <c r="N926" s="2487" t="s">
        <v>8745</v>
      </c>
    </row>
    <row r="927" spans="1:23" ht="12.75" customHeight="1">
      <c r="A927" s="1886">
        <v>927</v>
      </c>
      <c r="B927" s="5250"/>
      <c r="C927" s="2486"/>
      <c r="D927" s="67"/>
      <c r="E927" s="422" t="s">
        <v>1321</v>
      </c>
      <c r="F927" s="193">
        <v>20</v>
      </c>
      <c r="G927" s="193">
        <f>IF(COUNTIF(PDs!$E$75:$E$77,Tablas!E927)&gt;0,1,0)</f>
        <v>0</v>
      </c>
      <c r="H927" s="193" t="str">
        <f>IF(Tablas!W880=0,"NO","-")</f>
        <v>NO</v>
      </c>
      <c r="I927" s="67" t="s">
        <v>8872</v>
      </c>
      <c r="J927" s="67"/>
      <c r="K927" s="2402">
        <f t="shared" si="110"/>
        <v>0</v>
      </c>
      <c r="L927" s="2402">
        <f t="shared" si="111"/>
        <v>0</v>
      </c>
      <c r="M927" s="2402">
        <f t="shared" si="112"/>
        <v>0</v>
      </c>
      <c r="N927" s="2487" t="s">
        <v>8747</v>
      </c>
    </row>
    <row r="928" spans="1:23" ht="12.75" customHeight="1">
      <c r="A928" s="1886">
        <v>928</v>
      </c>
      <c r="B928" s="5250"/>
      <c r="C928" s="2486"/>
      <c r="D928" s="67"/>
      <c r="E928" s="422" t="s">
        <v>1322</v>
      </c>
      <c r="F928" s="193">
        <v>10</v>
      </c>
      <c r="G928" s="193">
        <f>IF(COUNTIF(PDs!$E$75:$E$77,Tablas!E928)&gt;0,1,0)</f>
        <v>0</v>
      </c>
      <c r="H928" s="193" t="str">
        <f>IF(Tablas!W882=0,"NO","-")</f>
        <v>NO</v>
      </c>
      <c r="I928" s="67" t="s">
        <v>8873</v>
      </c>
      <c r="J928" s="67"/>
      <c r="K928" s="2402">
        <f t="shared" si="110"/>
        <v>0</v>
      </c>
      <c r="L928" s="2402">
        <f t="shared" si="111"/>
        <v>0</v>
      </c>
      <c r="M928" s="2402">
        <f t="shared" si="112"/>
        <v>0</v>
      </c>
      <c r="N928" s="2487" t="s">
        <v>8748</v>
      </c>
    </row>
    <row r="929" spans="1:18" ht="12.75" customHeight="1">
      <c r="A929" s="1886">
        <v>929</v>
      </c>
      <c r="B929" s="5250"/>
      <c r="C929" s="2486"/>
      <c r="D929" s="67"/>
      <c r="E929" s="422" t="s">
        <v>1323</v>
      </c>
      <c r="F929" s="193">
        <v>40</v>
      </c>
      <c r="G929" s="193">
        <f>IF(COUNTIF(PDs!$E$75:$E$77,Tablas!E929)&gt;0,1,0)</f>
        <v>0</v>
      </c>
      <c r="H929" s="193" t="str">
        <f>IF(Tablas!W884=0,"NO","-")</f>
        <v>NO</v>
      </c>
      <c r="I929" s="67" t="s">
        <v>8874</v>
      </c>
      <c r="J929" s="67"/>
      <c r="K929" s="2402">
        <f t="shared" si="110"/>
        <v>0</v>
      </c>
      <c r="L929" s="2402">
        <f t="shared" si="111"/>
        <v>0</v>
      </c>
      <c r="M929" s="2402">
        <f t="shared" si="112"/>
        <v>0</v>
      </c>
      <c r="N929" s="2487" t="s">
        <v>8749</v>
      </c>
    </row>
    <row r="930" spans="1:18" ht="12.75" customHeight="1">
      <c r="A930" s="1886">
        <v>930</v>
      </c>
      <c r="B930" s="5250"/>
      <c r="C930" s="2486"/>
      <c r="D930" s="67"/>
      <c r="E930" s="422" t="s">
        <v>1324</v>
      </c>
      <c r="F930" s="193">
        <v>40</v>
      </c>
      <c r="G930" s="193">
        <f>IF(COUNTIF(PDs!$E$75:$E$77,Tablas!E930)&gt;0,1,0)</f>
        <v>0</v>
      </c>
      <c r="H930" s="193" t="str">
        <f>IF(Tablas!W886=0,"NO","-")</f>
        <v>NO</v>
      </c>
      <c r="I930" s="67" t="s">
        <v>8875</v>
      </c>
      <c r="J930" s="67"/>
      <c r="K930" s="2402">
        <f t="shared" si="110"/>
        <v>0</v>
      </c>
      <c r="L930" s="2402">
        <f t="shared" si="111"/>
        <v>0</v>
      </c>
      <c r="M930" s="2402">
        <f t="shared" si="112"/>
        <v>0</v>
      </c>
      <c r="N930" s="2487" t="s">
        <v>8750</v>
      </c>
    </row>
    <row r="931" spans="1:18" ht="12.75" customHeight="1">
      <c r="A931" s="1886">
        <v>931</v>
      </c>
      <c r="B931" s="5250"/>
      <c r="C931" s="2486"/>
      <c r="D931" s="67"/>
      <c r="E931" s="422" t="s">
        <v>1325</v>
      </c>
      <c r="F931" s="193">
        <v>30</v>
      </c>
      <c r="G931" s="193">
        <f>IF(COUNTIF(PDs!$E$75:$E$77,Tablas!E931)&gt;0,1,0)</f>
        <v>0</v>
      </c>
      <c r="H931" s="193" t="str">
        <f>IF(Tablas!W888=0,"NO","-")</f>
        <v>NO</v>
      </c>
      <c r="I931" s="67" t="s">
        <v>8876</v>
      </c>
      <c r="J931" s="67"/>
      <c r="K931" s="2402">
        <f t="shared" si="110"/>
        <v>0</v>
      </c>
      <c r="L931" s="2402">
        <f t="shared" si="111"/>
        <v>0</v>
      </c>
      <c r="M931" s="2402">
        <f t="shared" si="112"/>
        <v>0</v>
      </c>
      <c r="N931" s="2487" t="s">
        <v>8751</v>
      </c>
    </row>
    <row r="932" spans="1:18" ht="12.75" customHeight="1">
      <c r="A932" s="1886">
        <v>932</v>
      </c>
      <c r="B932" s="5250"/>
      <c r="C932" s="2486"/>
      <c r="D932" s="67"/>
      <c r="E932" s="422" t="s">
        <v>1326</v>
      </c>
      <c r="F932" s="193">
        <v>20</v>
      </c>
      <c r="G932" s="193">
        <f>IF(COUNTIF(PDs!$E$75:$E$77,Tablas!E932)&gt;0,1,0)</f>
        <v>0</v>
      </c>
      <c r="H932" s="193" t="str">
        <f>IF(Tablas!W890=0,"NO","-")</f>
        <v>NO</v>
      </c>
      <c r="I932" s="67" t="s">
        <v>8877</v>
      </c>
      <c r="J932" s="67"/>
      <c r="K932" s="2402">
        <f t="shared" si="110"/>
        <v>0</v>
      </c>
      <c r="L932" s="2402">
        <f t="shared" si="111"/>
        <v>0</v>
      </c>
      <c r="M932" s="2402">
        <f t="shared" si="112"/>
        <v>0</v>
      </c>
      <c r="N932" s="2487" t="s">
        <v>8752</v>
      </c>
    </row>
    <row r="933" spans="1:18" ht="12.75" customHeight="1" thickBot="1">
      <c r="A933" s="1886">
        <v>933</v>
      </c>
      <c r="B933" s="5250"/>
      <c r="C933" s="2488"/>
      <c r="D933" s="1674"/>
      <c r="E933" s="2489" t="s">
        <v>1327</v>
      </c>
      <c r="F933" s="2490">
        <v>20</v>
      </c>
      <c r="G933" s="2490">
        <f>IF(COUNTIF(PDs!$E$75:$E$77,Tablas!E933)&gt;0,1,0)</f>
        <v>0</v>
      </c>
      <c r="H933" s="2490" t="str">
        <f>IF(Tablas!W892=0,"NO","-")</f>
        <v>NO</v>
      </c>
      <c r="I933" s="1674" t="s">
        <v>8878</v>
      </c>
      <c r="J933" s="1674"/>
      <c r="K933" s="2491">
        <f t="shared" si="110"/>
        <v>0</v>
      </c>
      <c r="L933" s="2491">
        <f t="shared" si="111"/>
        <v>0</v>
      </c>
      <c r="M933" s="2491">
        <f t="shared" si="112"/>
        <v>0</v>
      </c>
      <c r="N933" s="2492" t="s">
        <v>8753</v>
      </c>
    </row>
    <row r="934" spans="1:18" ht="12.75" customHeight="1">
      <c r="A934" s="1886">
        <v>934</v>
      </c>
      <c r="B934" s="5250"/>
      <c r="H934" s="361"/>
      <c r="N934" s="361"/>
    </row>
    <row r="935" spans="1:18" ht="12.75" customHeight="1">
      <c r="A935" s="1886">
        <v>935</v>
      </c>
      <c r="B935" s="5250"/>
      <c r="H935" s="361"/>
      <c r="N935" s="361"/>
    </row>
    <row r="936" spans="1:18" ht="12.75" customHeight="1">
      <c r="A936" s="1886">
        <v>936</v>
      </c>
      <c r="B936" s="5250"/>
      <c r="H936" s="361"/>
      <c r="N936" s="361"/>
    </row>
    <row r="937" spans="1:18" ht="12.75" customHeight="1" thickBot="1">
      <c r="A937" s="1886">
        <v>937</v>
      </c>
      <c r="B937" s="5250"/>
      <c r="H937" s="361"/>
      <c r="N937" s="361"/>
    </row>
    <row r="938" spans="1:18" ht="12.75" customHeight="1" thickBot="1">
      <c r="A938" s="1886">
        <v>938</v>
      </c>
      <c r="B938" s="5250"/>
      <c r="C938" s="5354" t="s">
        <v>1328</v>
      </c>
      <c r="D938" s="5354"/>
      <c r="E938" s="5354"/>
      <c r="F938" s="5354"/>
      <c r="G938" s="5354"/>
      <c r="H938" s="5354"/>
      <c r="I938" s="5354"/>
      <c r="J938" s="5354"/>
      <c r="K938" s="5354"/>
      <c r="L938" s="5354"/>
      <c r="M938" s="5354"/>
      <c r="N938" s="5354"/>
      <c r="O938" s="5354"/>
      <c r="P938" s="5354"/>
      <c r="Q938" s="5354"/>
      <c r="R938" s="5354"/>
    </row>
    <row r="939" spans="1:18" ht="12.75" customHeight="1">
      <c r="A939" s="1886">
        <v>939</v>
      </c>
      <c r="B939" s="5250"/>
      <c r="C939" s="5354"/>
      <c r="D939" s="5354"/>
      <c r="E939" s="5354"/>
      <c r="F939" s="5354"/>
      <c r="G939" s="5354"/>
      <c r="H939" s="5354"/>
      <c r="I939" s="5354"/>
      <c r="J939" s="5354"/>
      <c r="K939" s="5354"/>
      <c r="L939" s="5354"/>
      <c r="M939" s="5354"/>
      <c r="N939" s="5354"/>
      <c r="O939" s="5354"/>
      <c r="P939" s="5354"/>
      <c r="Q939" s="5354"/>
      <c r="R939" s="5354"/>
    </row>
    <row r="940" spans="1:18" ht="12.75" customHeight="1" thickBot="1">
      <c r="A940" s="1886">
        <v>940</v>
      </c>
      <c r="B940" s="5250"/>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c r="A941" s="1886">
        <v>941</v>
      </c>
      <c r="B941" s="5250"/>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c r="A942" s="1886">
        <v>942</v>
      </c>
      <c r="B942" s="5250"/>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c r="A943" s="1886">
        <v>943</v>
      </c>
      <c r="B943" s="5250"/>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c r="A944" s="1886">
        <v>944</v>
      </c>
      <c r="B944" s="5250"/>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6">
        <v>945</v>
      </c>
      <c r="B945" s="5250"/>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c r="A946" s="1886">
        <v>946</v>
      </c>
      <c r="B946" s="5250"/>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c r="A947" s="1886">
        <v>947</v>
      </c>
      <c r="B947" s="5250"/>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c r="A948" s="1886">
        <v>948</v>
      </c>
      <c r="B948" s="5250"/>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c r="A949" s="1886">
        <v>949</v>
      </c>
      <c r="B949" s="5250"/>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c r="A950" s="1886">
        <v>950</v>
      </c>
      <c r="B950" s="5250"/>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c r="A951" s="1886">
        <v>951</v>
      </c>
      <c r="B951" s="5250"/>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c r="A952" s="1886">
        <v>952</v>
      </c>
      <c r="B952" s="5250"/>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c r="A953" s="1886">
        <v>953</v>
      </c>
      <c r="B953" s="5250"/>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c r="A954" s="1886">
        <v>954</v>
      </c>
      <c r="B954" s="5250"/>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c r="A955" s="1886">
        <v>955</v>
      </c>
      <c r="B955" s="5250"/>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c r="A956" s="1886">
        <v>956</v>
      </c>
      <c r="B956" s="5250"/>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c r="A957" s="1886">
        <v>957</v>
      </c>
      <c r="B957" s="5250"/>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c r="A958" s="1886">
        <v>958</v>
      </c>
      <c r="B958" s="5250"/>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c r="A959" s="1886">
        <v>959</v>
      </c>
      <c r="B959" s="5250"/>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c r="A960" s="1886">
        <v>960</v>
      </c>
      <c r="B960" s="5250"/>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c r="A961" s="1886">
        <v>961</v>
      </c>
      <c r="B961" s="5250"/>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c r="A962" s="1886">
        <v>962</v>
      </c>
      <c r="B962" s="5250"/>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c r="A963" s="1886">
        <v>963</v>
      </c>
      <c r="B963" s="5250"/>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c r="A964" s="1886">
        <v>964</v>
      </c>
      <c r="B964" s="5250"/>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c r="A965" s="1886">
        <v>965</v>
      </c>
      <c r="B965" s="5250"/>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c r="A966" s="1886">
        <v>966</v>
      </c>
      <c r="B966" s="5250"/>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c r="A967" s="1886">
        <v>967</v>
      </c>
      <c r="B967" s="5250"/>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c r="A968" s="1886">
        <v>968</v>
      </c>
      <c r="B968" s="5250"/>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c r="A969" s="1886">
        <v>969</v>
      </c>
      <c r="B969" s="5250"/>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c r="A970" s="1886">
        <v>970</v>
      </c>
      <c r="B970" s="5250"/>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c r="A971" s="1886">
        <v>971</v>
      </c>
      <c r="B971" s="5250"/>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c r="A972" s="1886">
        <v>972</v>
      </c>
      <c r="B972" s="5250"/>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c r="A973" s="1886">
        <v>973</v>
      </c>
      <c r="B973" s="5250"/>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c r="A974" s="1886">
        <v>974</v>
      </c>
      <c r="B974" s="5250"/>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c r="A975" s="1886">
        <v>975</v>
      </c>
      <c r="B975" s="5250"/>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c r="A976" s="1886">
        <v>976</v>
      </c>
      <c r="B976" s="5250"/>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6">
        <v>977</v>
      </c>
      <c r="B977" s="5250"/>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c r="A978" s="1886">
        <v>978</v>
      </c>
      <c r="B978" s="5250"/>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c r="A979" s="1886">
        <v>979</v>
      </c>
      <c r="B979" s="5250"/>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6">
        <v>980</v>
      </c>
      <c r="B980" s="5250"/>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c r="A981" s="1886">
        <v>981</v>
      </c>
      <c r="B981" s="5250"/>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c r="A982" s="1886">
        <v>982</v>
      </c>
      <c r="B982" s="5250"/>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c r="A983" s="1886">
        <v>983</v>
      </c>
      <c r="B983" s="5250"/>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c r="A984" s="1886">
        <v>984</v>
      </c>
      <c r="B984" s="5250"/>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c r="A985" s="1886">
        <v>985</v>
      </c>
      <c r="B985" s="5250"/>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c r="A986" s="1886">
        <v>986</v>
      </c>
      <c r="B986" s="5250"/>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c r="A987" s="1886">
        <v>987</v>
      </c>
      <c r="B987" s="5250"/>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c r="A988" s="1886">
        <v>988</v>
      </c>
      <c r="B988" s="5250"/>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c r="A989" s="1886">
        <v>989</v>
      </c>
      <c r="B989" s="5250"/>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c r="A990" s="1886">
        <v>990</v>
      </c>
      <c r="B990" s="5250"/>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c r="A991" s="1886">
        <v>991</v>
      </c>
      <c r="B991" s="5250"/>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c r="A992" s="1886">
        <v>992</v>
      </c>
      <c r="B992" s="5250"/>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c r="A993" s="1886">
        <v>993</v>
      </c>
      <c r="B993" s="5250"/>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c r="A994" s="1886">
        <v>994</v>
      </c>
      <c r="B994" s="5250"/>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c r="A995" s="1886">
        <v>995</v>
      </c>
      <c r="B995" s="5250"/>
      <c r="H995" s="361"/>
      <c r="N995" s="361"/>
    </row>
    <row r="996" spans="1:29" ht="12.75" customHeight="1" thickBot="1">
      <c r="A996" s="1886">
        <v>996</v>
      </c>
      <c r="B996" s="5250"/>
      <c r="C996" s="5313" t="s">
        <v>1433</v>
      </c>
      <c r="D996" s="5313"/>
      <c r="E996" s="5313"/>
      <c r="F996" s="5313"/>
      <c r="G996" s="5313"/>
      <c r="H996" s="5313"/>
      <c r="I996" s="5313"/>
      <c r="J996" s="5313"/>
      <c r="K996" s="5313"/>
      <c r="L996" s="5313"/>
      <c r="N996" s="361"/>
    </row>
    <row r="997" spans="1:29" ht="12.75" customHeight="1">
      <c r="A997" s="1886">
        <v>997</v>
      </c>
      <c r="B997" s="5250"/>
      <c r="C997" s="5313"/>
      <c r="D997" s="5313"/>
      <c r="E997" s="5313"/>
      <c r="F997" s="5313"/>
      <c r="G997" s="5313"/>
      <c r="H997" s="5313"/>
      <c r="I997" s="5313"/>
      <c r="J997" s="5313"/>
      <c r="K997" s="5313"/>
      <c r="L997" s="5313"/>
      <c r="N997" s="361"/>
    </row>
    <row r="998" spans="1:29" ht="12.75" customHeight="1" thickBot="1">
      <c r="A998" s="1886">
        <v>998</v>
      </c>
      <c r="B998" s="5250"/>
      <c r="C998" s="5266" t="s">
        <v>2946</v>
      </c>
      <c r="D998" s="5266"/>
      <c r="E998" s="5266"/>
      <c r="F998" s="365" t="s">
        <v>1801</v>
      </c>
      <c r="G998" s="5267" t="s">
        <v>1861</v>
      </c>
      <c r="H998" s="5267"/>
      <c r="I998" s="5267"/>
      <c r="J998" s="5267"/>
      <c r="K998" s="5267"/>
      <c r="L998" s="5267"/>
      <c r="N998" s="361"/>
    </row>
    <row r="999" spans="1:29" ht="12.75" customHeight="1">
      <c r="A999" s="1886">
        <v>999</v>
      </c>
      <c r="B999" s="5250"/>
      <c r="C999" s="206"/>
      <c r="D999" s="118"/>
      <c r="E999" s="457" t="s">
        <v>1434</v>
      </c>
      <c r="F999" s="383">
        <v>75</v>
      </c>
      <c r="G999" s="458" t="s">
        <v>1435</v>
      </c>
      <c r="H999" s="118"/>
      <c r="I999" s="1728"/>
      <c r="J999" s="118"/>
      <c r="K999" s="118"/>
      <c r="L999" s="207"/>
      <c r="N999" s="361"/>
    </row>
    <row r="1000" spans="1:29" ht="12.75" customHeight="1">
      <c r="A1000" s="1886">
        <v>1000</v>
      </c>
      <c r="B1000" s="5250"/>
      <c r="C1000" s="65"/>
      <c r="D1000" s="67"/>
      <c r="E1000" s="436" t="s">
        <v>1436</v>
      </c>
      <c r="F1000" s="211">
        <v>75</v>
      </c>
      <c r="G1000" s="80" t="s">
        <v>1437</v>
      </c>
      <c r="H1000" s="67"/>
      <c r="I1000" s="253"/>
      <c r="J1000" s="67"/>
      <c r="K1000" s="67"/>
      <c r="L1000" s="68"/>
      <c r="N1000" s="361"/>
    </row>
    <row r="1001" spans="1:29" ht="12.75" customHeight="1" thickBot="1">
      <c r="A1001" s="1886">
        <v>1001</v>
      </c>
      <c r="B1001" s="5250"/>
      <c r="C1001" s="178"/>
      <c r="D1001" s="179"/>
      <c r="E1001" s="437" t="s">
        <v>1438</v>
      </c>
      <c r="F1001" s="381">
        <v>100</v>
      </c>
      <c r="G1001" s="459" t="s">
        <v>1439</v>
      </c>
      <c r="H1001" s="444"/>
      <c r="I1001" s="444"/>
      <c r="J1001" s="444"/>
      <c r="K1001" s="444"/>
      <c r="L1001" s="180"/>
      <c r="N1001" s="361"/>
    </row>
    <row r="1002" spans="1:29" ht="12.75" customHeight="1">
      <c r="A1002" s="1886">
        <v>1002</v>
      </c>
      <c r="B1002" s="5250"/>
      <c r="H1002" s="361"/>
      <c r="I1002" s="1634"/>
      <c r="N1002" s="361"/>
      <c r="O1002" s="1969"/>
    </row>
    <row r="1003" spans="1:29" ht="12.75" customHeight="1">
      <c r="A1003" s="1886">
        <v>1003</v>
      </c>
      <c r="B1003" s="5250"/>
      <c r="H1003" s="361"/>
      <c r="I1003" s="1634"/>
      <c r="N1003" s="361"/>
      <c r="O1003" s="1969"/>
    </row>
    <row r="1004" spans="1:29" ht="12.75" customHeight="1">
      <c r="A1004" s="1886">
        <v>1004</v>
      </c>
      <c r="B1004" s="5250"/>
      <c r="H1004" s="361"/>
      <c r="I1004" s="1634"/>
      <c r="N1004" s="361"/>
      <c r="O1004" s="1969"/>
      <c r="AC1004" s="1885"/>
    </row>
    <row r="1005" spans="1:29" ht="12.75" customHeight="1">
      <c r="A1005" s="1886">
        <v>1005</v>
      </c>
      <c r="B1005" s="5250"/>
      <c r="H1005" s="361"/>
      <c r="I1005" s="1634"/>
      <c r="N1005" s="361"/>
      <c r="O1005" s="1969"/>
      <c r="AC1005" s="1885"/>
    </row>
    <row r="1006" spans="1:29" ht="12.75" customHeight="1">
      <c r="A1006" s="1886">
        <v>1006</v>
      </c>
      <c r="B1006" s="5246"/>
      <c r="C1006" s="5241" t="s">
        <v>8934</v>
      </c>
      <c r="D1006" s="5241"/>
      <c r="E1006" s="5241"/>
      <c r="F1006" s="5241"/>
      <c r="G1006" s="5241"/>
      <c r="H1006" s="5241"/>
      <c r="I1006" s="5241"/>
      <c r="J1006" s="5241"/>
      <c r="K1006" s="5241"/>
      <c r="L1006" s="5241"/>
      <c r="M1006" s="5241"/>
      <c r="N1006" s="5241"/>
      <c r="O1006" s="5241"/>
      <c r="P1006" s="5241"/>
      <c r="Q1006" s="5241"/>
      <c r="R1006" s="5241"/>
      <c r="S1006" s="5241"/>
      <c r="T1006" s="5241"/>
      <c r="U1006" s="5241"/>
      <c r="V1006" s="5241"/>
      <c r="W1006" s="5241"/>
      <c r="X1006" s="5241"/>
      <c r="Y1006" s="5241"/>
      <c r="Z1006" s="5241"/>
      <c r="AA1006" s="5241"/>
      <c r="AB1006" s="5241"/>
      <c r="AC1006" s="5241"/>
    </row>
    <row r="1007" spans="1:29" ht="12.75" customHeight="1">
      <c r="A1007" s="1886">
        <v>1007</v>
      </c>
      <c r="B1007" s="5246"/>
      <c r="C1007" s="5241"/>
      <c r="D1007" s="5241"/>
      <c r="E1007" s="5241"/>
      <c r="F1007" s="5241"/>
      <c r="G1007" s="5241"/>
      <c r="H1007" s="5241"/>
      <c r="I1007" s="5241"/>
      <c r="J1007" s="5241"/>
      <c r="K1007" s="5241"/>
      <c r="L1007" s="5241"/>
      <c r="M1007" s="5241"/>
      <c r="N1007" s="5241"/>
      <c r="O1007" s="5241"/>
      <c r="P1007" s="5241"/>
      <c r="Q1007" s="5241"/>
      <c r="R1007" s="5241"/>
      <c r="S1007" s="5241"/>
      <c r="T1007" s="5241"/>
      <c r="U1007" s="5241"/>
      <c r="V1007" s="5241"/>
      <c r="W1007" s="5241"/>
      <c r="X1007" s="5241"/>
      <c r="Y1007" s="5241"/>
      <c r="Z1007" s="5241"/>
      <c r="AA1007" s="5241"/>
      <c r="AB1007" s="5241"/>
      <c r="AC1007" s="5241"/>
    </row>
    <row r="1008" spans="1:29" ht="12.75" customHeight="1">
      <c r="A1008" s="1886">
        <v>1008</v>
      </c>
      <c r="B1008" s="5246"/>
      <c r="C1008" s="5241"/>
      <c r="D1008" s="5241"/>
      <c r="E1008" s="5241"/>
      <c r="F1008" s="5241"/>
      <c r="G1008" s="5241"/>
      <c r="H1008" s="5241"/>
      <c r="I1008" s="5241"/>
      <c r="J1008" s="5241"/>
      <c r="K1008" s="5241"/>
      <c r="L1008" s="5241"/>
      <c r="M1008" s="5241"/>
      <c r="N1008" s="5241"/>
      <c r="O1008" s="5241"/>
      <c r="P1008" s="5241"/>
      <c r="Q1008" s="5241"/>
      <c r="R1008" s="5241"/>
      <c r="S1008" s="5241"/>
      <c r="T1008" s="5241"/>
      <c r="U1008" s="5241"/>
      <c r="V1008" s="5241"/>
      <c r="W1008" s="5241"/>
      <c r="X1008" s="5241"/>
      <c r="Y1008" s="5241"/>
      <c r="Z1008" s="5241"/>
      <c r="AA1008" s="5241"/>
      <c r="AB1008" s="5241"/>
      <c r="AC1008" s="5241"/>
    </row>
    <row r="1009" spans="1:29" ht="12.75" customHeight="1" thickBot="1">
      <c r="A1009" s="1886">
        <v>1009</v>
      </c>
      <c r="B1009" s="5246"/>
      <c r="H1009" s="361"/>
      <c r="I1009" s="1634"/>
      <c r="N1009" s="361"/>
      <c r="O1009" s="1969"/>
      <c r="S1009" s="2493"/>
      <c r="AC1009" s="1885"/>
    </row>
    <row r="1010" spans="1:29" ht="12.75" customHeight="1" thickBot="1">
      <c r="A1010" s="1886">
        <v>1010</v>
      </c>
      <c r="B1010" s="5246"/>
      <c r="C1010" s="5429" t="s">
        <v>1514</v>
      </c>
      <c r="D1010" s="5429"/>
      <c r="E1010" s="5429"/>
      <c r="F1010" s="5429"/>
      <c r="G1010" s="5429"/>
      <c r="H1010" s="5429"/>
      <c r="I1010" s="5429"/>
      <c r="J1010" s="5429"/>
      <c r="K1010" s="5429"/>
      <c r="L1010" s="5429"/>
      <c r="M1010" s="5429"/>
      <c r="N1010" s="361"/>
      <c r="O1010" s="1969"/>
      <c r="P1010" s="3331" t="s">
        <v>1440</v>
      </c>
      <c r="Q1010" s="3331"/>
      <c r="S1010" s="3331" t="s">
        <v>94</v>
      </c>
      <c r="T1010" s="3331"/>
      <c r="U1010" s="3331"/>
      <c r="Y1010" s="5415" t="s">
        <v>915</v>
      </c>
      <c r="Z1010" s="5415"/>
      <c r="AA1010" s="5415"/>
      <c r="AB1010" s="5415"/>
      <c r="AC1010" s="5415"/>
    </row>
    <row r="1011" spans="1:29" ht="12.75" customHeight="1">
      <c r="A1011" s="1886">
        <v>1011</v>
      </c>
      <c r="B1011" s="5246"/>
      <c r="C1011" s="5429"/>
      <c r="D1011" s="5429"/>
      <c r="E1011" s="5429"/>
      <c r="F1011" s="5429"/>
      <c r="G1011" s="5429"/>
      <c r="H1011" s="5429"/>
      <c r="I1011" s="5429"/>
      <c r="J1011" s="5429"/>
      <c r="K1011" s="5429"/>
      <c r="L1011" s="5429"/>
      <c r="M1011" s="5429"/>
      <c r="N1011" s="361"/>
      <c r="O1011" s="1969"/>
      <c r="P1011" s="3331"/>
      <c r="Q1011" s="3331"/>
      <c r="S1011" s="3331"/>
      <c r="T1011" s="3331"/>
      <c r="U1011" s="3331"/>
      <c r="Y1011" s="5415"/>
      <c r="Z1011" s="5415"/>
      <c r="AA1011" s="5415"/>
      <c r="AB1011" s="5415"/>
      <c r="AC1011" s="5415"/>
    </row>
    <row r="1012" spans="1:29" ht="12.75" customHeight="1" thickBot="1">
      <c r="A1012" s="1886">
        <v>1012</v>
      </c>
      <c r="B1012" s="5246"/>
      <c r="C1012" s="5412" t="s">
        <v>1957</v>
      </c>
      <c r="D1012" s="5412"/>
      <c r="E1012" s="396" t="s">
        <v>1801</v>
      </c>
      <c r="F1012" s="5411" t="s">
        <v>1861</v>
      </c>
      <c r="G1012" s="5411"/>
      <c r="H1012" s="5411"/>
      <c r="I1012" s="5411"/>
      <c r="J1012" s="5411"/>
      <c r="K1012" s="5411"/>
      <c r="L1012" s="5411"/>
      <c r="M1012" s="5411"/>
      <c r="N1012" s="361"/>
      <c r="O1012" s="1969"/>
      <c r="P1012" s="364" t="s">
        <v>1695</v>
      </c>
      <c r="Q1012" s="366" t="s">
        <v>1441</v>
      </c>
      <c r="S1012" s="502" t="s">
        <v>95</v>
      </c>
      <c r="T1012" s="365" t="s">
        <v>96</v>
      </c>
      <c r="U1012" s="366" t="s">
        <v>97</v>
      </c>
      <c r="Y1012" s="5416" t="s">
        <v>1751</v>
      </c>
      <c r="Z1012" s="5416"/>
      <c r="AA1012" s="5416"/>
      <c r="AB1012" s="1715" t="s">
        <v>1665</v>
      </c>
      <c r="AC1012" s="3082" t="s">
        <v>1820</v>
      </c>
    </row>
    <row r="1013" spans="1:29" ht="12.75" customHeight="1">
      <c r="A1013" s="1886">
        <v>1013</v>
      </c>
      <c r="B1013" s="5246"/>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c r="A1014" s="1886">
        <v>1014</v>
      </c>
      <c r="B1014" s="5246"/>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c r="A1015" s="1886">
        <v>1015</v>
      </c>
      <c r="B1015" s="5246"/>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c r="A1016" s="1886">
        <v>1016</v>
      </c>
      <c r="B1016" s="5246"/>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c r="A1017" s="1886">
        <v>1017</v>
      </c>
      <c r="B1017" s="5246"/>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c r="A1018" s="1886">
        <v>1018</v>
      </c>
      <c r="B1018" s="5246"/>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c r="A1019" s="1886">
        <v>1019</v>
      </c>
      <c r="B1019" s="5246"/>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c r="A1020" s="1886">
        <v>1020</v>
      </c>
      <c r="B1020" s="5246"/>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c r="A1021" s="1886">
        <v>1021</v>
      </c>
      <c r="B1021" s="5246"/>
      <c r="C1021" s="5240" t="s">
        <v>1529</v>
      </c>
      <c r="E1021" s="5417" t="s">
        <v>8420</v>
      </c>
      <c r="G1021" s="4341" t="s">
        <v>8424</v>
      </c>
      <c r="H1021" s="4192"/>
      <c r="I1021" s="5430" t="s">
        <v>7757</v>
      </c>
      <c r="K1021" s="3281" t="s">
        <v>1533</v>
      </c>
      <c r="L1021" s="470"/>
      <c r="M1021" s="5388" t="s">
        <v>1447</v>
      </c>
      <c r="N1021" s="5388"/>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c r="A1022" s="1886">
        <v>1022</v>
      </c>
      <c r="B1022" s="5246"/>
      <c r="C1022" s="5240"/>
      <c r="E1022" s="5418"/>
      <c r="G1022" s="5374"/>
      <c r="H1022" s="5377"/>
      <c r="I1022" s="5431" t="s">
        <v>7757</v>
      </c>
      <c r="K1022" s="3281"/>
      <c r="M1022" s="5388"/>
      <c r="N1022" s="5388"/>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c r="A1023" s="1886">
        <v>1023</v>
      </c>
      <c r="B1023" s="5246"/>
      <c r="C1023" s="480" t="s">
        <v>2019</v>
      </c>
      <c r="E1023" s="1902" t="s">
        <v>8426</v>
      </c>
      <c r="G1023" s="4341" t="s">
        <v>8458</v>
      </c>
      <c r="H1023" s="4192"/>
      <c r="I1023" s="2501" t="s">
        <v>8459</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c r="A1024" s="1886">
        <v>1024</v>
      </c>
      <c r="B1024" s="5246"/>
      <c r="C1024" s="480" t="s">
        <v>2020</v>
      </c>
      <c r="E1024" s="1902" t="s">
        <v>8421</v>
      </c>
      <c r="G1024" s="5225"/>
      <c r="H1024" s="5226"/>
      <c r="I1024" s="2501" t="s">
        <v>7909</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c r="A1025" s="1886">
        <v>1025</v>
      </c>
      <c r="B1025" s="5246"/>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c r="A1026" s="1886">
        <v>1026</v>
      </c>
      <c r="B1026" s="5246"/>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c r="A1027" s="1886">
        <v>1027</v>
      </c>
      <c r="B1027" s="5246"/>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c r="A1028" s="1886">
        <v>1028</v>
      </c>
      <c r="B1028" s="5246"/>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c r="A1029" s="1886">
        <v>1029</v>
      </c>
      <c r="B1029" s="5246"/>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c r="A1030" s="1886">
        <v>1030</v>
      </c>
      <c r="B1030" s="5246"/>
      <c r="G1030" s="1914">
        <v>5</v>
      </c>
      <c r="H1030" s="1474">
        <v>36</v>
      </c>
      <c r="I1030" s="2501" t="s">
        <v>8464</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c r="A1031" s="1886">
        <v>1031</v>
      </c>
      <c r="B1031" s="5246"/>
      <c r="C1031" s="5417" t="s">
        <v>8686</v>
      </c>
      <c r="H1031" s="361"/>
      <c r="I1031" s="2501" t="s">
        <v>8467</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c r="A1032" s="1886">
        <v>1032</v>
      </c>
      <c r="B1032" s="5246"/>
      <c r="C1032" s="5418"/>
      <c r="H1032" s="361"/>
      <c r="I1032" s="2501" t="s">
        <v>8468</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c r="A1033" s="1886">
        <v>1033</v>
      </c>
      <c r="B1033" s="5246"/>
      <c r="C1033" s="2152" t="s">
        <v>2019</v>
      </c>
      <c r="H1033" s="361"/>
      <c r="I1033" s="2501" t="s">
        <v>8469</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c r="A1034" s="1886">
        <v>1034</v>
      </c>
      <c r="B1034" s="5246"/>
      <c r="C1034" s="2152" t="s">
        <v>2020</v>
      </c>
      <c r="H1034" s="361"/>
      <c r="I1034" s="2502" t="s">
        <v>8470</v>
      </c>
      <c r="N1034" s="361"/>
      <c r="O1034" s="1969"/>
      <c r="P1034" s="5424" t="s">
        <v>1544</v>
      </c>
      <c r="Q1034" s="5424"/>
      <c r="S1034" s="2493"/>
      <c r="Y1034" s="1639" t="str">
        <f t="shared" si="121"/>
        <v>El Sumo Sacerdote</v>
      </c>
      <c r="Z1034" s="2240">
        <f t="shared" si="122"/>
        <v>14</v>
      </c>
      <c r="AA1034" s="3088" t="s">
        <v>937</v>
      </c>
      <c r="AB1034" s="253">
        <v>440</v>
      </c>
      <c r="AC1034" s="293">
        <v>950</v>
      </c>
    </row>
    <row r="1035" spans="1:29" ht="12.75" customHeight="1" thickBot="1">
      <c r="A1035" s="1886">
        <v>1035</v>
      </c>
      <c r="B1035" s="5246"/>
      <c r="C1035" s="2152" t="s">
        <v>1929</v>
      </c>
      <c r="E1035" s="5356" t="s">
        <v>1531</v>
      </c>
      <c r="F1035" s="2173"/>
      <c r="G1035" s="2408"/>
      <c r="H1035" s="2173"/>
      <c r="I1035" s="2173"/>
      <c r="J1035" s="2173"/>
      <c r="K1035" s="2173"/>
      <c r="L1035" s="2173"/>
      <c r="N1035" s="361"/>
      <c r="O1035" s="1969"/>
      <c r="P1035" s="364" t="s">
        <v>1701</v>
      </c>
      <c r="Q1035" s="366" t="s">
        <v>1545</v>
      </c>
      <c r="S1035" s="4341" t="s">
        <v>10044</v>
      </c>
      <c r="T1035" s="4192"/>
      <c r="U1035" s="4337"/>
      <c r="Y1035" s="1639" t="str">
        <f t="shared" si="121"/>
        <v>El Sumo Sacerdote invertido</v>
      </c>
      <c r="Z1035" s="2240">
        <f t="shared" si="122"/>
        <v>18</v>
      </c>
      <c r="AA1035" s="3088" t="s">
        <v>938</v>
      </c>
      <c r="AB1035" s="253">
        <v>460</v>
      </c>
      <c r="AC1035" s="293">
        <v>1000</v>
      </c>
    </row>
    <row r="1036" spans="1:29" ht="12.75" customHeight="1">
      <c r="A1036" s="1886">
        <v>1036</v>
      </c>
      <c r="B1036" s="5246"/>
      <c r="C1036" s="2152" t="s">
        <v>1925</v>
      </c>
      <c r="E1036" s="5357"/>
      <c r="F1036" s="2678" t="s">
        <v>1708</v>
      </c>
      <c r="G1036" s="2678" t="s">
        <v>8904</v>
      </c>
      <c r="H1036" s="2495"/>
      <c r="I1036" s="3161" t="s">
        <v>10234</v>
      </c>
      <c r="J1036" s="3140" t="s">
        <v>7873</v>
      </c>
      <c r="K1036" s="2496" t="s">
        <v>8906</v>
      </c>
      <c r="L1036" s="2494"/>
      <c r="P1036" s="385">
        <v>1</v>
      </c>
      <c r="Q1036" s="232">
        <v>0</v>
      </c>
      <c r="S1036" s="5225"/>
      <c r="T1036" s="5226"/>
      <c r="U1036" s="5227"/>
      <c r="Y1036" s="1639" t="str">
        <f t="shared" si="121"/>
        <v>La Emperatriz</v>
      </c>
      <c r="Z1036" s="2240">
        <f t="shared" si="122"/>
        <v>17</v>
      </c>
      <c r="AA1036" s="3086" t="s">
        <v>939</v>
      </c>
      <c r="AB1036" s="253">
        <v>120</v>
      </c>
      <c r="AC1036" s="293">
        <v>100</v>
      </c>
    </row>
    <row r="1037" spans="1:29" ht="12.75" customHeight="1">
      <c r="A1037" s="1886">
        <v>1037</v>
      </c>
      <c r="B1037" s="5246"/>
      <c r="C1037" s="2152" t="s">
        <v>1922</v>
      </c>
      <c r="E1037" s="2499" t="s">
        <v>2019</v>
      </c>
      <c r="F1037" s="2866" t="s">
        <v>10045</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10045</v>
      </c>
      <c r="T1037" s="3169" t="s">
        <v>10046</v>
      </c>
      <c r="U1037" s="3170" t="s">
        <v>10047</v>
      </c>
      <c r="Y1037" s="1639" t="str">
        <f t="shared" si="121"/>
        <v>La Emperatriz invertida</v>
      </c>
      <c r="Z1037" s="2240">
        <f t="shared" si="122"/>
        <v>13</v>
      </c>
      <c r="AA1037" s="3088" t="s">
        <v>940</v>
      </c>
      <c r="AB1037" s="253">
        <v>130</v>
      </c>
      <c r="AC1037" s="293">
        <v>100</v>
      </c>
    </row>
    <row r="1038" spans="1:29" ht="12.75" customHeight="1">
      <c r="A1038" s="1886">
        <v>1038</v>
      </c>
      <c r="B1038" s="5246"/>
      <c r="C1038" s="2152" t="s">
        <v>2024</v>
      </c>
      <c r="E1038" s="2499" t="s">
        <v>2020</v>
      </c>
      <c r="F1038" s="2866" t="s">
        <v>10045</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c r="A1039" s="1886">
        <v>1039</v>
      </c>
      <c r="B1039" s="5246"/>
      <c r="C1039" s="2152" t="s">
        <v>2026</v>
      </c>
      <c r="E1039" s="2499" t="s">
        <v>1929</v>
      </c>
      <c r="F1039" s="2866" t="s">
        <v>10046</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8910</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c r="A1040" s="1886">
        <v>1040</v>
      </c>
      <c r="B1040" s="5246"/>
      <c r="C1040" s="2152" t="s">
        <v>2027</v>
      </c>
      <c r="E1040" s="2499" t="s">
        <v>1925</v>
      </c>
      <c r="F1040" s="2866" t="s">
        <v>10046</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8909</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c r="A1041" s="1886">
        <v>1041</v>
      </c>
      <c r="B1041" s="5246"/>
      <c r="C1041" s="2152" t="s">
        <v>2029</v>
      </c>
      <c r="E1041" s="2499" t="s">
        <v>1922</v>
      </c>
      <c r="F1041" s="2866" t="s">
        <v>10046</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c r="A1042" s="1886">
        <v>1042</v>
      </c>
      <c r="B1042" s="5246"/>
      <c r="C1042" s="2152" t="s">
        <v>2031</v>
      </c>
      <c r="E1042" s="2499" t="s">
        <v>2024</v>
      </c>
      <c r="F1042" s="2866" t="s">
        <v>10046</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8908</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c r="A1043" s="1886">
        <v>1043</v>
      </c>
      <c r="B1043" s="5246"/>
      <c r="C1043" s="2152" t="s">
        <v>2033</v>
      </c>
      <c r="E1043" s="2499" t="s">
        <v>2026</v>
      </c>
      <c r="F1043" s="2866" t="s">
        <v>10045</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c r="A1044" s="1886">
        <v>1044</v>
      </c>
      <c r="B1044" s="5246"/>
      <c r="C1044" s="2153" t="s">
        <v>1532</v>
      </c>
      <c r="E1044" s="2499" t="s">
        <v>2027</v>
      </c>
      <c r="F1044" s="2866" t="s">
        <v>10045</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8907</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c r="A1045" s="1886">
        <v>1045</v>
      </c>
      <c r="B1045" s="5246"/>
      <c r="C1045" s="2154" t="s">
        <v>81</v>
      </c>
      <c r="E1045" s="2499" t="s">
        <v>2029</v>
      </c>
      <c r="F1045" s="2866" t="s">
        <v>10046</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c r="A1046" s="1886">
        <v>1046</v>
      </c>
      <c r="B1046" s="5246"/>
      <c r="C1046" s="2155" t="s">
        <v>82</v>
      </c>
      <c r="E1046" s="2499" t="s">
        <v>2031</v>
      </c>
      <c r="F1046" s="2866" t="s">
        <v>10046</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c r="A1047" s="1886">
        <v>1047</v>
      </c>
      <c r="B1047" s="5246"/>
      <c r="C1047" s="2155" t="s">
        <v>83</v>
      </c>
      <c r="E1047" s="2499" t="s">
        <v>2033</v>
      </c>
      <c r="F1047" s="3154" t="s">
        <v>10045</v>
      </c>
      <c r="G1047" s="3162" t="s">
        <v>8905</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c r="A1048" s="1886">
        <v>1048</v>
      </c>
      <c r="B1048" s="5246"/>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c r="A1049" s="1886">
        <v>1049</v>
      </c>
      <c r="B1049" s="5246"/>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c r="A1050" s="1886">
        <v>1050</v>
      </c>
      <c r="B1050" s="5246"/>
      <c r="C1050" s="2155" t="s">
        <v>86</v>
      </c>
      <c r="E1050" s="5424" t="s">
        <v>1539</v>
      </c>
      <c r="F1050" s="5424"/>
      <c r="H1050" s="5424" t="s">
        <v>1541</v>
      </c>
      <c r="I1050" s="5424"/>
      <c r="K1050" s="5274" t="s">
        <v>1546</v>
      </c>
      <c r="L1050" s="5274"/>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c r="A1051" s="1886">
        <v>1051</v>
      </c>
      <c r="B1051" s="5246"/>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c r="A1052" s="1886">
        <v>1052</v>
      </c>
      <c r="B1052" s="5246"/>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c r="A1053" s="1886">
        <v>1053</v>
      </c>
      <c r="B1053" s="5246"/>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c r="A1054" s="1886">
        <v>1054</v>
      </c>
      <c r="B1054" s="5246"/>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c r="A1055" s="1886">
        <v>1055</v>
      </c>
      <c r="B1055" s="5246"/>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c r="A1056" s="1886">
        <v>1056</v>
      </c>
      <c r="B1056" s="5246"/>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c r="A1057" s="1886">
        <v>1057</v>
      </c>
      <c r="B1057" s="5246"/>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c r="A1058" s="1886">
        <v>1058</v>
      </c>
      <c r="B1058" s="5246"/>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c r="A1059" s="1886">
        <v>1059</v>
      </c>
      <c r="B1059" s="5246"/>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c r="A1060" s="1886">
        <v>1060</v>
      </c>
      <c r="B1060" s="5246"/>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c r="A1061" s="1886">
        <v>1061</v>
      </c>
      <c r="B1061" s="5246"/>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c r="A1062" s="1886">
        <v>1062</v>
      </c>
      <c r="B1062" s="5246"/>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c r="A1063" s="1886">
        <v>1063</v>
      </c>
      <c r="B1063" s="5246"/>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c r="A1064" s="1886">
        <v>1064</v>
      </c>
      <c r="B1064" s="5246"/>
      <c r="N1064" s="361"/>
      <c r="O1064" s="1969"/>
      <c r="Y1064" s="1639" t="str">
        <f t="shared" si="128"/>
        <v>Byakko: La garra del rey de las bestias</v>
      </c>
      <c r="Z1064" s="2240">
        <f t="shared" si="129"/>
        <v>33</v>
      </c>
      <c r="AA1064" s="3088" t="s">
        <v>967</v>
      </c>
      <c r="AB1064" s="253">
        <v>180</v>
      </c>
      <c r="AC1064" s="293">
        <v>200</v>
      </c>
    </row>
    <row r="1065" spans="1:29" ht="12.75" customHeight="1">
      <c r="A1065" s="1886">
        <v>1065</v>
      </c>
      <c r="B1065" s="5246"/>
      <c r="C1065" s="5283" t="s">
        <v>80</v>
      </c>
      <c r="D1065" s="5284"/>
      <c r="E1065" s="5284"/>
      <c r="F1065" s="5284"/>
      <c r="G1065" s="5284"/>
      <c r="H1065" s="5284"/>
      <c r="I1065" s="5284"/>
      <c r="J1065" s="5285"/>
      <c r="K1065" s="5297" t="s">
        <v>8535</v>
      </c>
      <c r="M1065" s="3248" t="s">
        <v>8536</v>
      </c>
      <c r="N1065" s="3249"/>
      <c r="O1065" s="3249"/>
      <c r="P1065" s="3249"/>
      <c r="Q1065" s="3249"/>
      <c r="R1065" s="3249"/>
      <c r="S1065" s="3249"/>
      <c r="T1065" s="3249"/>
      <c r="U1065" s="3249"/>
      <c r="V1065" s="3249"/>
      <c r="W1065" s="3250"/>
      <c r="Y1065" s="1639" t="str">
        <f t="shared" si="128"/>
        <v>Byakko: Protección</v>
      </c>
      <c r="Z1065" s="2240">
        <f t="shared" si="129"/>
        <v>35</v>
      </c>
      <c r="AA1065" s="3088" t="s">
        <v>968</v>
      </c>
      <c r="AB1065" s="253">
        <v>140</v>
      </c>
      <c r="AC1065" s="293">
        <v>120</v>
      </c>
    </row>
    <row r="1066" spans="1:29" ht="12.75" customHeight="1" thickBot="1">
      <c r="A1066" s="1886">
        <v>1066</v>
      </c>
      <c r="B1066" s="5246"/>
      <c r="C1066" s="5421" t="s">
        <v>8537</v>
      </c>
      <c r="D1066" s="5422"/>
      <c r="E1066" s="5422"/>
      <c r="F1066" s="5422"/>
      <c r="G1066" s="5422"/>
      <c r="H1066" s="5422"/>
      <c r="I1066" s="5422"/>
      <c r="J1066" s="5423"/>
      <c r="K1066" s="5297"/>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c r="A1067" s="1886">
        <v>1067</v>
      </c>
      <c r="B1067" s="5246"/>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8"/>
        <v>Caronte, Titiritero de Almas</v>
      </c>
      <c r="Z1067" s="2240">
        <f t="shared" si="129"/>
        <v>36</v>
      </c>
      <c r="AA1067" s="3088" t="s">
        <v>970</v>
      </c>
      <c r="AB1067" s="253">
        <v>240</v>
      </c>
      <c r="AC1067" s="293">
        <v>400</v>
      </c>
    </row>
    <row r="1068" spans="1:29" ht="12.75" customHeight="1">
      <c r="A1068" s="1886">
        <v>1068</v>
      </c>
      <c r="B1068" s="5246"/>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c r="A1069" s="1886">
        <v>1069</v>
      </c>
      <c r="B1069" s="5246"/>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c r="A1070" s="1886">
        <v>1070</v>
      </c>
      <c r="B1070" s="5246"/>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c r="A1071" s="1886">
        <v>1071</v>
      </c>
      <c r="B1071" s="5246"/>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c r="A1072" s="1886">
        <v>1072</v>
      </c>
      <c r="B1072" s="5246"/>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c r="A1073" s="1886">
        <v>1073</v>
      </c>
      <c r="B1073" s="5246"/>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8"/>
        <v>Eir: El ojo de la muerte</v>
      </c>
      <c r="Z1073" s="2240">
        <f t="shared" si="129"/>
        <v>39</v>
      </c>
      <c r="AA1073" s="3088" t="s">
        <v>976</v>
      </c>
      <c r="AB1073" s="253">
        <v>240</v>
      </c>
      <c r="AC1073" s="293">
        <v>400</v>
      </c>
    </row>
    <row r="1074" spans="1:29" ht="12.75" customHeight="1">
      <c r="A1074" s="1886">
        <v>1074</v>
      </c>
      <c r="B1074" s="5246"/>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c r="A1075" s="1886">
        <v>1075</v>
      </c>
      <c r="B1075" s="5246"/>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c r="A1076" s="1886">
        <v>1076</v>
      </c>
      <c r="B1076" s="5246"/>
      <c r="C1076" s="499" t="s">
        <v>90</v>
      </c>
      <c r="D1076" s="498" t="s">
        <v>2019</v>
      </c>
      <c r="E1076" s="498" t="s">
        <v>2031</v>
      </c>
      <c r="F1076" s="498" t="s">
        <v>1929</v>
      </c>
      <c r="G1076" s="498" t="s">
        <v>1922</v>
      </c>
      <c r="H1076" s="498" t="s">
        <v>2024</v>
      </c>
      <c r="I1076" s="442"/>
      <c r="J1076" s="389"/>
      <c r="K1076" s="1967" t="str">
        <f t="shared" si="130"/>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8"/>
        <v>Ethelthryth, Señora de los Nombres</v>
      </c>
      <c r="Z1076" s="2240">
        <f t="shared" si="129"/>
        <v>20</v>
      </c>
      <c r="AA1076" s="3088" t="s">
        <v>979</v>
      </c>
      <c r="AB1076" s="253">
        <v>240</v>
      </c>
      <c r="AC1076" s="293">
        <v>350</v>
      </c>
    </row>
    <row r="1077" spans="1:29" ht="12.75" customHeight="1">
      <c r="A1077" s="1886">
        <v>1077</v>
      </c>
      <c r="B1077" s="5246"/>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c r="A1078" s="1886">
        <v>1078</v>
      </c>
      <c r="B1078" s="5246"/>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c r="A1079" s="1886">
        <v>1079</v>
      </c>
      <c r="B1079" s="5246"/>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c r="A1080" s="1886">
        <v>1080</v>
      </c>
      <c r="B1080" s="5246"/>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c r="A1081" s="1886">
        <v>1081</v>
      </c>
      <c r="B1081" s="5246"/>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c r="A1082" s="1886">
        <v>1082</v>
      </c>
      <c r="B1082" s="5246"/>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c r="A1083" s="1886">
        <v>1083</v>
      </c>
      <c r="B1083" s="5246"/>
      <c r="Y1083" s="1639" t="str">
        <f t="shared" si="128"/>
        <v>Garuda, Alas de Fuego</v>
      </c>
      <c r="Z1083" s="2240">
        <f t="shared" si="129"/>
        <v>10</v>
      </c>
      <c r="AA1083" s="3088" t="s">
        <v>986</v>
      </c>
      <c r="AB1083" s="253">
        <v>340</v>
      </c>
      <c r="AC1083" s="293">
        <v>700</v>
      </c>
    </row>
    <row r="1084" spans="1:29" ht="12.75" customHeight="1">
      <c r="A1084" s="1886">
        <v>1084</v>
      </c>
      <c r="B1084" s="5246"/>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c r="A1085" s="1886">
        <v>1085</v>
      </c>
      <c r="B1085" s="5246"/>
      <c r="N1085" s="2344"/>
      <c r="O1085" s="1969"/>
      <c r="Y1085" s="1639" t="str">
        <f t="shared" si="128"/>
        <v>Genbu: Amo de las entrañas de la tierra</v>
      </c>
      <c r="Z1085" s="2240">
        <f t="shared" si="129"/>
        <v>40</v>
      </c>
      <c r="AA1085" s="3088" t="s">
        <v>988</v>
      </c>
      <c r="AB1085" s="253">
        <v>200</v>
      </c>
      <c r="AC1085" s="293">
        <v>350</v>
      </c>
    </row>
    <row r="1086" spans="1:29" ht="12.75" customHeight="1">
      <c r="A1086" s="1886">
        <v>1086</v>
      </c>
      <c r="B1086" s="5246"/>
      <c r="Y1086" s="1639" t="str">
        <f t="shared" si="128"/>
        <v>Genbu: Clarividencia</v>
      </c>
      <c r="Z1086" s="2240">
        <f t="shared" si="129"/>
        <v>41</v>
      </c>
      <c r="AA1086" s="3088" t="s">
        <v>989</v>
      </c>
      <c r="AB1086" s="253">
        <v>360</v>
      </c>
      <c r="AC1086" s="293">
        <v>650</v>
      </c>
    </row>
    <row r="1087" spans="1:29" ht="12.75" customHeight="1">
      <c r="A1087" s="1886">
        <v>1087</v>
      </c>
      <c r="B1087" s="5246"/>
      <c r="Y1087" s="1639" t="str">
        <f t="shared" si="128"/>
        <v>Genbu: El escudo definitivo</v>
      </c>
      <c r="Z1087" s="2240">
        <f t="shared" si="129"/>
        <v>22</v>
      </c>
      <c r="AA1087" s="3088" t="s">
        <v>990</v>
      </c>
      <c r="AB1087" s="253">
        <v>320</v>
      </c>
      <c r="AC1087" s="293">
        <v>600</v>
      </c>
    </row>
    <row r="1088" spans="1:29" ht="12.75" customHeight="1" thickBot="1">
      <c r="A1088" s="1886">
        <v>1088</v>
      </c>
      <c r="B1088" s="5246"/>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c r="A1089" s="1886">
        <v>1089</v>
      </c>
      <c r="B1089" s="5246"/>
      <c r="C1089" s="5429" t="s">
        <v>30</v>
      </c>
      <c r="D1089" s="5429"/>
      <c r="E1089" s="5429"/>
      <c r="F1089" s="5429"/>
      <c r="G1089" s="5429"/>
      <c r="H1089" s="5429"/>
      <c r="I1089" s="5429"/>
      <c r="J1089" s="5429"/>
      <c r="K1089" s="5429"/>
      <c r="L1089" s="5429"/>
      <c r="M1089" s="5429"/>
      <c r="N1089" s="5429"/>
      <c r="O1089" s="5429"/>
      <c r="P1089" s="5429"/>
      <c r="Q1089" s="5429"/>
      <c r="R1089" s="5429"/>
      <c r="S1089" s="5429"/>
      <c r="T1089" s="5429"/>
      <c r="U1089" s="5429"/>
      <c r="V1089" s="5429"/>
      <c r="W1089" s="5429"/>
      <c r="Y1089" s="1639" t="str">
        <f t="shared" si="128"/>
        <v>Hermod, el Mensajero de los Dioses</v>
      </c>
      <c r="Z1089" s="2240">
        <f t="shared" si="129"/>
        <v>24</v>
      </c>
      <c r="AA1089" s="3088" t="s">
        <v>992</v>
      </c>
      <c r="AB1089" s="253">
        <v>340</v>
      </c>
      <c r="AC1089" s="293">
        <v>700</v>
      </c>
    </row>
    <row r="1090" spans="1:29" ht="12.75" customHeight="1">
      <c r="A1090" s="1886">
        <v>1090</v>
      </c>
      <c r="B1090" s="5246"/>
      <c r="C1090" s="5429"/>
      <c r="D1090" s="5429"/>
      <c r="E1090" s="5429"/>
      <c r="F1090" s="5429"/>
      <c r="G1090" s="5429"/>
      <c r="H1090" s="5429"/>
      <c r="I1090" s="5429"/>
      <c r="J1090" s="5429"/>
      <c r="K1090" s="5429"/>
      <c r="L1090" s="5429"/>
      <c r="M1090" s="5429"/>
      <c r="N1090" s="5429"/>
      <c r="O1090" s="5429"/>
      <c r="P1090" s="5429"/>
      <c r="Q1090" s="5429"/>
      <c r="R1090" s="5429"/>
      <c r="S1090" s="5429"/>
      <c r="T1090" s="5429"/>
      <c r="U1090" s="5429"/>
      <c r="V1090" s="5429"/>
      <c r="W1090" s="5429"/>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c r="A1091" s="1886">
        <v>1091</v>
      </c>
      <c r="B1091" s="5246"/>
      <c r="C1091" s="5412" t="s">
        <v>31</v>
      </c>
      <c r="D1091" s="5412"/>
      <c r="E1091" s="396" t="s">
        <v>1801</v>
      </c>
      <c r="F1091" s="396" t="s">
        <v>2171</v>
      </c>
      <c r="G1091" s="492" t="s">
        <v>1861</v>
      </c>
      <c r="H1091" s="493"/>
      <c r="I1091" s="1700"/>
      <c r="J1091" s="5355" t="s">
        <v>1509</v>
      </c>
      <c r="K1091" s="5355"/>
      <c r="L1091" s="5355"/>
      <c r="M1091" s="5355"/>
      <c r="N1091" s="5355"/>
      <c r="O1091" s="5355"/>
      <c r="P1091" s="5355"/>
      <c r="Q1091" s="5355"/>
      <c r="R1091" s="5411" t="s">
        <v>1297</v>
      </c>
      <c r="S1091" s="5411"/>
      <c r="T1091" s="5411"/>
      <c r="U1091" s="5411"/>
      <c r="V1091" s="5411"/>
      <c r="W1091" s="5411"/>
      <c r="Y1091" s="1639" t="str">
        <f t="shared" si="131"/>
        <v>Huginn y Muninn: Ojo del mundo</v>
      </c>
      <c r="Z1091" s="2240">
        <f t="shared" si="132"/>
        <v>12</v>
      </c>
      <c r="AA1091" s="3088" t="s">
        <v>994</v>
      </c>
      <c r="AB1091" s="253">
        <v>280</v>
      </c>
      <c r="AC1091" s="293">
        <v>400</v>
      </c>
    </row>
    <row r="1092" spans="1:29" ht="12.75" customHeight="1">
      <c r="A1092" s="1886">
        <v>1092</v>
      </c>
      <c r="B1092" s="5246"/>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c r="A1093" s="1886">
        <v>1093</v>
      </c>
      <c r="B1093" s="5246"/>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c r="A1094" s="1886">
        <v>1094</v>
      </c>
      <c r="B1094" s="5246"/>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c r="A1095" s="1886">
        <v>1095</v>
      </c>
      <c r="B1095" s="5246"/>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c r="A1096" s="1886">
        <v>1096</v>
      </c>
      <c r="B1096" s="5246"/>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c r="A1097" s="1886">
        <v>1097</v>
      </c>
      <c r="B1097" s="5246"/>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c r="A1098" s="1886">
        <v>1098</v>
      </c>
      <c r="B1098" s="5246"/>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c r="A1099" s="1886">
        <v>1099</v>
      </c>
      <c r="B1099" s="5246"/>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c r="A1100" s="1886">
        <v>1100</v>
      </c>
      <c r="B1100" s="5246"/>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c r="A1101" s="1886">
        <v>1101</v>
      </c>
      <c r="B1101" s="5246"/>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c r="A1102" s="1886">
        <v>1102</v>
      </c>
      <c r="B1102" s="5246"/>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c r="A1103" s="1886">
        <v>1103</v>
      </c>
      <c r="B1103" s="5246"/>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c r="A1104" s="1886">
        <v>1104</v>
      </c>
      <c r="B1104" s="5246"/>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c r="A1105" s="1886">
        <v>1105</v>
      </c>
      <c r="B1105" s="5246"/>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c r="A1106" s="1886">
        <v>1106</v>
      </c>
      <c r="B1106" s="5246"/>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c r="A1107" s="1886">
        <v>1107</v>
      </c>
      <c r="B1107" s="5246"/>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c r="A1108" s="1886">
        <v>1108</v>
      </c>
      <c r="B1108" s="5246"/>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c r="A1109" s="1886">
        <v>1109</v>
      </c>
      <c r="B1109" s="5246"/>
      <c r="C1109" s="3377" t="s">
        <v>2114</v>
      </c>
      <c r="D1109" s="3378"/>
      <c r="E1109" s="3378"/>
      <c r="F1109" s="3378"/>
      <c r="G1109" s="3378"/>
      <c r="H1109" s="3378"/>
      <c r="I1109" s="3378"/>
      <c r="J1109" s="3378"/>
      <c r="K1109" s="3378"/>
      <c r="L1109" s="3378"/>
      <c r="M1109" s="3378"/>
      <c r="N1109" s="3379"/>
      <c r="P1109" s="3281" t="s">
        <v>98</v>
      </c>
      <c r="Q1109" s="3281"/>
      <c r="R1109" s="3281"/>
      <c r="S1109" s="3281"/>
      <c r="T1109" s="3281"/>
      <c r="U1109" s="3281"/>
      <c r="V1109" s="3281"/>
      <c r="W1109" s="3281"/>
      <c r="Y1109" s="1639" t="str">
        <f t="shared" si="131"/>
        <v>Rudraskha: Void nova</v>
      </c>
      <c r="Z1109" s="2240">
        <f t="shared" si="132"/>
        <v>30</v>
      </c>
      <c r="AA1109" s="3088" t="s">
        <v>1012</v>
      </c>
      <c r="AB1109" s="253">
        <v>280</v>
      </c>
      <c r="AC1109" s="293">
        <v>500</v>
      </c>
    </row>
    <row r="1110" spans="1:29" ht="12.75" customHeight="1" thickBot="1">
      <c r="A1110" s="1886">
        <v>1110</v>
      </c>
      <c r="B1110" s="5246"/>
      <c r="C1110" s="5271"/>
      <c r="D1110" s="5272"/>
      <c r="E1110" s="5272"/>
      <c r="F1110" s="5272"/>
      <c r="G1110" s="5272"/>
      <c r="H1110" s="5272"/>
      <c r="I1110" s="5272"/>
      <c r="J1110" s="5272"/>
      <c r="K1110" s="5272"/>
      <c r="L1110" s="5272"/>
      <c r="M1110" s="5272"/>
      <c r="N1110" s="5273"/>
      <c r="P1110" s="3281"/>
      <c r="Q1110" s="3281"/>
      <c r="R1110" s="3281"/>
      <c r="S1110" s="3281"/>
      <c r="T1110" s="3281"/>
      <c r="U1110" s="3281"/>
      <c r="V1110" s="3281"/>
      <c r="W1110" s="3281"/>
      <c r="Y1110" s="1639" t="str">
        <f t="shared" si="131"/>
        <v>Seiryu, el Dragón Celeste</v>
      </c>
      <c r="Z1110" s="2240">
        <f t="shared" si="132"/>
        <v>31</v>
      </c>
      <c r="AA1110" s="3088" t="s">
        <v>1013</v>
      </c>
      <c r="AB1110" s="253">
        <v>340</v>
      </c>
      <c r="AC1110" s="293">
        <v>660</v>
      </c>
    </row>
    <row r="1111" spans="1:29" ht="12.75" customHeight="1">
      <c r="A1111" s="1886">
        <v>1111</v>
      </c>
      <c r="B1111" s="5246"/>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c r="A1112" s="1886">
        <v>1112</v>
      </c>
      <c r="B1112" s="5246"/>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c r="A1113" s="1886">
        <v>1113</v>
      </c>
      <c r="B1113" s="5246"/>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c r="A1114" s="1886">
        <v>1114</v>
      </c>
      <c r="B1114" s="5246"/>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c r="A1115" s="1886">
        <v>1115</v>
      </c>
      <c r="B1115" s="5246"/>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c r="A1116" s="1886">
        <v>1116</v>
      </c>
      <c r="B1116" s="5246"/>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c r="A1117" s="1886">
        <v>1117</v>
      </c>
      <c r="B1117" s="5246"/>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c r="A1118" s="1886">
        <v>1118</v>
      </c>
      <c r="B1118" s="5246"/>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c r="A1119" s="1886">
        <v>1119</v>
      </c>
      <c r="B1119" s="5246"/>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c r="A1120" s="1886">
        <v>1120</v>
      </c>
      <c r="B1120" s="5246"/>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c r="A1121" s="1886">
        <v>1121</v>
      </c>
      <c r="B1121" s="5246"/>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c r="A1122" s="1886">
        <v>1122</v>
      </c>
      <c r="B1122" s="5246"/>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c r="A1123" s="1886">
        <v>1123</v>
      </c>
      <c r="B1123" s="5246"/>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c r="A1124" s="1886">
        <v>1124</v>
      </c>
      <c r="B1124" s="5246"/>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c r="A1125" s="1886">
        <v>1125</v>
      </c>
      <c r="B1125" s="5246"/>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c r="A1126" s="1886">
        <v>1126</v>
      </c>
      <c r="B1126" s="5246"/>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c r="A1127" s="1886">
        <v>1127</v>
      </c>
      <c r="B1127" s="5246"/>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c r="A1128" s="1886">
        <v>1128</v>
      </c>
      <c r="B1128" s="5246"/>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c r="A1129" s="1886">
        <v>1129</v>
      </c>
      <c r="B1129" s="5246"/>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c r="A1130" s="1886">
        <v>1130</v>
      </c>
      <c r="B1130" s="5246"/>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c r="A1131" s="1886">
        <v>1131</v>
      </c>
      <c r="B1131" s="5246"/>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c r="A1132" s="1886">
        <v>1132</v>
      </c>
      <c r="B1132" s="5246"/>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c r="A1133" s="1886">
        <v>1133</v>
      </c>
      <c r="B1133" s="5246"/>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c r="A1134" s="1886">
        <v>1134</v>
      </c>
      <c r="B1134" s="5246"/>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c r="A1135" s="1886">
        <v>1135</v>
      </c>
      <c r="B1135" s="5246"/>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c r="A1136" s="1886">
        <v>1136</v>
      </c>
      <c r="B1136" s="5246"/>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c r="A1137" s="1886">
        <v>1137</v>
      </c>
      <c r="B1137" s="5246"/>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c r="A1138" s="1886">
        <v>1138</v>
      </c>
      <c r="B1138" s="5246"/>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c r="A1139" s="1886">
        <v>1139</v>
      </c>
      <c r="B1139" s="5246"/>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c r="A1140" s="1886">
        <v>1140</v>
      </c>
      <c r="B1140" s="5246"/>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c r="A1141" s="1886">
        <v>1141</v>
      </c>
      <c r="B1141" s="5246"/>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c r="A1142" s="1886">
        <v>1142</v>
      </c>
      <c r="B1142" s="5246"/>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c r="A1143" s="1886">
        <v>1143</v>
      </c>
      <c r="B1143" s="5246"/>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c r="A1144" s="1886">
        <v>1144</v>
      </c>
      <c r="B1144" s="5246"/>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c r="A1145" s="1886">
        <v>1145</v>
      </c>
      <c r="B1145" s="5246"/>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c r="A1146" s="1886">
        <v>1146</v>
      </c>
      <c r="B1146" s="5246"/>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c r="A1147" s="1886">
        <v>1147</v>
      </c>
      <c r="B1147" s="5246"/>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c r="A1148" s="1886">
        <v>1148</v>
      </c>
      <c r="B1148" s="5246"/>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c r="A1149" s="1886">
        <v>1149</v>
      </c>
      <c r="B1149" s="5246"/>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c r="A1150" s="1886">
        <v>1150</v>
      </c>
      <c r="B1150" s="5246"/>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c r="A1151" s="1886">
        <v>1151</v>
      </c>
      <c r="B1151" s="5246"/>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c r="A1152" s="1886">
        <v>1152</v>
      </c>
      <c r="B1152" s="5246"/>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c r="A1153" s="1886">
        <v>1153</v>
      </c>
      <c r="B1153" s="5246"/>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c r="A1154" s="1886">
        <v>1154</v>
      </c>
      <c r="B1154" s="5246"/>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c r="A1155" s="1886">
        <v>1155</v>
      </c>
      <c r="B1155" s="5246"/>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c r="A1156" s="1886">
        <v>1156</v>
      </c>
      <c r="B1156" s="5246"/>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c r="A1157" s="1886">
        <v>1157</v>
      </c>
      <c r="B1157" s="5246"/>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c r="A1158" s="1886">
        <v>1158</v>
      </c>
      <c r="B1158" s="5246"/>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c r="A1159" s="1886">
        <v>1159</v>
      </c>
      <c r="B1159" s="5246"/>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c r="A1160" s="1886">
        <v>1160</v>
      </c>
      <c r="B1160" s="5246"/>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c r="A1161" s="1886">
        <v>1161</v>
      </c>
      <c r="B1161" s="5246"/>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c r="A1162" s="1886">
        <v>1162</v>
      </c>
      <c r="B1162" s="5246"/>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c r="A1163" s="1886">
        <v>1163</v>
      </c>
      <c r="B1163" s="5246"/>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c r="A1164" s="1886">
        <v>1164</v>
      </c>
      <c r="B1164" s="5246"/>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c r="A1165" s="1886">
        <v>1165</v>
      </c>
      <c r="B1165" s="5246"/>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c r="A1166" s="1886">
        <v>1166</v>
      </c>
      <c r="B1166" s="5246"/>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c r="A1167" s="1886">
        <v>1167</v>
      </c>
      <c r="B1167" s="5246"/>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c r="A1168" s="1886">
        <v>1168</v>
      </c>
      <c r="B1168" s="5246"/>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c r="A1169" s="1886">
        <v>1169</v>
      </c>
      <c r="B1169" s="5246"/>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c r="A1170" s="1886">
        <v>1170</v>
      </c>
      <c r="B1170" s="5246"/>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c r="A1171" s="1886">
        <v>1171</v>
      </c>
      <c r="B1171" s="5246"/>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c r="A1172" s="1886">
        <v>1172</v>
      </c>
      <c r="B1172" s="5246"/>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c r="A1173" s="1886">
        <v>1173</v>
      </c>
      <c r="B1173" s="5246"/>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c r="A1174" s="1886">
        <v>1174</v>
      </c>
      <c r="B1174" s="5246"/>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c r="A1175" s="1886">
        <v>1175</v>
      </c>
      <c r="B1175" s="5246"/>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c r="A1176" s="1886">
        <v>1176</v>
      </c>
      <c r="B1176" s="5246"/>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c r="A1177" s="1886">
        <v>1177</v>
      </c>
      <c r="B1177" s="5246"/>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c r="A1178" s="1886">
        <v>1178</v>
      </c>
      <c r="B1178" s="5246"/>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c r="A1179" s="1886">
        <v>1179</v>
      </c>
      <c r="B1179" s="5246"/>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c r="A1180" s="1886">
        <v>1180</v>
      </c>
      <c r="B1180" s="5246"/>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c r="A1181" s="1886">
        <v>1181</v>
      </c>
      <c r="B1181" s="5246"/>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c r="A1182" s="1886">
        <v>1182</v>
      </c>
      <c r="B1182" s="5246"/>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c r="A1183" s="1886">
        <v>1183</v>
      </c>
      <c r="B1183" s="5246"/>
      <c r="C1183" s="2838"/>
      <c r="D1183" s="2838"/>
      <c r="E1183" s="2838"/>
      <c r="F1183" s="2838"/>
      <c r="G1183" s="2838"/>
      <c r="H1183" s="361"/>
      <c r="I1183" s="419"/>
      <c r="J1183" s="419"/>
      <c r="K1183" s="419"/>
      <c r="L1183" s="511"/>
      <c r="M1183" s="509"/>
      <c r="N1183" s="361"/>
    </row>
    <row r="1184" spans="1:79" ht="12.75" customHeight="1">
      <c r="A1184" s="1886">
        <v>1184</v>
      </c>
      <c r="B1184" s="5250"/>
      <c r="C1184" s="5241" t="s">
        <v>8935</v>
      </c>
      <c r="D1184" s="5241"/>
      <c r="E1184" s="5241"/>
      <c r="F1184" s="5241"/>
      <c r="G1184" s="5241"/>
      <c r="H1184" s="5241"/>
      <c r="I1184" s="5241"/>
      <c r="J1184" s="5241"/>
      <c r="K1184" s="5241"/>
      <c r="L1184" s="5241"/>
      <c r="M1184" s="5241"/>
      <c r="N1184" s="5241"/>
      <c r="O1184" s="5241"/>
      <c r="P1184" s="5241"/>
      <c r="Q1184" s="5241"/>
      <c r="R1184" s="5241"/>
      <c r="S1184" s="5241"/>
      <c r="T1184" s="5241"/>
      <c r="U1184" s="5241"/>
      <c r="V1184" s="5241"/>
      <c r="W1184" s="5241"/>
      <c r="X1184" s="5241"/>
      <c r="Y1184" s="5241"/>
      <c r="Z1184" s="5241"/>
      <c r="AA1184" s="5241"/>
      <c r="AB1184" s="5241"/>
      <c r="AC1184" s="5241"/>
      <c r="AD1184" s="5241"/>
      <c r="AE1184" s="5241"/>
      <c r="AF1184" s="5241"/>
      <c r="AG1184" s="5241"/>
      <c r="AH1184" s="5241"/>
      <c r="AI1184" s="5241"/>
      <c r="AJ1184" s="5241"/>
      <c r="AK1184" s="5241"/>
      <c r="AL1184" s="5241"/>
      <c r="AM1184" s="5241"/>
      <c r="AN1184" s="5241"/>
      <c r="AO1184" s="5241"/>
      <c r="AP1184" s="5241"/>
      <c r="AQ1184" s="5241"/>
      <c r="AR1184" s="5241"/>
      <c r="AS1184" s="5241"/>
      <c r="AT1184" s="5241"/>
      <c r="AU1184" s="5241"/>
      <c r="AV1184" s="5241"/>
      <c r="AW1184" s="5241"/>
      <c r="AX1184" s="5241"/>
      <c r="AY1184" s="5241"/>
      <c r="AZ1184" s="5241"/>
      <c r="BA1184" s="5241"/>
      <c r="BB1184" s="5241"/>
      <c r="BC1184" s="5241"/>
      <c r="BD1184" s="5241"/>
      <c r="BE1184" s="5241"/>
      <c r="BF1184" s="5241"/>
      <c r="BG1184" s="5241"/>
      <c r="BH1184" s="5241"/>
      <c r="BI1184" s="5241"/>
      <c r="BJ1184" s="5241"/>
      <c r="BK1184" s="5241"/>
      <c r="BL1184" s="5241"/>
      <c r="BM1184" s="5241"/>
      <c r="BN1184" s="5241"/>
      <c r="BO1184" s="5241"/>
      <c r="BP1184" s="5241"/>
      <c r="BQ1184" s="5241"/>
      <c r="BR1184" s="5241"/>
      <c r="BS1184" s="5241"/>
      <c r="BT1184" s="5241"/>
      <c r="BU1184" s="5241"/>
      <c r="BV1184" s="5241"/>
      <c r="BW1184" s="5241"/>
      <c r="BX1184" s="5241"/>
      <c r="BY1184" s="5241"/>
      <c r="BZ1184" s="5241"/>
      <c r="CA1184" s="5241"/>
    </row>
    <row r="1185" spans="1:79" ht="12.75" customHeight="1">
      <c r="A1185" s="1886">
        <v>1185</v>
      </c>
      <c r="B1185" s="5250"/>
      <c r="C1185" s="5241"/>
      <c r="D1185" s="5241"/>
      <c r="E1185" s="5241"/>
      <c r="F1185" s="5241"/>
      <c r="G1185" s="5241"/>
      <c r="H1185" s="5241"/>
      <c r="I1185" s="5241"/>
      <c r="J1185" s="5241"/>
      <c r="K1185" s="5241"/>
      <c r="L1185" s="5241"/>
      <c r="M1185" s="5241"/>
      <c r="N1185" s="5241"/>
      <c r="O1185" s="5241"/>
      <c r="P1185" s="5241"/>
      <c r="Q1185" s="5241"/>
      <c r="R1185" s="5241"/>
      <c r="S1185" s="5241"/>
      <c r="T1185" s="5241"/>
      <c r="U1185" s="5241"/>
      <c r="V1185" s="5241"/>
      <c r="W1185" s="5241"/>
      <c r="X1185" s="5241"/>
      <c r="Y1185" s="5241"/>
      <c r="Z1185" s="5241"/>
      <c r="AA1185" s="5241"/>
      <c r="AB1185" s="5241"/>
      <c r="AC1185" s="5241"/>
      <c r="AD1185" s="5241"/>
      <c r="AE1185" s="5241"/>
      <c r="AF1185" s="5241"/>
      <c r="AG1185" s="5241"/>
      <c r="AH1185" s="5241"/>
      <c r="AI1185" s="5241"/>
      <c r="AJ1185" s="5241"/>
      <c r="AK1185" s="5241"/>
      <c r="AL1185" s="5241"/>
      <c r="AM1185" s="5241"/>
      <c r="AN1185" s="5241"/>
      <c r="AO1185" s="5241"/>
      <c r="AP1185" s="5241"/>
      <c r="AQ1185" s="5241"/>
      <c r="AR1185" s="5241"/>
      <c r="AS1185" s="5241"/>
      <c r="AT1185" s="5241"/>
      <c r="AU1185" s="5241"/>
      <c r="AV1185" s="5241"/>
      <c r="AW1185" s="5241"/>
      <c r="AX1185" s="5241"/>
      <c r="AY1185" s="5241"/>
      <c r="AZ1185" s="5241"/>
      <c r="BA1185" s="5241"/>
      <c r="BB1185" s="5241"/>
      <c r="BC1185" s="5241"/>
      <c r="BD1185" s="5241"/>
      <c r="BE1185" s="5241"/>
      <c r="BF1185" s="5241"/>
      <c r="BG1185" s="5241"/>
      <c r="BH1185" s="5241"/>
      <c r="BI1185" s="5241"/>
      <c r="BJ1185" s="5241"/>
      <c r="BK1185" s="5241"/>
      <c r="BL1185" s="5241"/>
      <c r="BM1185" s="5241"/>
      <c r="BN1185" s="5241"/>
      <c r="BO1185" s="5241"/>
      <c r="BP1185" s="5241"/>
      <c r="BQ1185" s="5241"/>
      <c r="BR1185" s="5241"/>
      <c r="BS1185" s="5241"/>
      <c r="BT1185" s="5241"/>
      <c r="BU1185" s="5241"/>
      <c r="BV1185" s="5241"/>
      <c r="BW1185" s="5241"/>
      <c r="BX1185" s="5241"/>
      <c r="BY1185" s="5241"/>
      <c r="BZ1185" s="5241"/>
      <c r="CA1185" s="5241"/>
    </row>
    <row r="1186" spans="1:79" ht="12.75" customHeight="1">
      <c r="A1186" s="1886">
        <v>1186</v>
      </c>
      <c r="B1186" s="5250"/>
      <c r="C1186" s="5241"/>
      <c r="D1186" s="5241"/>
      <c r="E1186" s="5241"/>
      <c r="F1186" s="5241"/>
      <c r="G1186" s="5241"/>
      <c r="H1186" s="5241"/>
      <c r="I1186" s="5241"/>
      <c r="J1186" s="5241"/>
      <c r="K1186" s="5241"/>
      <c r="L1186" s="5241"/>
      <c r="M1186" s="5241"/>
      <c r="N1186" s="5241"/>
      <c r="O1186" s="5241"/>
      <c r="P1186" s="5241"/>
      <c r="Q1186" s="5241"/>
      <c r="R1186" s="5241"/>
      <c r="S1186" s="5241"/>
      <c r="T1186" s="5241"/>
      <c r="U1186" s="5241"/>
      <c r="V1186" s="5241"/>
      <c r="W1186" s="5241"/>
      <c r="X1186" s="5241"/>
      <c r="Y1186" s="5241"/>
      <c r="Z1186" s="5241"/>
      <c r="AA1186" s="5241"/>
      <c r="AB1186" s="5241"/>
      <c r="AC1186" s="5241"/>
      <c r="AD1186" s="5241"/>
      <c r="AE1186" s="5241"/>
      <c r="AF1186" s="5241"/>
      <c r="AG1186" s="5241"/>
      <c r="AH1186" s="5241"/>
      <c r="AI1186" s="5241"/>
      <c r="AJ1186" s="5241"/>
      <c r="AK1186" s="5241"/>
      <c r="AL1186" s="5241"/>
      <c r="AM1186" s="5241"/>
      <c r="AN1186" s="5241"/>
      <c r="AO1186" s="5241"/>
      <c r="AP1186" s="5241"/>
      <c r="AQ1186" s="5241"/>
      <c r="AR1186" s="5241"/>
      <c r="AS1186" s="5241"/>
      <c r="AT1186" s="5241"/>
      <c r="AU1186" s="5241"/>
      <c r="AV1186" s="5241"/>
      <c r="AW1186" s="5241"/>
      <c r="AX1186" s="5241"/>
      <c r="AY1186" s="5241"/>
      <c r="AZ1186" s="5241"/>
      <c r="BA1186" s="5241"/>
      <c r="BB1186" s="5241"/>
      <c r="BC1186" s="5241"/>
      <c r="BD1186" s="5241"/>
      <c r="BE1186" s="5241"/>
      <c r="BF1186" s="5241"/>
      <c r="BG1186" s="5241"/>
      <c r="BH1186" s="5241"/>
      <c r="BI1186" s="5241"/>
      <c r="BJ1186" s="5241"/>
      <c r="BK1186" s="5241"/>
      <c r="BL1186" s="5241"/>
      <c r="BM1186" s="5241"/>
      <c r="BN1186" s="5241"/>
      <c r="BO1186" s="5241"/>
      <c r="BP1186" s="5241"/>
      <c r="BQ1186" s="5241"/>
      <c r="BR1186" s="5241"/>
      <c r="BS1186" s="5241"/>
      <c r="BT1186" s="5241"/>
      <c r="BU1186" s="5241"/>
      <c r="BV1186" s="5241"/>
      <c r="BW1186" s="5241"/>
      <c r="BX1186" s="5241"/>
      <c r="BY1186" s="5241"/>
      <c r="BZ1186" s="5241"/>
      <c r="CA1186" s="5241"/>
    </row>
    <row r="1187" spans="1:79" ht="12.75" customHeight="1" thickBot="1">
      <c r="A1187" s="1886">
        <v>1187</v>
      </c>
      <c r="B1187" s="5250"/>
      <c r="H1187" s="361"/>
      <c r="I1187" s="1634"/>
      <c r="N1187" s="361"/>
      <c r="O1187" s="1969"/>
    </row>
    <row r="1188" spans="1:79" ht="12.75" customHeight="1">
      <c r="A1188" s="1886">
        <v>1188</v>
      </c>
      <c r="B1188" s="5250"/>
      <c r="C1188" s="5378" t="s">
        <v>1549</v>
      </c>
      <c r="D1188" s="5379"/>
      <c r="E1188" s="5379"/>
      <c r="F1188" s="5379"/>
      <c r="G1188" s="5379"/>
      <c r="H1188" s="5379"/>
      <c r="I1188" s="5379"/>
      <c r="J1188" s="5379"/>
      <c r="K1188" s="5380"/>
      <c r="M1188" s="4341" t="s">
        <v>1749</v>
      </c>
      <c r="N1188" s="4192"/>
      <c r="O1188" s="4192"/>
      <c r="P1188" s="4192"/>
      <c r="Q1188" s="4192"/>
      <c r="R1188" s="4192"/>
      <c r="S1188" s="4192"/>
      <c r="T1188" s="4337"/>
      <c r="V1188" s="5470" t="s">
        <v>1751</v>
      </c>
      <c r="W1188" s="4364"/>
      <c r="X1188" s="5468" t="s">
        <v>8946</v>
      </c>
      <c r="Y1188" s="5473" t="s">
        <v>8951</v>
      </c>
      <c r="Z1188" s="5468"/>
      <c r="AA1188" s="5468"/>
      <c r="AB1188" s="5468"/>
      <c r="AC1188" s="5468"/>
      <c r="AD1188" s="5468"/>
      <c r="AE1188" s="5468"/>
      <c r="AF1188" s="5468"/>
      <c r="AG1188" s="5468"/>
      <c r="AH1188" s="5468"/>
      <c r="AI1188" s="5468"/>
      <c r="AJ1188" s="5468"/>
      <c r="AK1188" s="5468"/>
      <c r="AL1188" s="5468"/>
      <c r="AM1188" s="5468"/>
      <c r="AN1188" s="5468"/>
      <c r="AO1188" s="5468"/>
      <c r="AP1188" s="5468"/>
      <c r="AQ1188" s="5468"/>
      <c r="AR1188" s="5468"/>
      <c r="AS1188" s="5468"/>
      <c r="AT1188" s="5468"/>
      <c r="AU1188" s="5468"/>
      <c r="AV1188" s="5468"/>
      <c r="AW1188" s="5468"/>
      <c r="AX1188" s="5468"/>
      <c r="AY1188" s="5468"/>
      <c r="AZ1188" s="5468"/>
      <c r="BA1188" s="5468"/>
      <c r="BB1188" s="5468"/>
      <c r="BC1188" s="5468"/>
      <c r="BD1188" s="5468"/>
      <c r="BE1188" s="5468"/>
      <c r="BF1188" s="5468"/>
      <c r="BG1188" s="5468"/>
      <c r="BH1188" s="5468"/>
      <c r="BI1188" s="5468"/>
      <c r="BJ1188" s="5468"/>
      <c r="BK1188" s="5468"/>
      <c r="BL1188" s="5468"/>
      <c r="BM1188" s="5468"/>
      <c r="BN1188" s="5468"/>
      <c r="BO1188" s="5468"/>
      <c r="BP1188" s="5468"/>
      <c r="BQ1188" s="5468"/>
      <c r="BR1188" s="5468"/>
      <c r="BS1188" s="5468"/>
      <c r="BT1188" s="5468"/>
      <c r="BU1188" s="5468"/>
      <c r="BV1188" s="5468"/>
      <c r="BW1188" s="5468"/>
      <c r="BX1188" s="5468"/>
      <c r="BY1188" s="5468"/>
      <c r="BZ1188" s="5468"/>
      <c r="CA1188" s="5474"/>
    </row>
    <row r="1189" spans="1:79" ht="12.75" customHeight="1">
      <c r="A1189" s="1886">
        <v>1189</v>
      </c>
      <c r="B1189" s="5250"/>
      <c r="C1189" s="5381"/>
      <c r="D1189" s="5382"/>
      <c r="E1189" s="5382"/>
      <c r="F1189" s="5382"/>
      <c r="G1189" s="5382"/>
      <c r="H1189" s="5382"/>
      <c r="I1189" s="5382"/>
      <c r="J1189" s="5382"/>
      <c r="K1189" s="5383"/>
      <c r="M1189" s="5225"/>
      <c r="N1189" s="5226"/>
      <c r="O1189" s="5226"/>
      <c r="P1189" s="5226"/>
      <c r="Q1189" s="5226"/>
      <c r="R1189" s="5226"/>
      <c r="S1189" s="5226"/>
      <c r="T1189" s="5227"/>
      <c r="V1189" s="5471"/>
      <c r="W1189" s="4199"/>
      <c r="X1189" s="5469"/>
      <c r="Y1189" s="5475"/>
      <c r="Z1189" s="5469"/>
      <c r="AA1189" s="5469"/>
      <c r="AB1189" s="5469"/>
      <c r="AC1189" s="5469"/>
      <c r="AD1189" s="5469"/>
      <c r="AE1189" s="5469"/>
      <c r="AF1189" s="5469"/>
      <c r="AG1189" s="5469"/>
      <c r="AH1189" s="5469"/>
      <c r="AI1189" s="5469"/>
      <c r="AJ1189" s="5469"/>
      <c r="AK1189" s="5469"/>
      <c r="AL1189" s="5469"/>
      <c r="AM1189" s="5469"/>
      <c r="AN1189" s="5469"/>
      <c r="AO1189" s="5469"/>
      <c r="AP1189" s="5469"/>
      <c r="AQ1189" s="5469"/>
      <c r="AR1189" s="5469"/>
      <c r="AS1189" s="5469"/>
      <c r="AT1189" s="5469"/>
      <c r="AU1189" s="5469"/>
      <c r="AV1189" s="5469"/>
      <c r="AW1189" s="5469"/>
      <c r="AX1189" s="5469"/>
      <c r="AY1189" s="5469"/>
      <c r="AZ1189" s="5469"/>
      <c r="BA1189" s="5469"/>
      <c r="BB1189" s="5469"/>
      <c r="BC1189" s="5469"/>
      <c r="BD1189" s="5469"/>
      <c r="BE1189" s="5469"/>
      <c r="BF1189" s="5469"/>
      <c r="BG1189" s="5469"/>
      <c r="BH1189" s="5469"/>
      <c r="BI1189" s="5469"/>
      <c r="BJ1189" s="5469"/>
      <c r="BK1189" s="5469"/>
      <c r="BL1189" s="5469"/>
      <c r="BM1189" s="5469"/>
      <c r="BN1189" s="5469"/>
      <c r="BO1189" s="5469"/>
      <c r="BP1189" s="5469"/>
      <c r="BQ1189" s="5469"/>
      <c r="BR1189" s="5469"/>
      <c r="BS1189" s="5469"/>
      <c r="BT1189" s="5469"/>
      <c r="BU1189" s="5469"/>
      <c r="BV1189" s="5469"/>
      <c r="BW1189" s="5469"/>
      <c r="BX1189" s="5469"/>
      <c r="BY1189" s="5469"/>
      <c r="BZ1189" s="5469"/>
      <c r="CA1189" s="5472"/>
    </row>
    <row r="1190" spans="1:79" ht="12.75" customHeight="1">
      <c r="A1190" s="1886">
        <v>1190</v>
      </c>
      <c r="B1190" s="5250"/>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c r="A1191" s="1886">
        <v>1191</v>
      </c>
      <c r="B1191" s="5250"/>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10" t="s">
        <v>8497</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c r="A1192" s="1886">
        <v>1192</v>
      </c>
      <c r="B1192" s="5250"/>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40">IF(Y1192="","",SUBSTITUTE("PodHab_"&amp;V1192," ",""))</f>
        <v>PodHab_Ataqueadicional</v>
      </c>
      <c r="Y1192" s="3110" t="s">
        <v>9005</v>
      </c>
      <c r="Z1192" s="3116" t="s">
        <v>9006</v>
      </c>
      <c r="AA1192" s="3116" t="s">
        <v>9007</v>
      </c>
      <c r="AB1192" s="3116" t="s">
        <v>9008</v>
      </c>
      <c r="AC1192" s="3116" t="s">
        <v>9009</v>
      </c>
      <c r="AD1192" s="3116" t="s">
        <v>9010</v>
      </c>
      <c r="AE1192" s="3116" t="s">
        <v>8975</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c r="A1193" s="1886">
        <v>1193</v>
      </c>
      <c r="B1193" s="5250"/>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c r="A1194" s="1886">
        <v>1194</v>
      </c>
      <c r="B1194" s="5250"/>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40"/>
        <v>PodHab_Ataqueespecial</v>
      </c>
      <c r="Y1194" s="3110" t="s">
        <v>9011</v>
      </c>
      <c r="Z1194" s="3116" t="s">
        <v>9012</v>
      </c>
      <c r="AA1194" s="3116" t="s">
        <v>9013</v>
      </c>
      <c r="AB1194" s="3116" t="s">
        <v>9014</v>
      </c>
      <c r="AC1194" s="3116" t="s">
        <v>9015</v>
      </c>
      <c r="AD1194" s="3116" t="s">
        <v>9016</v>
      </c>
      <c r="AE1194" s="3116" t="s">
        <v>9017</v>
      </c>
      <c r="AF1194" s="3116" t="s">
        <v>9018</v>
      </c>
      <c r="AG1194" s="3116" t="s">
        <v>9019</v>
      </c>
      <c r="AH1194" s="3116" t="s">
        <v>9020</v>
      </c>
      <c r="AI1194" s="3116" t="s">
        <v>9021</v>
      </c>
      <c r="AJ1194" s="3116" t="s">
        <v>9022</v>
      </c>
      <c r="AK1194" s="3116" t="s">
        <v>9023</v>
      </c>
      <c r="AL1194" s="3116" t="s">
        <v>9024</v>
      </c>
      <c r="AM1194" s="3116" t="s">
        <v>9025</v>
      </c>
      <c r="AN1194" s="3116" t="s">
        <v>9026</v>
      </c>
      <c r="AO1194" s="3116" t="s">
        <v>9027</v>
      </c>
      <c r="AP1194" s="3114" t="s">
        <v>9028</v>
      </c>
      <c r="AQ1194" s="3114" t="s">
        <v>9029</v>
      </c>
      <c r="AR1194" s="3114" t="s">
        <v>9030</v>
      </c>
      <c r="AS1194" s="3114" t="s">
        <v>9031</v>
      </c>
      <c r="AT1194" s="3114" t="s">
        <v>9032</v>
      </c>
      <c r="AU1194" s="3114" t="s">
        <v>9033</v>
      </c>
      <c r="AV1194" s="3114" t="s">
        <v>6997</v>
      </c>
      <c r="AW1194" s="3114" t="s">
        <v>9034</v>
      </c>
      <c r="AX1194" s="3114" t="s">
        <v>9035</v>
      </c>
      <c r="AY1194" s="3114" t="s">
        <v>9036</v>
      </c>
      <c r="AZ1194" s="3114" t="s">
        <v>9037</v>
      </c>
      <c r="BA1194" s="3114" t="s">
        <v>9038</v>
      </c>
      <c r="BB1194" s="3114" t="s">
        <v>9039</v>
      </c>
      <c r="BC1194" s="3114" t="s">
        <v>9040</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c r="A1195" s="1886">
        <v>1195</v>
      </c>
      <c r="B1195" s="5250"/>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c r="A1196" s="1886">
        <v>1196</v>
      </c>
      <c r="B1196" s="5250"/>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40"/>
        <v>PodHab_Ataquevenenoso</v>
      </c>
      <c r="Y1196" s="3110" t="s">
        <v>9041</v>
      </c>
      <c r="Z1196" s="3116" t="s">
        <v>9042</v>
      </c>
      <c r="AA1196" s="3116" t="s">
        <v>9043</v>
      </c>
      <c r="AB1196" s="3116" t="s">
        <v>9044</v>
      </c>
      <c r="AC1196" s="3116" t="s">
        <v>9045</v>
      </c>
      <c r="AD1196" s="3116" t="s">
        <v>9046</v>
      </c>
      <c r="AE1196" s="3116" t="s">
        <v>9047</v>
      </c>
      <c r="AF1196" s="3116" t="s">
        <v>9048</v>
      </c>
      <c r="AG1196" s="3116" t="s">
        <v>9049</v>
      </c>
      <c r="AH1196" s="3116" t="s">
        <v>9050</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c r="A1197" s="1886">
        <v>1197</v>
      </c>
      <c r="B1197" s="5250"/>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40"/>
        <v>PodHab_Críticoincrementado</v>
      </c>
      <c r="Y1197" s="3110" t="s">
        <v>9051</v>
      </c>
      <c r="Z1197" s="3116" t="s">
        <v>9052</v>
      </c>
      <c r="AA1197" s="3116" t="s">
        <v>9053</v>
      </c>
      <c r="AB1197" s="3116" t="s">
        <v>9054</v>
      </c>
      <c r="AC1197" s="3116" t="s">
        <v>9055</v>
      </c>
      <c r="AD1197" s="3116" t="s">
        <v>9056</v>
      </c>
      <c r="AE1197" s="3116" t="s">
        <v>9057</v>
      </c>
      <c r="AF1197" s="3116" t="s">
        <v>9058</v>
      </c>
      <c r="AG1197" s="3116" t="s">
        <v>9059</v>
      </c>
      <c r="AH1197" s="3116" t="s">
        <v>9060</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c r="A1198" s="1886">
        <v>1198</v>
      </c>
      <c r="B1198" s="5250"/>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c r="A1199" s="1886">
        <v>1199</v>
      </c>
      <c r="B1199" s="5250"/>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9061</v>
      </c>
      <c r="Z1199" s="3116" t="s">
        <v>9062</v>
      </c>
      <c r="AA1199" s="3116" t="s">
        <v>9063</v>
      </c>
      <c r="AB1199" s="3116" t="s">
        <v>9064</v>
      </c>
      <c r="AC1199" s="3116" t="s">
        <v>9065</v>
      </c>
      <c r="AD1199" s="3116" t="s">
        <v>9066</v>
      </c>
      <c r="AE1199" s="3116" t="s">
        <v>9067</v>
      </c>
      <c r="AF1199" s="3116" t="s">
        <v>9068</v>
      </c>
      <c r="AG1199" s="3116" t="s">
        <v>9069</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c r="A1200" s="1886">
        <v>1200</v>
      </c>
      <c r="B1200" s="5250"/>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10" t="s">
        <v>9070</v>
      </c>
      <c r="Z1200" s="3116" t="s">
        <v>9071</v>
      </c>
      <c r="AA1200" s="3116" t="s">
        <v>6087</v>
      </c>
      <c r="AB1200" s="3116" t="s">
        <v>6088</v>
      </c>
      <c r="AC1200" s="3116" t="s">
        <v>5178</v>
      </c>
      <c r="AD1200" s="3116" t="s">
        <v>5179</v>
      </c>
      <c r="AE1200" s="3116" t="s">
        <v>5180</v>
      </c>
      <c r="AF1200" s="3116" t="s">
        <v>5181</v>
      </c>
      <c r="AG1200" s="3116" t="s">
        <v>9072</v>
      </c>
      <c r="AH1200" s="3116" t="s">
        <v>4348</v>
      </c>
      <c r="AI1200" s="3116" t="s">
        <v>896</v>
      </c>
      <c r="AJ1200" s="3116" t="s">
        <v>4340</v>
      </c>
      <c r="AK1200" s="3116" t="s">
        <v>9073</v>
      </c>
      <c r="AL1200" s="3116" t="s">
        <v>718</v>
      </c>
      <c r="AM1200" s="3116" t="s">
        <v>9074</v>
      </c>
      <c r="AN1200" s="3116" t="s">
        <v>9075</v>
      </c>
      <c r="AO1200" s="3116" t="s">
        <v>844</v>
      </c>
      <c r="AP1200" s="3114" t="s">
        <v>705</v>
      </c>
      <c r="AQ1200" s="3114" t="s">
        <v>706</v>
      </c>
      <c r="AR1200" s="3114" t="s">
        <v>707</v>
      </c>
      <c r="AS1200" s="3114" t="s">
        <v>4344</v>
      </c>
      <c r="AT1200" s="3114" t="s">
        <v>9076</v>
      </c>
      <c r="AU1200" s="3114" t="s">
        <v>9077</v>
      </c>
      <c r="AV1200" s="3114" t="s">
        <v>4347</v>
      </c>
      <c r="AW1200" s="3114" t="s">
        <v>733</v>
      </c>
      <c r="AX1200" s="3114" t="s">
        <v>84</v>
      </c>
      <c r="AY1200" s="3114" t="s">
        <v>40</v>
      </c>
      <c r="AZ1200" s="3114" t="s">
        <v>9078</v>
      </c>
      <c r="BA1200" s="3114" t="s">
        <v>9079</v>
      </c>
      <c r="BB1200" s="3114" t="s">
        <v>9080</v>
      </c>
      <c r="BC1200" s="3114" t="s">
        <v>9081</v>
      </c>
      <c r="BD1200" s="3114" t="s">
        <v>755</v>
      </c>
      <c r="BE1200" s="3114" t="s">
        <v>9082</v>
      </c>
      <c r="BF1200" s="3114" t="s">
        <v>9083</v>
      </c>
      <c r="BG1200" s="3114" t="s">
        <v>9084</v>
      </c>
      <c r="BH1200" s="3114" t="s">
        <v>9085</v>
      </c>
      <c r="BI1200" s="3114" t="s">
        <v>9086</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c r="A1201" s="1886">
        <v>1201</v>
      </c>
      <c r="B1201" s="5250"/>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10" t="s">
        <v>9087</v>
      </c>
      <c r="Z1201" s="3116" t="s">
        <v>9088</v>
      </c>
      <c r="AA1201" s="3116" t="s">
        <v>9089</v>
      </c>
      <c r="AB1201" s="3116" t="s">
        <v>9090</v>
      </c>
      <c r="AC1201" s="3116" t="s">
        <v>9091</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c r="A1202" s="1886">
        <v>1202</v>
      </c>
      <c r="B1202" s="5250"/>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10" t="s">
        <v>9092</v>
      </c>
      <c r="Z1202" s="3116" t="s">
        <v>9093</v>
      </c>
      <c r="AA1202" s="3116" t="s">
        <v>9094</v>
      </c>
      <c r="AB1202" s="3116" t="s">
        <v>9095</v>
      </c>
      <c r="AC1202" s="3116" t="s">
        <v>9096</v>
      </c>
      <c r="AD1202" s="3116" t="s">
        <v>9097</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c r="A1203" s="1886">
        <v>1203</v>
      </c>
      <c r="B1203" s="5250"/>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10" t="s">
        <v>9098</v>
      </c>
      <c r="Z1203" s="3116" t="s">
        <v>9099</v>
      </c>
      <c r="AA1203" s="3116" t="s">
        <v>9100</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c r="A1204" s="1886">
        <v>1204</v>
      </c>
      <c r="B1204" s="5250"/>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10" t="s">
        <v>8497</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c r="A1205" s="1886">
        <v>1205</v>
      </c>
      <c r="B1205" s="5250"/>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c r="A1206" s="1886">
        <v>1206</v>
      </c>
      <c r="B1206" s="5250"/>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10" t="s">
        <v>9101</v>
      </c>
      <c r="Z1206" s="3116" t="s">
        <v>7521</v>
      </c>
      <c r="AA1206" s="3116" t="s">
        <v>7148</v>
      </c>
      <c r="AB1206" s="3116" t="s">
        <v>7594</v>
      </c>
      <c r="AC1206" s="3116" t="s">
        <v>7149</v>
      </c>
      <c r="AD1206" s="3116" t="s">
        <v>7506</v>
      </c>
      <c r="AE1206" s="3116" t="s">
        <v>7523</v>
      </c>
      <c r="AF1206" s="3116" t="s">
        <v>9102</v>
      </c>
      <c r="AG1206" s="3116" t="s">
        <v>7152</v>
      </c>
      <c r="AH1206" s="3116" t="s">
        <v>9103</v>
      </c>
      <c r="AI1206" s="3116" t="s">
        <v>9034</v>
      </c>
      <c r="AJ1206" s="3116" t="s">
        <v>9035</v>
      </c>
      <c r="AK1206" s="3116" t="s">
        <v>9036</v>
      </c>
      <c r="AL1206" s="3116" t="s">
        <v>9039</v>
      </c>
      <c r="AM1206" s="3116" t="s">
        <v>9040</v>
      </c>
      <c r="AN1206" s="3116" t="s">
        <v>9104</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c r="A1207" s="1886">
        <v>1207</v>
      </c>
      <c r="B1207" s="5250"/>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c r="A1208" s="1886">
        <v>1208</v>
      </c>
      <c r="B1208" s="5250"/>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10" t="s">
        <v>9105</v>
      </c>
      <c r="Z1208" s="3116" t="s">
        <v>9106</v>
      </c>
      <c r="AA1208" s="3116" t="s">
        <v>9107</v>
      </c>
      <c r="AB1208" s="3116" t="s">
        <v>9108</v>
      </c>
      <c r="AC1208" s="3116" t="s">
        <v>9109</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c r="A1209" s="1886">
        <v>1209</v>
      </c>
      <c r="B1209" s="5250"/>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10" t="s">
        <v>9110</v>
      </c>
      <c r="Z1209" s="3116" t="s">
        <v>9105</v>
      </c>
      <c r="AA1209" s="3116" t="s">
        <v>9106</v>
      </c>
      <c r="AB1209" s="3116" t="s">
        <v>9107</v>
      </c>
      <c r="AC1209" s="3116" t="s">
        <v>9108</v>
      </c>
      <c r="AD1209" s="3116" t="s">
        <v>9109</v>
      </c>
      <c r="AE1209" s="3116" t="s">
        <v>9111</v>
      </c>
      <c r="AF1209" s="3116" t="s">
        <v>9112</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c r="A1210" s="1886">
        <v>1210</v>
      </c>
      <c r="B1210" s="5250"/>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10" t="s">
        <v>8497</v>
      </c>
      <c r="Z1210" s="3116" t="s">
        <v>8497</v>
      </c>
      <c r="AA1210" s="3116" t="s">
        <v>8497</v>
      </c>
      <c r="AB1210" s="3116" t="s">
        <v>8497</v>
      </c>
      <c r="AC1210" s="3116" t="s">
        <v>8497</v>
      </c>
      <c r="AD1210" s="3116" t="s">
        <v>8497</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c r="A1211" s="1886">
        <v>1211</v>
      </c>
      <c r="B1211" s="5250"/>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10" t="s">
        <v>9113</v>
      </c>
      <c r="Z1211" s="3116" t="s">
        <v>3146</v>
      </c>
      <c r="AA1211" s="3116" t="s">
        <v>9114</v>
      </c>
      <c r="AB1211" s="3116" t="s">
        <v>9115</v>
      </c>
      <c r="AC1211" s="3116" t="s">
        <v>9116</v>
      </c>
      <c r="AD1211" s="3116" t="s">
        <v>9117</v>
      </c>
      <c r="AE1211" s="3116" t="s">
        <v>9118</v>
      </c>
      <c r="AF1211" s="3116" t="s">
        <v>9119</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c r="A1212" s="1886">
        <v>1212</v>
      </c>
      <c r="B1212" s="5250"/>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10" t="s">
        <v>9120</v>
      </c>
      <c r="Z1212" s="3116" t="s">
        <v>9121</v>
      </c>
      <c r="AA1212" s="3116" t="s">
        <v>9122</v>
      </c>
      <c r="AB1212" s="3116" t="s">
        <v>9123</v>
      </c>
      <c r="AC1212" s="3116" t="s">
        <v>9124</v>
      </c>
      <c r="AD1212" s="3116" t="s">
        <v>9125</v>
      </c>
      <c r="AE1212" s="3116" t="s">
        <v>9126</v>
      </c>
      <c r="AF1212" s="3116" t="s">
        <v>9127</v>
      </c>
      <c r="AG1212" s="3116" t="s">
        <v>9128</v>
      </c>
      <c r="AH1212" s="3116" t="s">
        <v>9129</v>
      </c>
      <c r="AI1212" s="3116" t="s">
        <v>9130</v>
      </c>
      <c r="AJ1212" s="3116" t="s">
        <v>9131</v>
      </c>
      <c r="AK1212" s="3116" t="s">
        <v>9132</v>
      </c>
      <c r="AL1212" s="3116" t="s">
        <v>9133</v>
      </c>
      <c r="AM1212" s="3116" t="s">
        <v>9134</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c r="A1213" s="1886">
        <v>1213</v>
      </c>
      <c r="B1213" s="5250"/>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10" t="s">
        <v>9135</v>
      </c>
      <c r="Z1213" s="3116" t="s">
        <v>9136</v>
      </c>
      <c r="AA1213" s="3116" t="s">
        <v>9137</v>
      </c>
      <c r="AB1213" s="3116" t="s">
        <v>9138</v>
      </c>
      <c r="AC1213" s="3116" t="s">
        <v>9139</v>
      </c>
      <c r="AD1213" s="3116" t="s">
        <v>9140</v>
      </c>
      <c r="AE1213" s="3116" t="s">
        <v>9141</v>
      </c>
      <c r="AF1213" s="3116" t="s">
        <v>9142</v>
      </c>
      <c r="AG1213" s="3116" t="s">
        <v>9143</v>
      </c>
      <c r="AH1213" s="3116" t="s">
        <v>9144</v>
      </c>
      <c r="AI1213" s="3116" t="s">
        <v>9145</v>
      </c>
      <c r="AJ1213" s="3116" t="s">
        <v>9146</v>
      </c>
      <c r="AK1213" s="3116" t="s">
        <v>9147</v>
      </c>
      <c r="AL1213" s="3116" t="s">
        <v>9148</v>
      </c>
      <c r="AM1213" s="3116" t="s">
        <v>9149</v>
      </c>
      <c r="AN1213" s="3116" t="s">
        <v>8497</v>
      </c>
      <c r="AO1213" s="3116" t="s">
        <v>8497</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c r="A1214" s="1886">
        <v>1214</v>
      </c>
      <c r="B1214" s="5250"/>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9150</v>
      </c>
      <c r="Z1214" s="3116" t="s">
        <v>9110</v>
      </c>
      <c r="AA1214" s="3116" t="s">
        <v>9105</v>
      </c>
      <c r="AB1214" s="3116" t="s">
        <v>9106</v>
      </c>
      <c r="AC1214" s="3116" t="s">
        <v>9107</v>
      </c>
      <c r="AD1214" s="3116" t="s">
        <v>9108</v>
      </c>
      <c r="AE1214" s="3116" t="s">
        <v>9109</v>
      </c>
      <c r="AF1214" s="3116" t="s">
        <v>9111</v>
      </c>
      <c r="AG1214" s="3116" t="s">
        <v>9151</v>
      </c>
      <c r="AH1214" s="3116" t="s">
        <v>9152</v>
      </c>
      <c r="AI1214" s="3116" t="s">
        <v>9153</v>
      </c>
      <c r="AJ1214" s="3116" t="s">
        <v>9154</v>
      </c>
      <c r="AK1214" s="3116" t="s">
        <v>9155</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c r="A1215" s="1886">
        <v>1215</v>
      </c>
      <c r="B1215" s="5250"/>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10" t="s">
        <v>9156</v>
      </c>
      <c r="Z1215" s="3116" t="s">
        <v>9157</v>
      </c>
      <c r="AA1215" s="3116" t="s">
        <v>9158</v>
      </c>
      <c r="AB1215" s="3116" t="s">
        <v>9159</v>
      </c>
      <c r="AC1215" s="3116" t="s">
        <v>9160</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c r="A1216" s="1886">
        <v>1216</v>
      </c>
      <c r="B1216" s="5250"/>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c r="A1217" s="1886">
        <v>1217</v>
      </c>
      <c r="B1217" s="5250"/>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10115</v>
      </c>
      <c r="Z1217" s="3116" t="s">
        <v>10116</v>
      </c>
      <c r="AA1217" s="3116" t="s">
        <v>10117</v>
      </c>
      <c r="AB1217" s="3116" t="s">
        <v>10118</v>
      </c>
      <c r="AC1217" s="3116" t="s">
        <v>10119</v>
      </c>
      <c r="AD1217" s="3116" t="s">
        <v>10120</v>
      </c>
      <c r="AE1217" s="3116" t="s">
        <v>10121</v>
      </c>
      <c r="AF1217" s="3116" t="s">
        <v>10122</v>
      </c>
      <c r="AG1217" s="3116" t="s">
        <v>10123</v>
      </c>
      <c r="AH1217" s="3116" t="s">
        <v>10124</v>
      </c>
      <c r="AI1217" s="3116" t="s">
        <v>10125</v>
      </c>
      <c r="AJ1217" s="3116" t="s">
        <v>10126</v>
      </c>
      <c r="AK1217" s="3116" t="s">
        <v>10127</v>
      </c>
      <c r="AL1217" s="3116" t="s">
        <v>10128</v>
      </c>
      <c r="AM1217" s="3116" t="s">
        <v>10129</v>
      </c>
      <c r="AN1217" s="3116" t="s">
        <v>10130</v>
      </c>
      <c r="AO1217" s="3116" t="s">
        <v>10131</v>
      </c>
      <c r="AP1217" s="3114" t="s">
        <v>9161</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c r="A1218" s="1886">
        <v>1218</v>
      </c>
      <c r="B1218" s="5250"/>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2"/>
        <v>PodHab_Vulnerabilidadextrema</v>
      </c>
      <c r="Y1218" s="3110" t="s">
        <v>9162</v>
      </c>
      <c r="Z1218" s="3116" t="s">
        <v>9163</v>
      </c>
      <c r="AA1218" s="3116" t="s">
        <v>9164</v>
      </c>
      <c r="AB1218" s="3116" t="s">
        <v>9165</v>
      </c>
      <c r="AC1218" s="3116" t="s">
        <v>9166</v>
      </c>
      <c r="AD1218" s="3116" t="s">
        <v>9167</v>
      </c>
      <c r="AE1218" s="3116" t="s">
        <v>9168</v>
      </c>
      <c r="AF1218" s="3116" t="s">
        <v>10028</v>
      </c>
      <c r="AG1218" s="3116" t="s">
        <v>10029</v>
      </c>
      <c r="AH1218" s="3116" t="s">
        <v>4347</v>
      </c>
      <c r="AI1218" s="3116" t="s">
        <v>9075</v>
      </c>
      <c r="AJ1218" s="3116" t="s">
        <v>718</v>
      </c>
      <c r="AK1218" s="3116" t="s">
        <v>84</v>
      </c>
      <c r="AL1218" s="3116" t="s">
        <v>5179</v>
      </c>
      <c r="AM1218" s="3116" t="s">
        <v>5180</v>
      </c>
      <c r="AN1218" s="3116" t="s">
        <v>5181</v>
      </c>
      <c r="AO1218" s="3116" t="s">
        <v>9072</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c r="A1219" s="1886">
        <v>1219</v>
      </c>
      <c r="B1219" s="5250"/>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2"/>
        <v>PodHab_Barreradedaño</v>
      </c>
      <c r="Y1219" s="3110" t="s">
        <v>9169</v>
      </c>
      <c r="Z1219" s="3116" t="s">
        <v>9170</v>
      </c>
      <c r="AA1219" s="3116" t="s">
        <v>9171</v>
      </c>
      <c r="AB1219" s="3116" t="s">
        <v>9172</v>
      </c>
      <c r="AC1219" s="3116" t="s">
        <v>9173</v>
      </c>
      <c r="AD1219" s="3116" t="s">
        <v>9174</v>
      </c>
      <c r="AE1219" s="3116" t="s">
        <v>9175</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c r="A1220" s="1886">
        <v>1220</v>
      </c>
      <c r="B1220" s="5250"/>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c r="A1221" s="1886">
        <v>1221</v>
      </c>
      <c r="B1221" s="5250"/>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2"/>
        <v>PodHab_Armadurafísica</v>
      </c>
      <c r="Y1221" s="3110" t="s">
        <v>7218</v>
      </c>
      <c r="Z1221" s="3116" t="s">
        <v>5689</v>
      </c>
      <c r="AA1221" s="3116" t="s">
        <v>9176</v>
      </c>
      <c r="AB1221" s="3116" t="s">
        <v>5690</v>
      </c>
      <c r="AC1221" s="3116" t="s">
        <v>9177</v>
      </c>
      <c r="AD1221" s="3116" t="s">
        <v>5691</v>
      </c>
      <c r="AE1221" s="3116" t="s">
        <v>9178</v>
      </c>
      <c r="AF1221" s="3116" t="s">
        <v>5692</v>
      </c>
      <c r="AG1221" s="3116" t="s">
        <v>9179</v>
      </c>
      <c r="AH1221" s="3116" t="s">
        <v>7219</v>
      </c>
      <c r="AI1221" s="3116" t="s">
        <v>7220</v>
      </c>
      <c r="AJ1221" s="3116" t="s">
        <v>9180</v>
      </c>
      <c r="AK1221" s="3116" t="s">
        <v>9181</v>
      </c>
      <c r="AL1221" s="3116" t="s">
        <v>9182</v>
      </c>
      <c r="AM1221" s="3116" t="s">
        <v>9183</v>
      </c>
      <c r="AN1221" s="3116" t="s">
        <v>9184</v>
      </c>
      <c r="AO1221" s="3116" t="s">
        <v>9185</v>
      </c>
      <c r="AP1221" s="3114" t="s">
        <v>9186</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c r="A1222" s="1886">
        <v>1222</v>
      </c>
      <c r="B1222" s="5250"/>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2"/>
        <v>PodHab_Armaduramística</v>
      </c>
      <c r="Y1222" s="3110" t="s">
        <v>7218</v>
      </c>
      <c r="Z1222" s="3116" t="s">
        <v>5689</v>
      </c>
      <c r="AA1222" s="3116" t="s">
        <v>9176</v>
      </c>
      <c r="AB1222" s="3116" t="s">
        <v>5690</v>
      </c>
      <c r="AC1222" s="3116" t="s">
        <v>9177</v>
      </c>
      <c r="AD1222" s="3116" t="s">
        <v>5691</v>
      </c>
      <c r="AE1222" s="3116" t="s">
        <v>9178</v>
      </c>
      <c r="AF1222" s="3116" t="s">
        <v>5692</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c r="A1223" s="1886">
        <v>1223</v>
      </c>
      <c r="B1223" s="5250"/>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c r="A1224" s="1886">
        <v>1224</v>
      </c>
      <c r="B1224" s="5250"/>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2"/>
        <v>PodHab_HabilidadesEspirituales</v>
      </c>
      <c r="Y1224" s="3110" t="s">
        <v>9187</v>
      </c>
      <c r="Z1224" s="3116" t="s">
        <v>9188</v>
      </c>
      <c r="AA1224" s="3116" t="s">
        <v>9189</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c r="A1225" s="1886">
        <v>1225</v>
      </c>
      <c r="B1225" s="5250"/>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c r="A1226" s="1886">
        <v>1226</v>
      </c>
      <c r="B1226" s="5250"/>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2"/>
        <v>PodHab_Aura</v>
      </c>
      <c r="Y1226" s="3110" t="s">
        <v>9028</v>
      </c>
      <c r="Z1226" s="3116" t="s">
        <v>9030</v>
      </c>
      <c r="AA1226" s="3116" t="s">
        <v>9031</v>
      </c>
      <c r="AB1226" s="3116" t="s">
        <v>9032</v>
      </c>
      <c r="AC1226" s="3116" t="s">
        <v>9033</v>
      </c>
      <c r="AD1226" s="3116" t="s">
        <v>6997</v>
      </c>
      <c r="AE1226" s="3116" t="s">
        <v>9070</v>
      </c>
      <c r="AF1226" s="3116" t="s">
        <v>9071</v>
      </c>
      <c r="AG1226" s="3116" t="s">
        <v>6087</v>
      </c>
      <c r="AH1226" s="3116" t="s">
        <v>6088</v>
      </c>
      <c r="AI1226" s="3116" t="s">
        <v>5178</v>
      </c>
      <c r="AJ1226" s="3116" t="s">
        <v>5179</v>
      </c>
      <c r="AK1226" s="3116" t="s">
        <v>4348</v>
      </c>
      <c r="AL1226" s="3116" t="s">
        <v>896</v>
      </c>
      <c r="AM1226" s="3116" t="s">
        <v>4340</v>
      </c>
      <c r="AN1226" s="3116" t="s">
        <v>9073</v>
      </c>
      <c r="AO1226" s="3116" t="s">
        <v>718</v>
      </c>
      <c r="AP1226" s="3114" t="s">
        <v>9074</v>
      </c>
      <c r="AQ1226" s="3114" t="s">
        <v>9075</v>
      </c>
      <c r="AR1226" s="3114" t="s">
        <v>844</v>
      </c>
      <c r="AS1226" s="3114" t="s">
        <v>705</v>
      </c>
      <c r="AT1226" s="3114" t="s">
        <v>706</v>
      </c>
      <c r="AU1226" s="3114" t="s">
        <v>707</v>
      </c>
      <c r="AV1226" s="3114" t="s">
        <v>4344</v>
      </c>
      <c r="AW1226" s="3114" t="s">
        <v>9076</v>
      </c>
      <c r="AX1226" s="3114" t="s">
        <v>9077</v>
      </c>
      <c r="AY1226" s="3114" t="s">
        <v>4347</v>
      </c>
      <c r="AZ1226" s="3114" t="s">
        <v>733</v>
      </c>
      <c r="BA1226" s="3114" t="s">
        <v>84</v>
      </c>
      <c r="BB1226" s="3114" t="s">
        <v>40</v>
      </c>
      <c r="BC1226" s="3114" t="s">
        <v>9078</v>
      </c>
      <c r="BD1226" s="3114" t="s">
        <v>9079</v>
      </c>
      <c r="BE1226" s="3114" t="s">
        <v>9190</v>
      </c>
      <c r="BF1226" s="3114" t="s">
        <v>9085</v>
      </c>
      <c r="BG1226" s="3114" t="s">
        <v>9191</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c r="A1227" s="1886">
        <v>1227</v>
      </c>
      <c r="B1227" s="5250"/>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2"/>
        <v>PodHab_Forma</v>
      </c>
      <c r="Y1227" s="3110" t="s">
        <v>9192</v>
      </c>
      <c r="Z1227" s="3116" t="s">
        <v>9193</v>
      </c>
      <c r="AA1227" s="3116" t="s">
        <v>624</v>
      </c>
      <c r="AB1227" s="3116" t="s">
        <v>9194</v>
      </c>
      <c r="AC1227" s="3116" t="s">
        <v>9161</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c r="A1228" s="1886">
        <v>1228</v>
      </c>
      <c r="B1228" s="5250"/>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2"/>
        <v>PodHab_Indetecciones</v>
      </c>
      <c r="Y1228" s="3110" t="s">
        <v>9195</v>
      </c>
      <c r="Z1228" s="3116" t="s">
        <v>9196</v>
      </c>
      <c r="AA1228" s="3116" t="s">
        <v>9197</v>
      </c>
      <c r="AB1228" s="3116" t="s">
        <v>9198</v>
      </c>
      <c r="AC1228" s="3116" t="s">
        <v>2</v>
      </c>
      <c r="AD1228" s="3116" t="s">
        <v>9199</v>
      </c>
      <c r="AE1228" s="3116" t="s">
        <v>3</v>
      </c>
      <c r="AF1228" s="3116" t="s">
        <v>9200</v>
      </c>
      <c r="AG1228" s="3116" t="s">
        <v>4</v>
      </c>
      <c r="AH1228" s="3116" t="s">
        <v>9201</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c r="A1229" s="1886">
        <v>1229</v>
      </c>
      <c r="B1229" s="5250"/>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2"/>
        <v>PodHab_MagiaInnata</v>
      </c>
      <c r="Y1229" s="3110" t="s">
        <v>9202</v>
      </c>
      <c r="Z1229" s="3116" t="s">
        <v>9203</v>
      </c>
      <c r="AA1229" s="3116" t="s">
        <v>9035</v>
      </c>
      <c r="AB1229" s="3116" t="s">
        <v>9204</v>
      </c>
      <c r="AC1229" s="3116" t="s">
        <v>9036</v>
      </c>
      <c r="AD1229" s="3116" t="s">
        <v>9037</v>
      </c>
      <c r="AE1229" s="3116" t="s">
        <v>9038</v>
      </c>
      <c r="AF1229" s="3116" t="s">
        <v>9039</v>
      </c>
      <c r="AG1229" s="3116" t="s">
        <v>9040</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c r="A1230" s="1886">
        <v>1230</v>
      </c>
      <c r="B1230" s="5250"/>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2"/>
        <v>PodHab_Psíquicainnata</v>
      </c>
      <c r="Y1230" s="3110" t="s">
        <v>9205</v>
      </c>
      <c r="Z1230" s="3116" t="s">
        <v>9203</v>
      </c>
      <c r="AA1230" s="3116" t="s">
        <v>9035</v>
      </c>
      <c r="AB1230" s="3116" t="s">
        <v>9204</v>
      </c>
      <c r="AC1230" s="3116" t="s">
        <v>9036</v>
      </c>
      <c r="AD1230" s="3116" t="s">
        <v>9037</v>
      </c>
      <c r="AE1230" s="3116" t="s">
        <v>9038</v>
      </c>
      <c r="AF1230" s="3116" t="s">
        <v>9039</v>
      </c>
      <c r="AG1230" s="3116" t="s">
        <v>9040</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c r="A1231" s="1886">
        <v>1231</v>
      </c>
      <c r="B1231" s="5250"/>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9206</v>
      </c>
      <c r="Z1231" s="3116" t="s">
        <v>2052</v>
      </c>
      <c r="AA1231" s="3116" t="s">
        <v>4571</v>
      </c>
      <c r="AB1231" s="3116" t="s">
        <v>9204</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c r="A1232" s="1886">
        <v>1232</v>
      </c>
      <c r="B1232" s="5250"/>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c r="A1233" s="1886">
        <v>1233</v>
      </c>
      <c r="B1233" s="5250"/>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2"/>
        <v>PodHab_Detecciónsobrenatural</v>
      </c>
      <c r="Y1233" s="3110" t="s">
        <v>7021</v>
      </c>
      <c r="Z1233" s="3116" t="s">
        <v>7022</v>
      </c>
      <c r="AA1233" s="3116" t="s">
        <v>7023</v>
      </c>
      <c r="AB1233" s="3116" t="s">
        <v>7024</v>
      </c>
      <c r="AC1233" s="3116" t="s">
        <v>9207</v>
      </c>
      <c r="AD1233" s="3116" t="s">
        <v>9208</v>
      </c>
      <c r="AE1233" s="3116" t="s">
        <v>9209</v>
      </c>
      <c r="AF1233" s="3116" t="s">
        <v>5004</v>
      </c>
      <c r="AG1233" s="3116" t="s">
        <v>4967</v>
      </c>
      <c r="AH1233" s="3116" t="s">
        <v>4695</v>
      </c>
      <c r="AI1233" s="3116" t="s">
        <v>5157</v>
      </c>
      <c r="AJ1233" s="3116" t="s">
        <v>6046</v>
      </c>
      <c r="AK1233" s="3116" t="s">
        <v>9210</v>
      </c>
      <c r="AL1233" s="3116" t="s">
        <v>9211</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c r="A1234" s="1886">
        <v>1234</v>
      </c>
      <c r="B1234" s="5250"/>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c r="A1235" s="1886">
        <v>1235</v>
      </c>
      <c r="B1235" s="5250"/>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c r="A1236" s="1886">
        <v>1236</v>
      </c>
      <c r="B1236" s="5250"/>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2"/>
        <v>PodHab_Acumularataque</v>
      </c>
      <c r="Y1236" s="3110" t="s">
        <v>9212</v>
      </c>
      <c r="Z1236" s="3116" t="s">
        <v>9213</v>
      </c>
      <c r="AA1236" s="3116" t="s">
        <v>9214</v>
      </c>
      <c r="AB1236" s="3116" t="s">
        <v>9215</v>
      </c>
      <c r="AC1236" s="3116" t="s">
        <v>9216</v>
      </c>
      <c r="AD1236" s="3116" t="s">
        <v>9217</v>
      </c>
      <c r="AE1236" s="3116" t="s">
        <v>9218</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c r="A1237" s="1886">
        <v>1237</v>
      </c>
      <c r="B1237" s="5250"/>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8999</v>
      </c>
      <c r="Z1237" s="3116" t="s">
        <v>9000</v>
      </c>
      <c r="AA1237" s="3116" t="s">
        <v>9001</v>
      </c>
      <c r="AB1237" s="3116" t="s">
        <v>9002</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c r="A1238" s="1886">
        <v>1238</v>
      </c>
      <c r="B1238" s="5250"/>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2"/>
        <v>PodHab_At.automáticocondicionado</v>
      </c>
      <c r="Y1238" s="3110" t="s">
        <v>9219</v>
      </c>
      <c r="Z1238" s="3116" t="s">
        <v>9220</v>
      </c>
      <c r="AA1238" s="3116" t="s">
        <v>9221</v>
      </c>
      <c r="AB1238" s="3116" t="s">
        <v>9222</v>
      </c>
      <c r="AC1238" s="3116" t="s">
        <v>9223</v>
      </c>
      <c r="AD1238" s="3116" t="s">
        <v>9224</v>
      </c>
      <c r="AE1238" s="3116" t="s">
        <v>1131</v>
      </c>
      <c r="AF1238" s="3116" t="s">
        <v>84</v>
      </c>
      <c r="AG1238" s="3116" t="s">
        <v>2526</v>
      </c>
      <c r="AH1238" s="3116" t="s">
        <v>9225</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c r="A1239" s="1886">
        <v>1239</v>
      </c>
      <c r="B1239" s="5250"/>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c r="A1240" s="1886">
        <v>1240</v>
      </c>
      <c r="B1240" s="5250"/>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2"/>
        <v>PodHab_Ataquecamuflado</v>
      </c>
      <c r="Y1240" s="3110" t="s">
        <v>9226</v>
      </c>
      <c r="Z1240" s="3116" t="s">
        <v>9227</v>
      </c>
      <c r="AA1240" s="3116" t="s">
        <v>9228</v>
      </c>
      <c r="AB1240" s="3116" t="s">
        <v>9229</v>
      </c>
      <c r="AC1240" s="3116" t="s">
        <v>9230</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c r="A1241" s="1886">
        <v>1241</v>
      </c>
      <c r="B1241" s="5250"/>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2"/>
        <v>PodHab_Ataqueespecialincrementado</v>
      </c>
      <c r="Y1241" s="3110" t="s">
        <v>9231</v>
      </c>
      <c r="Z1241" s="3116" t="s">
        <v>9232</v>
      </c>
      <c r="AA1241" s="3116" t="s">
        <v>9233</v>
      </c>
      <c r="AB1241" s="3116" t="s">
        <v>9234</v>
      </c>
      <c r="AC1241" s="3116" t="s">
        <v>9235</v>
      </c>
      <c r="AD1241" s="3116" t="s">
        <v>8497</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c r="A1242" s="1886">
        <v>1242</v>
      </c>
      <c r="B1242" s="5250"/>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2"/>
        <v>PodHab_Ataquemantenido</v>
      </c>
      <c r="Y1242" s="3110" t="s">
        <v>9236</v>
      </c>
      <c r="Z1242" s="3116" t="s">
        <v>9237</v>
      </c>
      <c r="AA1242" s="3116" t="s">
        <v>9238</v>
      </c>
      <c r="AB1242" s="3116" t="s">
        <v>9239</v>
      </c>
      <c r="AC1242" s="3116" t="s">
        <v>9240</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c r="A1243" s="1886">
        <v>1243</v>
      </c>
      <c r="B1243" s="5250"/>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2"/>
        <v>PodHab_Ataqueretardado</v>
      </c>
      <c r="Y1243" s="3110" t="s">
        <v>9241</v>
      </c>
      <c r="Z1243" s="3116" t="s">
        <v>9242</v>
      </c>
      <c r="AA1243" s="3116" t="s">
        <v>9243</v>
      </c>
      <c r="AB1243" s="3116" t="s">
        <v>9244</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c r="A1244" s="1886">
        <v>1244</v>
      </c>
      <c r="B1244" s="5250"/>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2"/>
        <v>PodHab_Ataquesmúltiplesaleatorios</v>
      </c>
      <c r="Y1244" s="3110" t="s">
        <v>9245</v>
      </c>
      <c r="Z1244" s="3116" t="s">
        <v>9246</v>
      </c>
      <c r="AA1244" s="3116" t="s">
        <v>9247</v>
      </c>
      <c r="AB1244" s="3116" t="s">
        <v>9219</v>
      </c>
      <c r="AC1244" s="3116" t="s">
        <v>9220</v>
      </c>
      <c r="AD1244" s="3116" t="s">
        <v>9221</v>
      </c>
      <c r="AE1244" s="3116" t="s">
        <v>9248</v>
      </c>
      <c r="AF1244" s="3116"/>
      <c r="AG1244" s="3116"/>
      <c r="AH1244" s="3116"/>
      <c r="AI1244" s="3116" t="s">
        <v>8497</v>
      </c>
      <c r="AJ1244" s="3116" t="s">
        <v>8497</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c r="A1245" s="1886">
        <v>1245</v>
      </c>
      <c r="B1245" s="5250"/>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2"/>
        <v/>
      </c>
      <c r="Y1245" s="3110" t="s">
        <v>8497</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c r="A1246" s="1886">
        <v>1246</v>
      </c>
      <c r="B1246" s="5250"/>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c r="A1247" s="1886">
        <v>1247</v>
      </c>
      <c r="B1247" s="5250"/>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9249</v>
      </c>
      <c r="AC1247" s="3116" t="s">
        <v>9250</v>
      </c>
      <c r="AD1247" s="3116" t="s">
        <v>9251</v>
      </c>
      <c r="AE1247" s="3116" t="s">
        <v>9252</v>
      </c>
      <c r="AF1247" s="3116" t="s">
        <v>9253</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c r="A1248" s="1886">
        <v>1248</v>
      </c>
      <c r="B1248" s="5250"/>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2"/>
        <v/>
      </c>
      <c r="Y1248" s="3110"/>
      <c r="Z1248" s="3116"/>
      <c r="AA1248" s="3116"/>
      <c r="AB1248" s="3116"/>
      <c r="AC1248" s="3116"/>
      <c r="AD1248" s="3116"/>
      <c r="AE1248" s="3116"/>
      <c r="AF1248" s="3116"/>
      <c r="AG1248" s="3116"/>
      <c r="AH1248" s="3116"/>
      <c r="AI1248" s="3116" t="s">
        <v>8497</v>
      </c>
      <c r="AJ1248" s="3116" t="s">
        <v>8497</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c r="A1249" s="1886">
        <v>1249</v>
      </c>
      <c r="B1249" s="5250"/>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3">IF(Y1249="","",SUBSTITUTE("PodHab_"&amp;V1249," ",""))</f>
        <v/>
      </c>
      <c r="Y1249" s="3110" t="s">
        <v>8497</v>
      </c>
      <c r="Z1249" s="3116" t="s">
        <v>8497</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c r="A1250" s="1886">
        <v>1250</v>
      </c>
      <c r="B1250" s="5250"/>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3"/>
        <v>PodHab_Imparable</v>
      </c>
      <c r="Y1250" s="3110" t="s">
        <v>9254</v>
      </c>
      <c r="Z1250" s="3116" t="s">
        <v>9255</v>
      </c>
      <c r="AA1250" s="3116" t="s">
        <v>9256</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c r="A1251" s="1886">
        <v>1251</v>
      </c>
      <c r="B1251" s="5250"/>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3"/>
        <v>PodHab_Reduccióndedaño</v>
      </c>
      <c r="Y1251" s="3110" t="s">
        <v>9257</v>
      </c>
      <c r="Z1251" s="3116" t="s">
        <v>9258</v>
      </c>
      <c r="AA1251" s="3116" t="s">
        <v>9259</v>
      </c>
      <c r="AB1251" s="3116" t="s">
        <v>9260</v>
      </c>
      <c r="AC1251" s="3116" t="s">
        <v>9261</v>
      </c>
      <c r="AD1251" s="3116" t="s">
        <v>9262</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c r="A1252" s="1886">
        <v>1252</v>
      </c>
      <c r="B1252" s="5250"/>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3"/>
        <v>PodHab_Reflejarataques</v>
      </c>
      <c r="Y1252" s="3110" t="s">
        <v>1419</v>
      </c>
      <c r="Z1252" s="3116" t="s">
        <v>9263</v>
      </c>
      <c r="AA1252" s="3116" t="s">
        <v>9264</v>
      </c>
      <c r="AB1252" s="3116" t="s">
        <v>9265</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c r="A1253" s="1886">
        <v>1253</v>
      </c>
      <c r="B1253" s="5250"/>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3"/>
        <v>PodHab_Rotura</v>
      </c>
      <c r="Y1253" s="3110" t="s">
        <v>8450</v>
      </c>
      <c r="Z1253" s="3116" t="s">
        <v>9113</v>
      </c>
      <c r="AA1253" s="3116" t="s">
        <v>9266</v>
      </c>
      <c r="AB1253" s="3116" t="s">
        <v>3146</v>
      </c>
      <c r="AC1253" s="3116" t="s">
        <v>9267</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c r="A1254" s="1886">
        <v>1254</v>
      </c>
      <c r="B1254" s="5250"/>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c r="A1255" s="1886">
        <v>1255</v>
      </c>
      <c r="B1255" s="5250"/>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3"/>
        <v>PodHab_Efectopermanente</v>
      </c>
      <c r="Y1255" s="3110" t="s">
        <v>9268</v>
      </c>
      <c r="Z1255" s="3116" t="s">
        <v>9269</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c r="A1256" s="1886">
        <v>1256</v>
      </c>
      <c r="B1256" s="5250"/>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c r="A1257" s="1886">
        <v>1257</v>
      </c>
      <c r="B1257" s="5250"/>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c r="A1258" s="1886">
        <v>1258</v>
      </c>
      <c r="B1258" s="5250"/>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3"/>
        <v>PodHab_Transformación</v>
      </c>
      <c r="Y1258" s="3110" t="s">
        <v>9270</v>
      </c>
      <c r="Z1258" s="3116" t="s">
        <v>9271</v>
      </c>
      <c r="AA1258" s="3116" t="s">
        <v>9272</v>
      </c>
      <c r="AB1258" s="3116" t="s">
        <v>9273</v>
      </c>
      <c r="AC1258" s="3116" t="s">
        <v>9274</v>
      </c>
      <c r="AD1258" s="3116"/>
      <c r="AE1258" s="3116"/>
      <c r="AF1258" s="3116"/>
      <c r="AG1258" s="3116"/>
      <c r="AH1258" s="3116"/>
      <c r="AI1258" s="3116"/>
      <c r="AJ1258" s="3116"/>
      <c r="AK1258" s="3116"/>
      <c r="AL1258" s="3116" t="s">
        <v>8497</v>
      </c>
      <c r="AM1258" s="3116" t="s">
        <v>8497</v>
      </c>
      <c r="AN1258" s="3116" t="s">
        <v>8497</v>
      </c>
      <c r="AO1258" s="3116" t="s">
        <v>8497</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c r="A1259" s="1886">
        <v>1259</v>
      </c>
      <c r="B1259" s="5250"/>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3"/>
        <v/>
      </c>
      <c r="Y1259" s="3110" t="s">
        <v>8497</v>
      </c>
      <c r="Z1259" s="3116" t="s">
        <v>8497</v>
      </c>
      <c r="AA1259" s="3116" t="s">
        <v>8497</v>
      </c>
      <c r="AB1259" s="3116" t="s">
        <v>8497</v>
      </c>
      <c r="AC1259" s="3116" t="s">
        <v>8497</v>
      </c>
      <c r="AD1259" s="3116" t="s">
        <v>8497</v>
      </c>
      <c r="AE1259" s="3116" t="s">
        <v>8497</v>
      </c>
      <c r="AF1259" s="3116" t="s">
        <v>8497</v>
      </c>
      <c r="AG1259" s="3116" t="s">
        <v>8497</v>
      </c>
      <c r="AH1259" s="3116" t="s">
        <v>8497</v>
      </c>
      <c r="AI1259" s="3116" t="s">
        <v>8497</v>
      </c>
      <c r="AJ1259" s="3116" t="s">
        <v>8497</v>
      </c>
      <c r="AK1259" s="3116" t="s">
        <v>8497</v>
      </c>
      <c r="AL1259" s="3116" t="s">
        <v>8497</v>
      </c>
      <c r="AM1259" s="3116" t="s">
        <v>8497</v>
      </c>
      <c r="AN1259" s="3116" t="s">
        <v>8497</v>
      </c>
      <c r="AO1259" s="3116" t="s">
        <v>8497</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c r="A1260" s="1886">
        <v>1260</v>
      </c>
      <c r="B1260" s="5250"/>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3"/>
        <v>PodHab_Maestríasobrenatural</v>
      </c>
      <c r="Y1260" s="3110" t="s">
        <v>9275</v>
      </c>
      <c r="Z1260" s="3116" t="s">
        <v>9276</v>
      </c>
      <c r="AA1260" s="3116" t="s">
        <v>9277</v>
      </c>
      <c r="AB1260" s="3116" t="s">
        <v>9278</v>
      </c>
      <c r="AC1260" s="3116" t="s">
        <v>9279</v>
      </c>
      <c r="AD1260" s="3116" t="s">
        <v>9280</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c r="A1261" s="1886">
        <v>1261</v>
      </c>
      <c r="B1261" s="5250"/>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3"/>
        <v>PodHab_Magianatural</v>
      </c>
      <c r="Y1261" s="3110" t="s">
        <v>9281</v>
      </c>
      <c r="Z1261" s="3116" t="s">
        <v>2358</v>
      </c>
      <c r="AA1261" s="3116"/>
      <c r="AB1261" s="3116"/>
      <c r="AC1261" s="3116"/>
      <c r="AD1261" s="3116"/>
      <c r="AE1261" s="3116"/>
      <c r="AF1261" s="3116"/>
      <c r="AG1261" s="3116"/>
      <c r="AH1261" s="3116"/>
      <c r="AI1261" s="3116"/>
      <c r="AJ1261" s="3116"/>
      <c r="AK1261" s="3116"/>
      <c r="AL1261" s="3116"/>
      <c r="AM1261" s="3116"/>
      <c r="AN1261" s="3116"/>
      <c r="AO1261" s="3116" t="s">
        <v>8497</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c r="A1262" s="1886">
        <v>1262</v>
      </c>
      <c r="B1262" s="5250"/>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8497</v>
      </c>
      <c r="AM1262" s="3116" t="s">
        <v>8497</v>
      </c>
      <c r="AN1262" s="3116" t="s">
        <v>8497</v>
      </c>
      <c r="AO1262" s="3116" t="s">
        <v>8497</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c r="A1263" s="1886">
        <v>1263</v>
      </c>
      <c r="B1263" s="5250"/>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8497</v>
      </c>
      <c r="AM1263" s="3116" t="s">
        <v>8497</v>
      </c>
      <c r="AN1263" s="3116" t="s">
        <v>8497</v>
      </c>
      <c r="AO1263" s="3116" t="s">
        <v>8497</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c r="A1264" s="1886">
        <v>1264</v>
      </c>
      <c r="B1264" s="5250"/>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3"/>
        <v/>
      </c>
      <c r="Y1264" s="3110"/>
      <c r="Z1264" s="3116"/>
      <c r="AA1264" s="3116" t="s">
        <v>8497</v>
      </c>
      <c r="AB1264" s="3116" t="s">
        <v>8497</v>
      </c>
      <c r="AC1264" s="3116"/>
      <c r="AD1264" s="3112"/>
      <c r="AE1264" s="3112"/>
      <c r="AF1264" s="3112"/>
      <c r="AG1264" s="3112"/>
      <c r="AH1264" s="3112"/>
      <c r="AI1264" s="3112"/>
      <c r="AJ1264" s="3112"/>
      <c r="AK1264" s="3116" t="s">
        <v>8497</v>
      </c>
      <c r="AL1264" s="3116" t="s">
        <v>8497</v>
      </c>
      <c r="AM1264" s="3116" t="s">
        <v>8497</v>
      </c>
      <c r="AN1264" s="3116" t="s">
        <v>8497</v>
      </c>
      <c r="AO1264" s="3116" t="s">
        <v>8497</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c r="A1265" s="1886">
        <v>1265</v>
      </c>
      <c r="B1265" s="5250"/>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c r="A1266" s="1886">
        <v>1266</v>
      </c>
      <c r="B1266" s="5250"/>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3"/>
        <v>PodHab_Espaciocerrado</v>
      </c>
      <c r="Y1266" s="3110" t="s">
        <v>9282</v>
      </c>
      <c r="Z1266" s="3116" t="s">
        <v>9283</v>
      </c>
      <c r="AA1266" s="3116" t="s">
        <v>9284</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c r="A1267" s="1886">
        <v>1267</v>
      </c>
      <c r="B1267" s="5250"/>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c r="A1268" s="1886">
        <v>1268</v>
      </c>
      <c r="B1268" s="5250"/>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c r="A1269" s="1886">
        <v>1269</v>
      </c>
      <c r="B1269" s="5250"/>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c r="A1270" s="1886">
        <v>1270</v>
      </c>
      <c r="B1270" s="5250"/>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c r="A1271" s="1886">
        <v>1271</v>
      </c>
      <c r="B1271" s="5250"/>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c r="A1272" s="1886">
        <v>1272</v>
      </c>
      <c r="B1272" s="5250"/>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c r="A1273" s="1886">
        <v>1273</v>
      </c>
      <c r="B1273" s="5250"/>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c r="A1274" s="1886">
        <v>1274</v>
      </c>
      <c r="B1274" s="5250"/>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c r="A1275" s="1886">
        <v>1275</v>
      </c>
      <c r="B1275" s="5250"/>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c r="A1276" s="1886">
        <v>1276</v>
      </c>
      <c r="B1276" s="5250"/>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c r="A1277" s="1886">
        <v>1277</v>
      </c>
      <c r="B1277" s="5250"/>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c r="A1278" s="1886">
        <v>1278</v>
      </c>
      <c r="B1278" s="5250"/>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c r="A1279" s="1886">
        <v>1279</v>
      </c>
      <c r="B1279" s="5250"/>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c r="A1280" s="1886">
        <v>1280</v>
      </c>
      <c r="B1280" s="5250"/>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469"/>
      <c r="BK1280" s="5469"/>
      <c r="BL1280" s="5469"/>
      <c r="BM1280" s="5469"/>
      <c r="BN1280" s="5469"/>
      <c r="BO1280" s="5469"/>
      <c r="BP1280" s="5469"/>
      <c r="BQ1280" s="5469"/>
      <c r="BR1280" s="5469"/>
      <c r="BS1280" s="5469"/>
      <c r="BT1280" s="5469"/>
      <c r="BU1280" s="5469"/>
      <c r="BV1280" s="5469"/>
      <c r="BW1280" s="5469"/>
      <c r="BX1280" s="5469"/>
      <c r="BY1280" s="5469"/>
      <c r="BZ1280" s="5469"/>
      <c r="CA1280" s="5472"/>
    </row>
    <row r="1281" spans="1:79" ht="12.75" customHeight="1">
      <c r="A1281" s="1886">
        <v>1281</v>
      </c>
      <c r="B1281" s="5250"/>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c r="A1282" s="1886">
        <v>1282</v>
      </c>
      <c r="B1282" s="5250"/>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c r="A1283" s="1886">
        <v>1283</v>
      </c>
      <c r="B1283" s="5250"/>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5"/>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c r="A1284" s="1886">
        <v>1284</v>
      </c>
      <c r="B1284" s="5250"/>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c r="A1285" s="1886">
        <v>1285</v>
      </c>
      <c r="B1285" s="5250"/>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c r="A1286" s="1886">
        <v>1286</v>
      </c>
      <c r="B1286" s="5250"/>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c r="A1287" s="1886">
        <v>1287</v>
      </c>
      <c r="B1287" s="5250"/>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c r="A1288" s="1886">
        <v>1288</v>
      </c>
      <c r="B1288" s="5250"/>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c r="A1289" s="1886">
        <v>1289</v>
      </c>
      <c r="B1289" s="5250"/>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c r="A1290" s="1886">
        <v>1290</v>
      </c>
      <c r="B1290" s="5250"/>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c r="A1291" s="1886">
        <v>1291</v>
      </c>
      <c r="B1291" s="5250"/>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c r="A1292" s="1886">
        <v>1292</v>
      </c>
      <c r="B1292" s="5250"/>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5"/>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c r="A1293" s="1886">
        <v>1293</v>
      </c>
      <c r="B1293" s="5250"/>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c r="A1294" s="1886">
        <v>1294</v>
      </c>
      <c r="B1294" s="5250"/>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c r="A1295" s="1886">
        <v>1295</v>
      </c>
      <c r="B1295" s="5250"/>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c r="A1296" s="1886">
        <v>1296</v>
      </c>
      <c r="B1296" s="5250"/>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6"/>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c r="A1297" s="1886">
        <v>1297</v>
      </c>
      <c r="B1297" s="5250"/>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6"/>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c r="A1298" s="1886">
        <v>1298</v>
      </c>
      <c r="B1298" s="5250"/>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6"/>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c r="A1299" s="1886">
        <v>1299</v>
      </c>
      <c r="B1299" s="5250"/>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6"/>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c r="A1300" s="1886">
        <v>1300</v>
      </c>
      <c r="B1300" s="5250"/>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6"/>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c r="A1301" s="1886">
        <v>1301</v>
      </c>
      <c r="B1301" s="5250"/>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6"/>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c r="A1302" s="1886">
        <v>1302</v>
      </c>
      <c r="B1302" s="5250"/>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6"/>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c r="A1303" s="1886">
        <v>1303</v>
      </c>
      <c r="B1303" s="5250"/>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6"/>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c r="A1304" s="1886">
        <v>1304</v>
      </c>
      <c r="B1304" s="5250"/>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6"/>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c r="A1305" s="1886">
        <v>1305</v>
      </c>
      <c r="B1305" s="5250"/>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6"/>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c r="A1306" s="1886">
        <v>1306</v>
      </c>
      <c r="B1306" s="5250"/>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6"/>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c r="A1307" s="1886">
        <v>1307</v>
      </c>
      <c r="B1307" s="5250"/>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6"/>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c r="A1308" s="1886">
        <v>1308</v>
      </c>
      <c r="B1308" s="5250"/>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6"/>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c r="A1309" s="1886">
        <v>1309</v>
      </c>
      <c r="B1309" s="5250"/>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6"/>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c r="A1310" s="1886">
        <v>1310</v>
      </c>
      <c r="B1310" s="5250"/>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6"/>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c r="A1311" s="1886">
        <v>1311</v>
      </c>
      <c r="B1311" s="5250"/>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c r="A1312" s="1886">
        <v>1312</v>
      </c>
      <c r="B1312" s="5250"/>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c r="A1313" s="1886">
        <v>1313</v>
      </c>
      <c r="B1313" s="5250"/>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c r="A1314" s="1886">
        <v>1314</v>
      </c>
      <c r="B1314" s="5250"/>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c r="A1315" s="1886">
        <v>1315</v>
      </c>
      <c r="B1315" s="5250"/>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c r="A1316" s="1886">
        <v>1316</v>
      </c>
      <c r="B1316" s="5250"/>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c r="A1317" s="1886">
        <v>1317</v>
      </c>
      <c r="B1317" s="5250"/>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7"/>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c r="A1318" s="1886">
        <v>1318</v>
      </c>
      <c r="B1318" s="5250"/>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7"/>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c r="A1319" s="1886">
        <v>1319</v>
      </c>
      <c r="B1319" s="5250"/>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7"/>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c r="A1320" s="1886">
        <v>1320</v>
      </c>
      <c r="B1320" s="5250"/>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7"/>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c r="A1321" s="1886">
        <v>1321</v>
      </c>
      <c r="B1321" s="5250"/>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7"/>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c r="A1322" s="1886">
        <v>1322</v>
      </c>
      <c r="B1322" s="5250"/>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c r="A1323" s="1886">
        <v>1323</v>
      </c>
      <c r="B1323" s="5250"/>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c r="A1324" s="1886">
        <v>1324</v>
      </c>
      <c r="B1324" s="5250"/>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c r="A1325" s="1886">
        <v>1325</v>
      </c>
      <c r="B1325" s="5250"/>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c r="A1326" s="1886">
        <v>1326</v>
      </c>
      <c r="B1326" s="5250"/>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8"/>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c r="A1327" s="1886">
        <v>1327</v>
      </c>
      <c r="B1327" s="5250"/>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8"/>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c r="A1328" s="1886">
        <v>1328</v>
      </c>
      <c r="B1328" s="5250"/>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8"/>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c r="A1329" s="1886">
        <v>1329</v>
      </c>
      <c r="B1329" s="5250"/>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8"/>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c r="A1330" s="1886">
        <v>1330</v>
      </c>
      <c r="B1330" s="5250"/>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8"/>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c r="A1331" s="1886">
        <v>1331</v>
      </c>
      <c r="B1331" s="5250"/>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c r="A1332" s="1886">
        <v>1332</v>
      </c>
      <c r="B1332" s="5250"/>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c r="A1333" s="1886">
        <v>1333</v>
      </c>
      <c r="B1333" s="5250"/>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c r="A1334" s="1886">
        <v>1334</v>
      </c>
      <c r="B1334" s="5250"/>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8"/>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c r="A1335" s="1886">
        <v>1335</v>
      </c>
      <c r="B1335" s="5250"/>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091"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c r="A1336" s="1886">
        <v>1336</v>
      </c>
      <c r="B1336" s="5250"/>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c r="A1337" s="1886">
        <v>1337</v>
      </c>
      <c r="B1337" s="5250"/>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8"/>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c r="A1338" s="1886">
        <v>1338</v>
      </c>
      <c r="B1338" s="5250"/>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c r="A1339" s="1886">
        <v>1339</v>
      </c>
      <c r="B1339" s="5250"/>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8"/>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c r="A1340" s="1886">
        <v>1340</v>
      </c>
      <c r="B1340" s="5250"/>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c r="A1341" s="1886">
        <v>1341</v>
      </c>
      <c r="B1341" s="5250"/>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c r="A1342" s="1886">
        <v>1342</v>
      </c>
      <c r="B1342" s="5250"/>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8"/>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c r="A1343" s="1886">
        <v>1343</v>
      </c>
      <c r="B1343" s="5250"/>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8"/>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c r="A1344" s="1886">
        <v>1344</v>
      </c>
      <c r="B1344" s="5250"/>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8"/>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c r="A1345" s="1886">
        <v>1345</v>
      </c>
      <c r="B1345" s="5250"/>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8"/>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c r="A1346" s="1886">
        <v>1346</v>
      </c>
      <c r="B1346" s="5250"/>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8"/>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c r="A1347" s="1886">
        <v>1347</v>
      </c>
      <c r="B1347" s="5250"/>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8"/>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c r="A1348" s="1886">
        <v>1348</v>
      </c>
      <c r="B1348" s="5250"/>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8"/>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c r="A1349" s="1886">
        <v>1349</v>
      </c>
      <c r="B1349" s="5250"/>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8"/>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c r="A1350" s="1886">
        <v>1350</v>
      </c>
      <c r="B1350" s="5250"/>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8"/>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c r="A1351" s="1886">
        <v>1351</v>
      </c>
      <c r="B1351" s="5250"/>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8"/>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c r="A1352" s="1886">
        <v>1352</v>
      </c>
      <c r="B1352" s="5250"/>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8"/>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c r="A1353" s="1886">
        <v>1353</v>
      </c>
      <c r="B1353" s="5250"/>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8"/>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c r="A1354" s="1886">
        <v>1354</v>
      </c>
      <c r="B1354" s="5250"/>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8"/>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c r="A1355" s="1886">
        <v>1355</v>
      </c>
      <c r="B1355" s="5250"/>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c r="A1356" s="1886">
        <v>1356</v>
      </c>
      <c r="B1356" s="5250"/>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c r="A1357" s="1886">
        <v>1357</v>
      </c>
      <c r="B1357" s="5250"/>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c r="A1358" s="1886">
        <v>1358</v>
      </c>
      <c r="B1358" s="5250"/>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c r="A1359" s="1886">
        <v>1359</v>
      </c>
      <c r="B1359" s="5250"/>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8"/>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c r="A1360" s="1886">
        <v>1360</v>
      </c>
      <c r="B1360" s="5250"/>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8"/>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c r="A1361" s="1886">
        <v>1361</v>
      </c>
      <c r="B1361" s="5250"/>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8"/>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c r="A1362" s="1886">
        <v>1362</v>
      </c>
      <c r="B1362" s="5250"/>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8"/>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c r="A1363" s="1886">
        <v>1363</v>
      </c>
      <c r="B1363" s="5250"/>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c r="A1364" s="1886">
        <v>1364</v>
      </c>
      <c r="B1364" s="5250"/>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c r="A1365" s="1886">
        <v>1365</v>
      </c>
      <c r="B1365" s="5250"/>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c r="A1366" s="1886">
        <v>1366</v>
      </c>
      <c r="B1366" s="5250"/>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c r="A1367" s="1886">
        <v>1367</v>
      </c>
      <c r="B1367" s="5250"/>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c r="A1368" s="1886">
        <v>1368</v>
      </c>
      <c r="B1368" s="5250"/>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c r="A1369" s="1886">
        <v>1369</v>
      </c>
      <c r="B1369" s="5250"/>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c r="A1370" s="1886">
        <v>1370</v>
      </c>
      <c r="B1370" s="5250"/>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c r="A1371" s="1886">
        <v>1371</v>
      </c>
      <c r="B1371" s="5250"/>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c r="A1372" s="1886">
        <v>1372</v>
      </c>
      <c r="B1372" s="5250"/>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c r="A1373" s="1886">
        <v>1373</v>
      </c>
      <c r="B1373" s="5250"/>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c r="A1374" s="1886">
        <v>1374</v>
      </c>
      <c r="B1374" s="5250"/>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c r="A1375" s="1886">
        <v>1375</v>
      </c>
      <c r="B1375" s="5250"/>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c r="A1376" s="1886">
        <v>1376</v>
      </c>
      <c r="B1376" s="5250"/>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c r="A1377" s="1886">
        <v>1377</v>
      </c>
      <c r="B1377" s="5250"/>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c r="A1378" s="1886">
        <v>1378</v>
      </c>
      <c r="B1378" s="5250"/>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c r="A1379" s="1886">
        <v>1379</v>
      </c>
      <c r="B1379" s="5250"/>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c r="A1380" s="1886">
        <v>1380</v>
      </c>
      <c r="B1380" s="5250"/>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c r="A1381" s="1886">
        <v>1381</v>
      </c>
      <c r="B1381" s="5250"/>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c r="A1382" s="1886">
        <v>1382</v>
      </c>
      <c r="B1382" s="5250"/>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c r="A1383" s="1886">
        <v>1383</v>
      </c>
      <c r="B1383" s="5250"/>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c r="A1384" s="1886">
        <v>1384</v>
      </c>
      <c r="B1384" s="5250"/>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c r="A1385" s="1886">
        <v>1385</v>
      </c>
      <c r="B1385" s="5250"/>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c r="A1386" s="1886">
        <v>1386</v>
      </c>
      <c r="B1386" s="5250"/>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c r="A1387" s="1886">
        <v>1387</v>
      </c>
      <c r="B1387" s="5250"/>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c r="A1388" s="1886">
        <v>1388</v>
      </c>
      <c r="B1388" s="5250"/>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c r="A1389" s="1886">
        <v>1389</v>
      </c>
      <c r="B1389" s="5250"/>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c r="A1390" s="1886">
        <v>1390</v>
      </c>
      <c r="B1390" s="5250"/>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c r="A1391" s="1886">
        <v>1391</v>
      </c>
      <c r="B1391" s="5250"/>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c r="A1392" s="1886">
        <v>1392</v>
      </c>
      <c r="B1392" s="5250"/>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c r="A1393" s="1886">
        <v>1393</v>
      </c>
      <c r="B1393" s="5250"/>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c r="A1394" s="1886">
        <v>1394</v>
      </c>
      <c r="B1394" s="5250"/>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c r="A1395" s="1886">
        <v>1395</v>
      </c>
      <c r="B1395" s="5250"/>
      <c r="C1395" s="1969"/>
      <c r="H1395" s="361"/>
      <c r="M1395" s="1823"/>
      <c r="N1395" s="96"/>
      <c r="O1395" s="408" t="s">
        <v>9477</v>
      </c>
      <c r="P1395" s="2508">
        <v>0</v>
      </c>
      <c r="Q1395" s="490">
        <v>-10</v>
      </c>
      <c r="R1395" s="2515">
        <f>COUNTIF(PoderesDeCriatura_Adquiridos,Tablas!O1395)</f>
        <v>0</v>
      </c>
      <c r="S1395" s="367"/>
      <c r="T1395" s="2506"/>
    </row>
    <row r="1396" spans="1:21" ht="12.75" customHeight="1">
      <c r="A1396" s="1886">
        <v>1396</v>
      </c>
      <c r="B1396" s="5250"/>
      <c r="C1396" s="1969"/>
      <c r="H1396" s="361"/>
      <c r="M1396" s="1823"/>
      <c r="N1396" s="96"/>
      <c r="O1396" s="408" t="s">
        <v>9478</v>
      </c>
      <c r="P1396" s="2508">
        <v>10</v>
      </c>
      <c r="Q1396" s="490">
        <v>-40</v>
      </c>
      <c r="R1396" s="2515">
        <f>COUNTIF(PoderesDeCriatura_Adquiridos,Tablas!O1396)</f>
        <v>0</v>
      </c>
      <c r="S1396" s="367"/>
      <c r="T1396" s="2506"/>
    </row>
    <row r="1397" spans="1:21" ht="12.75" customHeight="1">
      <c r="A1397" s="1886">
        <v>1397</v>
      </c>
      <c r="B1397" s="5250"/>
      <c r="C1397" s="1969"/>
      <c r="H1397" s="361"/>
      <c r="M1397" s="1823"/>
      <c r="N1397" s="96"/>
      <c r="O1397" s="408" t="s">
        <v>9479</v>
      </c>
      <c r="P1397" s="2508">
        <v>10</v>
      </c>
      <c r="Q1397" s="490">
        <v>-30</v>
      </c>
      <c r="R1397" s="2515">
        <f>COUNTIF(PoderesDeCriatura_Adquiridos,Tablas!O1397)</f>
        <v>0</v>
      </c>
      <c r="S1397" s="367"/>
      <c r="T1397" s="2506"/>
    </row>
    <row r="1398" spans="1:21" ht="12.75" customHeight="1">
      <c r="A1398" s="1886">
        <v>1398</v>
      </c>
      <c r="B1398" s="5250"/>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c r="A1399" s="1886">
        <v>1399</v>
      </c>
      <c r="B1399" s="5250"/>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c r="A1400" s="1886">
        <v>1400</v>
      </c>
      <c r="B1400" s="5250"/>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c r="A1401" s="1886">
        <v>1401</v>
      </c>
      <c r="B1401" s="5250"/>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c r="A1402" s="1886">
        <v>1402</v>
      </c>
      <c r="B1402" s="5250"/>
      <c r="C1402" s="1969"/>
      <c r="H1402" s="361"/>
      <c r="M1402" s="1823"/>
      <c r="N1402" s="96"/>
      <c r="O1402" s="408" t="s">
        <v>1622</v>
      </c>
      <c r="P1402" s="2508"/>
      <c r="Q1402" s="490"/>
      <c r="R1402" s="2515"/>
      <c r="S1402" s="367"/>
      <c r="T1402" s="2506"/>
      <c r="U1402" s="491"/>
    </row>
    <row r="1403" spans="1:21" ht="12.75" customHeight="1">
      <c r="A1403" s="1886">
        <v>1403</v>
      </c>
      <c r="B1403" s="5250"/>
      <c r="C1403" s="1969"/>
      <c r="H1403" s="361"/>
      <c r="M1403" s="1823"/>
      <c r="N1403" s="96"/>
      <c r="O1403" s="408" t="s">
        <v>10132</v>
      </c>
      <c r="P1403" s="2508">
        <v>15</v>
      </c>
      <c r="Q1403" s="490">
        <v>40</v>
      </c>
      <c r="R1403" s="2515">
        <f>COUNTIF(PoderesDeCriatura_Adquiridos,Tablas!O1403)</f>
        <v>0</v>
      </c>
      <c r="S1403" s="367"/>
      <c r="T1403" s="2506"/>
      <c r="U1403" s="491"/>
    </row>
    <row r="1404" spans="1:21" ht="12.75" customHeight="1">
      <c r="A1404" s="1886">
        <v>1404</v>
      </c>
      <c r="B1404" s="5250"/>
      <c r="C1404" s="1969"/>
      <c r="H1404" s="361"/>
      <c r="M1404" s="1823"/>
      <c r="N1404" s="96"/>
      <c r="O1404" s="408" t="s">
        <v>10133</v>
      </c>
      <c r="P1404" s="2508">
        <v>20</v>
      </c>
      <c r="Q1404" s="490">
        <v>60</v>
      </c>
      <c r="R1404" s="2515">
        <f>COUNTIF(PoderesDeCriatura_Adquiridos,Tablas!O1404)</f>
        <v>0</v>
      </c>
      <c r="S1404" s="367"/>
      <c r="T1404" s="2506"/>
      <c r="U1404" s="491"/>
    </row>
    <row r="1405" spans="1:21" ht="12.75" customHeight="1">
      <c r="A1405" s="1886">
        <v>1405</v>
      </c>
      <c r="B1405" s="5250"/>
      <c r="C1405" s="1969"/>
      <c r="H1405" s="361"/>
      <c r="M1405" s="1823"/>
      <c r="N1405" s="96"/>
      <c r="O1405" s="408" t="s">
        <v>10134</v>
      </c>
      <c r="P1405" s="2508">
        <v>20</v>
      </c>
      <c r="Q1405" s="490">
        <v>80</v>
      </c>
      <c r="R1405" s="2515">
        <f>COUNTIF(PoderesDeCriatura_Adquiridos,Tablas!O1405)</f>
        <v>0</v>
      </c>
      <c r="S1405" s="367"/>
      <c r="T1405" s="2506"/>
      <c r="U1405" s="491"/>
    </row>
    <row r="1406" spans="1:21" ht="12.75" customHeight="1">
      <c r="A1406" s="1886">
        <v>1406</v>
      </c>
      <c r="B1406" s="5250"/>
      <c r="C1406" s="1969"/>
      <c r="H1406" s="361"/>
      <c r="M1406" s="1823"/>
      <c r="N1406" s="96"/>
      <c r="O1406" s="408" t="s">
        <v>10135</v>
      </c>
      <c r="P1406" s="2508">
        <v>25</v>
      </c>
      <c r="Q1406" s="490">
        <v>100</v>
      </c>
      <c r="R1406" s="2515">
        <f>COUNTIF(PoderesDeCriatura_Adquiridos,Tablas!O1406)</f>
        <v>0</v>
      </c>
      <c r="S1406" s="367"/>
      <c r="T1406" s="2506"/>
      <c r="U1406" s="491"/>
    </row>
    <row r="1407" spans="1:21" ht="12.75" customHeight="1">
      <c r="A1407" s="1886">
        <v>1407</v>
      </c>
      <c r="B1407" s="5250"/>
      <c r="C1407" s="1969"/>
      <c r="H1407" s="361"/>
      <c r="M1407" s="1823"/>
      <c r="N1407" s="96"/>
      <c r="O1407" s="408" t="s">
        <v>10136</v>
      </c>
      <c r="P1407" s="2508">
        <v>30</v>
      </c>
      <c r="Q1407" s="490">
        <v>140</v>
      </c>
      <c r="R1407" s="2515">
        <f>COUNTIF(PoderesDeCriatura_Adquiridos,Tablas!O1407)</f>
        <v>0</v>
      </c>
      <c r="S1407" s="367"/>
      <c r="T1407" s="2506"/>
      <c r="U1407" s="491"/>
    </row>
    <row r="1408" spans="1:21" ht="12.75" customHeight="1">
      <c r="A1408" s="1886">
        <v>1408</v>
      </c>
      <c r="B1408" s="5250"/>
      <c r="C1408" s="1969"/>
      <c r="H1408" s="361"/>
      <c r="M1408" s="1823"/>
      <c r="N1408" s="96"/>
      <c r="O1408" s="408" t="s">
        <v>10137</v>
      </c>
      <c r="P1408" s="2508">
        <v>35</v>
      </c>
      <c r="Q1408" s="490">
        <v>180</v>
      </c>
      <c r="R1408" s="2515">
        <f>COUNTIF(PoderesDeCriatura_Adquiridos,Tablas!O1408)</f>
        <v>0</v>
      </c>
      <c r="S1408" s="367"/>
      <c r="T1408" s="2506"/>
      <c r="U1408" s="491"/>
    </row>
    <row r="1409" spans="1:21" ht="12.75" customHeight="1">
      <c r="A1409" s="1886">
        <v>1409</v>
      </c>
      <c r="B1409" s="5250"/>
      <c r="C1409" s="1969"/>
      <c r="H1409" s="361"/>
      <c r="M1409" s="1823"/>
      <c r="N1409" s="96"/>
      <c r="O1409" s="408" t="s">
        <v>10138</v>
      </c>
      <c r="P1409" s="2508">
        <v>15</v>
      </c>
      <c r="Q1409" s="490">
        <v>30</v>
      </c>
      <c r="R1409" s="2515">
        <f>COUNTIF(PoderesDeCriatura_Adquiridos,Tablas!O1409)</f>
        <v>0</v>
      </c>
      <c r="S1409" s="367"/>
      <c r="T1409" s="2506"/>
      <c r="U1409" s="491"/>
    </row>
    <row r="1410" spans="1:21" ht="12.75" customHeight="1">
      <c r="A1410" s="1886">
        <v>1410</v>
      </c>
      <c r="B1410" s="5250"/>
      <c r="C1410" s="1969"/>
      <c r="H1410" s="361"/>
      <c r="M1410" s="1823"/>
      <c r="N1410" s="96"/>
      <c r="O1410" s="408" t="s">
        <v>10139</v>
      </c>
      <c r="P1410" s="2508">
        <v>15</v>
      </c>
      <c r="Q1410" s="490">
        <v>40</v>
      </c>
      <c r="R1410" s="2515">
        <f>COUNTIF(PoderesDeCriatura_Adquiridos,Tablas!O1410)</f>
        <v>0</v>
      </c>
      <c r="S1410" s="367"/>
      <c r="T1410" s="2506"/>
      <c r="U1410" s="491"/>
    </row>
    <row r="1411" spans="1:21" ht="12.75" customHeight="1">
      <c r="A1411" s="1886">
        <v>1411</v>
      </c>
      <c r="B1411" s="5250"/>
      <c r="C1411" s="1969"/>
      <c r="H1411" s="361"/>
      <c r="M1411" s="1823"/>
      <c r="N1411" s="96"/>
      <c r="O1411" s="408" t="s">
        <v>10140</v>
      </c>
      <c r="P1411" s="2508">
        <v>20</v>
      </c>
      <c r="Q1411" s="490">
        <v>50</v>
      </c>
      <c r="R1411" s="2515">
        <f>COUNTIF(PoderesDeCriatura_Adquiridos,Tablas!O1411)</f>
        <v>0</v>
      </c>
      <c r="S1411" s="367"/>
      <c r="T1411" s="2506"/>
      <c r="U1411" s="491"/>
    </row>
    <row r="1412" spans="1:21" ht="12.75" customHeight="1">
      <c r="A1412" s="1886">
        <v>1412</v>
      </c>
      <c r="B1412" s="5250"/>
      <c r="C1412" s="1969"/>
      <c r="H1412" s="361"/>
      <c r="M1412" s="1823"/>
      <c r="N1412" s="96"/>
      <c r="O1412" s="408" t="s">
        <v>10141</v>
      </c>
      <c r="P1412" s="2508">
        <v>20</v>
      </c>
      <c r="Q1412" s="490">
        <v>75</v>
      </c>
      <c r="R1412" s="2515">
        <f>COUNTIF(PoderesDeCriatura_Adquiridos,Tablas!O1412)</f>
        <v>0</v>
      </c>
      <c r="S1412" s="367"/>
      <c r="T1412" s="2506"/>
      <c r="U1412" s="491"/>
    </row>
    <row r="1413" spans="1:21" ht="12.75" customHeight="1">
      <c r="A1413" s="1886">
        <v>1413</v>
      </c>
      <c r="B1413" s="5250"/>
      <c r="C1413" s="1969"/>
      <c r="H1413" s="361"/>
      <c r="M1413" s="1823"/>
      <c r="N1413" s="96"/>
      <c r="O1413" s="408" t="s">
        <v>10142</v>
      </c>
      <c r="P1413" s="2508">
        <v>25</v>
      </c>
      <c r="Q1413" s="490">
        <v>100</v>
      </c>
      <c r="R1413" s="2515">
        <f>COUNTIF(PoderesDeCriatura_Adquiridos,Tablas!O1413)</f>
        <v>0</v>
      </c>
      <c r="S1413" s="367"/>
      <c r="T1413" s="2506"/>
      <c r="U1413" s="491"/>
    </row>
    <row r="1414" spans="1:21" ht="12.75" customHeight="1">
      <c r="A1414" s="1886">
        <v>1414</v>
      </c>
      <c r="B1414" s="5250"/>
      <c r="C1414" s="1969"/>
      <c r="H1414" s="361"/>
      <c r="M1414" s="1823"/>
      <c r="N1414" s="96"/>
      <c r="O1414" s="408" t="s">
        <v>10143</v>
      </c>
      <c r="P1414" s="2508">
        <v>30</v>
      </c>
      <c r="Q1414" s="490">
        <v>125</v>
      </c>
      <c r="R1414" s="2515">
        <f>COUNTIF(PoderesDeCriatura_Adquiridos,Tablas!O1414)</f>
        <v>0</v>
      </c>
      <c r="S1414" s="367"/>
      <c r="T1414" s="2506"/>
      <c r="U1414" s="491"/>
    </row>
    <row r="1415" spans="1:21" ht="12.75" customHeight="1">
      <c r="A1415" s="1886">
        <v>1415</v>
      </c>
      <c r="B1415" s="5250"/>
      <c r="C1415" s="1969"/>
      <c r="H1415" s="361"/>
      <c r="M1415" s="1823"/>
      <c r="N1415" s="96"/>
      <c r="O1415" s="408" t="s">
        <v>10144</v>
      </c>
      <c r="P1415" s="2508">
        <v>35</v>
      </c>
      <c r="Q1415" s="490">
        <v>150</v>
      </c>
      <c r="R1415" s="2515">
        <f>COUNTIF(PoderesDeCriatura_Adquiridos,Tablas!O1415)</f>
        <v>0</v>
      </c>
      <c r="S1415" s="367"/>
      <c r="T1415" s="2506"/>
      <c r="U1415" s="491"/>
    </row>
    <row r="1416" spans="1:21" ht="12.75" customHeight="1">
      <c r="A1416" s="1886">
        <v>1416</v>
      </c>
      <c r="B1416" s="5250"/>
      <c r="C1416" s="1969"/>
      <c r="H1416" s="361"/>
      <c r="M1416" s="1823"/>
      <c r="N1416" s="96"/>
      <c r="O1416" s="408" t="s">
        <v>10145</v>
      </c>
      <c r="P1416" s="2508">
        <v>15</v>
      </c>
      <c r="Q1416" s="490">
        <v>60</v>
      </c>
      <c r="R1416" s="2515">
        <f>COUNTIF(PoderesDeCriatura_Adquiridos,Tablas!O1416)</f>
        <v>0</v>
      </c>
      <c r="S1416" s="367"/>
      <c r="T1416" s="2506"/>
      <c r="U1416" s="491"/>
    </row>
    <row r="1417" spans="1:21" ht="12.75" customHeight="1">
      <c r="A1417" s="1886">
        <v>1417</v>
      </c>
      <c r="B1417" s="5250"/>
      <c r="C1417" s="1969"/>
      <c r="H1417" s="361"/>
      <c r="M1417" s="1823"/>
      <c r="N1417" s="96"/>
      <c r="O1417" s="408" t="s">
        <v>10146</v>
      </c>
      <c r="P1417" s="2508">
        <v>20</v>
      </c>
      <c r="Q1417" s="490">
        <v>80</v>
      </c>
      <c r="R1417" s="2515">
        <f>COUNTIF(PoderesDeCriatura_Adquiridos,Tablas!O1417)</f>
        <v>0</v>
      </c>
      <c r="S1417" s="367"/>
      <c r="T1417" s="2506"/>
      <c r="U1417" s="491"/>
    </row>
    <row r="1418" spans="1:21" ht="12.75" customHeight="1">
      <c r="A1418" s="1886">
        <v>1418</v>
      </c>
      <c r="B1418" s="5250"/>
      <c r="C1418" s="1969"/>
      <c r="H1418" s="361"/>
      <c r="M1418" s="1823"/>
      <c r="N1418" s="96"/>
      <c r="O1418" s="408" t="s">
        <v>10147</v>
      </c>
      <c r="P1418" s="2508">
        <v>25</v>
      </c>
      <c r="Q1418" s="490">
        <v>120</v>
      </c>
      <c r="R1418" s="2515">
        <f>COUNTIF(PoderesDeCriatura_Adquiridos,Tablas!O1418)</f>
        <v>0</v>
      </c>
      <c r="S1418" s="367"/>
      <c r="T1418" s="2506"/>
      <c r="U1418" s="491"/>
    </row>
    <row r="1419" spans="1:21" ht="12.75" customHeight="1">
      <c r="A1419" s="1886">
        <v>1419</v>
      </c>
      <c r="B1419" s="5250"/>
      <c r="C1419" s="1969"/>
      <c r="H1419" s="361"/>
      <c r="M1419" s="1823"/>
      <c r="N1419" s="96"/>
      <c r="O1419" s="408" t="s">
        <v>10148</v>
      </c>
      <c r="P1419" s="2508">
        <v>30</v>
      </c>
      <c r="Q1419" s="490">
        <v>140</v>
      </c>
      <c r="R1419" s="2515">
        <f>COUNTIF(PoderesDeCriatura_Adquiridos,Tablas!O1419)</f>
        <v>0</v>
      </c>
      <c r="S1419" s="367"/>
      <c r="T1419" s="2506"/>
      <c r="U1419" s="491"/>
    </row>
    <row r="1420" spans="1:21" ht="12.75" customHeight="1">
      <c r="A1420" s="1886">
        <v>1420</v>
      </c>
      <c r="B1420" s="5250"/>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c r="A1421" s="1886">
        <v>1421</v>
      </c>
      <c r="B1421" s="5250"/>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c r="A1422" s="1886">
        <v>1422</v>
      </c>
      <c r="B1422" s="5250"/>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c r="A1423" s="1886">
        <v>1423</v>
      </c>
      <c r="B1423" s="5250"/>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c r="A1424" s="1886">
        <v>1424</v>
      </c>
      <c r="B1424" s="5250"/>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c r="A1425" s="1886">
        <v>1425</v>
      </c>
      <c r="B1425" s="5250"/>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c r="A1426" s="1886">
        <v>1426</v>
      </c>
      <c r="B1426" s="5250"/>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c r="A1427" s="1886">
        <v>1427</v>
      </c>
      <c r="B1427" s="5250"/>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c r="A1428" s="1886">
        <v>1428</v>
      </c>
      <c r="B1428" s="5250"/>
      <c r="C1428" s="1969"/>
      <c r="H1428" s="361"/>
      <c r="M1428" s="1823"/>
      <c r="N1428" s="96"/>
      <c r="O1428" s="408" t="s">
        <v>10026</v>
      </c>
      <c r="P1428" s="2508">
        <v>20</v>
      </c>
      <c r="Q1428" s="490">
        <v>-10</v>
      </c>
      <c r="R1428" s="2515">
        <f>COUNTIF(PoderesDeCriatura_Adquiridos,Tablas!O1428)</f>
        <v>0</v>
      </c>
      <c r="S1428" s="367"/>
      <c r="T1428" s="2506"/>
      <c r="U1428" s="491"/>
    </row>
    <row r="1429" spans="1:21" ht="12.75" customHeight="1">
      <c r="A1429" s="1886">
        <v>1429</v>
      </c>
      <c r="B1429" s="5250"/>
      <c r="C1429" s="1969"/>
      <c r="H1429" s="361"/>
      <c r="M1429" s="1823"/>
      <c r="N1429" s="96"/>
      <c r="O1429" s="408" t="s">
        <v>10027</v>
      </c>
      <c r="P1429" s="2508">
        <v>20</v>
      </c>
      <c r="Q1429" s="490">
        <v>-10</v>
      </c>
      <c r="R1429" s="2515">
        <f>COUNTIF(PoderesDeCriatura_Adquiridos,Tablas!O1429)</f>
        <v>0</v>
      </c>
      <c r="S1429" s="367"/>
      <c r="T1429" s="2506"/>
      <c r="U1429" s="491"/>
    </row>
    <row r="1430" spans="1:21" ht="12.75" customHeight="1">
      <c r="A1430" s="1886">
        <v>1430</v>
      </c>
      <c r="B1430" s="5250"/>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c r="A1431" s="1886">
        <v>1431</v>
      </c>
      <c r="B1431" s="5250"/>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c r="A1432" s="1886">
        <v>1432</v>
      </c>
      <c r="B1432" s="5250"/>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c r="A1433" s="1886">
        <v>1433</v>
      </c>
      <c r="B1433" s="5250"/>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c r="A1434" s="1886">
        <v>1434</v>
      </c>
      <c r="B1434" s="5250"/>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c r="A1435" s="1886">
        <v>1435</v>
      </c>
      <c r="B1435" s="5250"/>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c r="A1436" s="1886">
        <v>1436</v>
      </c>
      <c r="B1436" s="5250"/>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c r="A1437" s="1886">
        <v>1437</v>
      </c>
      <c r="B1437" s="5250"/>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c r="A1438" s="1886">
        <v>1438</v>
      </c>
      <c r="B1438" s="5250"/>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c r="A1439" s="1886">
        <v>1439</v>
      </c>
      <c r="B1439" s="5250"/>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c r="A1440" s="1886">
        <v>1440</v>
      </c>
      <c r="B1440" s="5250"/>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c r="A1441" s="1886">
        <v>1441</v>
      </c>
      <c r="B1441" s="5250"/>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c r="A1442" s="1886">
        <v>1442</v>
      </c>
      <c r="B1442" s="5250"/>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c r="A1443" s="1886">
        <v>1443</v>
      </c>
      <c r="B1443" s="5250"/>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c r="A1444" s="1886">
        <v>1444</v>
      </c>
      <c r="B1444" s="5250"/>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c r="A1445" s="1886">
        <v>1445</v>
      </c>
      <c r="B1445" s="5250"/>
      <c r="C1445" s="1969"/>
      <c r="H1445" s="361"/>
      <c r="M1445" s="1823"/>
      <c r="N1445" s="96"/>
      <c r="O1445" s="408" t="s">
        <v>1623</v>
      </c>
      <c r="P1445" s="2508"/>
      <c r="Q1445" s="490"/>
      <c r="R1445" s="2515"/>
      <c r="S1445" s="367"/>
      <c r="T1445" s="2506"/>
    </row>
    <row r="1446" spans="1:21" ht="12.75" customHeight="1">
      <c r="A1446" s="1886">
        <v>1446</v>
      </c>
      <c r="B1446" s="5250"/>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c r="A1447" s="1886">
        <v>1447</v>
      </c>
      <c r="B1447" s="5250"/>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c r="A1448" s="1886">
        <v>1448</v>
      </c>
      <c r="B1448" s="5250"/>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c r="A1449" s="1886">
        <v>1449</v>
      </c>
      <c r="B1449" s="5250"/>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c r="A1450" s="1886">
        <v>1450</v>
      </c>
      <c r="B1450" s="5250"/>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c r="A1451" s="1886">
        <v>1451</v>
      </c>
      <c r="B1451" s="5250"/>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c r="A1452" s="1886">
        <v>1452</v>
      </c>
      <c r="B1452" s="5250"/>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c r="A1453" s="1886">
        <v>1453</v>
      </c>
      <c r="B1453" s="5250"/>
      <c r="C1453" s="1969"/>
      <c r="H1453" s="361"/>
      <c r="M1453" s="1823"/>
      <c r="N1453" s="96"/>
      <c r="O1453" s="408" t="s">
        <v>9514</v>
      </c>
      <c r="P1453" s="2508">
        <v>25</v>
      </c>
      <c r="Q1453" s="490">
        <v>100</v>
      </c>
      <c r="R1453" s="2515">
        <f>COUNTIF(PoderesDeCriatura_Adquiridos,Tablas!O1453)</f>
        <v>0</v>
      </c>
      <c r="S1453" s="367"/>
      <c r="T1453" s="2506"/>
    </row>
    <row r="1454" spans="1:21" ht="12.75" customHeight="1">
      <c r="A1454" s="1886">
        <v>1454</v>
      </c>
      <c r="B1454" s="5250"/>
      <c r="C1454" s="1969"/>
      <c r="H1454" s="361"/>
      <c r="M1454" s="1823"/>
      <c r="N1454" s="96"/>
      <c r="O1454" s="408" t="s">
        <v>9515</v>
      </c>
      <c r="P1454" s="2508">
        <v>30</v>
      </c>
      <c r="Q1454" s="490">
        <v>120</v>
      </c>
      <c r="R1454" s="2515">
        <f>COUNTIF(PoderesDeCriatura_Adquiridos,Tablas!O1454)</f>
        <v>0</v>
      </c>
      <c r="S1454" s="367"/>
      <c r="T1454" s="2506"/>
    </row>
    <row r="1455" spans="1:21" ht="12.75" customHeight="1">
      <c r="A1455" s="1886">
        <v>1455</v>
      </c>
      <c r="B1455" s="5250"/>
      <c r="C1455" s="1969"/>
      <c r="H1455" s="361"/>
      <c r="M1455" s="1823"/>
      <c r="N1455" s="96"/>
      <c r="O1455" s="408" t="s">
        <v>9516</v>
      </c>
      <c r="P1455" s="2508">
        <v>35</v>
      </c>
      <c r="Q1455" s="490">
        <v>140</v>
      </c>
      <c r="R1455" s="2515">
        <f>COUNTIF(PoderesDeCriatura_Adquiridos,Tablas!O1455)</f>
        <v>0</v>
      </c>
      <c r="S1455" s="367"/>
      <c r="T1455" s="2506"/>
    </row>
    <row r="1456" spans="1:21" ht="12.75" customHeight="1">
      <c r="A1456" s="1886">
        <v>1456</v>
      </c>
      <c r="B1456" s="5250"/>
      <c r="C1456" s="1969"/>
      <c r="H1456" s="361"/>
      <c r="M1456" s="1823"/>
      <c r="N1456" s="96"/>
      <c r="O1456" s="408" t="s">
        <v>9517</v>
      </c>
      <c r="P1456" s="2508">
        <v>40</v>
      </c>
      <c r="Q1456" s="490">
        <v>180</v>
      </c>
      <c r="R1456" s="2515">
        <f>COUNTIF(PoderesDeCriatura_Adquiridos,Tablas!O1456)</f>
        <v>0</v>
      </c>
      <c r="S1456" s="367"/>
      <c r="T1456" s="2506"/>
    </row>
    <row r="1457" spans="1:21" ht="12.75" customHeight="1">
      <c r="A1457" s="1886">
        <v>1457</v>
      </c>
      <c r="B1457" s="5250"/>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c r="A1458" s="1886">
        <v>1458</v>
      </c>
      <c r="B1458" s="5250"/>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c r="A1459" s="1886">
        <v>1459</v>
      </c>
      <c r="B1459" s="5250"/>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c r="A1460" s="1886">
        <v>1460</v>
      </c>
      <c r="B1460" s="5250"/>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c r="A1461" s="1886">
        <v>1461</v>
      </c>
      <c r="B1461" s="5250"/>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c r="A1462" s="1886">
        <v>1462</v>
      </c>
      <c r="B1462" s="5250"/>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c r="A1463" s="1886">
        <v>1463</v>
      </c>
      <c r="B1463" s="5250"/>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c r="A1464" s="1886">
        <v>1464</v>
      </c>
      <c r="B1464" s="5250"/>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c r="A1465" s="1886">
        <v>1465</v>
      </c>
      <c r="B1465" s="5250"/>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c r="A1466" s="1886">
        <v>1466</v>
      </c>
      <c r="B1466" s="5250"/>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c r="A1467" s="1886">
        <v>1467</v>
      </c>
      <c r="B1467" s="5250"/>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c r="A1468" s="1886">
        <v>1468</v>
      </c>
      <c r="B1468" s="5250"/>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c r="A1469" s="1886">
        <v>1469</v>
      </c>
      <c r="B1469" s="5250"/>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c r="A1470" s="1886">
        <v>1470</v>
      </c>
      <c r="B1470" s="5250"/>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c r="A1471" s="1886">
        <v>1471</v>
      </c>
      <c r="B1471" s="5250"/>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c r="A1472" s="1886">
        <v>1472</v>
      </c>
      <c r="B1472" s="5250"/>
      <c r="C1472" s="1969"/>
      <c r="H1472" s="361"/>
      <c r="M1472" s="1823"/>
      <c r="N1472" s="96"/>
      <c r="O1472" s="408" t="s">
        <v>1624</v>
      </c>
      <c r="P1472" s="2508"/>
      <c r="Q1472" s="490"/>
      <c r="R1472" s="2515"/>
      <c r="S1472" s="367"/>
      <c r="T1472" s="2506"/>
      <c r="U1472" s="491"/>
    </row>
    <row r="1473" spans="1:21" ht="12.75" customHeight="1">
      <c r="A1473" s="1886">
        <v>1473</v>
      </c>
      <c r="B1473" s="5250"/>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c r="A1474" s="1886">
        <v>1474</v>
      </c>
      <c r="B1474" s="5250"/>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c r="A1475" s="1886">
        <v>1475</v>
      </c>
      <c r="B1475" s="5250"/>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c r="A1476" s="1886">
        <v>1476</v>
      </c>
      <c r="B1476" s="5250"/>
      <c r="C1476" s="1969"/>
      <c r="H1476" s="361"/>
      <c r="M1476" s="1823"/>
      <c r="N1476" s="96"/>
      <c r="O1476" s="408" t="s">
        <v>0</v>
      </c>
      <c r="P1476" s="2508"/>
      <c r="Q1476" s="490"/>
      <c r="R1476" s="2515"/>
      <c r="S1476" s="367"/>
      <c r="T1476" s="2506"/>
      <c r="U1476" s="491"/>
    </row>
    <row r="1477" spans="1:21" ht="12.75" customHeight="1">
      <c r="A1477" s="1886">
        <v>1477</v>
      </c>
      <c r="B1477" s="5250"/>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c r="A1478" s="1886">
        <v>1478</v>
      </c>
      <c r="B1478" s="5250"/>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c r="A1479" s="1886">
        <v>1479</v>
      </c>
      <c r="B1479" s="5250"/>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c r="A1480" s="1886">
        <v>1480</v>
      </c>
      <c r="B1480" s="5250"/>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c r="A1481" s="1886">
        <v>1481</v>
      </c>
      <c r="B1481" s="5250"/>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c r="A1482" s="1886">
        <v>1482</v>
      </c>
      <c r="B1482" s="5250"/>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c r="A1483" s="1886">
        <v>1483</v>
      </c>
      <c r="B1483" s="5250"/>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c r="A1484" s="1886">
        <v>1484</v>
      </c>
      <c r="B1484" s="5250"/>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c r="A1485" s="1886">
        <v>1485</v>
      </c>
      <c r="B1485" s="5250"/>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c r="A1486" s="1886">
        <v>1486</v>
      </c>
      <c r="B1486" s="5250"/>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c r="A1487" s="1886">
        <v>1487</v>
      </c>
      <c r="B1487" s="5250"/>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c r="A1488" s="1886">
        <v>1488</v>
      </c>
      <c r="B1488" s="5250"/>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c r="A1489" s="1886">
        <v>1489</v>
      </c>
      <c r="B1489" s="5250"/>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c r="A1490" s="1886">
        <v>1490</v>
      </c>
      <c r="B1490" s="5250"/>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c r="A1491" s="1886">
        <v>1491</v>
      </c>
      <c r="B1491" s="5250"/>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c r="A1492" s="1886">
        <v>1492</v>
      </c>
      <c r="B1492" s="5250"/>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c r="A1493" s="1886">
        <v>1493</v>
      </c>
      <c r="B1493" s="5250"/>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c r="A1494" s="1886">
        <v>1494</v>
      </c>
      <c r="B1494" s="5250"/>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c r="A1495" s="1886">
        <v>1495</v>
      </c>
      <c r="B1495" s="5250"/>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c r="A1496" s="1886">
        <v>1496</v>
      </c>
      <c r="B1496" s="5250"/>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c r="A1497" s="1886">
        <v>1497</v>
      </c>
      <c r="B1497" s="5250"/>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c r="A1498" s="1886">
        <v>1498</v>
      </c>
      <c r="B1498" s="5250"/>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c r="A1499" s="1886">
        <v>1499</v>
      </c>
      <c r="B1499" s="5250"/>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c r="A1500" s="1886">
        <v>1500</v>
      </c>
      <c r="B1500" s="5250"/>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c r="A1501" s="1886">
        <v>1501</v>
      </c>
      <c r="B1501" s="5250"/>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c r="A1502" s="1886">
        <v>1502</v>
      </c>
      <c r="B1502" s="5250"/>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c r="A1503" s="1886">
        <v>1503</v>
      </c>
      <c r="B1503" s="5250"/>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c r="A1504" s="1886">
        <v>1504</v>
      </c>
      <c r="B1504" s="5250"/>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c r="A1505" s="1886">
        <v>1505</v>
      </c>
      <c r="B1505" s="5250"/>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c r="A1506" s="1886">
        <v>1506</v>
      </c>
      <c r="B1506" s="5250"/>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c r="A1507" s="1886">
        <v>1507</v>
      </c>
      <c r="B1507" s="5250"/>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c r="A1508" s="1886">
        <v>1508</v>
      </c>
      <c r="B1508" s="5250"/>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c r="A1509" s="1886">
        <v>1509</v>
      </c>
      <c r="B1509" s="5250"/>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c r="A1510" s="1886">
        <v>1510</v>
      </c>
      <c r="B1510" s="5250"/>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c r="A1511" s="1886">
        <v>1511</v>
      </c>
      <c r="B1511" s="5250"/>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c r="A1512" s="1886">
        <v>1512</v>
      </c>
      <c r="B1512" s="5250"/>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c r="A1513" s="1886">
        <v>1513</v>
      </c>
      <c r="B1513" s="5250"/>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c r="A1514" s="1886">
        <v>1514</v>
      </c>
      <c r="B1514" s="5250"/>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c r="A1515" s="1886">
        <v>1515</v>
      </c>
      <c r="B1515" s="5250"/>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c r="A1516" s="1886">
        <v>1516</v>
      </c>
      <c r="B1516" s="5250"/>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c r="A1517" s="1886">
        <v>1517</v>
      </c>
      <c r="B1517" s="5250"/>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c r="A1518" s="1886">
        <v>1518</v>
      </c>
      <c r="B1518" s="5250"/>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c r="A1519" s="1886">
        <v>1519</v>
      </c>
      <c r="B1519" s="5250"/>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c r="A1520" s="1886">
        <v>1520</v>
      </c>
      <c r="B1520" s="5250"/>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c r="A1521" s="1886">
        <v>1521</v>
      </c>
      <c r="B1521" s="5250"/>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c r="A1522" s="1886">
        <v>1522</v>
      </c>
      <c r="B1522" s="5250"/>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c r="A1523" s="1886">
        <v>1523</v>
      </c>
      <c r="B1523" s="5250"/>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c r="A1524" s="1886">
        <v>1524</v>
      </c>
      <c r="B1524" s="5250"/>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c r="A1525" s="1886">
        <v>1525</v>
      </c>
      <c r="B1525" s="5250"/>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c r="A1526" s="1886">
        <v>1526</v>
      </c>
      <c r="B1526" s="5250"/>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c r="A1527" s="1886">
        <v>1527</v>
      </c>
      <c r="B1527" s="5250"/>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c r="A1528" s="1886">
        <v>1528</v>
      </c>
      <c r="B1528" s="5250"/>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c r="A1529" s="1886">
        <v>1529</v>
      </c>
      <c r="B1529" s="5250"/>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c r="A1530" s="1886">
        <v>1530</v>
      </c>
      <c r="B1530" s="5250"/>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c r="A1531" s="1886">
        <v>1531</v>
      </c>
      <c r="B1531" s="5250"/>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c r="A1532" s="1886">
        <v>1532</v>
      </c>
      <c r="B1532" s="5250"/>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c r="A1533" s="1886">
        <v>1533</v>
      </c>
      <c r="B1533" s="5250"/>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c r="A1534" s="1886">
        <v>1534</v>
      </c>
      <c r="B1534" s="5250"/>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c r="A1535" s="1886">
        <v>1535</v>
      </c>
      <c r="B1535" s="5250"/>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c r="A1536" s="1886">
        <v>1536</v>
      </c>
      <c r="B1536" s="5250"/>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c r="A1537" s="1886">
        <v>1537</v>
      </c>
      <c r="B1537" s="5250"/>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c r="A1538" s="1886">
        <v>1538</v>
      </c>
      <c r="B1538" s="5250"/>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c r="A1539" s="1886">
        <v>1539</v>
      </c>
      <c r="B1539" s="5250"/>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c r="A1540" s="1886">
        <v>1540</v>
      </c>
      <c r="B1540" s="5250"/>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c r="A1541" s="1886">
        <v>1541</v>
      </c>
      <c r="B1541" s="5250"/>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c r="A1542" s="1886">
        <v>1542</v>
      </c>
      <c r="B1542" s="5250"/>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c r="A1543" s="1886">
        <v>1543</v>
      </c>
      <c r="B1543" s="5250"/>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c r="A1544" s="1886">
        <v>1544</v>
      </c>
      <c r="B1544" s="5250"/>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c r="A1545" s="1886">
        <v>1545</v>
      </c>
      <c r="B1545" s="5250"/>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c r="A1546" s="1886">
        <v>1546</v>
      </c>
      <c r="B1546" s="5250"/>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c r="A1547" s="1886">
        <v>1547</v>
      </c>
      <c r="B1547" s="5250"/>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c r="A1548" s="1886">
        <v>1548</v>
      </c>
      <c r="B1548" s="5250"/>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c r="A1549" s="1886">
        <v>1549</v>
      </c>
      <c r="B1549" s="5250"/>
      <c r="C1549" s="1969"/>
      <c r="H1549" s="361"/>
      <c r="M1549" s="1823"/>
      <c r="N1549" s="96"/>
      <c r="O1549" s="408" t="s">
        <v>5</v>
      </c>
      <c r="P1549" s="2524"/>
      <c r="Q1549" s="2407"/>
      <c r="R1549" s="2515">
        <f>COUNTIF(PoderesDeCriatura_Adquiridos,Tablas!O1549)</f>
        <v>0</v>
      </c>
      <c r="S1549" s="367"/>
      <c r="T1549" s="2506"/>
      <c r="U1549" s="491"/>
    </row>
    <row r="1550" spans="1:21" ht="12.75" customHeight="1">
      <c r="A1550" s="1886">
        <v>1550</v>
      </c>
      <c r="B1550" s="5250"/>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c r="A1551" s="1886">
        <v>1551</v>
      </c>
      <c r="B1551" s="5250"/>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c r="A1552" s="1886">
        <v>1552</v>
      </c>
      <c r="B1552" s="5250"/>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c r="A1553" s="1886">
        <v>1553</v>
      </c>
      <c r="B1553" s="5250"/>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c r="A1554" s="1886">
        <v>1554</v>
      </c>
      <c r="B1554" s="5250"/>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c r="A1555" s="1886">
        <v>1555</v>
      </c>
      <c r="B1555" s="5250"/>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c r="A1556" s="1886">
        <v>1556</v>
      </c>
      <c r="B1556" s="5250"/>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c r="A1557" s="1886">
        <v>1557</v>
      </c>
      <c r="B1557" s="5250"/>
      <c r="C1557" s="2344" t="str">
        <f t="shared" ref="C1557" si="149">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c r="A1558" s="1886">
        <v>1558</v>
      </c>
      <c r="B1558" s="5250"/>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c r="A1559" s="1886">
        <v>1559</v>
      </c>
      <c r="B1559" s="5250"/>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c r="A1560" s="1886">
        <v>1560</v>
      </c>
      <c r="B1560" s="5250"/>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c r="A1561" s="1886">
        <v>1561</v>
      </c>
      <c r="B1561" s="5250"/>
      <c r="H1561" s="361"/>
      <c r="M1561" s="1823"/>
      <c r="N1561" s="96"/>
      <c r="O1561" s="408" t="s">
        <v>9619</v>
      </c>
      <c r="P1561" s="2508">
        <v>10</v>
      </c>
      <c r="Q1561" s="490">
        <v>10</v>
      </c>
      <c r="R1561" s="2515">
        <f>COUNTIF(PoderesDeCriatura_Adquiridos,Tablas!O1561)</f>
        <v>0</v>
      </c>
      <c r="S1561" s="367"/>
      <c r="T1561" s="2506"/>
      <c r="U1561" s="491"/>
    </row>
    <row r="1562" spans="1:21" ht="12.75" customHeight="1">
      <c r="A1562" s="1886">
        <v>1562</v>
      </c>
      <c r="B1562" s="5250"/>
      <c r="H1562" s="361"/>
      <c r="M1562" s="1823"/>
      <c r="N1562" s="96"/>
      <c r="O1562" s="408" t="s">
        <v>9620</v>
      </c>
      <c r="P1562" s="2508">
        <v>10</v>
      </c>
      <c r="Q1562" s="490">
        <v>10</v>
      </c>
      <c r="R1562" s="2515">
        <f>COUNTIF(PoderesDeCriatura_Adquiridos,Tablas!O1562)</f>
        <v>0</v>
      </c>
      <c r="S1562" s="367"/>
      <c r="T1562" s="2506"/>
      <c r="U1562" s="491"/>
    </row>
    <row r="1563" spans="1:21" ht="12.75" customHeight="1">
      <c r="A1563" s="1886">
        <v>1563</v>
      </c>
      <c r="B1563" s="5250"/>
      <c r="H1563" s="361"/>
      <c r="M1563" s="1823"/>
      <c r="N1563" s="96"/>
      <c r="O1563" s="408" t="s">
        <v>9621</v>
      </c>
      <c r="P1563" s="2508">
        <v>20</v>
      </c>
      <c r="Q1563" s="490">
        <v>30</v>
      </c>
      <c r="R1563" s="2515">
        <f>COUNTIF(PoderesDeCriatura_Adquiridos,Tablas!O1563)</f>
        <v>0</v>
      </c>
      <c r="S1563" s="367"/>
      <c r="T1563" s="2506"/>
      <c r="U1563" s="491"/>
    </row>
    <row r="1564" spans="1:21" ht="12.75" customHeight="1">
      <c r="A1564" s="1886">
        <v>1564</v>
      </c>
      <c r="B1564" s="5250"/>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c r="A1565" s="1886">
        <v>1565</v>
      </c>
      <c r="B1565" s="5250"/>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c r="A1566" s="1886">
        <v>1566</v>
      </c>
      <c r="B1566" s="5250"/>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c r="A1567" s="1886">
        <v>1567</v>
      </c>
      <c r="B1567" s="5250"/>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c r="A1568" s="1886">
        <v>1568</v>
      </c>
      <c r="B1568" s="5250"/>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c r="A1569" s="1886">
        <v>1569</v>
      </c>
      <c r="B1569" s="5250"/>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c r="A1570" s="1886">
        <v>1570</v>
      </c>
      <c r="B1570" s="5250"/>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c r="A1571" s="1886">
        <v>1571</v>
      </c>
      <c r="B1571" s="5250"/>
      <c r="H1571" s="361"/>
      <c r="M1571" s="1823"/>
      <c r="N1571" s="96"/>
      <c r="O1571" s="408" t="s">
        <v>11</v>
      </c>
      <c r="P1571" s="2524"/>
      <c r="Q1571" s="2407"/>
      <c r="R1571" s="2515"/>
      <c r="S1571" s="367"/>
      <c r="T1571" s="2506"/>
      <c r="U1571" s="491"/>
    </row>
    <row r="1572" spans="1:21" ht="12.75" customHeight="1">
      <c r="A1572" s="1886">
        <v>1572</v>
      </c>
      <c r="B1572" s="5250"/>
      <c r="H1572" s="361"/>
      <c r="M1572" s="1823"/>
      <c r="N1572" s="96"/>
      <c r="O1572" s="2" t="s">
        <v>12</v>
      </c>
      <c r="P1572" s="2508">
        <v>5</v>
      </c>
      <c r="Q1572" s="490">
        <v>20</v>
      </c>
      <c r="R1572" s="2515">
        <f>COUNTIF(PoderesDeCriatura_Adquiridos,Tablas!O1572)</f>
        <v>0</v>
      </c>
      <c r="S1572" s="367"/>
      <c r="T1572" s="2506"/>
      <c r="U1572" s="491"/>
    </row>
    <row r="1573" spans="1:21" ht="12.75" customHeight="1">
      <c r="A1573" s="1886">
        <v>1573</v>
      </c>
      <c r="B1573" s="5250"/>
      <c r="H1573" s="361"/>
      <c r="M1573" s="1823"/>
      <c r="N1573" s="96"/>
      <c r="O1573" s="408" t="s">
        <v>9629</v>
      </c>
      <c r="P1573" s="2508">
        <v>10</v>
      </c>
      <c r="Q1573" s="490">
        <v>10</v>
      </c>
      <c r="R1573" s="2515">
        <f>COUNTIF(PoderesDeCriatura_Adquiridos,Tablas!O1573)</f>
        <v>0</v>
      </c>
      <c r="S1573" s="367"/>
      <c r="T1573" s="2506"/>
      <c r="U1573" s="491"/>
    </row>
    <row r="1574" spans="1:21" ht="12.75" customHeight="1">
      <c r="A1574" s="1886">
        <v>1574</v>
      </c>
      <c r="B1574" s="5250"/>
      <c r="H1574" s="361"/>
      <c r="M1574" s="1823"/>
      <c r="N1574" s="96"/>
      <c r="O1574" s="408" t="s">
        <v>9630</v>
      </c>
      <c r="P1574" s="2508">
        <v>20</v>
      </c>
      <c r="Q1574" s="490">
        <v>20</v>
      </c>
      <c r="R1574" s="2515">
        <f>COUNTIF(PoderesDeCriatura_Adquiridos,Tablas!O1574)</f>
        <v>0</v>
      </c>
      <c r="S1574" s="367"/>
      <c r="T1574" s="2506"/>
      <c r="U1574" s="491"/>
    </row>
    <row r="1575" spans="1:21" ht="12.75" customHeight="1">
      <c r="A1575" s="1886">
        <v>1575</v>
      </c>
      <c r="B1575" s="5250"/>
      <c r="H1575" s="361"/>
      <c r="M1575" s="1823"/>
      <c r="N1575" s="96"/>
      <c r="O1575" s="408" t="s">
        <v>9631</v>
      </c>
      <c r="P1575" s="2508">
        <v>25</v>
      </c>
      <c r="Q1575" s="490">
        <v>30</v>
      </c>
      <c r="R1575" s="2515">
        <f>COUNTIF(PoderesDeCriatura_Adquiridos,Tablas!O1575)</f>
        <v>0</v>
      </c>
      <c r="S1575" s="367"/>
      <c r="T1575" s="2506"/>
      <c r="U1575" s="491"/>
    </row>
    <row r="1576" spans="1:21" ht="12.75" customHeight="1">
      <c r="A1576" s="1886">
        <v>1576</v>
      </c>
      <c r="B1576" s="5250"/>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c r="A1577" s="1886">
        <v>1577</v>
      </c>
      <c r="B1577" s="5250"/>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c r="A1578" s="1886">
        <v>1578</v>
      </c>
      <c r="B1578" s="5250"/>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c r="A1579" s="1886">
        <v>1579</v>
      </c>
      <c r="B1579" s="5250"/>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c r="A1580" s="1886">
        <v>1580</v>
      </c>
      <c r="B1580" s="5250"/>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c r="A1581" s="1886">
        <v>1581</v>
      </c>
      <c r="B1581" s="5250"/>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c r="A1582" s="1886">
        <v>1582</v>
      </c>
      <c r="B1582" s="5250"/>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c r="A1583" s="1886">
        <v>1583</v>
      </c>
      <c r="B1583" s="5250"/>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c r="A1584" s="1886">
        <v>1584</v>
      </c>
      <c r="B1584" s="5250"/>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c r="A1585" s="1886">
        <v>1585</v>
      </c>
      <c r="B1585" s="5250"/>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c r="A1586" s="1886">
        <v>1586</v>
      </c>
      <c r="B1586" s="5250"/>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c r="A1587" s="1886">
        <v>1587</v>
      </c>
      <c r="B1587" s="5250"/>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c r="A1588" s="1886">
        <v>1588</v>
      </c>
      <c r="B1588" s="5250"/>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c r="A1589" s="1886">
        <v>1589</v>
      </c>
      <c r="B1589" s="5250"/>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c r="A1590" s="1886">
        <v>1590</v>
      </c>
      <c r="B1590" s="5250"/>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c r="A1591" s="1886">
        <v>1591</v>
      </c>
      <c r="B1591" s="5250"/>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c r="A1592" s="1886">
        <v>1592</v>
      </c>
      <c r="B1592" s="5250"/>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c r="A1593" s="1886">
        <v>1593</v>
      </c>
      <c r="B1593" s="5250"/>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c r="A1594" s="1886">
        <v>1594</v>
      </c>
      <c r="B1594" s="5250"/>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c r="A1595" s="1886">
        <v>1595</v>
      </c>
      <c r="B1595" s="5250"/>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c r="A1596" s="1886">
        <v>1596</v>
      </c>
      <c r="B1596" s="5250"/>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c r="A1597" s="1886">
        <v>1597</v>
      </c>
      <c r="B1597" s="5250"/>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c r="A1598" s="1886">
        <v>1598</v>
      </c>
      <c r="B1598" s="5250"/>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c r="A1599" s="1886">
        <v>1599</v>
      </c>
      <c r="B1599" s="5250"/>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c r="A1600" s="1886">
        <v>1600</v>
      </c>
      <c r="B1600" s="5250"/>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c r="A1601" s="1886">
        <v>1601</v>
      </c>
      <c r="B1601" s="5250"/>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c r="A1602" s="1886">
        <v>1602</v>
      </c>
      <c r="B1602" s="5250"/>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c r="A1603" s="1886">
        <v>1603</v>
      </c>
      <c r="B1603" s="5250"/>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c r="A1604" s="1886">
        <v>1604</v>
      </c>
      <c r="B1604" s="5250"/>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c r="A1605" s="1886">
        <v>1605</v>
      </c>
      <c r="B1605" s="5250"/>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c r="A1606" s="1886">
        <v>1606</v>
      </c>
      <c r="B1606" s="5250"/>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c r="A1607" s="1886">
        <v>1607</v>
      </c>
      <c r="B1607" s="5250"/>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c r="A1608" s="1886">
        <v>1608</v>
      </c>
      <c r="B1608" s="5250"/>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c r="A1609" s="1886">
        <v>1609</v>
      </c>
      <c r="B1609" s="5250"/>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c r="A1610" s="1886">
        <v>1610</v>
      </c>
      <c r="B1610" s="5250"/>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c r="A1611" s="1886">
        <v>1611</v>
      </c>
      <c r="B1611" s="5250"/>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c r="A1612" s="1886">
        <v>1612</v>
      </c>
      <c r="B1612" s="5250"/>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c r="A1613" s="1886">
        <v>1613</v>
      </c>
      <c r="B1613" s="5250"/>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c r="A1614" s="1886">
        <v>1614</v>
      </c>
      <c r="B1614" s="5250"/>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c r="A1615" s="1886">
        <v>1615</v>
      </c>
      <c r="B1615" s="5250"/>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c r="A1616" s="1886">
        <v>1616</v>
      </c>
      <c r="B1616" s="5250"/>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c r="A1617" s="1886">
        <v>1617</v>
      </c>
      <c r="B1617" s="5250"/>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c r="A1618" s="1886">
        <v>1618</v>
      </c>
      <c r="B1618" s="5250"/>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c r="A1619" s="1886">
        <v>1619</v>
      </c>
      <c r="B1619" s="5250"/>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c r="A1620" s="1886">
        <v>1620</v>
      </c>
      <c r="B1620" s="5250"/>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c r="A1621" s="1886">
        <v>1621</v>
      </c>
      <c r="B1621" s="5250"/>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c r="A1622" s="1886">
        <v>1622</v>
      </c>
      <c r="B1622" s="5250"/>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c r="A1623" s="1886">
        <v>1623</v>
      </c>
      <c r="B1623" s="5250"/>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c r="A1624" s="1886">
        <v>1624</v>
      </c>
      <c r="B1624" s="5250"/>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c r="A1625" s="1886">
        <v>1625</v>
      </c>
      <c r="B1625" s="5250"/>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c r="A1626" s="1886">
        <v>1626</v>
      </c>
      <c r="B1626" s="5250"/>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c r="A1627" s="1886">
        <v>1627</v>
      </c>
      <c r="B1627" s="5250"/>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c r="A1628" s="1886">
        <v>1628</v>
      </c>
      <c r="B1628" s="5250"/>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c r="A1629" s="1886">
        <v>1629</v>
      </c>
      <c r="B1629" s="5250"/>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c r="A1630" s="1886">
        <v>1630</v>
      </c>
      <c r="B1630" s="5250"/>
      <c r="C1630" s="1969"/>
      <c r="H1630" s="361"/>
      <c r="M1630" s="1823"/>
      <c r="N1630" s="96"/>
      <c r="O1630" s="2" t="s">
        <v>16</v>
      </c>
      <c r="P1630" s="2508">
        <v>0</v>
      </c>
      <c r="Q1630" s="490">
        <v>20</v>
      </c>
      <c r="R1630" s="2515">
        <f>COUNTIF(PoderesDeCriatura_Adquiridos,Tablas!O1630)</f>
        <v>0</v>
      </c>
      <c r="S1630" s="367"/>
      <c r="T1630" s="2506"/>
    </row>
    <row r="1631" spans="1:21" ht="12.75" customHeight="1">
      <c r="A1631" s="1886">
        <v>1631</v>
      </c>
      <c r="B1631" s="5250"/>
      <c r="C1631" s="1969"/>
      <c r="H1631" s="361"/>
      <c r="M1631" s="1823"/>
      <c r="N1631" s="96"/>
      <c r="O1631" s="408" t="s">
        <v>9682</v>
      </c>
      <c r="P1631" s="2508">
        <v>10</v>
      </c>
      <c r="Q1631" s="490">
        <v>30</v>
      </c>
      <c r="R1631" s="2515">
        <f>COUNTIF(PoderesDeCriatura_Adquiridos,Tablas!O1631)</f>
        <v>0</v>
      </c>
      <c r="S1631" s="367"/>
      <c r="T1631" s="2506"/>
    </row>
    <row r="1632" spans="1:21" ht="12.75" customHeight="1">
      <c r="A1632" s="1886">
        <v>1632</v>
      </c>
      <c r="B1632" s="5250"/>
      <c r="C1632" s="1969"/>
      <c r="H1632" s="361"/>
      <c r="M1632" s="1823"/>
      <c r="N1632" s="96"/>
      <c r="O1632" s="408" t="s">
        <v>9683</v>
      </c>
      <c r="P1632" s="2508">
        <v>20</v>
      </c>
      <c r="Q1632" s="490">
        <v>50</v>
      </c>
      <c r="R1632" s="2515">
        <f>COUNTIF(PoderesDeCriatura_Adquiridos,Tablas!O1632)</f>
        <v>0</v>
      </c>
      <c r="S1632" s="367"/>
      <c r="T1632" s="2506"/>
    </row>
    <row r="1633" spans="1:20" ht="12.75" customHeight="1">
      <c r="A1633" s="1886">
        <v>1633</v>
      </c>
      <c r="B1633" s="5250"/>
      <c r="C1633" s="1969"/>
      <c r="H1633" s="361"/>
      <c r="M1633" s="1823"/>
      <c r="N1633" s="96"/>
      <c r="O1633" s="408" t="s">
        <v>9684</v>
      </c>
      <c r="P1633" s="2508">
        <v>25</v>
      </c>
      <c r="Q1633" s="490">
        <v>80</v>
      </c>
      <c r="R1633" s="2515">
        <f>COUNTIF(PoderesDeCriatura_Adquiridos,Tablas!O1633)</f>
        <v>0</v>
      </c>
      <c r="S1633" s="367"/>
      <c r="T1633" s="2506"/>
    </row>
    <row r="1634" spans="1:20" ht="12.75" customHeight="1">
      <c r="A1634" s="1886">
        <v>1634</v>
      </c>
      <c r="B1634" s="5250"/>
      <c r="C1634" s="1969"/>
      <c r="H1634" s="361"/>
      <c r="M1634" s="1823"/>
      <c r="N1634" s="96"/>
      <c r="O1634" s="408" t="s">
        <v>9685</v>
      </c>
      <c r="P1634" s="2508">
        <v>30</v>
      </c>
      <c r="Q1634" s="490">
        <v>110</v>
      </c>
      <c r="R1634" s="2515">
        <f>COUNTIF(PoderesDeCriatura_Adquiridos,Tablas!O1634)</f>
        <v>0</v>
      </c>
      <c r="S1634" s="367"/>
      <c r="T1634" s="2506"/>
    </row>
    <row r="1635" spans="1:20" ht="12.75" customHeight="1">
      <c r="A1635" s="1886">
        <v>1635</v>
      </c>
      <c r="B1635" s="5250"/>
      <c r="C1635" s="1969"/>
      <c r="H1635" s="361"/>
      <c r="M1635" s="1823"/>
      <c r="N1635" s="96"/>
      <c r="O1635" s="408" t="s">
        <v>9686</v>
      </c>
      <c r="P1635" s="2508">
        <v>35</v>
      </c>
      <c r="Q1635" s="490">
        <v>140</v>
      </c>
      <c r="R1635" s="2515">
        <f>COUNTIF(PoderesDeCriatura_Adquiridos,Tablas!O1635)</f>
        <v>0</v>
      </c>
      <c r="S1635" s="367"/>
      <c r="T1635" s="2506"/>
    </row>
    <row r="1636" spans="1:20" ht="12.75" customHeight="1">
      <c r="A1636" s="1886">
        <v>1636</v>
      </c>
      <c r="B1636" s="5250"/>
      <c r="C1636" s="1969"/>
      <c r="H1636" s="361"/>
      <c r="M1636" s="1823"/>
      <c r="N1636" s="96"/>
      <c r="O1636" s="408" t="s">
        <v>9687</v>
      </c>
      <c r="P1636" s="2508">
        <v>10</v>
      </c>
      <c r="Q1636" s="490">
        <v>-15</v>
      </c>
      <c r="R1636" s="2515">
        <f>COUNTIF(PoderesDeCriatura_Adquiridos,Tablas!O1636)</f>
        <v>0</v>
      </c>
      <c r="S1636" s="367"/>
      <c r="T1636" s="2506"/>
    </row>
    <row r="1637" spans="1:20" ht="12.75" customHeight="1">
      <c r="A1637" s="1886">
        <v>1637</v>
      </c>
      <c r="B1637" s="5250"/>
      <c r="C1637" s="1969"/>
      <c r="H1637" s="361"/>
      <c r="M1637" s="1823"/>
      <c r="N1637" s="96"/>
      <c r="O1637" s="2" t="s">
        <v>17</v>
      </c>
      <c r="P1637" s="2508">
        <v>5</v>
      </c>
      <c r="Q1637" s="490">
        <v>20</v>
      </c>
      <c r="R1637" s="2515">
        <f>COUNTIF(PoderesDeCriatura_Adquiridos,Tablas!O1637)</f>
        <v>0</v>
      </c>
      <c r="S1637" s="367"/>
      <c r="T1637" s="2506"/>
    </row>
    <row r="1638" spans="1:20" ht="12.75" customHeight="1">
      <c r="A1638" s="1886">
        <v>1638</v>
      </c>
      <c r="B1638" s="5250"/>
      <c r="C1638" s="1969"/>
      <c r="H1638" s="361"/>
      <c r="M1638" s="1823"/>
      <c r="N1638" s="96"/>
      <c r="O1638" s="408" t="s">
        <v>9688</v>
      </c>
      <c r="P1638" s="2508">
        <v>0</v>
      </c>
      <c r="Q1638" s="490">
        <v>10</v>
      </c>
      <c r="R1638" s="2515">
        <f>COUNTIF(PoderesDeCriatura_Adquiridos,Tablas!O1638)</f>
        <v>0</v>
      </c>
      <c r="S1638" s="367"/>
      <c r="T1638" s="2506"/>
    </row>
    <row r="1639" spans="1:20" ht="12.75" customHeight="1">
      <c r="A1639" s="1886">
        <v>1639</v>
      </c>
      <c r="B1639" s="5250"/>
      <c r="C1639" s="1969"/>
      <c r="H1639" s="361"/>
      <c r="M1639" s="1823"/>
      <c r="N1639" s="96"/>
      <c r="O1639" s="408" t="s">
        <v>9689</v>
      </c>
      <c r="P1639" s="2508">
        <v>0</v>
      </c>
      <c r="Q1639" s="490">
        <v>20</v>
      </c>
      <c r="R1639" s="2515">
        <f>COUNTIF(PoderesDeCriatura_Adquiridos,Tablas!O1639)</f>
        <v>0</v>
      </c>
      <c r="S1639" s="367"/>
      <c r="T1639" s="2506"/>
    </row>
    <row r="1640" spans="1:20" ht="12.75" customHeight="1">
      <c r="A1640" s="1886">
        <v>1640</v>
      </c>
      <c r="B1640" s="5250"/>
      <c r="C1640" s="1969"/>
      <c r="H1640" s="361"/>
      <c r="M1640" s="1823"/>
      <c r="N1640" s="96"/>
      <c r="O1640" s="408" t="s">
        <v>9690</v>
      </c>
      <c r="P1640" s="2508">
        <v>0</v>
      </c>
      <c r="Q1640" s="490">
        <v>30</v>
      </c>
      <c r="R1640" s="2515">
        <f>COUNTIF(PoderesDeCriatura_Adquiridos,Tablas!O1640)</f>
        <v>0</v>
      </c>
      <c r="S1640" s="367"/>
      <c r="T1640" s="2506"/>
    </row>
    <row r="1641" spans="1:20" ht="12.75" customHeight="1">
      <c r="A1641" s="1886">
        <v>1641</v>
      </c>
      <c r="B1641" s="5250"/>
      <c r="C1641" s="1969"/>
      <c r="H1641" s="361"/>
      <c r="M1641" s="1823"/>
      <c r="N1641" s="96"/>
      <c r="O1641" s="408" t="s">
        <v>9691</v>
      </c>
      <c r="P1641" s="2508">
        <v>10</v>
      </c>
      <c r="Q1641" s="490">
        <v>20</v>
      </c>
      <c r="R1641" s="2515">
        <f>COUNTIF(PoderesDeCriatura_Adquiridos,Tablas!O1641)</f>
        <v>0</v>
      </c>
      <c r="S1641" s="367"/>
      <c r="T1641" s="2506"/>
    </row>
    <row r="1642" spans="1:20" ht="12.75" customHeight="1">
      <c r="A1642" s="1886">
        <v>1642</v>
      </c>
      <c r="B1642" s="5250"/>
      <c r="C1642" s="1969"/>
      <c r="H1642" s="361"/>
      <c r="M1642" s="1823"/>
      <c r="N1642" s="96"/>
      <c r="O1642" s="408" t="s">
        <v>9692</v>
      </c>
      <c r="P1642" s="2508">
        <v>15</v>
      </c>
      <c r="Q1642" s="490">
        <v>40</v>
      </c>
      <c r="R1642" s="2515">
        <f>COUNTIF(PoderesDeCriatura_Adquiridos,Tablas!O1642)</f>
        <v>0</v>
      </c>
      <c r="S1642" s="367"/>
      <c r="T1642" s="2506"/>
    </row>
    <row r="1643" spans="1:20" ht="12.75" customHeight="1">
      <c r="A1643" s="1886">
        <v>1643</v>
      </c>
      <c r="B1643" s="5250"/>
      <c r="C1643" s="1969"/>
      <c r="H1643" s="361"/>
      <c r="M1643" s="1823"/>
      <c r="N1643" s="96"/>
      <c r="O1643" s="408" t="s">
        <v>9693</v>
      </c>
      <c r="P1643" s="2508">
        <v>20</v>
      </c>
      <c r="Q1643" s="490">
        <v>60</v>
      </c>
      <c r="R1643" s="2515">
        <f>COUNTIF(PoderesDeCriatura_Adquiridos,Tablas!O1643)</f>
        <v>0</v>
      </c>
      <c r="S1643" s="367"/>
      <c r="T1643" s="2506"/>
    </row>
    <row r="1644" spans="1:20" ht="12.75" customHeight="1">
      <c r="A1644" s="1886">
        <v>1644</v>
      </c>
      <c r="B1644" s="5250"/>
      <c r="C1644" s="1969"/>
      <c r="H1644" s="361"/>
      <c r="M1644" s="1823"/>
      <c r="N1644" s="96"/>
      <c r="O1644" s="408" t="s">
        <v>9694</v>
      </c>
      <c r="P1644" s="2508">
        <v>25</v>
      </c>
      <c r="Q1644" s="490">
        <v>80</v>
      </c>
      <c r="R1644" s="2515">
        <f>COUNTIF(PoderesDeCriatura_Adquiridos,Tablas!O1644)</f>
        <v>0</v>
      </c>
      <c r="S1644" s="367"/>
      <c r="T1644" s="2506"/>
    </row>
    <row r="1645" spans="1:20" ht="12.75" customHeight="1">
      <c r="A1645" s="1886">
        <v>1645</v>
      </c>
      <c r="B1645" s="5250"/>
      <c r="C1645" s="1969"/>
      <c r="H1645" s="361"/>
      <c r="M1645" s="1823"/>
      <c r="N1645" s="96"/>
      <c r="O1645" s="408" t="s">
        <v>9695</v>
      </c>
      <c r="P1645" s="2508">
        <v>35</v>
      </c>
      <c r="Q1645" s="490">
        <v>120</v>
      </c>
      <c r="R1645" s="2515">
        <f>COUNTIF(PoderesDeCriatura_Adquiridos,Tablas!O1645)</f>
        <v>0</v>
      </c>
      <c r="S1645" s="367"/>
      <c r="T1645" s="2506"/>
    </row>
    <row r="1646" spans="1:20" ht="12.75" customHeight="1">
      <c r="A1646" s="1886">
        <v>1646</v>
      </c>
      <c r="B1646" s="5250"/>
      <c r="C1646" s="1969"/>
      <c r="H1646" s="361"/>
      <c r="M1646" s="1823"/>
      <c r="N1646" s="96"/>
      <c r="O1646" s="408" t="s">
        <v>9696</v>
      </c>
      <c r="P1646" s="2508">
        <v>5</v>
      </c>
      <c r="Q1646" s="490">
        <v>10</v>
      </c>
      <c r="R1646" s="2515">
        <f>COUNTIF(PoderesDeCriatura_Adquiridos,Tablas!O1646)</f>
        <v>0</v>
      </c>
      <c r="S1646" s="367"/>
      <c r="T1646" s="2506"/>
    </row>
    <row r="1647" spans="1:20" ht="12.75" customHeight="1">
      <c r="A1647" s="1886">
        <v>1647</v>
      </c>
      <c r="B1647" s="5250"/>
      <c r="C1647" s="1969"/>
      <c r="H1647" s="361"/>
      <c r="M1647" s="1823"/>
      <c r="N1647" s="96"/>
      <c r="O1647" s="408" t="s">
        <v>9697</v>
      </c>
      <c r="P1647" s="2508">
        <v>5</v>
      </c>
      <c r="Q1647" s="490">
        <v>20</v>
      </c>
      <c r="R1647" s="2515">
        <f>COUNTIF(PoderesDeCriatura_Adquiridos,Tablas!O1647)</f>
        <v>0</v>
      </c>
      <c r="S1647" s="367"/>
      <c r="T1647" s="2506"/>
    </row>
    <row r="1648" spans="1:20" ht="12.75" customHeight="1">
      <c r="A1648" s="1886">
        <v>1648</v>
      </c>
      <c r="B1648" s="5250"/>
      <c r="C1648" s="1969"/>
      <c r="H1648" s="361"/>
      <c r="M1648" s="1823"/>
      <c r="N1648" s="96"/>
      <c r="O1648" s="408" t="s">
        <v>9698</v>
      </c>
      <c r="P1648" s="2508">
        <v>10</v>
      </c>
      <c r="Q1648" s="490">
        <v>30</v>
      </c>
      <c r="R1648" s="2515">
        <f>COUNTIF(PoderesDeCriatura_Adquiridos,Tablas!O1648)</f>
        <v>0</v>
      </c>
      <c r="S1648" s="367"/>
      <c r="T1648" s="2506"/>
    </row>
    <row r="1649" spans="1:20" ht="12.75" customHeight="1">
      <c r="A1649" s="1886">
        <v>1649</v>
      </c>
      <c r="B1649" s="5250"/>
      <c r="C1649" s="1969"/>
      <c r="H1649" s="361"/>
      <c r="M1649" s="1823"/>
      <c r="N1649" s="96"/>
      <c r="O1649" s="408" t="s">
        <v>9699</v>
      </c>
      <c r="P1649" s="2508">
        <v>15</v>
      </c>
      <c r="Q1649" s="490">
        <v>40</v>
      </c>
      <c r="R1649" s="2515">
        <f>COUNTIF(PoderesDeCriatura_Adquiridos,Tablas!O1649)</f>
        <v>0</v>
      </c>
      <c r="S1649" s="367"/>
      <c r="T1649" s="2506"/>
    </row>
    <row r="1650" spans="1:20" ht="12.75" customHeight="1">
      <c r="A1650" s="1886">
        <v>1650</v>
      </c>
      <c r="B1650" s="5250"/>
      <c r="C1650" s="1969"/>
      <c r="H1650" s="361"/>
      <c r="M1650" s="1823"/>
      <c r="N1650" s="96"/>
      <c r="O1650" s="408" t="s">
        <v>9700</v>
      </c>
      <c r="P1650" s="2508">
        <v>25</v>
      </c>
      <c r="Q1650" s="490">
        <v>50</v>
      </c>
      <c r="R1650" s="2515">
        <f>COUNTIF(PoderesDeCriatura_Adquiridos,Tablas!O1650)</f>
        <v>0</v>
      </c>
      <c r="S1650" s="367"/>
      <c r="T1650" s="2506"/>
    </row>
    <row r="1651" spans="1:20" ht="12.75" customHeight="1">
      <c r="A1651" s="1886">
        <v>1651</v>
      </c>
      <c r="B1651" s="5250"/>
      <c r="C1651" s="1969"/>
      <c r="H1651" s="361"/>
      <c r="M1651" s="1823"/>
      <c r="N1651" s="96"/>
      <c r="O1651" s="2" t="s">
        <v>18</v>
      </c>
      <c r="P1651" s="2508"/>
      <c r="Q1651" s="490"/>
      <c r="R1651" s="2515"/>
      <c r="S1651" s="367"/>
      <c r="T1651" s="2506"/>
    </row>
    <row r="1652" spans="1:20" ht="12.75" customHeight="1">
      <c r="A1652" s="1886">
        <v>1652</v>
      </c>
      <c r="B1652" s="5250"/>
      <c r="C1652" s="1969"/>
      <c r="H1652" s="361"/>
      <c r="M1652" s="1823"/>
      <c r="N1652" s="96"/>
      <c r="O1652" s="408" t="s">
        <v>9701</v>
      </c>
      <c r="P1652" s="2508">
        <v>5</v>
      </c>
      <c r="Q1652" s="490">
        <v>20</v>
      </c>
      <c r="R1652" s="2515">
        <f>COUNTIF(PoderesDeCriatura_Adquiridos,Tablas!O1652)</f>
        <v>0</v>
      </c>
      <c r="S1652" s="367"/>
      <c r="T1652" s="2506"/>
    </row>
    <row r="1653" spans="1:20" ht="12.75" customHeight="1">
      <c r="A1653" s="1886">
        <v>1653</v>
      </c>
      <c r="B1653" s="5250"/>
      <c r="C1653" s="1969"/>
      <c r="H1653" s="361"/>
      <c r="M1653" s="1823"/>
      <c r="N1653" s="96"/>
      <c r="O1653" s="408" t="s">
        <v>9702</v>
      </c>
      <c r="P1653" s="2508">
        <v>20</v>
      </c>
      <c r="Q1653" s="490">
        <v>30</v>
      </c>
      <c r="R1653" s="2515">
        <f>COUNTIF(PoderesDeCriatura_Adquiridos,Tablas!O1653)</f>
        <v>0</v>
      </c>
      <c r="S1653" s="367"/>
      <c r="T1653" s="2506"/>
    </row>
    <row r="1654" spans="1:20" ht="12.75" customHeight="1">
      <c r="A1654" s="1886">
        <v>1654</v>
      </c>
      <c r="B1654" s="5250"/>
      <c r="C1654" s="1969"/>
      <c r="H1654" s="361"/>
      <c r="M1654" s="1823"/>
      <c r="N1654" s="96"/>
      <c r="O1654" s="408" t="s">
        <v>9703</v>
      </c>
      <c r="P1654" s="2508">
        <v>15</v>
      </c>
      <c r="Q1654" s="490">
        <v>10</v>
      </c>
      <c r="R1654" s="2515">
        <f>COUNTIF(PoderesDeCriatura_Adquiridos,Tablas!O1654)</f>
        <v>0</v>
      </c>
      <c r="S1654" s="367"/>
      <c r="T1654" s="2506"/>
    </row>
    <row r="1655" spans="1:20" ht="12.75" customHeight="1">
      <c r="A1655" s="1886">
        <v>1655</v>
      </c>
      <c r="B1655" s="5250"/>
      <c r="C1655" s="1969"/>
      <c r="H1655" s="361"/>
      <c r="M1655" s="1823"/>
      <c r="N1655" s="96"/>
      <c r="O1655" s="2" t="s">
        <v>22</v>
      </c>
      <c r="P1655" s="2508">
        <v>0</v>
      </c>
      <c r="Q1655" s="490">
        <v>20</v>
      </c>
      <c r="R1655" s="2515">
        <f>COUNTIF(PoderesDeCriatura_Adquiridos,Tablas!O1655)</f>
        <v>0</v>
      </c>
      <c r="S1655" s="367"/>
      <c r="T1655" s="2506"/>
    </row>
    <row r="1656" spans="1:20" ht="12.75" customHeight="1">
      <c r="A1656" s="1886">
        <v>1656</v>
      </c>
      <c r="B1656" s="5250"/>
      <c r="C1656" s="1969"/>
      <c r="H1656" s="361"/>
      <c r="M1656" s="1823"/>
      <c r="N1656" s="96"/>
      <c r="O1656" s="408" t="s">
        <v>9704</v>
      </c>
      <c r="P1656" s="2508">
        <v>15</v>
      </c>
      <c r="Q1656" s="490">
        <v>30</v>
      </c>
      <c r="R1656" s="2515">
        <f>COUNTIF(PoderesDeCriatura_Adquiridos,Tablas!O1656)</f>
        <v>0</v>
      </c>
      <c r="S1656" s="367"/>
      <c r="T1656" s="2506"/>
    </row>
    <row r="1657" spans="1:20" ht="12.75" customHeight="1">
      <c r="A1657" s="1886">
        <v>1657</v>
      </c>
      <c r="B1657" s="5250"/>
      <c r="C1657" s="1969"/>
      <c r="H1657" s="361"/>
      <c r="M1657" s="1823"/>
      <c r="N1657" s="96"/>
      <c r="O1657" s="408" t="s">
        <v>9705</v>
      </c>
      <c r="P1657" s="2508">
        <v>30</v>
      </c>
      <c r="Q1657" s="490">
        <v>60</v>
      </c>
      <c r="R1657" s="2515">
        <f>COUNTIF(PoderesDeCriatura_Adquiridos,Tablas!O1657)</f>
        <v>0</v>
      </c>
      <c r="S1657" s="367"/>
      <c r="T1657" s="2506"/>
    </row>
    <row r="1658" spans="1:20" ht="12.75" customHeight="1">
      <c r="A1658" s="1886">
        <v>1658</v>
      </c>
      <c r="B1658" s="5250"/>
      <c r="C1658" s="1969"/>
      <c r="H1658" s="361"/>
      <c r="M1658" s="1823"/>
      <c r="N1658" s="96"/>
      <c r="O1658" s="408" t="s">
        <v>9719</v>
      </c>
      <c r="P1658" s="2508">
        <v>20</v>
      </c>
      <c r="Q1658" s="490">
        <v>40</v>
      </c>
      <c r="R1658" s="2515">
        <f>COUNTIF(PoderesDeCriatura_Adquiridos,Tablas!O1658)</f>
        <v>0</v>
      </c>
      <c r="S1658" s="367"/>
      <c r="T1658" s="2506"/>
    </row>
    <row r="1659" spans="1:20" ht="12.75" customHeight="1">
      <c r="A1659" s="1886">
        <v>1659</v>
      </c>
      <c r="B1659" s="5250"/>
      <c r="C1659" s="1969"/>
      <c r="H1659" s="361"/>
      <c r="M1659" s="1823"/>
      <c r="N1659" s="96"/>
      <c r="O1659" s="408" t="s">
        <v>9720</v>
      </c>
      <c r="P1659" s="2508">
        <v>25</v>
      </c>
      <c r="Q1659" s="490">
        <v>60</v>
      </c>
      <c r="R1659" s="2515">
        <f>COUNTIF(PoderesDeCriatura_Adquiridos,Tablas!O1659)</f>
        <v>0</v>
      </c>
      <c r="S1659" s="367"/>
      <c r="T1659" s="2506"/>
    </row>
    <row r="1660" spans="1:20" ht="12.75" customHeight="1">
      <c r="A1660" s="1886">
        <v>1660</v>
      </c>
      <c r="B1660" s="5250"/>
      <c r="C1660" s="1969"/>
      <c r="H1660" s="361"/>
      <c r="M1660" s="1823"/>
      <c r="N1660" s="96"/>
      <c r="O1660" s="408" t="s">
        <v>9721</v>
      </c>
      <c r="P1660" s="2508">
        <v>30</v>
      </c>
      <c r="Q1660" s="490">
        <v>50</v>
      </c>
      <c r="R1660" s="2515">
        <f>COUNTIF(PoderesDeCriatura_Adquiridos,Tablas!O1660)</f>
        <v>0</v>
      </c>
      <c r="S1660" s="367"/>
      <c r="T1660" s="2506"/>
    </row>
    <row r="1661" spans="1:20" ht="12.75" customHeight="1">
      <c r="A1661" s="1886">
        <v>1661</v>
      </c>
      <c r="B1661" s="5250"/>
      <c r="C1661" s="1969"/>
      <c r="H1661" s="361"/>
      <c r="M1661" s="1823"/>
      <c r="N1661" s="96"/>
      <c r="O1661" s="408" t="s">
        <v>9722</v>
      </c>
      <c r="P1661" s="2508">
        <v>20</v>
      </c>
      <c r="Q1661" s="490">
        <v>-20</v>
      </c>
      <c r="R1661" s="2515">
        <f>COUNTIF(PoderesDeCriatura_Adquiridos,Tablas!O1661)</f>
        <v>0</v>
      </c>
      <c r="S1661" s="367"/>
      <c r="T1661" s="2506"/>
    </row>
    <row r="1662" spans="1:20" ht="12.75" customHeight="1">
      <c r="A1662" s="1886">
        <v>1662</v>
      </c>
      <c r="B1662" s="5250"/>
      <c r="C1662" s="1969"/>
      <c r="H1662" s="361"/>
      <c r="M1662" s="1823"/>
      <c r="N1662" s="96"/>
      <c r="O1662" s="408" t="s">
        <v>9723</v>
      </c>
      <c r="P1662" s="2508">
        <v>20</v>
      </c>
      <c r="Q1662" s="490">
        <v>-20</v>
      </c>
      <c r="R1662" s="2515">
        <f>COUNTIF(PoderesDeCriatura_Adquiridos,Tablas!O1662)</f>
        <v>0</v>
      </c>
      <c r="S1662" s="367"/>
      <c r="T1662" s="2506"/>
    </row>
    <row r="1663" spans="1:20" ht="12.75" customHeight="1">
      <c r="A1663" s="1886">
        <v>1663</v>
      </c>
      <c r="B1663" s="5250"/>
      <c r="C1663" s="1969"/>
      <c r="H1663" s="361"/>
      <c r="M1663" s="1823"/>
      <c r="N1663" s="96"/>
      <c r="O1663" s="2" t="s">
        <v>23</v>
      </c>
      <c r="P1663" s="2508"/>
      <c r="Q1663" s="490"/>
      <c r="R1663" s="2515"/>
      <c r="S1663" s="367"/>
      <c r="T1663" s="2506"/>
    </row>
    <row r="1664" spans="1:20" ht="12.75" customHeight="1">
      <c r="A1664" s="1886">
        <v>1664</v>
      </c>
      <c r="B1664" s="5250"/>
      <c r="C1664" s="1969"/>
      <c r="H1664" s="361"/>
      <c r="M1664" s="1823"/>
      <c r="N1664" s="96"/>
      <c r="O1664" s="408" t="s">
        <v>9706</v>
      </c>
      <c r="P1664" s="2508">
        <v>10</v>
      </c>
      <c r="Q1664" s="490">
        <v>20</v>
      </c>
      <c r="R1664" s="2515">
        <f>COUNTIF(PoderesDeCriatura_Adquiridos,Tablas!O1664)</f>
        <v>0</v>
      </c>
      <c r="S1664" s="367"/>
      <c r="T1664" s="2506"/>
    </row>
    <row r="1665" spans="1:20" ht="12.75" customHeight="1">
      <c r="A1665" s="1886">
        <v>1665</v>
      </c>
      <c r="B1665" s="5250"/>
      <c r="C1665" s="1969"/>
      <c r="H1665" s="361"/>
      <c r="M1665" s="1823"/>
      <c r="N1665" s="96"/>
      <c r="O1665" s="408" t="s">
        <v>9707</v>
      </c>
      <c r="P1665" s="2508">
        <v>20</v>
      </c>
      <c r="Q1665" s="490">
        <v>30</v>
      </c>
      <c r="R1665" s="2515">
        <f>COUNTIF(PoderesDeCriatura_Adquiridos,Tablas!O1665)</f>
        <v>0</v>
      </c>
      <c r="S1665" s="367"/>
      <c r="T1665" s="2506"/>
    </row>
    <row r="1666" spans="1:20" ht="12.75" customHeight="1">
      <c r="A1666" s="1886">
        <v>1666</v>
      </c>
      <c r="B1666" s="5250"/>
      <c r="C1666" s="1969"/>
      <c r="H1666" s="361"/>
      <c r="M1666" s="1823"/>
      <c r="N1666" s="96"/>
      <c r="O1666" s="408" t="s">
        <v>9708</v>
      </c>
      <c r="P1666" s="2508">
        <v>25</v>
      </c>
      <c r="Q1666" s="490">
        <v>40</v>
      </c>
      <c r="R1666" s="2515">
        <f>COUNTIF(PoderesDeCriatura_Adquiridos,Tablas!O1666)</f>
        <v>0</v>
      </c>
      <c r="S1666" s="367"/>
      <c r="T1666" s="2506"/>
    </row>
    <row r="1667" spans="1:20" ht="12.75" customHeight="1">
      <c r="A1667" s="1886">
        <v>1667</v>
      </c>
      <c r="B1667" s="5250"/>
      <c r="C1667" s="1969"/>
      <c r="H1667" s="361"/>
      <c r="M1667" s="1823"/>
      <c r="N1667" s="96"/>
      <c r="O1667" s="408" t="s">
        <v>9709</v>
      </c>
      <c r="P1667" s="2508">
        <v>30</v>
      </c>
      <c r="Q1667" s="490">
        <v>60</v>
      </c>
      <c r="R1667" s="2515">
        <f>COUNTIF(PoderesDeCriatura_Adquiridos,Tablas!O1667)</f>
        <v>0</v>
      </c>
      <c r="S1667" s="367"/>
      <c r="T1667" s="2506"/>
    </row>
    <row r="1668" spans="1:20" ht="12.75" customHeight="1">
      <c r="A1668" s="1886">
        <v>1668</v>
      </c>
      <c r="B1668" s="5250"/>
      <c r="C1668" s="1969"/>
      <c r="H1668" s="361"/>
      <c r="M1668" s="1823"/>
      <c r="N1668" s="96"/>
      <c r="O1668" s="408" t="s">
        <v>9710</v>
      </c>
      <c r="P1668" s="2508">
        <v>35</v>
      </c>
      <c r="Q1668" s="490">
        <v>80</v>
      </c>
      <c r="R1668" s="2515">
        <f>COUNTIF(PoderesDeCriatura_Adquiridos,Tablas!O1668)</f>
        <v>0</v>
      </c>
      <c r="S1668" s="367"/>
      <c r="T1668" s="2506"/>
    </row>
    <row r="1669" spans="1:20" ht="12.75" customHeight="1">
      <c r="A1669" s="1886">
        <v>1669</v>
      </c>
      <c r="B1669" s="5250"/>
      <c r="C1669" s="1969"/>
      <c r="H1669" s="361"/>
      <c r="M1669" s="1823"/>
      <c r="N1669" s="96"/>
      <c r="O1669" s="408" t="s">
        <v>9711</v>
      </c>
      <c r="P1669" s="2508">
        <v>10</v>
      </c>
      <c r="Q1669" s="490">
        <v>-20</v>
      </c>
      <c r="R1669" s="2515">
        <f>COUNTIF(PoderesDeCriatura_Adquiridos,Tablas!O1669)</f>
        <v>0</v>
      </c>
      <c r="S1669" s="367"/>
      <c r="T1669" s="2506"/>
    </row>
    <row r="1670" spans="1:20" ht="12.75" customHeight="1">
      <c r="A1670" s="1886">
        <v>1670</v>
      </c>
      <c r="B1670" s="5250"/>
      <c r="C1670" s="1969"/>
      <c r="H1670" s="361"/>
      <c r="M1670" s="1823"/>
      <c r="N1670" s="96"/>
      <c r="O1670" s="408" t="s">
        <v>9712</v>
      </c>
      <c r="P1670" s="2508">
        <v>30</v>
      </c>
      <c r="Q1670" s="490">
        <v>100</v>
      </c>
      <c r="R1670" s="2515">
        <f>COUNTIF(PoderesDeCriatura_Adquiridos,Tablas!O1670)</f>
        <v>0</v>
      </c>
      <c r="S1670" s="367"/>
      <c r="T1670" s="2506"/>
    </row>
    <row r="1671" spans="1:20" ht="12.75" customHeight="1">
      <c r="A1671" s="1886">
        <v>1671</v>
      </c>
      <c r="B1671" s="5250"/>
      <c r="C1671" s="1969"/>
      <c r="H1671" s="361"/>
      <c r="M1671" s="1823"/>
      <c r="N1671" s="96"/>
      <c r="O1671" s="408" t="s">
        <v>9713</v>
      </c>
      <c r="P1671" s="2508">
        <v>35</v>
      </c>
      <c r="Q1671" s="490">
        <v>150</v>
      </c>
      <c r="R1671" s="2515">
        <f>COUNTIF(PoderesDeCriatura_Adquiridos,Tablas!O1671)</f>
        <v>0</v>
      </c>
      <c r="S1671" s="367"/>
      <c r="T1671" s="2506"/>
    </row>
    <row r="1672" spans="1:20" ht="12.75" customHeight="1">
      <c r="A1672" s="1886">
        <v>1672</v>
      </c>
      <c r="B1672" s="5250"/>
      <c r="C1672" s="1969"/>
      <c r="H1672" s="361"/>
      <c r="M1672" s="1823"/>
      <c r="N1672" s="96"/>
      <c r="O1672" s="2" t="s">
        <v>24</v>
      </c>
      <c r="P1672" s="2508">
        <v>30</v>
      </c>
      <c r="Q1672" s="490">
        <v>150</v>
      </c>
      <c r="R1672" s="2515">
        <f>COUNTIF(PoderesDeCriatura_Adquiridos,Tablas!O1672)</f>
        <v>0</v>
      </c>
      <c r="S1672" s="367"/>
      <c r="T1672" s="2506"/>
    </row>
    <row r="1673" spans="1:20" ht="12.75" customHeight="1">
      <c r="A1673" s="1886">
        <v>1673</v>
      </c>
      <c r="B1673" s="5250"/>
      <c r="C1673" s="1969"/>
      <c r="H1673" s="361"/>
      <c r="M1673" s="1823"/>
      <c r="N1673" s="96"/>
      <c r="O1673" s="408" t="s">
        <v>25</v>
      </c>
      <c r="P1673" s="2508"/>
      <c r="Q1673" s="490"/>
      <c r="R1673" s="2515"/>
      <c r="S1673" s="367"/>
      <c r="T1673" s="2506"/>
    </row>
    <row r="1674" spans="1:20" ht="12.75" customHeight="1">
      <c r="A1674" s="1886">
        <v>1674</v>
      </c>
      <c r="B1674" s="5250"/>
      <c r="C1674" s="1969"/>
      <c r="H1674" s="361"/>
      <c r="M1674" s="1823"/>
      <c r="N1674" s="96"/>
      <c r="O1674" s="2" t="s">
        <v>26</v>
      </c>
      <c r="P1674" s="2508">
        <v>35</v>
      </c>
      <c r="Q1674" s="490">
        <v>40</v>
      </c>
      <c r="R1674" s="2515">
        <f>COUNTIF(PoderesDeCriatura_Adquiridos,Tablas!O1674)</f>
        <v>0</v>
      </c>
      <c r="S1674" s="367"/>
      <c r="T1674" s="2506"/>
    </row>
    <row r="1675" spans="1:20" ht="12.75" customHeight="1">
      <c r="A1675" s="1886">
        <v>1675</v>
      </c>
      <c r="B1675" s="5250"/>
      <c r="C1675" s="1969"/>
      <c r="H1675" s="361"/>
      <c r="M1675" s="1823"/>
      <c r="N1675" s="96"/>
      <c r="O1675" s="408" t="s">
        <v>9714</v>
      </c>
      <c r="P1675" s="2508">
        <v>35</v>
      </c>
      <c r="Q1675" s="490">
        <v>40</v>
      </c>
      <c r="R1675" s="2515">
        <f>COUNTIF(PoderesDeCriatura_Adquiridos,Tablas!O1675)</f>
        <v>0</v>
      </c>
      <c r="S1675" s="367"/>
      <c r="T1675" s="2506"/>
    </row>
    <row r="1676" spans="1:20" ht="12.75" customHeight="1">
      <c r="A1676" s="1886">
        <v>1676</v>
      </c>
      <c r="B1676" s="5250"/>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c r="A1677" s="1886">
        <v>1677</v>
      </c>
      <c r="B1677" s="5250"/>
      <c r="C1677" s="1969"/>
      <c r="H1677" s="361"/>
      <c r="M1677" s="1823"/>
      <c r="N1677" s="96"/>
      <c r="O1677" s="408" t="s">
        <v>9716</v>
      </c>
      <c r="P1677" s="2508">
        <v>35</v>
      </c>
      <c r="Q1677" s="490">
        <v>40</v>
      </c>
      <c r="R1677" s="2515">
        <f>COUNTIF(PoderesDeCriatura_Adquiridos,Tablas!O1677)</f>
        <v>0</v>
      </c>
      <c r="S1677" s="367"/>
      <c r="T1677" s="2506"/>
    </row>
    <row r="1678" spans="1:20" ht="12.75" customHeight="1">
      <c r="A1678" s="1886">
        <v>1678</v>
      </c>
      <c r="B1678" s="5250"/>
      <c r="C1678" s="1969"/>
      <c r="H1678" s="361"/>
      <c r="M1678" s="1823"/>
      <c r="N1678" s="96"/>
      <c r="O1678" s="408" t="s">
        <v>9717</v>
      </c>
      <c r="P1678" s="2508">
        <v>35</v>
      </c>
      <c r="Q1678" s="490">
        <v>40</v>
      </c>
      <c r="R1678" s="2515">
        <f>COUNTIF(PoderesDeCriatura_Adquiridos,Tablas!O1678)</f>
        <v>0</v>
      </c>
      <c r="S1678" s="367"/>
      <c r="T1678" s="2506"/>
    </row>
    <row r="1679" spans="1:20" ht="12.75" customHeight="1">
      <c r="A1679" s="1886">
        <v>1679</v>
      </c>
      <c r="B1679" s="5250"/>
      <c r="C1679" s="2344"/>
      <c r="H1679" s="361"/>
      <c r="M1679" s="1823"/>
      <c r="N1679" s="96"/>
      <c r="O1679" s="408" t="s">
        <v>9718</v>
      </c>
      <c r="P1679" s="2508">
        <v>40</v>
      </c>
      <c r="Q1679" s="490">
        <v>20</v>
      </c>
      <c r="R1679" s="2515">
        <f>COUNTIF(PoderesDeCriatura_Adquiridos,Tablas!O1679)</f>
        <v>0</v>
      </c>
      <c r="S1679" s="367"/>
      <c r="T1679" s="2506"/>
    </row>
    <row r="1680" spans="1:20" ht="12.75" customHeight="1">
      <c r="A1680" s="1886">
        <v>1680</v>
      </c>
      <c r="B1680" s="5250"/>
      <c r="C1680" s="2344"/>
      <c r="H1680" s="361"/>
      <c r="M1680" s="1823"/>
      <c r="N1680" s="96"/>
      <c r="O1680" s="2" t="s">
        <v>27</v>
      </c>
      <c r="P1680" s="2508">
        <v>35</v>
      </c>
      <c r="Q1680" s="490">
        <v>50</v>
      </c>
      <c r="R1680" s="2515">
        <f>COUNTIF(PoderesDeCriatura_Adquiridos,Tablas!O1680)</f>
        <v>0</v>
      </c>
      <c r="S1680" s="367"/>
      <c r="T1680" s="2506"/>
    </row>
    <row r="1681" spans="1:25" ht="12.75" customHeight="1">
      <c r="A1681" s="1886">
        <v>1681</v>
      </c>
      <c r="B1681" s="5250"/>
      <c r="C1681" s="2344"/>
      <c r="H1681" s="361"/>
      <c r="M1681" s="1823"/>
      <c r="N1681" s="96"/>
      <c r="O1681" s="2" t="s">
        <v>28</v>
      </c>
      <c r="P1681" s="2508">
        <v>30</v>
      </c>
      <c r="Q1681" s="490">
        <v>40</v>
      </c>
      <c r="R1681" s="2515">
        <f>COUNTIF(PoderesDeCriatura_Adquiridos,Tablas!O1681)</f>
        <v>0</v>
      </c>
      <c r="S1681" s="367"/>
      <c r="T1681" s="2506"/>
    </row>
    <row r="1682" spans="1:25" ht="12.75" customHeight="1">
      <c r="A1682" s="1886">
        <v>1682</v>
      </c>
      <c r="B1682" s="5250"/>
      <c r="C1682" s="2344"/>
      <c r="H1682" s="361"/>
      <c r="M1682" s="1823"/>
      <c r="N1682" s="96"/>
      <c r="O1682" s="2" t="s">
        <v>29</v>
      </c>
      <c r="P1682" s="2508"/>
      <c r="Q1682" s="490"/>
      <c r="R1682" s="2515"/>
      <c r="S1682" s="367"/>
      <c r="T1682" s="2506"/>
    </row>
    <row r="1683" spans="1:25" ht="12.75" customHeight="1">
      <c r="A1683" s="1886">
        <v>1683</v>
      </c>
      <c r="B1683" s="5250"/>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c r="A1684" s="1886">
        <v>1684</v>
      </c>
      <c r="B1684" s="5250"/>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c r="A1685" s="1886">
        <v>1685</v>
      </c>
      <c r="B1685" s="5250"/>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c r="A1686" s="1886">
        <v>1686</v>
      </c>
      <c r="B1686" s="5250"/>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c r="A1687" s="1886">
        <v>1687</v>
      </c>
      <c r="B1687" s="5250"/>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c r="A1688" s="1886">
        <v>1688</v>
      </c>
      <c r="B1688" s="5250"/>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c r="A1689" s="1886">
        <v>1689</v>
      </c>
      <c r="B1689" s="5250"/>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c r="A1690" s="1886">
        <v>1690</v>
      </c>
      <c r="B1690" s="5250"/>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c r="A1691" s="1886">
        <v>1691</v>
      </c>
      <c r="B1691" s="5250"/>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c r="A1692" s="1886">
        <v>1692</v>
      </c>
      <c r="B1692" s="5250"/>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c r="A1693" s="1886">
        <v>1693</v>
      </c>
      <c r="B1693" s="5250"/>
      <c r="H1693" s="361"/>
      <c r="I1693" s="1634"/>
      <c r="N1693" s="361"/>
      <c r="O1693" s="1969"/>
    </row>
    <row r="1694" spans="1:25" ht="12.75" customHeight="1">
      <c r="A1694" s="1886">
        <v>1694</v>
      </c>
      <c r="B1694" s="5250"/>
      <c r="C1694" s="5241" t="s">
        <v>8936</v>
      </c>
      <c r="D1694" s="5241"/>
      <c r="E1694" s="5241"/>
      <c r="F1694" s="5241"/>
      <c r="G1694" s="5241"/>
      <c r="H1694" s="5241"/>
      <c r="I1694" s="5241"/>
      <c r="J1694" s="5241"/>
      <c r="K1694" s="5241"/>
      <c r="L1694" s="5241"/>
      <c r="M1694" s="5241"/>
      <c r="N1694" s="5241"/>
      <c r="O1694" s="5241"/>
      <c r="P1694" s="5241"/>
      <c r="Q1694" s="5241"/>
      <c r="R1694" s="5241"/>
      <c r="S1694" s="5241"/>
      <c r="T1694" s="5241"/>
      <c r="U1694" s="5241"/>
      <c r="V1694" s="5241"/>
      <c r="W1694" s="5241"/>
      <c r="X1694" s="5241"/>
      <c r="Y1694" s="5241"/>
    </row>
    <row r="1695" spans="1:25" ht="12.75" customHeight="1">
      <c r="A1695" s="1886">
        <v>1695</v>
      </c>
      <c r="B1695" s="5250"/>
      <c r="C1695" s="5241"/>
      <c r="D1695" s="5241"/>
      <c r="E1695" s="5241"/>
      <c r="F1695" s="5241"/>
      <c r="G1695" s="5241"/>
      <c r="H1695" s="5241"/>
      <c r="I1695" s="5241"/>
      <c r="J1695" s="5241"/>
      <c r="K1695" s="5241"/>
      <c r="L1695" s="5241"/>
      <c r="M1695" s="5241"/>
      <c r="N1695" s="5241"/>
      <c r="O1695" s="5241"/>
      <c r="P1695" s="5241"/>
      <c r="Q1695" s="5241"/>
      <c r="R1695" s="5241"/>
      <c r="S1695" s="5241"/>
      <c r="T1695" s="5241"/>
      <c r="U1695" s="5241"/>
      <c r="V1695" s="5241"/>
      <c r="W1695" s="5241"/>
      <c r="X1695" s="5241"/>
      <c r="Y1695" s="5241"/>
    </row>
    <row r="1696" spans="1:25" ht="12.75" customHeight="1">
      <c r="A1696" s="1886">
        <v>1696</v>
      </c>
      <c r="B1696" s="5250"/>
      <c r="C1696" s="5241"/>
      <c r="D1696" s="5241"/>
      <c r="E1696" s="5241"/>
      <c r="F1696" s="5241"/>
      <c r="G1696" s="5241"/>
      <c r="H1696" s="5241"/>
      <c r="I1696" s="5241"/>
      <c r="J1696" s="5241"/>
      <c r="K1696" s="5241"/>
      <c r="L1696" s="5241"/>
      <c r="M1696" s="5241"/>
      <c r="N1696" s="5241"/>
      <c r="O1696" s="5241"/>
      <c r="P1696" s="5241"/>
      <c r="Q1696" s="5241"/>
      <c r="R1696" s="5241"/>
      <c r="S1696" s="5241"/>
      <c r="T1696" s="5241"/>
      <c r="U1696" s="5241"/>
      <c r="V1696" s="5241"/>
      <c r="W1696" s="5241"/>
      <c r="X1696" s="5241"/>
      <c r="Y1696" s="5241"/>
    </row>
    <row r="1697" spans="1:25" ht="12.75" customHeight="1" thickBot="1">
      <c r="A1697" s="1886">
        <v>1697</v>
      </c>
      <c r="B1697" s="5250"/>
      <c r="H1697" s="361"/>
      <c r="I1697" s="1634"/>
      <c r="N1697" s="361"/>
      <c r="O1697" s="1969"/>
    </row>
    <row r="1698" spans="1:25" ht="12.75" customHeight="1">
      <c r="A1698" s="1886">
        <v>1698</v>
      </c>
      <c r="B1698" s="5250"/>
      <c r="C1698" s="5275" t="s">
        <v>7880</v>
      </c>
      <c r="D1698" s="5281"/>
      <c r="E1698" s="5275" t="s">
        <v>2149</v>
      </c>
      <c r="F1698" s="5276"/>
      <c r="G1698" s="5276"/>
      <c r="H1698" s="5276"/>
      <c r="I1698" s="5276"/>
      <c r="J1698" s="5276"/>
      <c r="K1698" s="5276"/>
      <c r="L1698" s="5276"/>
      <c r="M1698" s="5276"/>
      <c r="N1698" s="5276"/>
      <c r="O1698" s="2420"/>
      <c r="P1698" s="2420"/>
      <c r="Q1698" s="2422"/>
      <c r="R1698" s="2421"/>
      <c r="T1698" s="5288" t="s">
        <v>8924</v>
      </c>
      <c r="U1698" s="5289"/>
      <c r="V1698" s="5289"/>
      <c r="W1698" s="5289"/>
      <c r="X1698" s="5289"/>
      <c r="Y1698" s="5290"/>
    </row>
    <row r="1699" spans="1:25" ht="12.75" customHeight="1">
      <c r="A1699" s="1886">
        <v>1699</v>
      </c>
      <c r="B1699" s="5250"/>
      <c r="C1699" s="5277"/>
      <c r="D1699" s="5282"/>
      <c r="E1699" s="5277"/>
      <c r="F1699" s="5278"/>
      <c r="G1699" s="5278"/>
      <c r="H1699" s="5278"/>
      <c r="I1699" s="5278"/>
      <c r="J1699" s="5278"/>
      <c r="K1699" s="5278"/>
      <c r="L1699" s="5278"/>
      <c r="M1699" s="5278"/>
      <c r="N1699" s="5278"/>
      <c r="O1699" s="5295" t="s">
        <v>8920</v>
      </c>
      <c r="P1699" s="5294">
        <f>COUNTIF(J1702:J1894,"&gt;0")</f>
        <v>1</v>
      </c>
      <c r="Q1699" s="2423"/>
      <c r="R1699" s="1710"/>
      <c r="T1699" s="5291"/>
      <c r="U1699" s="5292"/>
      <c r="V1699" s="5292"/>
      <c r="W1699" s="5292"/>
      <c r="X1699" s="5292"/>
      <c r="Y1699" s="5293"/>
    </row>
    <row r="1700" spans="1:25" ht="12.75" customHeight="1">
      <c r="A1700" s="1886">
        <v>1700</v>
      </c>
      <c r="B1700" s="5250"/>
      <c r="C1700" s="1739" t="s">
        <v>7881</v>
      </c>
      <c r="D1700" s="1704"/>
      <c r="E1700" s="2424"/>
      <c r="F1700" s="2419" t="s">
        <v>8921</v>
      </c>
      <c r="G1700" s="1708">
        <v>3</v>
      </c>
      <c r="H1700" s="1708">
        <v>4</v>
      </c>
      <c r="I1700" s="1708">
        <v>5</v>
      </c>
      <c r="J1700" s="1708">
        <v>6</v>
      </c>
      <c r="K1700" s="1708">
        <v>7</v>
      </c>
      <c r="L1700" s="1708">
        <v>8</v>
      </c>
      <c r="M1700" s="1708">
        <v>9</v>
      </c>
      <c r="N1700" s="1708">
        <v>10</v>
      </c>
      <c r="O1700" s="5295"/>
      <c r="P1700" s="5294"/>
      <c r="Q1700" s="2423">
        <v>13</v>
      </c>
      <c r="R1700" s="1710">
        <v>14</v>
      </c>
      <c r="T1700" s="5287" t="s">
        <v>8922</v>
      </c>
      <c r="U1700" s="5286"/>
      <c r="V1700" s="5286" t="s">
        <v>8923</v>
      </c>
      <c r="W1700" s="5286"/>
      <c r="X1700" s="5286" t="s">
        <v>1509</v>
      </c>
      <c r="Y1700" s="5296"/>
    </row>
    <row r="1701" spans="1:25" ht="12.75" customHeight="1">
      <c r="A1701" s="1886">
        <v>1701</v>
      </c>
      <c r="B1701" s="5250"/>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092">
        <v>6</v>
      </c>
    </row>
    <row r="1702" spans="1:25" ht="12.75" customHeight="1">
      <c r="A1702" s="1886">
        <v>1702</v>
      </c>
      <c r="B1702" s="5250"/>
      <c r="C1702" s="1739" t="s">
        <v>7883</v>
      </c>
      <c r="D1702" s="1704"/>
      <c r="E1702" s="2426" t="s">
        <v>7895</v>
      </c>
      <c r="F1702" s="1706"/>
      <c r="G1702" s="1706">
        <v>10</v>
      </c>
      <c r="H1702" s="1707">
        <v>1</v>
      </c>
      <c r="I1702" s="1707">
        <v>5</v>
      </c>
      <c r="J1702" s="1707">
        <f>COUNTIF(Elan!$C$13:$F$25,Tablas!E1702)+COUNTIF(Elan!$U$13:$X$25,Tablas!E1702)</f>
        <v>0</v>
      </c>
      <c r="K1702" s="1706"/>
      <c r="L1702" s="5238" t="s">
        <v>8088</v>
      </c>
      <c r="M1702" s="5238"/>
      <c r="N1702" s="5238"/>
      <c r="O1702" s="5238"/>
      <c r="P1702" s="5238"/>
      <c r="Q1702" s="5239"/>
      <c r="R1702" s="2429">
        <f>IF(OR($J1702=0,$J1702="Aprendida"),0,SUM($J$1702:$J1702))</f>
        <v>0</v>
      </c>
      <c r="T1702" s="2637" t="s">
        <v>8089</v>
      </c>
      <c r="U1702" s="2638">
        <v>1</v>
      </c>
      <c r="V1702" s="2639" t="s">
        <v>8090</v>
      </c>
      <c r="W1702" s="2638">
        <v>1</v>
      </c>
      <c r="X1702" s="2638" t="s">
        <v>8091</v>
      </c>
      <c r="Y1702" s="3093">
        <v>-5</v>
      </c>
    </row>
    <row r="1703" spans="1:25" ht="12.75" customHeight="1">
      <c r="A1703" s="1886">
        <v>1703</v>
      </c>
      <c r="B1703" s="5250"/>
      <c r="C1703" s="1739" t="s">
        <v>7884</v>
      </c>
      <c r="D1703" s="1704"/>
      <c r="E1703" s="2426" t="s">
        <v>7896</v>
      </c>
      <c r="F1703" s="1706"/>
      <c r="G1703" s="1706">
        <v>20</v>
      </c>
      <c r="H1703" s="1707">
        <v>1</v>
      </c>
      <c r="I1703" s="1707">
        <v>10</v>
      </c>
      <c r="J1703" s="1707">
        <f>COUNTIF(Elan!$C$13:$F$25,Tablas!E1703)+COUNTIF(Elan!$U$13:$X$25,Tablas!E1703)</f>
        <v>0</v>
      </c>
      <c r="K1703" s="1706"/>
      <c r="L1703" s="5238" t="s">
        <v>8092</v>
      </c>
      <c r="M1703" s="5238"/>
      <c r="N1703" s="5238"/>
      <c r="O1703" s="5238"/>
      <c r="P1703" s="5238"/>
      <c r="Q1703" s="5239"/>
      <c r="R1703" s="2429">
        <f>IF(OR($J1703=0,$J1703="Aprendida"),0,SUM($J$1702:$J1703))</f>
        <v>0</v>
      </c>
      <c r="T1703" s="2637" t="s">
        <v>8093</v>
      </c>
      <c r="U1703" s="2638">
        <v>5</v>
      </c>
      <c r="V1703" s="2639" t="s">
        <v>8094</v>
      </c>
      <c r="W1703" s="2638">
        <v>3</v>
      </c>
      <c r="X1703" s="2638" t="s">
        <v>8095</v>
      </c>
      <c r="Y1703" s="3093">
        <v>-3</v>
      </c>
    </row>
    <row r="1704" spans="1:25" ht="12.75" customHeight="1">
      <c r="A1704" s="1886">
        <v>1704</v>
      </c>
      <c r="B1704" s="5250"/>
      <c r="C1704" s="1739" t="s">
        <v>7791</v>
      </c>
      <c r="D1704" s="1704"/>
      <c r="E1704" s="2426" t="s">
        <v>7897</v>
      </c>
      <c r="F1704" s="1706"/>
      <c r="G1704" s="1706">
        <v>30</v>
      </c>
      <c r="H1704" s="1707">
        <v>1</v>
      </c>
      <c r="I1704" s="1707">
        <v>5</v>
      </c>
      <c r="J1704" s="1707">
        <f>COUNTIF(Elan!$C$13:$F$25,Tablas!E1704)+COUNTIF(Elan!$U$13:$X$25,Tablas!E1704)</f>
        <v>0</v>
      </c>
      <c r="K1704" s="1706"/>
      <c r="L1704" s="5238" t="s">
        <v>8096</v>
      </c>
      <c r="M1704" s="5238"/>
      <c r="N1704" s="5238"/>
      <c r="O1704" s="5238"/>
      <c r="P1704" s="5238"/>
      <c r="Q1704" s="5239"/>
      <c r="R1704" s="2429">
        <f>IF(OR($J1704=0,$J1704="Aprendida"),0,SUM($J$1702:$J1704))</f>
        <v>0</v>
      </c>
      <c r="T1704" s="2637" t="s">
        <v>8097</v>
      </c>
      <c r="U1704" s="2638">
        <v>3</v>
      </c>
      <c r="V1704" s="2639" t="s">
        <v>8098</v>
      </c>
      <c r="W1704" s="2638">
        <v>1</v>
      </c>
      <c r="X1704" s="2638" t="s">
        <v>8099</v>
      </c>
      <c r="Y1704" s="3093">
        <v>-10</v>
      </c>
    </row>
    <row r="1705" spans="1:25" ht="12.75" customHeight="1">
      <c r="A1705" s="1886">
        <v>1705</v>
      </c>
      <c r="B1705" s="5250"/>
      <c r="C1705" s="1739" t="s">
        <v>7885</v>
      </c>
      <c r="D1705" s="1704"/>
      <c r="E1705" s="2426" t="s">
        <v>7898</v>
      </c>
      <c r="F1705" s="1706"/>
      <c r="G1705" s="1706">
        <v>40</v>
      </c>
      <c r="H1705" s="1707">
        <v>1</v>
      </c>
      <c r="I1705" s="1707">
        <v>20</v>
      </c>
      <c r="J1705" s="1707">
        <f>COUNTIF(Elan!$C$13:$F$25,Tablas!E1705)+COUNTIF(Elan!$U$13:$X$25,Tablas!E1705)</f>
        <v>0</v>
      </c>
      <c r="K1705" s="1706">
        <f>$F$1701/2*J1705</f>
        <v>0</v>
      </c>
      <c r="L1705" s="5238" t="s">
        <v>8100</v>
      </c>
      <c r="M1705" s="5238"/>
      <c r="N1705" s="5238"/>
      <c r="O1705" s="5238"/>
      <c r="P1705" s="5238"/>
      <c r="Q1705" s="5239"/>
      <c r="R1705" s="2429">
        <f>IF(OR($J1705=0,$J1705="Aprendida"),0,SUM($J$1702:$J1705))</f>
        <v>0</v>
      </c>
      <c r="T1705" s="2637" t="s">
        <v>8101</v>
      </c>
      <c r="U1705" s="2638">
        <v>3</v>
      </c>
      <c r="V1705" s="2639" t="s">
        <v>8102</v>
      </c>
      <c r="W1705" s="2638">
        <v>1</v>
      </c>
      <c r="X1705" s="2638"/>
      <c r="Y1705" s="3093"/>
    </row>
    <row r="1706" spans="1:25" ht="12.75" customHeight="1">
      <c r="A1706" s="1886">
        <v>1706</v>
      </c>
      <c r="B1706" s="5250"/>
      <c r="C1706" s="1739" t="s">
        <v>7886</v>
      </c>
      <c r="D1706" s="1704"/>
      <c r="E1706" s="2426" t="s">
        <v>7899</v>
      </c>
      <c r="F1706" s="1706"/>
      <c r="G1706" s="1706">
        <v>50</v>
      </c>
      <c r="H1706" s="1707">
        <v>1</v>
      </c>
      <c r="I1706" s="1707">
        <v>15</v>
      </c>
      <c r="J1706" s="1707">
        <f>COUNTIF(Elan!$C$13:$F$25,Tablas!E1706)+COUNTIF(Elan!$U$13:$X$25,Tablas!E1706)</f>
        <v>0</v>
      </c>
      <c r="K1706" s="1706"/>
      <c r="L1706" s="5238" t="s">
        <v>8103</v>
      </c>
      <c r="M1706" s="5238"/>
      <c r="N1706" s="5238"/>
      <c r="O1706" s="5238"/>
      <c r="P1706" s="5238"/>
      <c r="Q1706" s="5239"/>
      <c r="R1706" s="2429">
        <f>IF(OR($J1706=0,$J1706="Aprendida"),0,SUM($J$1702:$J1706))</f>
        <v>0</v>
      </c>
      <c r="T1706" s="2637" t="s">
        <v>8104</v>
      </c>
      <c r="U1706" s="2638">
        <v>1</v>
      </c>
      <c r="V1706" s="2639"/>
      <c r="W1706" s="2638"/>
      <c r="X1706" s="2638"/>
      <c r="Y1706" s="3093"/>
    </row>
    <row r="1707" spans="1:25" ht="12.75" customHeight="1">
      <c r="A1707" s="1886">
        <v>1707</v>
      </c>
      <c r="B1707" s="5250"/>
      <c r="C1707" s="1739" t="s">
        <v>7887</v>
      </c>
      <c r="D1707" s="1704"/>
      <c r="E1707" s="2426" t="s">
        <v>3170</v>
      </c>
      <c r="F1707" s="1706"/>
      <c r="G1707" s="1706">
        <v>50</v>
      </c>
      <c r="H1707" s="1707">
        <f>IF(J1705=1,1,0)</f>
        <v>0</v>
      </c>
      <c r="I1707" s="1707">
        <v>10</v>
      </c>
      <c r="J1707" s="1707">
        <f>COUNTIF(Elan!$C$13:$F$25,Tablas!E1707)+COUNTIF(Elan!$U$13:$X$25,Tablas!E1707)</f>
        <v>0</v>
      </c>
      <c r="K1707" s="1706"/>
      <c r="L1707" s="5238" t="s">
        <v>8105</v>
      </c>
      <c r="M1707" s="5238"/>
      <c r="N1707" s="5238"/>
      <c r="O1707" s="5238"/>
      <c r="P1707" s="5238"/>
      <c r="Q1707" s="5239"/>
      <c r="R1707" s="2429">
        <f>IF(OR($J1707=0,$J1707="Aprendida"),0,SUM($J$1702:$J1707))</f>
        <v>0</v>
      </c>
      <c r="T1707" s="2637" t="s">
        <v>8094</v>
      </c>
      <c r="U1707" s="2638">
        <v>5</v>
      </c>
      <c r="V1707" s="2639"/>
      <c r="W1707" s="2638"/>
      <c r="X1707" s="2638"/>
      <c r="Y1707" s="3093"/>
    </row>
    <row r="1708" spans="1:25" ht="12.75" customHeight="1">
      <c r="A1708" s="1886">
        <v>1708</v>
      </c>
      <c r="B1708" s="5250"/>
      <c r="C1708" s="1739" t="s">
        <v>7888</v>
      </c>
      <c r="D1708" s="1704"/>
      <c r="E1708" s="2426" t="s">
        <v>7900</v>
      </c>
      <c r="F1708" s="1706"/>
      <c r="G1708" s="1706">
        <v>60</v>
      </c>
      <c r="H1708" s="1707">
        <v>1</v>
      </c>
      <c r="I1708" s="1707">
        <v>10</v>
      </c>
      <c r="J1708" s="1707">
        <f>COUNTIF(Elan!$C$13:$F$25,Tablas!E1708)+COUNTIF(Elan!$U$13:$X$25,Tablas!E1708)</f>
        <v>0</v>
      </c>
      <c r="K1708" s="1706"/>
      <c r="L1708" s="5238" t="s">
        <v>8106</v>
      </c>
      <c r="M1708" s="5238"/>
      <c r="N1708" s="5238"/>
      <c r="O1708" s="5238"/>
      <c r="P1708" s="5238"/>
      <c r="Q1708" s="5239"/>
      <c r="R1708" s="2429">
        <f>IF(OR($J1708=0,$J1708="Aprendida"),0,SUM($J$1702:$J1708))</f>
        <v>0</v>
      </c>
      <c r="T1708" s="2640"/>
      <c r="U1708" s="2641"/>
      <c r="V1708" s="2641"/>
      <c r="W1708" s="2641"/>
      <c r="X1708" s="2641"/>
      <c r="Y1708" s="3094"/>
    </row>
    <row r="1709" spans="1:25" ht="12.75" customHeight="1">
      <c r="A1709" s="1886">
        <v>1709</v>
      </c>
      <c r="B1709" s="5250"/>
      <c r="C1709" s="1739" t="s">
        <v>7889</v>
      </c>
      <c r="D1709" s="1704"/>
      <c r="E1709" s="2426" t="s">
        <v>7901</v>
      </c>
      <c r="F1709" s="1706"/>
      <c r="G1709" s="1706">
        <v>70</v>
      </c>
      <c r="H1709" s="1707">
        <v>1</v>
      </c>
      <c r="I1709" s="1707">
        <v>10</v>
      </c>
      <c r="J1709" s="1707">
        <f>COUNTIF(Elan!$C$13:$F$25,Tablas!E1709)+COUNTIF(Elan!$U$13:$X$25,Tablas!E1709)</f>
        <v>0</v>
      </c>
      <c r="K1709" s="1706"/>
      <c r="L1709" s="5238" t="s">
        <v>8107</v>
      </c>
      <c r="M1709" s="5238"/>
      <c r="N1709" s="5238"/>
      <c r="O1709" s="5238"/>
      <c r="P1709" s="5238"/>
      <c r="Q1709" s="5239"/>
      <c r="R1709" s="2429">
        <f>IF(OR($J1709=0,$J1709="Aprendida"),0,SUM($J$1702:$J1709))</f>
        <v>0</v>
      </c>
      <c r="T1709" s="2635" t="str">
        <f>E1714</f>
        <v>Zemial</v>
      </c>
      <c r="U1709" s="2636"/>
      <c r="V1709" s="2642"/>
      <c r="W1709" s="2636"/>
      <c r="X1709" s="2636"/>
      <c r="Y1709" s="3092"/>
    </row>
    <row r="1710" spans="1:25" ht="12.75" customHeight="1">
      <c r="A1710" s="1886">
        <v>1710</v>
      </c>
      <c r="B1710" s="5250"/>
      <c r="C1710" s="1739" t="s">
        <v>7890</v>
      </c>
      <c r="D1710" s="1704"/>
      <c r="E1710" s="2426" t="s">
        <v>7902</v>
      </c>
      <c r="F1710" s="1706"/>
      <c r="G1710" s="1706">
        <v>70</v>
      </c>
      <c r="H1710" s="1707">
        <v>1</v>
      </c>
      <c r="I1710" s="1707">
        <v>10</v>
      </c>
      <c r="J1710" s="1707">
        <f>COUNTIF(Elan!$C$13:$F$25,Tablas!E1710)+COUNTIF(Elan!$U$13:$X$25,Tablas!E1710)</f>
        <v>0</v>
      </c>
      <c r="K1710" s="1706"/>
      <c r="L1710" s="5238" t="s">
        <v>8108</v>
      </c>
      <c r="M1710" s="5238"/>
      <c r="N1710" s="5238"/>
      <c r="O1710" s="5238"/>
      <c r="P1710" s="5238"/>
      <c r="Q1710" s="5239"/>
      <c r="R1710" s="2429">
        <f>IF(OR($J1710=0,$J1710="Aprendida"),0,SUM($J$1702:$J1710))</f>
        <v>0</v>
      </c>
      <c r="T1710" s="2637" t="s">
        <v>8113</v>
      </c>
      <c r="U1710" s="2638">
        <v>1</v>
      </c>
      <c r="V1710" s="2639" t="s">
        <v>8114</v>
      </c>
      <c r="W1710" s="2638">
        <v>5</v>
      </c>
      <c r="X1710" s="2638" t="s">
        <v>8115</v>
      </c>
      <c r="Y1710" s="3093">
        <v>-3</v>
      </c>
    </row>
    <row r="1711" spans="1:25" ht="12.75" customHeight="1">
      <c r="A1711" s="1886">
        <v>1711</v>
      </c>
      <c r="B1711" s="5250"/>
      <c r="C1711" s="1739" t="s">
        <v>7891</v>
      </c>
      <c r="D1711" s="1704"/>
      <c r="E1711" s="2426" t="s">
        <v>7903</v>
      </c>
      <c r="F1711" s="1706"/>
      <c r="G1711" s="1706">
        <v>80</v>
      </c>
      <c r="H1711" s="1707">
        <v>1</v>
      </c>
      <c r="I1711" s="1707">
        <v>15</v>
      </c>
      <c r="J1711" s="1707">
        <f>COUNTIF(Elan!$C$13:$F$25,Tablas!E1711)+COUNTIF(Elan!$U$13:$X$25,Tablas!E1711)</f>
        <v>0</v>
      </c>
      <c r="K1711" s="1706"/>
      <c r="L1711" s="5238" t="s">
        <v>8109</v>
      </c>
      <c r="M1711" s="5238"/>
      <c r="N1711" s="5238"/>
      <c r="O1711" s="5238"/>
      <c r="P1711" s="5238"/>
      <c r="Q1711" s="5239"/>
      <c r="R1711" s="2429">
        <f>IF(OR($J1711=0,$J1711="Aprendida"),0,SUM($J$1702:$J1711))</f>
        <v>0</v>
      </c>
      <c r="T1711" s="2637" t="s">
        <v>8417</v>
      </c>
      <c r="U1711" s="2638">
        <v>5</v>
      </c>
      <c r="V1711" s="2639" t="s">
        <v>8117</v>
      </c>
      <c r="W1711" s="2638">
        <v>2</v>
      </c>
      <c r="X1711" s="2638" t="s">
        <v>8118</v>
      </c>
      <c r="Y1711" s="3093">
        <v>-5</v>
      </c>
    </row>
    <row r="1712" spans="1:25" ht="12.75" customHeight="1">
      <c r="A1712" s="1886">
        <v>1712</v>
      </c>
      <c r="B1712" s="5250"/>
      <c r="C1712" s="1739" t="s">
        <v>7892</v>
      </c>
      <c r="D1712" s="1704"/>
      <c r="E1712" s="2426" t="s">
        <v>7904</v>
      </c>
      <c r="F1712" s="1706"/>
      <c r="G1712" s="1706">
        <v>90</v>
      </c>
      <c r="H1712" s="1707">
        <v>1</v>
      </c>
      <c r="I1712" s="1707">
        <v>20</v>
      </c>
      <c r="J1712" s="1707">
        <f>COUNTIF(Elan!$C$13:$F$25,Tablas!E1712)+COUNTIF(Elan!$U$13:$X$25,Tablas!E1712)</f>
        <v>0</v>
      </c>
      <c r="K1712" s="1706"/>
      <c r="L1712" s="5238" t="s">
        <v>8110</v>
      </c>
      <c r="M1712" s="5238"/>
      <c r="N1712" s="5238"/>
      <c r="O1712" s="5238"/>
      <c r="P1712" s="5238"/>
      <c r="Q1712" s="5239"/>
      <c r="R1712" s="2429">
        <f>IF(OR($J1712=0,$J1712="Aprendida"),0,SUM($J$1702:$J1712))</f>
        <v>0</v>
      </c>
      <c r="T1712" s="2637" t="s">
        <v>8415</v>
      </c>
      <c r="U1712" s="2638">
        <v>2</v>
      </c>
      <c r="V1712" s="2639" t="s">
        <v>8120</v>
      </c>
      <c r="W1712" s="2638">
        <v>3</v>
      </c>
      <c r="X1712" s="2638" t="s">
        <v>8121</v>
      </c>
      <c r="Y1712" s="3093">
        <v>-2</v>
      </c>
    </row>
    <row r="1713" spans="1:25" ht="12.75" customHeight="1" thickBot="1">
      <c r="A1713" s="1886">
        <v>1713</v>
      </c>
      <c r="B1713" s="5250"/>
      <c r="C1713" s="1740" t="s">
        <v>7893</v>
      </c>
      <c r="D1713" s="1705"/>
      <c r="E1713" s="2426" t="s">
        <v>7905</v>
      </c>
      <c r="F1713" s="1706"/>
      <c r="G1713" s="1706">
        <v>100</v>
      </c>
      <c r="H1713" s="1707">
        <v>1</v>
      </c>
      <c r="I1713" s="1707">
        <v>10</v>
      </c>
      <c r="J1713" s="1707">
        <f>COUNTIF(Elan!$C$13:$F$25,Tablas!E1713)+COUNTIF(Elan!$U$13:$X$25,Tablas!E1713)</f>
        <v>0</v>
      </c>
      <c r="K1713" s="1706"/>
      <c r="L1713" s="5238" t="s">
        <v>8111</v>
      </c>
      <c r="M1713" s="5238"/>
      <c r="N1713" s="5238"/>
      <c r="O1713" s="5238"/>
      <c r="P1713" s="5238"/>
      <c r="Q1713" s="5239"/>
      <c r="R1713" s="2429">
        <f>IF(OR($J1713=0,$J1713="Aprendida"),0,SUM($J$1702:$J1713))</f>
        <v>0</v>
      </c>
      <c r="T1713" s="2637" t="s">
        <v>8416</v>
      </c>
      <c r="U1713" s="2638">
        <v>5</v>
      </c>
      <c r="V1713" s="2639" t="s">
        <v>8123</v>
      </c>
      <c r="W1713" s="2638">
        <v>1</v>
      </c>
      <c r="X1713" s="2638"/>
      <c r="Y1713" s="3093"/>
    </row>
    <row r="1714" spans="1:25" ht="12.75" customHeight="1" thickBot="1">
      <c r="A1714" s="1886">
        <v>1714</v>
      </c>
      <c r="B1714" s="5250"/>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093"/>
    </row>
    <row r="1715" spans="1:25" ht="12.75" customHeight="1">
      <c r="A1715" s="1886">
        <v>1715</v>
      </c>
      <c r="B1715" s="5250"/>
      <c r="E1715" s="2426" t="s">
        <v>7906</v>
      </c>
      <c r="F1715" s="1706"/>
      <c r="G1715" s="1706">
        <v>10</v>
      </c>
      <c r="H1715" s="1707">
        <v>1</v>
      </c>
      <c r="I1715" s="1707">
        <v>5</v>
      </c>
      <c r="J1715" s="1707">
        <f>COUNTIF(Elan!$C$13:$F$25,Tablas!E1715)+COUNTIF(Elan!$U$13:$X$25,Tablas!E1715)</f>
        <v>0</v>
      </c>
      <c r="K1715" s="1706"/>
      <c r="L1715" s="5238" t="s">
        <v>8112</v>
      </c>
      <c r="M1715" s="5238"/>
      <c r="N1715" s="5238"/>
      <c r="O1715" s="5238"/>
      <c r="P1715" s="5238"/>
      <c r="Q1715" s="5239"/>
      <c r="R1715" s="2429">
        <f>IF(OR($J1715=0,$J1715="Aprendida"),0,SUM($J$1702:$J1715))</f>
        <v>0</v>
      </c>
      <c r="T1715" s="2637" t="s">
        <v>8127</v>
      </c>
      <c r="U1715" s="2638">
        <v>2</v>
      </c>
      <c r="V1715" s="2639"/>
      <c r="W1715" s="2638"/>
      <c r="X1715" s="2638"/>
      <c r="Y1715" s="3093"/>
    </row>
    <row r="1716" spans="1:25" ht="12.75" customHeight="1">
      <c r="A1716" s="1886">
        <v>1716</v>
      </c>
      <c r="B1716" s="5250"/>
      <c r="E1716" s="2426" t="s">
        <v>7907</v>
      </c>
      <c r="F1716" s="1706"/>
      <c r="G1716" s="1706">
        <v>20</v>
      </c>
      <c r="H1716" s="1707">
        <v>1</v>
      </c>
      <c r="I1716" s="1707">
        <v>5</v>
      </c>
      <c r="J1716" s="1707">
        <f>COUNTIF(Elan!$C$13:$F$25,Tablas!E1716)+COUNTIF(Elan!$U$13:$X$25,Tablas!E1716)</f>
        <v>0</v>
      </c>
      <c r="K1716" s="1706"/>
      <c r="L1716" s="5238" t="s">
        <v>8116</v>
      </c>
      <c r="M1716" s="5238"/>
      <c r="N1716" s="5238"/>
      <c r="O1716" s="5238"/>
      <c r="P1716" s="5238"/>
      <c r="Q1716" s="5239"/>
      <c r="R1716" s="2429">
        <f>IF(OR($J1716=0,$J1716="Aprendida"),0,SUM($J$1702:$J1716))</f>
        <v>0</v>
      </c>
      <c r="T1716" s="2640"/>
      <c r="U1716" s="2641"/>
      <c r="V1716" s="2641"/>
      <c r="W1716" s="2641"/>
      <c r="X1716" s="2641"/>
      <c r="Y1716" s="3094"/>
    </row>
    <row r="1717" spans="1:25" ht="12.75" customHeight="1">
      <c r="A1717" s="1886">
        <v>1717</v>
      </c>
      <c r="B1717" s="5250"/>
      <c r="E1717" s="2426" t="s">
        <v>1956</v>
      </c>
      <c r="F1717" s="1706"/>
      <c r="G1717" s="1706">
        <v>30</v>
      </c>
      <c r="H1717" s="1707">
        <v>1</v>
      </c>
      <c r="I1717" s="1707">
        <v>10</v>
      </c>
      <c r="J1717" s="1707">
        <f>COUNTIF(Elan!$C$13:$F$25,Tablas!E1717)+COUNTIF(Elan!$U$13:$X$25,Tablas!E1717)</f>
        <v>0</v>
      </c>
      <c r="K1717" s="1706">
        <f>MROUND($F$1714/2,5)*J1717</f>
        <v>0</v>
      </c>
      <c r="L1717" s="5238" t="s">
        <v>8119</v>
      </c>
      <c r="M1717" s="5238"/>
      <c r="N1717" s="5238"/>
      <c r="O1717" s="5238"/>
      <c r="P1717" s="5238"/>
      <c r="Q1717" s="5239"/>
      <c r="R1717" s="2429">
        <f>IF(OR($J1717=0,$J1717="Aprendida"),0,SUM($J$1702:$J1717))</f>
        <v>0</v>
      </c>
      <c r="T1717" s="2635" t="str">
        <f>E1727</f>
        <v>Uriel</v>
      </c>
      <c r="U1717" s="2636"/>
      <c r="V1717" s="2642"/>
      <c r="W1717" s="2636"/>
      <c r="X1717" s="2636"/>
      <c r="Y1717" s="3092"/>
    </row>
    <row r="1718" spans="1:25" ht="12.75" customHeight="1">
      <c r="A1718" s="1886">
        <v>1718</v>
      </c>
      <c r="B1718" s="5250"/>
      <c r="E1718" s="2426" t="s">
        <v>7908</v>
      </c>
      <c r="F1718" s="1706"/>
      <c r="G1718" s="1706">
        <v>40</v>
      </c>
      <c r="H1718" s="1707">
        <f>IF(J1715,1,0)</f>
        <v>0</v>
      </c>
      <c r="I1718" s="1707">
        <v>10</v>
      </c>
      <c r="J1718" s="1707">
        <f>COUNTIF(Elan!$C$13:$F$25,Tablas!E1718)+COUNTIF(Elan!$U$13:$X$25,Tablas!E1718)</f>
        <v>0</v>
      </c>
      <c r="K1718" s="1706"/>
      <c r="L1718" s="5238" t="s">
        <v>8122</v>
      </c>
      <c r="M1718" s="5238"/>
      <c r="N1718" s="5238"/>
      <c r="O1718" s="5238"/>
      <c r="P1718" s="5238"/>
      <c r="Q1718" s="5239"/>
      <c r="R1718" s="2429">
        <f>IF(OR($J1718=0,$J1718="Aprendida"),0,SUM($J$1702:$J1718))</f>
        <v>0</v>
      </c>
      <c r="T1718" s="2637" t="s">
        <v>8135</v>
      </c>
      <c r="U1718" s="2638">
        <v>2</v>
      </c>
      <c r="V1718" s="2639" t="s">
        <v>8136</v>
      </c>
      <c r="W1718" s="2638">
        <v>3</v>
      </c>
      <c r="X1718" s="2638" t="s">
        <v>8137</v>
      </c>
      <c r="Y1718" s="3093">
        <v>-1</v>
      </c>
    </row>
    <row r="1719" spans="1:25" ht="12.75" customHeight="1">
      <c r="A1719" s="1886">
        <v>1719</v>
      </c>
      <c r="B1719" s="5250"/>
      <c r="E1719" s="2426" t="s">
        <v>7909</v>
      </c>
      <c r="F1719" s="1706"/>
      <c r="G1719" s="1706">
        <v>50</v>
      </c>
      <c r="H1719" s="1707">
        <v>1</v>
      </c>
      <c r="I1719" s="1707">
        <v>15</v>
      </c>
      <c r="J1719" s="1707">
        <f>COUNTIF(Elan!$C$13:$F$25,Tablas!E1719)+COUNTIF(Elan!$U$13:$X$25,Tablas!E1719)</f>
        <v>0</v>
      </c>
      <c r="K1719" s="1706"/>
      <c r="L1719" s="5238" t="s">
        <v>8124</v>
      </c>
      <c r="M1719" s="5238"/>
      <c r="N1719" s="5238"/>
      <c r="O1719" s="5238"/>
      <c r="P1719" s="5238"/>
      <c r="Q1719" s="5239"/>
      <c r="R1719" s="2429">
        <f>IF(OR($J1719=0,$J1719="Aprendida"),0,SUM($J$1702:$J1719))</f>
        <v>0</v>
      </c>
      <c r="T1719" s="2637" t="s">
        <v>8139</v>
      </c>
      <c r="U1719" s="2638">
        <v>5</v>
      </c>
      <c r="V1719" s="2639" t="s">
        <v>8140</v>
      </c>
      <c r="W1719" s="2638">
        <v>2</v>
      </c>
      <c r="X1719" s="2638" t="s">
        <v>8141</v>
      </c>
      <c r="Y1719" s="3093">
        <v>-2</v>
      </c>
    </row>
    <row r="1720" spans="1:25" ht="12.75" customHeight="1">
      <c r="A1720" s="1886">
        <v>1720</v>
      </c>
      <c r="B1720" s="5250"/>
      <c r="E1720" s="2426" t="s">
        <v>7910</v>
      </c>
      <c r="F1720" s="1706"/>
      <c r="G1720" s="1706">
        <v>50</v>
      </c>
      <c r="H1720" s="1707">
        <v>1</v>
      </c>
      <c r="I1720" s="1707">
        <v>10</v>
      </c>
      <c r="J1720" s="1707">
        <f>COUNTIF(Elan!$C$13:$F$25,Tablas!E1720)+COUNTIF(Elan!$U$13:$X$25,Tablas!E1720)</f>
        <v>0</v>
      </c>
      <c r="K1720" s="1706"/>
      <c r="L1720" s="5238" t="s">
        <v>8126</v>
      </c>
      <c r="M1720" s="5238"/>
      <c r="N1720" s="5238"/>
      <c r="O1720" s="5238"/>
      <c r="P1720" s="5238"/>
      <c r="Q1720" s="5239"/>
      <c r="R1720" s="2429">
        <f>IF(OR($J1720=0,$J1720="Aprendida"),0,SUM($J$1702:$J1720))</f>
        <v>0</v>
      </c>
      <c r="T1720" s="2637" t="s">
        <v>8143</v>
      </c>
      <c r="U1720" s="2638">
        <v>2</v>
      </c>
      <c r="V1720" s="2639" t="s">
        <v>8144</v>
      </c>
      <c r="W1720" s="2638">
        <v>1</v>
      </c>
      <c r="X1720" s="2638" t="s">
        <v>8145</v>
      </c>
      <c r="Y1720" s="3093">
        <v>-1</v>
      </c>
    </row>
    <row r="1721" spans="1:25" ht="12.75" customHeight="1">
      <c r="A1721" s="1886">
        <v>1721</v>
      </c>
      <c r="B1721" s="5250"/>
      <c r="E1721" s="2426" t="s">
        <v>7911</v>
      </c>
      <c r="F1721" s="1706"/>
      <c r="G1721" s="1706">
        <v>60</v>
      </c>
      <c r="H1721" s="1707">
        <v>1</v>
      </c>
      <c r="I1721" s="1707">
        <v>10</v>
      </c>
      <c r="J1721" s="1707">
        <f>COUNTIF(Elan!$C$13:$F$25,Tablas!E1721)+COUNTIF(Elan!$U$13:$X$25,Tablas!E1721)</f>
        <v>0</v>
      </c>
      <c r="K1721" s="1706"/>
      <c r="L1721" s="5238" t="s">
        <v>8128</v>
      </c>
      <c r="M1721" s="5238"/>
      <c r="N1721" s="5238"/>
      <c r="O1721" s="5238"/>
      <c r="P1721" s="5238"/>
      <c r="Q1721" s="5239"/>
      <c r="R1721" s="2429">
        <f>IF(OR($J1721=0,$J1721="Aprendida"),0,SUM($J$1702:$J1721))</f>
        <v>0</v>
      </c>
      <c r="T1721" s="2637" t="s">
        <v>8147</v>
      </c>
      <c r="U1721" s="2638">
        <v>2</v>
      </c>
      <c r="V1721" s="2639"/>
      <c r="W1721" s="2638"/>
      <c r="X1721" s="2638" t="s">
        <v>8148</v>
      </c>
      <c r="Y1721" s="3093">
        <v>-2</v>
      </c>
    </row>
    <row r="1722" spans="1:25" ht="12.75" customHeight="1">
      <c r="A1722" s="1886">
        <v>1722</v>
      </c>
      <c r="B1722" s="5250"/>
      <c r="E1722" s="2426" t="s">
        <v>7912</v>
      </c>
      <c r="F1722" s="1706"/>
      <c r="G1722" s="1706">
        <v>60</v>
      </c>
      <c r="H1722" s="1707">
        <f>IF(J1720,1,0)</f>
        <v>0</v>
      </c>
      <c r="I1722" s="1707">
        <v>10</v>
      </c>
      <c r="J1722" s="1707">
        <f>COUNTIF(Elan!$C$13:$F$25,Tablas!E1722)+COUNTIF(Elan!$U$13:$X$25,Tablas!E1722)</f>
        <v>0</v>
      </c>
      <c r="K1722" s="1706"/>
      <c r="L1722" s="5238" t="s">
        <v>8129</v>
      </c>
      <c r="M1722" s="5238"/>
      <c r="N1722" s="5238"/>
      <c r="O1722" s="5238"/>
      <c r="P1722" s="5238"/>
      <c r="Q1722" s="5239"/>
      <c r="R1722" s="2429">
        <f>IF(OR($J1722=0,$J1722="Aprendida"),0,SUM($J$1702:$J1722))</f>
        <v>0</v>
      </c>
      <c r="T1722" s="2637" t="s">
        <v>8150</v>
      </c>
      <c r="U1722" s="2638">
        <v>1</v>
      </c>
      <c r="V1722" s="2639"/>
      <c r="W1722" s="2638"/>
      <c r="X1722" s="2638" t="s">
        <v>8151</v>
      </c>
      <c r="Y1722" s="3093">
        <v>-10</v>
      </c>
    </row>
    <row r="1723" spans="1:25" ht="12.75" customHeight="1">
      <c r="A1723" s="1886">
        <v>1723</v>
      </c>
      <c r="B1723" s="5250"/>
      <c r="E1723" s="2426" t="s">
        <v>7913</v>
      </c>
      <c r="F1723" s="1706"/>
      <c r="G1723" s="1706">
        <v>70</v>
      </c>
      <c r="H1723" s="1707">
        <f>IF(J1722,1,0)</f>
        <v>0</v>
      </c>
      <c r="I1723" s="1707">
        <v>10</v>
      </c>
      <c r="J1723" s="1707">
        <f>COUNTIF(Elan!$C$13:$F$25,Tablas!E1723)+COUNTIF(Elan!$U$13:$X$25,Tablas!E1723)</f>
        <v>0</v>
      </c>
      <c r="K1723" s="1706"/>
      <c r="L1723" s="5238" t="s">
        <v>8130</v>
      </c>
      <c r="M1723" s="5238"/>
      <c r="N1723" s="5238"/>
      <c r="O1723" s="5238"/>
      <c r="P1723" s="5238"/>
      <c r="Q1723" s="5239"/>
      <c r="R1723" s="2429">
        <f>IF(OR($J1723=0,$J1723="Aprendida"),0,SUM($J$1702:$J1723))</f>
        <v>0</v>
      </c>
      <c r="T1723" s="2637" t="s">
        <v>8153</v>
      </c>
      <c r="U1723" s="2638">
        <v>2</v>
      </c>
      <c r="V1723" s="2639"/>
      <c r="W1723" s="2638"/>
      <c r="X1723" s="2638"/>
      <c r="Y1723" s="3093"/>
    </row>
    <row r="1724" spans="1:25" ht="12.75" customHeight="1">
      <c r="A1724" s="1886">
        <v>1724</v>
      </c>
      <c r="B1724" s="5250"/>
      <c r="E1724" s="2426" t="s">
        <v>7914</v>
      </c>
      <c r="F1724" s="1706"/>
      <c r="G1724" s="1706">
        <v>80</v>
      </c>
      <c r="H1724" s="1707">
        <v>1</v>
      </c>
      <c r="I1724" s="1707">
        <v>15</v>
      </c>
      <c r="J1724" s="1707">
        <f>COUNTIF(Elan!$C$13:$F$25,Tablas!E1724)+COUNTIF(Elan!$U$13:$X$25,Tablas!E1724)</f>
        <v>0</v>
      </c>
      <c r="K1724" s="1706"/>
      <c r="L1724" s="5238" t="s">
        <v>8131</v>
      </c>
      <c r="M1724" s="5238"/>
      <c r="N1724" s="5238"/>
      <c r="O1724" s="5238"/>
      <c r="P1724" s="5238"/>
      <c r="Q1724" s="5239"/>
      <c r="R1724" s="2429">
        <f>IF(OR($J1724=0,$J1724="Aprendida"),0,SUM($J$1702:$J1724))</f>
        <v>0</v>
      </c>
      <c r="T1724" s="2640"/>
      <c r="U1724" s="2641"/>
      <c r="V1724" s="2641"/>
      <c r="W1724" s="2641"/>
      <c r="X1724" s="2641"/>
      <c r="Y1724" s="3094"/>
    </row>
    <row r="1725" spans="1:25" ht="12.75" customHeight="1">
      <c r="A1725" s="1886">
        <v>1725</v>
      </c>
      <c r="B1725" s="5250"/>
      <c r="E1725" s="2426" t="s">
        <v>7915</v>
      </c>
      <c r="F1725" s="1706"/>
      <c r="G1725" s="1706">
        <v>90</v>
      </c>
      <c r="H1725" s="1707">
        <v>1</v>
      </c>
      <c r="I1725" s="1707">
        <v>20</v>
      </c>
      <c r="J1725" s="1707">
        <f>COUNTIF(Elan!$C$13:$F$25,Tablas!E1725)+COUNTIF(Elan!$U$13:$X$25,Tablas!E1725)</f>
        <v>0</v>
      </c>
      <c r="K1725" s="1706"/>
      <c r="L1725" s="5238" t="s">
        <v>8132</v>
      </c>
      <c r="M1725" s="5238"/>
      <c r="N1725" s="5238"/>
      <c r="O1725" s="5238"/>
      <c r="P1725" s="5238"/>
      <c r="Q1725" s="5239"/>
      <c r="R1725" s="2429">
        <f>IF(OR($J1725=0,$J1725="Aprendida"),0,SUM($J$1702:$J1725))</f>
        <v>0</v>
      </c>
      <c r="T1725" s="2635" t="str">
        <f>E1741</f>
        <v>Jedah</v>
      </c>
      <c r="U1725" s="2636"/>
      <c r="V1725" s="2642"/>
      <c r="W1725" s="2636"/>
      <c r="X1725" s="2636"/>
      <c r="Y1725" s="3092"/>
    </row>
    <row r="1726" spans="1:25" ht="12.75" customHeight="1">
      <c r="A1726" s="1886">
        <v>1726</v>
      </c>
      <c r="B1726" s="5250"/>
      <c r="E1726" s="2426" t="s">
        <v>7916</v>
      </c>
      <c r="F1726" s="1706"/>
      <c r="G1726" s="1706">
        <v>100</v>
      </c>
      <c r="H1726" s="1707">
        <v>1</v>
      </c>
      <c r="I1726" s="1707">
        <v>10</v>
      </c>
      <c r="J1726" s="1707">
        <f>COUNTIF(Elan!$C$13:$F$25,Tablas!E1726)+COUNTIF(Elan!$U$13:$X$25,Tablas!E1726)</f>
        <v>0</v>
      </c>
      <c r="K1726" s="1706"/>
      <c r="L1726" s="5238" t="s">
        <v>8133</v>
      </c>
      <c r="M1726" s="5238"/>
      <c r="N1726" s="5238"/>
      <c r="O1726" s="5238"/>
      <c r="P1726" s="5238"/>
      <c r="Q1726" s="5239"/>
      <c r="R1726" s="2429">
        <f>IF(OR($J1726=0,$J1726="Aprendida"),0,SUM($J$1702:$J1726))</f>
        <v>0</v>
      </c>
      <c r="T1726" s="2637" t="s">
        <v>8418</v>
      </c>
      <c r="U1726" s="2638">
        <v>1</v>
      </c>
      <c r="V1726" s="2639" t="s">
        <v>8162</v>
      </c>
      <c r="W1726" s="2638">
        <v>1</v>
      </c>
      <c r="X1726" s="2638" t="s">
        <v>8163</v>
      </c>
      <c r="Y1726" s="3093">
        <v>-2</v>
      </c>
    </row>
    <row r="1727" spans="1:25" ht="12.75" customHeight="1">
      <c r="A1727" s="1886">
        <v>1727</v>
      </c>
      <c r="B1727" s="5250"/>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093">
        <v>-3</v>
      </c>
    </row>
    <row r="1728" spans="1:25" ht="12.75" customHeight="1">
      <c r="A1728" s="1886">
        <v>1728</v>
      </c>
      <c r="B1728" s="5250"/>
      <c r="E1728" s="2426" t="s">
        <v>7917</v>
      </c>
      <c r="F1728" s="1706"/>
      <c r="G1728" s="1706">
        <v>10</v>
      </c>
      <c r="H1728" s="1707">
        <v>1</v>
      </c>
      <c r="I1728" s="1707">
        <v>5</v>
      </c>
      <c r="J1728" s="1707">
        <f>COUNTIF(Elan!$C$13:$F$25,Tablas!E1728)+COUNTIF(Elan!$U$13:$X$25,Tablas!E1728)</f>
        <v>0</v>
      </c>
      <c r="K1728" s="1706"/>
      <c r="L1728" s="5238" t="s">
        <v>8134</v>
      </c>
      <c r="M1728" s="5238"/>
      <c r="N1728" s="5238"/>
      <c r="O1728" s="5238"/>
      <c r="P1728" s="5238"/>
      <c r="Q1728" s="5239"/>
      <c r="R1728" s="2429">
        <f>IF(OR($J1728=0,$J1728="Aprendida"),0,SUM($J$1702:$J1728))</f>
        <v>0</v>
      </c>
      <c r="T1728" s="2637" t="s">
        <v>8169</v>
      </c>
      <c r="U1728" s="2638">
        <v>2</v>
      </c>
      <c r="V1728" s="2639" t="s">
        <v>8170</v>
      </c>
      <c r="W1728" s="2638">
        <v>3</v>
      </c>
      <c r="X1728" s="2638" t="s">
        <v>8171</v>
      </c>
      <c r="Y1728" s="3093">
        <v>-2</v>
      </c>
    </row>
    <row r="1729" spans="1:25" ht="12.75" customHeight="1">
      <c r="A1729" s="1886">
        <v>1729</v>
      </c>
      <c r="B1729" s="5250"/>
      <c r="E1729" s="2426" t="s">
        <v>7918</v>
      </c>
      <c r="F1729" s="1706"/>
      <c r="G1729" s="1706">
        <v>20</v>
      </c>
      <c r="H1729" s="1707">
        <v>1</v>
      </c>
      <c r="I1729" s="1707">
        <v>5</v>
      </c>
      <c r="J1729" s="1707">
        <f>COUNTIF(Elan!$C$13:$F$25,Tablas!E1729)+COUNTIF(Elan!$U$13:$X$25,Tablas!E1729)</f>
        <v>0</v>
      </c>
      <c r="K1729" s="1706"/>
      <c r="L1729" s="5238" t="s">
        <v>8138</v>
      </c>
      <c r="M1729" s="5238"/>
      <c r="N1729" s="5238"/>
      <c r="O1729" s="5238"/>
      <c r="P1729" s="5238"/>
      <c r="Q1729" s="5239"/>
      <c r="R1729" s="2429">
        <f>IF(OR($J1729=0,$J1729="Aprendida"),0,SUM($J$1702:$J1729))</f>
        <v>0</v>
      </c>
      <c r="T1729" s="2637" t="s">
        <v>8173</v>
      </c>
      <c r="U1729" s="2638">
        <v>3</v>
      </c>
      <c r="V1729" s="2639"/>
      <c r="W1729" s="2638"/>
      <c r="X1729" s="2638" t="s">
        <v>8174</v>
      </c>
      <c r="Y1729" s="3093">
        <v>-4</v>
      </c>
    </row>
    <row r="1730" spans="1:25" ht="12.75" customHeight="1">
      <c r="A1730" s="1886">
        <v>1730</v>
      </c>
      <c r="B1730" s="5250"/>
      <c r="E1730" s="2426" t="s">
        <v>7919</v>
      </c>
      <c r="F1730" s="1706"/>
      <c r="G1730" s="1706">
        <v>20</v>
      </c>
      <c r="H1730" s="1707">
        <v>1</v>
      </c>
      <c r="I1730" s="1707">
        <v>10</v>
      </c>
      <c r="J1730" s="1707">
        <f>COUNTIF(Elan!$C$13:$F$25,Tablas!E1730)+COUNTIF(Elan!$U$13:$X$25,Tablas!E1730)</f>
        <v>0</v>
      </c>
      <c r="K1730" s="1706"/>
      <c r="L1730" s="5238" t="s">
        <v>8142</v>
      </c>
      <c r="M1730" s="5238"/>
      <c r="N1730" s="5238"/>
      <c r="O1730" s="5238"/>
      <c r="P1730" s="5238"/>
      <c r="Q1730" s="5239"/>
      <c r="R1730" s="2429">
        <f>IF(OR($J1730=0,$J1730="Aprendida"),0,SUM($J$1702:$J1730))</f>
        <v>0</v>
      </c>
      <c r="T1730" s="2637" t="s">
        <v>8176</v>
      </c>
      <c r="U1730" s="2638">
        <v>3</v>
      </c>
      <c r="V1730" s="2639"/>
      <c r="W1730" s="2638"/>
      <c r="X1730" s="2638"/>
      <c r="Y1730" s="3093"/>
    </row>
    <row r="1731" spans="1:25" ht="12.75" customHeight="1">
      <c r="A1731" s="1886">
        <v>1731</v>
      </c>
      <c r="B1731" s="5250"/>
      <c r="E1731" s="2426" t="s">
        <v>7920</v>
      </c>
      <c r="F1731" s="1706"/>
      <c r="G1731" s="1706">
        <v>30</v>
      </c>
      <c r="H1731" s="1707">
        <v>1</v>
      </c>
      <c r="I1731" s="1707">
        <v>5</v>
      </c>
      <c r="J1731" s="1707">
        <f>COUNTIF(Elan!$C$13:$F$25,Tablas!E1731)+COUNTIF(Elan!$U$13:$X$25,Tablas!E1731)</f>
        <v>0</v>
      </c>
      <c r="K1731" s="1706"/>
      <c r="L1731" s="5238" t="s">
        <v>8146</v>
      </c>
      <c r="M1731" s="5238"/>
      <c r="N1731" s="5238"/>
      <c r="O1731" s="5238"/>
      <c r="P1731" s="5238"/>
      <c r="Q1731" s="5239"/>
      <c r="R1731" s="2429">
        <f>IF(OR($J1731=0,$J1731="Aprendida"),0,SUM($J$1702:$J1731))</f>
        <v>0</v>
      </c>
      <c r="T1731" s="2637" t="s">
        <v>8178</v>
      </c>
      <c r="U1731" s="2638">
        <v>2</v>
      </c>
      <c r="V1731" s="2639"/>
      <c r="W1731" s="2638"/>
      <c r="X1731" s="2638"/>
      <c r="Y1731" s="3093"/>
    </row>
    <row r="1732" spans="1:25" ht="12.75" customHeight="1">
      <c r="A1732" s="1886">
        <v>1732</v>
      </c>
      <c r="B1732" s="5250"/>
      <c r="E1732" s="2426" t="s">
        <v>7921</v>
      </c>
      <c r="F1732" s="1706"/>
      <c r="G1732" s="1706">
        <v>40</v>
      </c>
      <c r="H1732" s="1707">
        <v>1</v>
      </c>
      <c r="I1732" s="1707">
        <v>10</v>
      </c>
      <c r="J1732" s="1707">
        <f>COUNTIF(Elan!$C$13:$F$25,Tablas!E1732)+COUNTIF(Elan!$U$13:$X$25,Tablas!E1732)</f>
        <v>0</v>
      </c>
      <c r="K1732" s="1706"/>
      <c r="L1732" s="5238" t="s">
        <v>8149</v>
      </c>
      <c r="M1732" s="5238"/>
      <c r="N1732" s="5238"/>
      <c r="O1732" s="5238"/>
      <c r="P1732" s="5238"/>
      <c r="Q1732" s="5239"/>
      <c r="R1732" s="2429">
        <f>IF(OR($J1732=0,$J1732="Aprendida"),0,SUM($J$1702:$J1732))</f>
        <v>0</v>
      </c>
      <c r="T1732" s="2640"/>
      <c r="U1732" s="2641"/>
      <c r="V1732" s="2641"/>
      <c r="W1732" s="2641"/>
      <c r="X1732" s="2641"/>
      <c r="Y1732" s="3094"/>
    </row>
    <row r="1733" spans="1:25" ht="12.75" customHeight="1">
      <c r="A1733" s="1886">
        <v>1733</v>
      </c>
      <c r="B1733" s="5250"/>
      <c r="E1733" s="2426" t="s">
        <v>7922</v>
      </c>
      <c r="F1733" s="1706"/>
      <c r="G1733" s="1706">
        <v>40</v>
      </c>
      <c r="H1733" s="1707">
        <v>1</v>
      </c>
      <c r="I1733" s="1707">
        <v>5</v>
      </c>
      <c r="J1733" s="1707">
        <f>COUNTIF(Elan!$C$13:$F$25,Tablas!E1733)+COUNTIF(Elan!$U$13:$X$25,Tablas!E1733)</f>
        <v>0</v>
      </c>
      <c r="K1733" s="1706"/>
      <c r="L1733" s="5238" t="s">
        <v>8152</v>
      </c>
      <c r="M1733" s="5238"/>
      <c r="N1733" s="5238"/>
      <c r="O1733" s="5238"/>
      <c r="P1733" s="5238"/>
      <c r="Q1733" s="5239"/>
      <c r="R1733" s="2429">
        <f>IF(OR($J1733=0,$J1733="Aprendida"),0,SUM($J$1702:$J1733))</f>
        <v>0</v>
      </c>
      <c r="T1733" s="2640"/>
      <c r="U1733" s="2641"/>
      <c r="V1733" s="2641"/>
      <c r="W1733" s="2641"/>
      <c r="X1733" s="2641"/>
      <c r="Y1733" s="3094"/>
    </row>
    <row r="1734" spans="1:25" ht="12.75" customHeight="1">
      <c r="A1734" s="1886">
        <v>1734</v>
      </c>
      <c r="B1734" s="5250"/>
      <c r="E1734" s="2426" t="s">
        <v>7923</v>
      </c>
      <c r="F1734" s="1706"/>
      <c r="G1734" s="1706">
        <v>50</v>
      </c>
      <c r="H1734" s="1707">
        <v>1</v>
      </c>
      <c r="I1734" s="1707">
        <v>10</v>
      </c>
      <c r="J1734" s="1707">
        <f>COUNTIF(Elan!$C$13:$F$25,Tablas!E1734)+COUNTIF(Elan!$U$13:$X$25,Tablas!E1734)</f>
        <v>0</v>
      </c>
      <c r="K1734" s="1706"/>
      <c r="L1734" s="5238" t="s">
        <v>8154</v>
      </c>
      <c r="M1734" s="5238"/>
      <c r="N1734" s="5238"/>
      <c r="O1734" s="5238"/>
      <c r="P1734" s="5238"/>
      <c r="Q1734" s="5239"/>
      <c r="R1734" s="2429">
        <f>IF(OR($J1734=0,$J1734="Aprendida"),0,SUM($J$1702:$J1734))</f>
        <v>0</v>
      </c>
      <c r="T1734" s="2635" t="str">
        <f>E1755</f>
        <v>Gabriel</v>
      </c>
      <c r="U1734" s="2636"/>
      <c r="V1734" s="2642"/>
      <c r="W1734" s="2636"/>
      <c r="X1734" s="2636"/>
      <c r="Y1734" s="3092"/>
    </row>
    <row r="1735" spans="1:25" ht="12.75" customHeight="1">
      <c r="A1735" s="1886">
        <v>1735</v>
      </c>
      <c r="B1735" s="5250"/>
      <c r="E1735" s="2426" t="s">
        <v>7924</v>
      </c>
      <c r="F1735" s="1706"/>
      <c r="G1735" s="1706">
        <v>60</v>
      </c>
      <c r="H1735" s="1707">
        <f>IF(J1732,1,0)</f>
        <v>0</v>
      </c>
      <c r="I1735" s="1707">
        <v>20</v>
      </c>
      <c r="J1735" s="1707">
        <f>COUNTIF(Elan!$C$13:$F$25,Tablas!E1735)+COUNTIF(Elan!$U$13:$X$25,Tablas!E1735)</f>
        <v>0</v>
      </c>
      <c r="K1735" s="1706"/>
      <c r="L1735" s="5238" t="s">
        <v>8155</v>
      </c>
      <c r="M1735" s="5238"/>
      <c r="N1735" s="5238"/>
      <c r="O1735" s="5238"/>
      <c r="P1735" s="5238"/>
      <c r="Q1735" s="5239"/>
      <c r="R1735" s="2429">
        <f>IF(OR($J1735=0,$J1735="Aprendida"),0,SUM($J$1702:$J1735))</f>
        <v>0</v>
      </c>
      <c r="T1735" s="2637" t="s">
        <v>8186</v>
      </c>
      <c r="U1735" s="2638">
        <v>3</v>
      </c>
      <c r="V1735" s="2639" t="s">
        <v>8187</v>
      </c>
      <c r="W1735" s="2638">
        <v>3</v>
      </c>
      <c r="X1735" s="2638" t="s">
        <v>8188</v>
      </c>
      <c r="Y1735" s="3093">
        <v>-2</v>
      </c>
    </row>
    <row r="1736" spans="1:25" ht="12.75" customHeight="1">
      <c r="A1736" s="1886">
        <v>1736</v>
      </c>
      <c r="B1736" s="5250"/>
      <c r="E1736" s="2426" t="s">
        <v>7925</v>
      </c>
      <c r="F1736" s="1706"/>
      <c r="G1736" s="1706">
        <v>60</v>
      </c>
      <c r="H1736" s="1707">
        <v>1</v>
      </c>
      <c r="I1736" s="1707">
        <v>15</v>
      </c>
      <c r="J1736" s="1707">
        <f>COUNTIF(Elan!$C$13:$F$25,Tablas!E1736)+COUNTIF(Elan!$U$13:$X$25,Tablas!E1736)</f>
        <v>0</v>
      </c>
      <c r="K1736" s="1706"/>
      <c r="L1736" s="5238" t="s">
        <v>8156</v>
      </c>
      <c r="M1736" s="5238"/>
      <c r="N1736" s="5238"/>
      <c r="O1736" s="5238"/>
      <c r="P1736" s="5238"/>
      <c r="Q1736" s="5239"/>
      <c r="R1736" s="2429">
        <f>IF(OR($J1736=0,$J1736="Aprendida"),0,SUM($J$1702:$J1736))</f>
        <v>0</v>
      </c>
      <c r="T1736" s="2637" t="s">
        <v>8190</v>
      </c>
      <c r="U1736" s="2638">
        <v>1</v>
      </c>
      <c r="V1736" s="2639" t="s">
        <v>8191</v>
      </c>
      <c r="W1736" s="2638">
        <v>2</v>
      </c>
      <c r="X1736" s="2638" t="s">
        <v>8192</v>
      </c>
      <c r="Y1736" s="3093">
        <v>-3</v>
      </c>
    </row>
    <row r="1737" spans="1:25" ht="12.75" customHeight="1">
      <c r="A1737" s="1886">
        <v>1737</v>
      </c>
      <c r="B1737" s="5250"/>
      <c r="E1737" s="2426" t="s">
        <v>7926</v>
      </c>
      <c r="F1737" s="1706"/>
      <c r="G1737" s="1706">
        <v>70</v>
      </c>
      <c r="H1737" s="1707">
        <v>1</v>
      </c>
      <c r="I1737" s="1707">
        <v>10</v>
      </c>
      <c r="J1737" s="1707">
        <f>COUNTIF(Elan!$C$13:$F$25,Tablas!E1737)+COUNTIF(Elan!$U$13:$X$25,Tablas!E1737)</f>
        <v>0</v>
      </c>
      <c r="K1737" s="1706">
        <f>IF(J1737&gt;0,1,0)</f>
        <v>0</v>
      </c>
      <c r="L1737" s="5238" t="s">
        <v>8157</v>
      </c>
      <c r="M1737" s="5238"/>
      <c r="N1737" s="5238"/>
      <c r="O1737" s="5238"/>
      <c r="P1737" s="5238"/>
      <c r="Q1737" s="5239"/>
      <c r="R1737" s="2429">
        <f>IF(OR($J1737=0,$J1737="Aprendida"),0,SUM($J$1702:$J1737))</f>
        <v>0</v>
      </c>
      <c r="T1737" s="2637" t="s">
        <v>8097</v>
      </c>
      <c r="U1737" s="2638">
        <v>2</v>
      </c>
      <c r="V1737" s="2639" t="s">
        <v>8194</v>
      </c>
      <c r="W1737" s="2638">
        <v>1</v>
      </c>
      <c r="X1737" s="2638" t="s">
        <v>8195</v>
      </c>
      <c r="Y1737" s="3093">
        <v>-2</v>
      </c>
    </row>
    <row r="1738" spans="1:25" ht="12.75" customHeight="1">
      <c r="A1738" s="1886">
        <v>1738</v>
      </c>
      <c r="B1738" s="5250"/>
      <c r="E1738" s="2426" t="s">
        <v>7927</v>
      </c>
      <c r="F1738" s="1706"/>
      <c r="G1738" s="1706">
        <v>80</v>
      </c>
      <c r="H1738" s="1707">
        <v>1</v>
      </c>
      <c r="I1738" s="1707">
        <v>10</v>
      </c>
      <c r="J1738" s="1707">
        <f>COUNTIF(Elan!$C$13:$F$25,Tablas!E1738)+COUNTIF(Elan!$U$13:$X$25,Tablas!E1738)</f>
        <v>0</v>
      </c>
      <c r="K1738" s="1706"/>
      <c r="L1738" s="5238" t="s">
        <v>8158</v>
      </c>
      <c r="M1738" s="5238"/>
      <c r="N1738" s="5238"/>
      <c r="O1738" s="5238"/>
      <c r="P1738" s="5238"/>
      <c r="Q1738" s="5239"/>
      <c r="R1738" s="2429">
        <f>IF(OR($J1738=0,$J1738="Aprendida"),0,SUM($J$1702:$J1738))</f>
        <v>0</v>
      </c>
      <c r="T1738" s="2637" t="s">
        <v>8197</v>
      </c>
      <c r="U1738" s="2638">
        <v>3</v>
      </c>
      <c r="V1738" s="2639" t="s">
        <v>8198</v>
      </c>
      <c r="W1738" s="2638">
        <v>2</v>
      </c>
      <c r="X1738" s="2638" t="s">
        <v>8199</v>
      </c>
      <c r="Y1738" s="3093">
        <v>-1</v>
      </c>
    </row>
    <row r="1739" spans="1:25" ht="12.75" customHeight="1">
      <c r="A1739" s="1886">
        <v>1739</v>
      </c>
      <c r="B1739" s="5250"/>
      <c r="E1739" s="2426" t="s">
        <v>7928</v>
      </c>
      <c r="F1739" s="1706"/>
      <c r="G1739" s="1706">
        <v>90</v>
      </c>
      <c r="H1739" s="1707">
        <v>1</v>
      </c>
      <c r="I1739" s="1707">
        <v>20</v>
      </c>
      <c r="J1739" s="1707">
        <f>COUNTIF(Elan!$C$13:$F$25,Tablas!E1739)+COUNTIF(Elan!$U$13:$X$25,Tablas!E1739)</f>
        <v>0</v>
      </c>
      <c r="K1739" s="1706"/>
      <c r="L1739" s="5238" t="s">
        <v>8159</v>
      </c>
      <c r="M1739" s="5238"/>
      <c r="N1739" s="5238"/>
      <c r="O1739" s="5238"/>
      <c r="P1739" s="5238"/>
      <c r="Q1739" s="5239"/>
      <c r="R1739" s="2429">
        <f>IF(OR($J1739=0,$J1739="Aprendida"),0,SUM($J$1702:$J1739))</f>
        <v>0</v>
      </c>
      <c r="T1739" s="2637" t="s">
        <v>8201</v>
      </c>
      <c r="U1739" s="2638">
        <v>1</v>
      </c>
      <c r="V1739" s="2639"/>
      <c r="W1739" s="2638"/>
      <c r="X1739" s="2638" t="s">
        <v>8202</v>
      </c>
      <c r="Y1739" s="3093">
        <v>-5</v>
      </c>
    </row>
    <row r="1740" spans="1:25" ht="12.75" customHeight="1">
      <c r="A1740" s="1886">
        <v>1740</v>
      </c>
      <c r="B1740" s="5250"/>
      <c r="E1740" s="2426" t="s">
        <v>7929</v>
      </c>
      <c r="F1740" s="1706"/>
      <c r="G1740" s="1706">
        <v>100</v>
      </c>
      <c r="H1740" s="1707">
        <v>1</v>
      </c>
      <c r="I1740" s="1707">
        <v>10</v>
      </c>
      <c r="J1740" s="1707">
        <f>COUNTIF(Elan!$C$13:$F$25,Tablas!E1740)+COUNTIF(Elan!$U$13:$X$25,Tablas!E1740)</f>
        <v>0</v>
      </c>
      <c r="K1740" s="1706"/>
      <c r="L1740" s="5238" t="s">
        <v>8160</v>
      </c>
      <c r="M1740" s="5238"/>
      <c r="N1740" s="5238"/>
      <c r="O1740" s="5238"/>
      <c r="P1740" s="5238"/>
      <c r="Q1740" s="5239"/>
      <c r="R1740" s="2429">
        <f>IF(OR($J1740=0,$J1740="Aprendida"),0,SUM($J$1702:$J1740))</f>
        <v>0</v>
      </c>
      <c r="T1740" s="2640"/>
      <c r="U1740" s="2641"/>
      <c r="V1740" s="2641"/>
      <c r="W1740" s="2641"/>
      <c r="X1740" s="2641"/>
      <c r="Y1740" s="3094"/>
    </row>
    <row r="1741" spans="1:25" ht="12.75" customHeight="1">
      <c r="A1741" s="1886">
        <v>1741</v>
      </c>
      <c r="B1741" s="5250"/>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c r="A1742" s="1886">
        <v>1742</v>
      </c>
      <c r="B1742" s="5250"/>
      <c r="E1742" s="2426" t="s">
        <v>7930</v>
      </c>
      <c r="F1742" s="1706"/>
      <c r="G1742" s="1706">
        <v>10</v>
      </c>
      <c r="H1742" s="1707">
        <v>1</v>
      </c>
      <c r="I1742" s="1707">
        <v>5</v>
      </c>
      <c r="J1742" s="1707">
        <f>COUNTIF(Elan!$C$13:$F$25,Tablas!E1742)+COUNTIF(Elan!$U$13:$X$25,Tablas!E1742)</f>
        <v>0</v>
      </c>
      <c r="K1742" s="1706">
        <f>F$1741*J1742</f>
        <v>0</v>
      </c>
      <c r="L1742" s="5238" t="s">
        <v>8161</v>
      </c>
      <c r="M1742" s="5238"/>
      <c r="N1742" s="5238"/>
      <c r="O1742" s="5238"/>
      <c r="P1742" s="5238"/>
      <c r="Q1742" s="5239"/>
      <c r="R1742" s="2429">
        <f>IF(OR($J1742=0,$J1742="Aprendida"),0,SUM($J$1702:$J1742))</f>
        <v>0</v>
      </c>
      <c r="T1742" s="2635" t="str">
        <f>E1768</f>
        <v>Noah</v>
      </c>
      <c r="U1742" s="2636"/>
      <c r="V1742" s="2642"/>
      <c r="W1742" s="2636"/>
      <c r="X1742" s="2636"/>
      <c r="Y1742" s="3092"/>
    </row>
    <row r="1743" spans="1:25" ht="12.75" customHeight="1">
      <c r="A1743" s="1886">
        <v>1743</v>
      </c>
      <c r="B1743" s="5250"/>
      <c r="E1743" s="2426" t="s">
        <v>7931</v>
      </c>
      <c r="F1743" s="1706"/>
      <c r="G1743" s="1706">
        <v>20</v>
      </c>
      <c r="H1743" s="1707">
        <v>1</v>
      </c>
      <c r="I1743" s="1707">
        <v>10</v>
      </c>
      <c r="J1743" s="1707">
        <f>COUNTIF(Elan!$C$13:$F$25,Tablas!E1743)+COUNTIF(Elan!$U$13:$X$25,Tablas!E1743)</f>
        <v>0</v>
      </c>
      <c r="K1743" s="1706">
        <f>ROUNDDOWN(F$1741/2,0)*J1743</f>
        <v>0</v>
      </c>
      <c r="L1743" s="5238" t="s">
        <v>8164</v>
      </c>
      <c r="M1743" s="5238"/>
      <c r="N1743" s="5238"/>
      <c r="O1743" s="5238"/>
      <c r="P1743" s="5238"/>
      <c r="Q1743" s="5239"/>
      <c r="R1743" s="2429">
        <f>IF(OR($J1743=0,$J1743="Aprendida"),0,SUM($J$1702:$J1743))</f>
        <v>0</v>
      </c>
      <c r="T1743" s="2637" t="s">
        <v>8211</v>
      </c>
      <c r="U1743" s="2638">
        <v>2</v>
      </c>
      <c r="V1743" s="2639" t="s">
        <v>8212</v>
      </c>
      <c r="W1743" s="2638">
        <v>1</v>
      </c>
      <c r="X1743" s="2638" t="s">
        <v>8213</v>
      </c>
      <c r="Y1743" s="3093">
        <v>-2</v>
      </c>
    </row>
    <row r="1744" spans="1:25" ht="12.75" customHeight="1">
      <c r="A1744" s="1886">
        <v>1744</v>
      </c>
      <c r="B1744" s="5250"/>
      <c r="E1744" s="2426" t="s">
        <v>2418</v>
      </c>
      <c r="F1744" s="1706"/>
      <c r="G1744" s="1706">
        <v>30</v>
      </c>
      <c r="H1744" s="1707">
        <v>1</v>
      </c>
      <c r="I1744" s="1707">
        <v>5</v>
      </c>
      <c r="J1744" s="1707">
        <f>COUNTIF(Elan!$C$13:$F$25,Tablas!E1744)+COUNTIF(Elan!$U$13:$X$25,Tablas!E1744)</f>
        <v>0</v>
      </c>
      <c r="K1744" s="1706"/>
      <c r="L1744" s="5238" t="s">
        <v>8168</v>
      </c>
      <c r="M1744" s="5238"/>
      <c r="N1744" s="5238"/>
      <c r="O1744" s="5238"/>
      <c r="P1744" s="5238"/>
      <c r="Q1744" s="5239"/>
      <c r="R1744" s="2429">
        <f>IF(OR($J1744=0,$J1744="Aprendida"),0,SUM($J$1702:$J1744))</f>
        <v>0</v>
      </c>
      <c r="T1744" s="2637" t="s">
        <v>8215</v>
      </c>
      <c r="U1744" s="2638">
        <v>3</v>
      </c>
      <c r="V1744" s="2639" t="s">
        <v>8216</v>
      </c>
      <c r="W1744" s="2638">
        <v>2</v>
      </c>
      <c r="X1744" s="2638" t="s">
        <v>8217</v>
      </c>
      <c r="Y1744" s="3093">
        <v>-5</v>
      </c>
    </row>
    <row r="1745" spans="1:25" ht="12.75" customHeight="1">
      <c r="A1745" s="1886">
        <v>1745</v>
      </c>
      <c r="B1745" s="5250"/>
      <c r="E1745" s="2426" t="s">
        <v>7932</v>
      </c>
      <c r="F1745" s="1706"/>
      <c r="G1745" s="1706">
        <v>40</v>
      </c>
      <c r="H1745" s="1707">
        <v>1</v>
      </c>
      <c r="I1745" s="1707">
        <v>5</v>
      </c>
      <c r="J1745" s="1707">
        <f>COUNTIF(Elan!$C$13:$F$25,Tablas!E1745)+COUNTIF(Elan!$U$13:$X$25,Tablas!E1745)</f>
        <v>0</v>
      </c>
      <c r="K1745" s="1706"/>
      <c r="L1745" s="5238" t="s">
        <v>8172</v>
      </c>
      <c r="M1745" s="5238"/>
      <c r="N1745" s="5238"/>
      <c r="O1745" s="5238"/>
      <c r="P1745" s="5238"/>
      <c r="Q1745" s="5239"/>
      <c r="R1745" s="2429">
        <f>IF(OR($J1745=0,$J1745="Aprendida"),0,SUM($J$1702:$J1745))</f>
        <v>0</v>
      </c>
      <c r="T1745" s="2637" t="s">
        <v>8219</v>
      </c>
      <c r="U1745" s="2638">
        <v>3</v>
      </c>
      <c r="V1745" s="2639" t="s">
        <v>8220</v>
      </c>
      <c r="W1745" s="2638">
        <v>4</v>
      </c>
      <c r="X1745" s="2638" t="s">
        <v>8221</v>
      </c>
      <c r="Y1745" s="3093">
        <v>-10</v>
      </c>
    </row>
    <row r="1746" spans="1:25" ht="12.75" customHeight="1">
      <c r="A1746" s="1886">
        <v>1746</v>
      </c>
      <c r="B1746" s="5250"/>
      <c r="E1746" s="2426" t="s">
        <v>7933</v>
      </c>
      <c r="F1746" s="1706"/>
      <c r="G1746" s="1706">
        <v>50</v>
      </c>
      <c r="H1746" s="1707">
        <v>1</v>
      </c>
      <c r="I1746" s="1707">
        <v>10</v>
      </c>
      <c r="J1746" s="1707">
        <f>COUNTIF(Elan!$C$13:$F$25,Tablas!E1746)+COUNTIF(Elan!$U$13:$X$25,Tablas!E1746)</f>
        <v>0</v>
      </c>
      <c r="K1746" s="1706">
        <f>ROUNDDOWN(F$1741/2,0)*J1746</f>
        <v>0</v>
      </c>
      <c r="L1746" s="5238" t="s">
        <v>8175</v>
      </c>
      <c r="M1746" s="5238"/>
      <c r="N1746" s="5238"/>
      <c r="O1746" s="5238"/>
      <c r="P1746" s="5238"/>
      <c r="Q1746" s="5239"/>
      <c r="R1746" s="2429">
        <f>IF(OR($J1746=0,$J1746="Aprendida"),0,SUM($J$1702:$J1746))</f>
        <v>0</v>
      </c>
      <c r="T1746" s="2637" t="s">
        <v>8223</v>
      </c>
      <c r="U1746" s="2638">
        <v>3</v>
      </c>
      <c r="V1746" s="2639"/>
      <c r="W1746" s="2638"/>
      <c r="X1746" s="2638" t="s">
        <v>8224</v>
      </c>
      <c r="Y1746" s="3093">
        <v>-2</v>
      </c>
    </row>
    <row r="1747" spans="1:25" ht="12.75" customHeight="1">
      <c r="A1747" s="1886">
        <v>1747</v>
      </c>
      <c r="B1747" s="5250"/>
      <c r="E1747" s="2426" t="s">
        <v>7934</v>
      </c>
      <c r="F1747" s="1706"/>
      <c r="G1747" s="1706">
        <v>50</v>
      </c>
      <c r="H1747" s="1707">
        <v>1</v>
      </c>
      <c r="I1747" s="1707">
        <v>10</v>
      </c>
      <c r="J1747" s="1707">
        <f>COUNTIF(Elan!$C$13:$F$25,Tablas!E1747)+COUNTIF(Elan!$U$13:$X$25,Tablas!E1747)</f>
        <v>0</v>
      </c>
      <c r="K1747" s="1706"/>
      <c r="L1747" s="5238" t="s">
        <v>8177</v>
      </c>
      <c r="M1747" s="5238"/>
      <c r="N1747" s="5238"/>
      <c r="O1747" s="5238"/>
      <c r="P1747" s="5238"/>
      <c r="Q1747" s="5239"/>
      <c r="R1747" s="2429">
        <f>IF(OR($J1747=0,$J1747="Aprendida"),0,SUM($J$1702:$J1747))</f>
        <v>0</v>
      </c>
      <c r="T1747" s="2637" t="s">
        <v>8226</v>
      </c>
      <c r="U1747" s="2638">
        <v>2</v>
      </c>
      <c r="V1747" s="2639"/>
      <c r="W1747" s="2638"/>
      <c r="X1747" s="2638"/>
      <c r="Y1747" s="3093"/>
    </row>
    <row r="1748" spans="1:25" ht="12.75" customHeight="1">
      <c r="A1748" s="1886">
        <v>1748</v>
      </c>
      <c r="B1748" s="5250"/>
      <c r="E1748" s="2426" t="s">
        <v>7935</v>
      </c>
      <c r="F1748" s="1706"/>
      <c r="G1748" s="1706">
        <v>60</v>
      </c>
      <c r="H1748" s="1707">
        <v>1</v>
      </c>
      <c r="I1748" s="1707">
        <v>10</v>
      </c>
      <c r="J1748" s="1707">
        <f>COUNTIF(Elan!$C$13:$F$25,Tablas!E1748)+COUNTIF(Elan!$U$13:$X$25,Tablas!E1748)</f>
        <v>0</v>
      </c>
      <c r="K1748" s="1706"/>
      <c r="L1748" s="5238" t="s">
        <v>8179</v>
      </c>
      <c r="M1748" s="5238"/>
      <c r="N1748" s="5238"/>
      <c r="O1748" s="5238"/>
      <c r="P1748" s="5238"/>
      <c r="Q1748" s="5239"/>
      <c r="R1748" s="2429">
        <f>IF(OR($J1748=0,$J1748="Aprendida"),0,SUM($J$1702:$J1748))</f>
        <v>0</v>
      </c>
      <c r="T1748" s="2640"/>
      <c r="U1748" s="2641"/>
      <c r="V1748" s="2641"/>
      <c r="W1748" s="2641"/>
      <c r="X1748" s="2641"/>
      <c r="Y1748" s="3094"/>
    </row>
    <row r="1749" spans="1:25" ht="12.75" customHeight="1">
      <c r="A1749" s="1886">
        <v>1749</v>
      </c>
      <c r="B1749" s="5250"/>
      <c r="E1749" s="2426" t="s">
        <v>7936</v>
      </c>
      <c r="F1749" s="1706"/>
      <c r="G1749" s="1706">
        <v>65</v>
      </c>
      <c r="H1749" s="1707">
        <v>1</v>
      </c>
      <c r="I1749" s="1707">
        <v>15</v>
      </c>
      <c r="J1749" s="1707">
        <f>COUNTIF(Elan!$C$13:$F$25,Tablas!E1749)+COUNTIF(Elan!$U$13:$X$25,Tablas!E1749)</f>
        <v>0</v>
      </c>
      <c r="K1749" s="1706"/>
      <c r="L1749" s="5238" t="s">
        <v>8180</v>
      </c>
      <c r="M1749" s="5238"/>
      <c r="N1749" s="5238"/>
      <c r="O1749" s="5238"/>
      <c r="P1749" s="5238"/>
      <c r="Q1749" s="5239"/>
      <c r="R1749" s="2429">
        <f>IF(OR($J1749=0,$J1749="Aprendida"),0,SUM($J$1702:$J1749))</f>
        <v>0</v>
      </c>
      <c r="T1749" s="2640"/>
      <c r="U1749" s="2641"/>
      <c r="V1749" s="2641"/>
      <c r="W1749" s="2641"/>
      <c r="X1749" s="2641"/>
      <c r="Y1749" s="3094"/>
    </row>
    <row r="1750" spans="1:25" ht="12.75" customHeight="1">
      <c r="A1750" s="1886">
        <v>1750</v>
      </c>
      <c r="B1750" s="5250"/>
      <c r="E1750" s="2426" t="s">
        <v>7937</v>
      </c>
      <c r="F1750" s="1706"/>
      <c r="G1750" s="1706">
        <v>70</v>
      </c>
      <c r="H1750" s="1707">
        <v>1</v>
      </c>
      <c r="I1750" s="1707">
        <v>15</v>
      </c>
      <c r="J1750" s="1707">
        <f>COUNTIF(Elan!$C$13:$F$25,Tablas!E1750)+COUNTIF(Elan!$U$13:$X$25,Tablas!E1750)</f>
        <v>0</v>
      </c>
      <c r="K1750" s="1706">
        <f>IF(J1750&gt;0,1,0)</f>
        <v>0</v>
      </c>
      <c r="L1750" s="5238" t="s">
        <v>8181</v>
      </c>
      <c r="M1750" s="5238"/>
      <c r="N1750" s="5238"/>
      <c r="O1750" s="5238"/>
      <c r="P1750" s="5238"/>
      <c r="Q1750" s="5239"/>
      <c r="R1750" s="2429">
        <f>IF(OR($J1750=0,$J1750="Aprendida"),0,SUM($J$1702:$J1750))</f>
        <v>0</v>
      </c>
      <c r="T1750" s="2635" t="str">
        <f>E1781</f>
        <v>Rafael</v>
      </c>
      <c r="U1750" s="2636"/>
      <c r="V1750" s="2642"/>
      <c r="W1750" s="2636"/>
      <c r="X1750" s="2636"/>
      <c r="Y1750" s="3092"/>
    </row>
    <row r="1751" spans="1:25" ht="12.75" customHeight="1">
      <c r="A1751" s="1886">
        <v>1751</v>
      </c>
      <c r="B1751" s="5250"/>
      <c r="E1751" s="2426" t="s">
        <v>7938</v>
      </c>
      <c r="F1751" s="1706"/>
      <c r="G1751" s="1706">
        <v>70</v>
      </c>
      <c r="H1751" s="1707">
        <f>IF(J1747,1,0)</f>
        <v>0</v>
      </c>
      <c r="I1751" s="1707">
        <v>10</v>
      </c>
      <c r="J1751" s="1707">
        <f>COUNTIF(Elan!$C$13:$F$25,Tablas!E1751)+COUNTIF(Elan!$U$13:$X$25,Tablas!E1751)</f>
        <v>0</v>
      </c>
      <c r="K1751" s="1706"/>
      <c r="L1751" s="5238" t="s">
        <v>8182</v>
      </c>
      <c r="M1751" s="5238"/>
      <c r="N1751" s="5238"/>
      <c r="O1751" s="5238"/>
      <c r="P1751" s="5238"/>
      <c r="Q1751" s="5239"/>
      <c r="R1751" s="2429">
        <f>IF(OR($J1751=0,$J1751="Aprendida"),0,SUM($J$1702:$J1751))</f>
        <v>0</v>
      </c>
      <c r="T1751" s="2637" t="s">
        <v>8235</v>
      </c>
      <c r="U1751" s="2638">
        <v>1</v>
      </c>
      <c r="V1751" s="2639" t="s">
        <v>8236</v>
      </c>
      <c r="W1751" s="2638">
        <v>2</v>
      </c>
      <c r="X1751" s="2638" t="s">
        <v>8237</v>
      </c>
      <c r="Y1751" s="3093">
        <v>-5</v>
      </c>
    </row>
    <row r="1752" spans="1:25" ht="12.75" customHeight="1">
      <c r="A1752" s="1886">
        <v>1752</v>
      </c>
      <c r="B1752" s="5250"/>
      <c r="E1752" s="2426" t="s">
        <v>7927</v>
      </c>
      <c r="F1752" s="1706"/>
      <c r="G1752" s="1706">
        <v>80</v>
      </c>
      <c r="H1752" s="1707">
        <v>1</v>
      </c>
      <c r="I1752" s="1707">
        <v>15</v>
      </c>
      <c r="J1752" s="1707">
        <f>COUNTIF(Elan!$C$13:$F$25,Tablas!E1752)+COUNTIF(Elan!$U$13:$X$25,Tablas!E1752)</f>
        <v>0</v>
      </c>
      <c r="K1752" s="1706"/>
      <c r="L1752" s="5238" t="s">
        <v>8158</v>
      </c>
      <c r="M1752" s="5238"/>
      <c r="N1752" s="5238"/>
      <c r="O1752" s="5238"/>
      <c r="P1752" s="5238"/>
      <c r="Q1752" s="5239"/>
      <c r="R1752" s="2429">
        <f>IF(OR($J1752=0,$J1752="Aprendida"),0,SUM($J$1702:$J1752))</f>
        <v>0</v>
      </c>
      <c r="T1752" s="2637" t="s">
        <v>8239</v>
      </c>
      <c r="U1752" s="2638">
        <v>5</v>
      </c>
      <c r="V1752" s="2639" t="s">
        <v>8239</v>
      </c>
      <c r="W1752" s="2638">
        <v>1</v>
      </c>
      <c r="X1752" s="2638" t="s">
        <v>8240</v>
      </c>
      <c r="Y1752" s="3093">
        <v>-3</v>
      </c>
    </row>
    <row r="1753" spans="1:25" ht="12.75" customHeight="1">
      <c r="A1753" s="1886">
        <v>1753</v>
      </c>
      <c r="B1753" s="5250"/>
      <c r="E1753" s="2426" t="s">
        <v>7939</v>
      </c>
      <c r="F1753" s="1706"/>
      <c r="G1753" s="1706">
        <v>90</v>
      </c>
      <c r="H1753" s="1707">
        <f>IF(J1751,1,0)</f>
        <v>0</v>
      </c>
      <c r="I1753" s="1707">
        <v>10</v>
      </c>
      <c r="J1753" s="1707">
        <f>COUNTIF(Elan!$C$13:$F$25,Tablas!E1753)+COUNTIF(Elan!$U$13:$X$25,Tablas!E1753)</f>
        <v>0</v>
      </c>
      <c r="K1753" s="1706"/>
      <c r="L1753" s="5238" t="s">
        <v>8183</v>
      </c>
      <c r="M1753" s="5238"/>
      <c r="N1753" s="5238"/>
      <c r="O1753" s="5238"/>
      <c r="P1753" s="5238"/>
      <c r="Q1753" s="5239"/>
      <c r="R1753" s="2429">
        <f>IF(OR($J1753=0,$J1753="Aprendida"),0,SUM($J$1702:$J1753))</f>
        <v>0</v>
      </c>
      <c r="T1753" s="2637" t="s">
        <v>8242</v>
      </c>
      <c r="U1753" s="2638">
        <v>3</v>
      </c>
      <c r="V1753" s="2639" t="s">
        <v>8243</v>
      </c>
      <c r="W1753" s="2638">
        <v>2</v>
      </c>
      <c r="X1753" s="2638" t="s">
        <v>8244</v>
      </c>
      <c r="Y1753" s="3093">
        <v>-10</v>
      </c>
    </row>
    <row r="1754" spans="1:25" ht="12.75" customHeight="1">
      <c r="A1754" s="1886">
        <v>1754</v>
      </c>
      <c r="B1754" s="5250"/>
      <c r="E1754" s="2426" t="s">
        <v>7940</v>
      </c>
      <c r="F1754" s="1706"/>
      <c r="G1754" s="1706">
        <v>100</v>
      </c>
      <c r="H1754" s="1707">
        <v>1</v>
      </c>
      <c r="I1754" s="1707">
        <v>10</v>
      </c>
      <c r="J1754" s="1707">
        <f>COUNTIF(Elan!$C$13:$F$25,Tablas!E1754)+COUNTIF(Elan!$U$13:$X$25,Tablas!E1754)</f>
        <v>0</v>
      </c>
      <c r="K1754" s="1706"/>
      <c r="L1754" s="5238" t="s">
        <v>8184</v>
      </c>
      <c r="M1754" s="5238"/>
      <c r="N1754" s="5238"/>
      <c r="O1754" s="5238"/>
      <c r="P1754" s="5238"/>
      <c r="Q1754" s="5239"/>
      <c r="R1754" s="2429">
        <f>IF(OR($J1754=0,$J1754="Aprendida"),0,SUM($J$1702:$J1754))</f>
        <v>0</v>
      </c>
      <c r="T1754" s="2637" t="s">
        <v>8246</v>
      </c>
      <c r="U1754" s="2638">
        <v>1</v>
      </c>
      <c r="V1754" s="2639"/>
      <c r="W1754" s="2638"/>
      <c r="X1754" s="2638"/>
      <c r="Y1754" s="3093"/>
    </row>
    <row r="1755" spans="1:25" ht="12.75" customHeight="1">
      <c r="A1755" s="1886">
        <v>1755</v>
      </c>
      <c r="B1755" s="5250"/>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093"/>
    </row>
    <row r="1756" spans="1:25" ht="12.75" customHeight="1">
      <c r="A1756" s="1886">
        <v>1756</v>
      </c>
      <c r="B1756" s="5250"/>
      <c r="E1756" s="2426" t="s">
        <v>7941</v>
      </c>
      <c r="F1756" s="1706"/>
      <c r="G1756" s="1706">
        <v>10</v>
      </c>
      <c r="H1756" s="1707">
        <v>1</v>
      </c>
      <c r="I1756" s="1707">
        <v>5</v>
      </c>
      <c r="J1756" s="1707">
        <f>COUNTIF(Elan!$C$13:$F$25,Tablas!E1756)+COUNTIF(Elan!$U$13:$X$25,Tablas!E1756)</f>
        <v>0</v>
      </c>
      <c r="K1756" s="1706">
        <f>F$1755*J1756</f>
        <v>0</v>
      </c>
      <c r="L1756" s="5238" t="s">
        <v>8185</v>
      </c>
      <c r="M1756" s="5238"/>
      <c r="N1756" s="5238"/>
      <c r="O1756" s="5238"/>
      <c r="P1756" s="5238"/>
      <c r="Q1756" s="5239"/>
      <c r="R1756" s="2429">
        <f>IF(OR($J1756=0,$J1756="Aprendida"),0,SUM($J$1702:$J1756))</f>
        <v>0</v>
      </c>
      <c r="T1756" s="2640"/>
      <c r="U1756" s="2641"/>
      <c r="V1756" s="2641"/>
      <c r="W1756" s="2641"/>
      <c r="X1756" s="2641"/>
      <c r="Y1756" s="3094"/>
    </row>
    <row r="1757" spans="1:25" ht="12.75" customHeight="1">
      <c r="A1757" s="1886">
        <v>1757</v>
      </c>
      <c r="B1757" s="5250"/>
      <c r="E1757" s="2426" t="s">
        <v>7942</v>
      </c>
      <c r="F1757" s="1706"/>
      <c r="G1757" s="1706">
        <v>20</v>
      </c>
      <c r="H1757" s="1707">
        <v>1</v>
      </c>
      <c r="I1757" s="1707">
        <v>5</v>
      </c>
      <c r="J1757" s="1707">
        <f>COUNTIF(Elan!$C$13:$F$25,Tablas!E1757)+COUNTIF(Elan!$U$13:$X$25,Tablas!E1757)</f>
        <v>0</v>
      </c>
      <c r="K1757" s="1706"/>
      <c r="L1757" s="5238" t="s">
        <v>8189</v>
      </c>
      <c r="M1757" s="5238"/>
      <c r="N1757" s="5238"/>
      <c r="O1757" s="5238"/>
      <c r="P1757" s="5238"/>
      <c r="Q1757" s="5239"/>
      <c r="R1757" s="2429">
        <f>IF(OR($J1757=0,$J1757="Aprendida"),0,SUM($J$1702:$J1757))</f>
        <v>0</v>
      </c>
      <c r="T1757" s="2640"/>
      <c r="U1757" s="2641"/>
      <c r="V1757" s="2641"/>
      <c r="W1757" s="2641"/>
      <c r="X1757" s="2641"/>
      <c r="Y1757" s="3094"/>
    </row>
    <row r="1758" spans="1:25" ht="12.75" customHeight="1">
      <c r="A1758" s="1886">
        <v>1758</v>
      </c>
      <c r="B1758" s="5250"/>
      <c r="E1758" s="2426" t="s">
        <v>7943</v>
      </c>
      <c r="F1758" s="1706"/>
      <c r="G1758" s="1706">
        <v>30</v>
      </c>
      <c r="H1758" s="1707">
        <v>1</v>
      </c>
      <c r="I1758" s="1707">
        <v>10</v>
      </c>
      <c r="J1758" s="1707">
        <f>COUNTIF(Elan!$C$13:$F$25,Tablas!E1758)+COUNTIF(Elan!$U$13:$X$25,Tablas!E1758)</f>
        <v>0</v>
      </c>
      <c r="K1758" s="1706"/>
      <c r="L1758" s="5238" t="s">
        <v>8193</v>
      </c>
      <c r="M1758" s="5238"/>
      <c r="N1758" s="5238"/>
      <c r="O1758" s="5238"/>
      <c r="P1758" s="5238"/>
      <c r="Q1758" s="5239"/>
      <c r="R1758" s="2429">
        <f>IF(OR($J1758=0,$J1758="Aprendida"),0,SUM($J$1702:$J1758))</f>
        <v>0</v>
      </c>
      <c r="T1758" s="2635" t="str">
        <f>E1795</f>
        <v>Erebus</v>
      </c>
      <c r="U1758" s="2636"/>
      <c r="V1758" s="2642"/>
      <c r="W1758" s="2636"/>
      <c r="X1758" s="2636"/>
      <c r="Y1758" s="3092"/>
    </row>
    <row r="1759" spans="1:25" ht="12.75" customHeight="1">
      <c r="A1759" s="1886">
        <v>1759</v>
      </c>
      <c r="B1759" s="5250"/>
      <c r="E1759" s="2426" t="s">
        <v>7944</v>
      </c>
      <c r="F1759" s="1706"/>
      <c r="G1759" s="1706">
        <v>40</v>
      </c>
      <c r="H1759" s="1707">
        <v>1</v>
      </c>
      <c r="I1759" s="1707">
        <v>10</v>
      </c>
      <c r="J1759" s="1707">
        <f>COUNTIF(Elan!$C$13:$F$25,Tablas!E1759)+COUNTIF(Elan!$U$13:$X$25,Tablas!E1759)</f>
        <v>0</v>
      </c>
      <c r="K1759" s="1706"/>
      <c r="L1759" s="5238" t="s">
        <v>8196</v>
      </c>
      <c r="M1759" s="5238"/>
      <c r="N1759" s="5238"/>
      <c r="O1759" s="5238"/>
      <c r="P1759" s="5238"/>
      <c r="Q1759" s="5239"/>
      <c r="R1759" s="2429">
        <f>IF(OR($J1759=0,$J1759="Aprendida"),0,SUM($J$1702:$J1759))</f>
        <v>0</v>
      </c>
      <c r="T1759" s="2637" t="s">
        <v>8258</v>
      </c>
      <c r="U1759" s="2638">
        <v>2</v>
      </c>
      <c r="V1759" s="2639" t="s">
        <v>8259</v>
      </c>
      <c r="W1759" s="2638">
        <v>2</v>
      </c>
      <c r="X1759" s="2638" t="s">
        <v>8260</v>
      </c>
      <c r="Y1759" s="3093">
        <v>-3</v>
      </c>
    </row>
    <row r="1760" spans="1:25" ht="12.75" customHeight="1">
      <c r="A1760" s="1886">
        <v>1760</v>
      </c>
      <c r="B1760" s="5250"/>
      <c r="E1760" s="2426" t="s">
        <v>1576</v>
      </c>
      <c r="F1760" s="1706"/>
      <c r="G1760" s="1706">
        <v>40</v>
      </c>
      <c r="H1760" s="1707">
        <v>1</v>
      </c>
      <c r="I1760" s="1707">
        <v>10</v>
      </c>
      <c r="J1760" s="1707">
        <f>COUNTIF(Elan!$C$13:$F$25,Tablas!E1760)+COUNTIF(Elan!$U$13:$X$25,Tablas!E1760)</f>
        <v>0</v>
      </c>
      <c r="K1760" s="1706"/>
      <c r="L1760" s="5238" t="s">
        <v>8200</v>
      </c>
      <c r="M1760" s="5238"/>
      <c r="N1760" s="5238"/>
      <c r="O1760" s="5238"/>
      <c r="P1760" s="5238"/>
      <c r="Q1760" s="5239"/>
      <c r="R1760" s="2429">
        <f>IF(OR($J1760=0,$J1760="Aprendida"),0,SUM($J$1702:$J1760))</f>
        <v>0</v>
      </c>
      <c r="T1760" s="2637" t="s">
        <v>8262</v>
      </c>
      <c r="U1760" s="2638">
        <v>3</v>
      </c>
      <c r="V1760" s="2639" t="s">
        <v>8263</v>
      </c>
      <c r="W1760" s="2638">
        <v>2</v>
      </c>
      <c r="X1760" s="2638" t="s">
        <v>8264</v>
      </c>
      <c r="Y1760" s="3093">
        <v>-2</v>
      </c>
    </row>
    <row r="1761" spans="1:25" ht="12.75" customHeight="1">
      <c r="A1761" s="1886">
        <v>1761</v>
      </c>
      <c r="B1761" s="5250"/>
      <c r="E1761" s="2426" t="s">
        <v>7945</v>
      </c>
      <c r="F1761" s="1706"/>
      <c r="G1761" s="1706">
        <v>50</v>
      </c>
      <c r="H1761" s="1707">
        <v>1</v>
      </c>
      <c r="I1761" s="1707">
        <v>10</v>
      </c>
      <c r="J1761" s="1707">
        <f>COUNTIF(Elan!$C$13:$F$25,Tablas!E1761)+COUNTIF(Elan!$U$13:$X$25,Tablas!E1761)</f>
        <v>0</v>
      </c>
      <c r="K1761" s="1706"/>
      <c r="L1761" s="5238" t="s">
        <v>8203</v>
      </c>
      <c r="M1761" s="5238"/>
      <c r="N1761" s="5238"/>
      <c r="O1761" s="5238"/>
      <c r="P1761" s="5238"/>
      <c r="Q1761" s="5239"/>
      <c r="R1761" s="2429">
        <f>IF(OR($J1761=0,$J1761="Aprendida"),0,SUM($J$1702:$J1761))</f>
        <v>0</v>
      </c>
      <c r="T1761" s="2637" t="s">
        <v>8266</v>
      </c>
      <c r="U1761" s="2638">
        <v>2</v>
      </c>
      <c r="V1761" s="2639" t="s">
        <v>8267</v>
      </c>
      <c r="W1761" s="2638">
        <v>2</v>
      </c>
      <c r="X1761" s="2638"/>
      <c r="Y1761" s="3093"/>
    </row>
    <row r="1762" spans="1:25" ht="12.75" customHeight="1">
      <c r="A1762" s="1886">
        <v>1762</v>
      </c>
      <c r="B1762" s="5250"/>
      <c r="E1762" s="2426" t="s">
        <v>7946</v>
      </c>
      <c r="F1762" s="1706"/>
      <c r="G1762" s="1706">
        <v>50</v>
      </c>
      <c r="H1762" s="1707">
        <v>1</v>
      </c>
      <c r="I1762" s="1707">
        <v>15</v>
      </c>
      <c r="J1762" s="1707">
        <f>COUNTIF(Elan!$C$13:$F$25,Tablas!E1762)+COUNTIF(Elan!$U$13:$X$25,Tablas!E1762)</f>
        <v>0</v>
      </c>
      <c r="K1762" s="1706"/>
      <c r="L1762" s="5238" t="s">
        <v>8204</v>
      </c>
      <c r="M1762" s="5238"/>
      <c r="N1762" s="5238"/>
      <c r="O1762" s="5238"/>
      <c r="P1762" s="5238"/>
      <c r="Q1762" s="5239"/>
      <c r="R1762" s="2429">
        <f>IF(OR($J1762=0,$J1762="Aprendida"),0,SUM($J$1702:$J1762))</f>
        <v>0</v>
      </c>
      <c r="T1762" s="2637" t="s">
        <v>8269</v>
      </c>
      <c r="U1762" s="2638">
        <v>3</v>
      </c>
      <c r="V1762" s="2639"/>
      <c r="W1762" s="2638"/>
      <c r="X1762" s="2638"/>
      <c r="Y1762" s="3093"/>
    </row>
    <row r="1763" spans="1:25" ht="12.75" customHeight="1">
      <c r="A1763" s="1886">
        <v>1763</v>
      </c>
      <c r="B1763" s="5250"/>
      <c r="E1763" s="2426" t="s">
        <v>2523</v>
      </c>
      <c r="F1763" s="1706"/>
      <c r="G1763" s="1706">
        <v>60</v>
      </c>
      <c r="H1763" s="1707">
        <v>1</v>
      </c>
      <c r="I1763" s="1707">
        <v>15</v>
      </c>
      <c r="J1763" s="1707">
        <f>COUNTIF(Elan!$C$13:$F$25,Tablas!E1763)+COUNTIF(Elan!$U$13:$X$25,Tablas!E1763)</f>
        <v>0</v>
      </c>
      <c r="K1763" s="1706"/>
      <c r="L1763" s="5238" t="s">
        <v>8205</v>
      </c>
      <c r="M1763" s="5238"/>
      <c r="N1763" s="5238"/>
      <c r="O1763" s="5238"/>
      <c r="P1763" s="5238"/>
      <c r="Q1763" s="5239"/>
      <c r="R1763" s="2429">
        <f>IF(OR($J1763=0,$J1763="Aprendida"),0,SUM($J$1702:$J1763))</f>
        <v>0</v>
      </c>
      <c r="T1763" s="2637" t="s">
        <v>8271</v>
      </c>
      <c r="U1763" s="2638">
        <v>2</v>
      </c>
      <c r="V1763" s="2639"/>
      <c r="W1763" s="2638"/>
      <c r="X1763" s="2638"/>
      <c r="Y1763" s="3093"/>
    </row>
    <row r="1764" spans="1:25" ht="12.75" customHeight="1">
      <c r="A1764" s="1886">
        <v>1764</v>
      </c>
      <c r="B1764" s="5250"/>
      <c r="E1764" s="2426" t="s">
        <v>7947</v>
      </c>
      <c r="F1764" s="1706"/>
      <c r="G1764" s="1706">
        <v>70</v>
      </c>
      <c r="H1764" s="1707">
        <v>1</v>
      </c>
      <c r="I1764" s="1707">
        <v>10</v>
      </c>
      <c r="J1764" s="1707">
        <f>COUNTIF(Elan!$C$13:$F$25,Tablas!E1764)+COUNTIF(Elan!$U$13:$X$25,Tablas!E1764)</f>
        <v>0</v>
      </c>
      <c r="K1764" s="1706"/>
      <c r="L1764" s="5238" t="s">
        <v>8206</v>
      </c>
      <c r="M1764" s="5238"/>
      <c r="N1764" s="5238"/>
      <c r="O1764" s="5238"/>
      <c r="P1764" s="5238"/>
      <c r="Q1764" s="5239"/>
      <c r="R1764" s="2429">
        <f>IF(OR($J1764=0,$J1764="Aprendida"),0,SUM($J$1702:$J1764))</f>
        <v>0</v>
      </c>
      <c r="T1764" s="2637" t="s">
        <v>8273</v>
      </c>
      <c r="U1764" s="2638">
        <v>2</v>
      </c>
      <c r="V1764" s="2639"/>
      <c r="W1764" s="2638"/>
      <c r="X1764" s="2638"/>
      <c r="Y1764" s="3093"/>
    </row>
    <row r="1765" spans="1:25" ht="12.75" customHeight="1">
      <c r="A1765" s="1886">
        <v>1765</v>
      </c>
      <c r="B1765" s="5250"/>
      <c r="E1765" s="2426" t="s">
        <v>7948</v>
      </c>
      <c r="F1765" s="1706"/>
      <c r="G1765" s="1706">
        <v>80</v>
      </c>
      <c r="H1765" s="1707">
        <v>1</v>
      </c>
      <c r="I1765" s="1707">
        <v>15</v>
      </c>
      <c r="J1765" s="1707">
        <f>COUNTIF(Elan!$C$13:$F$25,Tablas!E1765)+COUNTIF(Elan!$U$13:$X$25,Tablas!E1765)</f>
        <v>0</v>
      </c>
      <c r="K1765" s="1706"/>
      <c r="L1765" s="5238" t="s">
        <v>8207</v>
      </c>
      <c r="M1765" s="5238"/>
      <c r="N1765" s="5238"/>
      <c r="O1765" s="5238"/>
      <c r="P1765" s="5238"/>
      <c r="Q1765" s="5239"/>
      <c r="R1765" s="2429">
        <f>IF(OR($J1765=0,$J1765="Aprendida"),0,SUM($J$1702:$J1765))</f>
        <v>0</v>
      </c>
      <c r="T1765" s="2640"/>
      <c r="U1765" s="2641"/>
      <c r="V1765" s="2641"/>
      <c r="W1765" s="2641"/>
      <c r="X1765" s="2641"/>
      <c r="Y1765" s="3094"/>
    </row>
    <row r="1766" spans="1:25" ht="12.75" customHeight="1">
      <c r="A1766" s="1886">
        <v>1766</v>
      </c>
      <c r="B1766" s="5250"/>
      <c r="E1766" s="2426" t="s">
        <v>7949</v>
      </c>
      <c r="F1766" s="1706"/>
      <c r="G1766" s="1706">
        <v>90</v>
      </c>
      <c r="H1766" s="1707">
        <v>1</v>
      </c>
      <c r="I1766" s="1707">
        <v>20</v>
      </c>
      <c r="J1766" s="1707">
        <f>COUNTIF(Elan!$C$13:$F$25,Tablas!E1766)+COUNTIF(Elan!$U$13:$X$25,Tablas!E1766)</f>
        <v>0</v>
      </c>
      <c r="K1766" s="1706"/>
      <c r="L1766" s="5238" t="s">
        <v>8208</v>
      </c>
      <c r="M1766" s="5238"/>
      <c r="N1766" s="5238"/>
      <c r="O1766" s="5238"/>
      <c r="P1766" s="5238"/>
      <c r="Q1766" s="5239"/>
      <c r="R1766" s="2429">
        <f>IF(OR($J1766=0,$J1766="Aprendida"),0,SUM($J$1702:$J1766))</f>
        <v>0</v>
      </c>
      <c r="T1766" s="2635" t="str">
        <f>E1807</f>
        <v>Azrael</v>
      </c>
      <c r="U1766" s="2636"/>
      <c r="V1766" s="2642"/>
      <c r="W1766" s="2636"/>
      <c r="X1766" s="2636"/>
      <c r="Y1766" s="3092"/>
    </row>
    <row r="1767" spans="1:25" ht="12.75" customHeight="1">
      <c r="A1767" s="1886">
        <v>1767</v>
      </c>
      <c r="B1767" s="5250"/>
      <c r="E1767" s="2426" t="s">
        <v>7950</v>
      </c>
      <c r="F1767" s="1706"/>
      <c r="G1767" s="1706">
        <v>100</v>
      </c>
      <c r="H1767" s="1707">
        <v>1</v>
      </c>
      <c r="I1767" s="1707">
        <v>10</v>
      </c>
      <c r="J1767" s="1707">
        <f>COUNTIF(Elan!$C$13:$F$25,Tablas!E1767)+COUNTIF(Elan!$U$13:$X$25,Tablas!E1767)</f>
        <v>0</v>
      </c>
      <c r="K1767" s="1706"/>
      <c r="L1767" s="5238" t="s">
        <v>8209</v>
      </c>
      <c r="M1767" s="5238"/>
      <c r="N1767" s="5238"/>
      <c r="O1767" s="5238"/>
      <c r="P1767" s="5238"/>
      <c r="Q1767" s="5239"/>
      <c r="R1767" s="2429">
        <f>IF(OR($J1767=0,$J1767="Aprendida"),0,SUM($J$1702:$J1767))</f>
        <v>0</v>
      </c>
      <c r="T1767" s="2637" t="s">
        <v>8280</v>
      </c>
      <c r="U1767" s="2638">
        <v>3</v>
      </c>
      <c r="V1767" s="2639" t="s">
        <v>8281</v>
      </c>
      <c r="W1767" s="2638">
        <v>1</v>
      </c>
      <c r="X1767" s="2638" t="s">
        <v>8282</v>
      </c>
      <c r="Y1767" s="3093">
        <v>-2</v>
      </c>
    </row>
    <row r="1768" spans="1:25" ht="12.75" customHeight="1">
      <c r="A1768" s="1886">
        <v>1768</v>
      </c>
      <c r="B1768" s="5250"/>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093">
        <v>-8</v>
      </c>
    </row>
    <row r="1769" spans="1:25" ht="12.75" customHeight="1">
      <c r="A1769" s="1886">
        <v>1769</v>
      </c>
      <c r="B1769" s="5250"/>
      <c r="E1769" s="2426" t="s">
        <v>7951</v>
      </c>
      <c r="F1769" s="1706"/>
      <c r="G1769" s="1706">
        <v>10</v>
      </c>
      <c r="H1769" s="1707">
        <v>1</v>
      </c>
      <c r="I1769" s="1707">
        <v>5</v>
      </c>
      <c r="J1769" s="1707">
        <f>COUNTIF(Elan!$C$13:$F$25,Tablas!E1769)+COUNTIF(Elan!$U$13:$X$25,Tablas!E1769)</f>
        <v>0</v>
      </c>
      <c r="K1769" s="1706"/>
      <c r="L1769" s="5238" t="s">
        <v>8210</v>
      </c>
      <c r="M1769" s="5238"/>
      <c r="N1769" s="5238"/>
      <c r="O1769" s="5238"/>
      <c r="P1769" s="5238"/>
      <c r="Q1769" s="5239"/>
      <c r="R1769" s="2429">
        <f>IF(OR($J1769=0,$J1769="Aprendida"),0,SUM($J$1702:$J1769))</f>
        <v>0</v>
      </c>
      <c r="T1769" s="2637" t="s">
        <v>8288</v>
      </c>
      <c r="U1769" s="2638">
        <v>5</v>
      </c>
      <c r="V1769" s="2639" t="s">
        <v>8289</v>
      </c>
      <c r="W1769" s="2638">
        <v>2</v>
      </c>
      <c r="X1769" s="2638" t="s">
        <v>8290</v>
      </c>
      <c r="Y1769" s="3093">
        <v>-2</v>
      </c>
    </row>
    <row r="1770" spans="1:25" ht="12.75" customHeight="1">
      <c r="A1770" s="1886">
        <v>1770</v>
      </c>
      <c r="B1770" s="5250"/>
      <c r="E1770" s="2426" t="s">
        <v>7952</v>
      </c>
      <c r="F1770" s="1706"/>
      <c r="G1770" s="1706">
        <v>20</v>
      </c>
      <c r="H1770" s="1707">
        <v>1</v>
      </c>
      <c r="I1770" s="1707">
        <v>10</v>
      </c>
      <c r="J1770" s="1707">
        <f>COUNTIF(Elan!$C$13:$F$25,Tablas!E1770)+COUNTIF(Elan!$U$13:$X$25,Tablas!E1770)</f>
        <v>0</v>
      </c>
      <c r="K1770" s="1706"/>
      <c r="L1770" s="5238" t="s">
        <v>8214</v>
      </c>
      <c r="M1770" s="5238"/>
      <c r="N1770" s="5238"/>
      <c r="O1770" s="5238"/>
      <c r="P1770" s="5238"/>
      <c r="Q1770" s="5239"/>
      <c r="R1770" s="2429">
        <f>IF(OR($J1770=0,$J1770="Aprendida"),0,SUM($J$1702:$J1770))</f>
        <v>0</v>
      </c>
      <c r="T1770" s="2637" t="s">
        <v>8292</v>
      </c>
      <c r="U1770" s="2638">
        <v>2</v>
      </c>
      <c r="V1770" s="2639" t="s">
        <v>8293</v>
      </c>
      <c r="W1770" s="2638">
        <v>3</v>
      </c>
      <c r="X1770" s="2638"/>
      <c r="Y1770" s="3093"/>
    </row>
    <row r="1771" spans="1:25" ht="12.75" customHeight="1">
      <c r="A1771" s="1886">
        <v>1771</v>
      </c>
      <c r="B1771" s="5250"/>
      <c r="E1771" s="2426" t="s">
        <v>7953</v>
      </c>
      <c r="F1771" s="1706"/>
      <c r="G1771" s="1706">
        <v>20</v>
      </c>
      <c r="H1771" s="1707">
        <v>1</v>
      </c>
      <c r="I1771" s="1707">
        <v>5</v>
      </c>
      <c r="J1771" s="1707">
        <f>COUNTIF(Elan!$C$13:$F$25,Tablas!E1771)+COUNTIF(Elan!$U$13:$X$25,Tablas!E1771)</f>
        <v>0</v>
      </c>
      <c r="K1771" s="1706">
        <f>ROUNDDOWN(F$1768/2,0)*J1771</f>
        <v>0</v>
      </c>
      <c r="L1771" s="5238" t="s">
        <v>8218</v>
      </c>
      <c r="M1771" s="5238"/>
      <c r="N1771" s="5238"/>
      <c r="O1771" s="5238"/>
      <c r="P1771" s="5238"/>
      <c r="Q1771" s="5239"/>
      <c r="R1771" s="2429">
        <f>IF(OR($J1771=0,$J1771="Aprendida"),0,SUM($J$1702:$J1771))</f>
        <v>0</v>
      </c>
      <c r="T1771" s="2637" t="s">
        <v>8295</v>
      </c>
      <c r="U1771" s="2638">
        <v>2</v>
      </c>
      <c r="V1771" s="2639"/>
      <c r="W1771" s="2638"/>
      <c r="X1771" s="2638"/>
      <c r="Y1771" s="3093"/>
    </row>
    <row r="1772" spans="1:25" ht="12.75" customHeight="1">
      <c r="A1772" s="1886">
        <v>1772</v>
      </c>
      <c r="B1772" s="5250"/>
      <c r="E1772" s="2426" t="s">
        <v>2068</v>
      </c>
      <c r="F1772" s="1706"/>
      <c r="G1772" s="1706">
        <v>30</v>
      </c>
      <c r="H1772" s="1707">
        <v>1</v>
      </c>
      <c r="I1772" s="1707">
        <v>5</v>
      </c>
      <c r="J1772" s="1707">
        <f>COUNTIF(Elan!$C$13:$F$25,Tablas!E1772)+COUNTIF(Elan!$U$13:$X$25,Tablas!E1772)</f>
        <v>0</v>
      </c>
      <c r="K1772" s="1706"/>
      <c r="L1772" s="5238" t="s">
        <v>8222</v>
      </c>
      <c r="M1772" s="5238"/>
      <c r="N1772" s="5238"/>
      <c r="O1772" s="5238"/>
      <c r="P1772" s="5238"/>
      <c r="Q1772" s="5239"/>
      <c r="R1772" s="2429">
        <f>IF(OR($J1772=0,$J1772="Aprendida"),0,SUM($J$1702:$J1772))</f>
        <v>0</v>
      </c>
      <c r="T1772" s="2637" t="s">
        <v>8297</v>
      </c>
      <c r="U1772" s="2638">
        <v>3</v>
      </c>
      <c r="V1772" s="2639"/>
      <c r="W1772" s="2638"/>
      <c r="X1772" s="2638"/>
      <c r="Y1772" s="3093"/>
    </row>
    <row r="1773" spans="1:25" ht="12.75" customHeight="1">
      <c r="A1773" s="1886">
        <v>1773</v>
      </c>
      <c r="B1773" s="5250"/>
      <c r="E1773" s="2426" t="s">
        <v>7954</v>
      </c>
      <c r="F1773" s="1706"/>
      <c r="G1773" s="1706">
        <v>40</v>
      </c>
      <c r="H1773" s="1707">
        <v>1</v>
      </c>
      <c r="I1773" s="1707">
        <v>10</v>
      </c>
      <c r="J1773" s="1707">
        <f>COUNTIF(Elan!$C$13:$F$25,Tablas!E1773)+COUNTIF(Elan!$U$13:$X$25,Tablas!E1773)</f>
        <v>0</v>
      </c>
      <c r="K1773" s="1706"/>
      <c r="L1773" s="5238" t="s">
        <v>8225</v>
      </c>
      <c r="M1773" s="5238"/>
      <c r="N1773" s="5238"/>
      <c r="O1773" s="5238"/>
      <c r="P1773" s="5238"/>
      <c r="Q1773" s="5239"/>
      <c r="R1773" s="2429">
        <f>IF(OR($J1773=0,$J1773="Aprendida"),0,SUM($J$1702:$J1773))</f>
        <v>0</v>
      </c>
      <c r="T1773" s="2637" t="s">
        <v>8299</v>
      </c>
      <c r="U1773" s="2638">
        <v>5</v>
      </c>
      <c r="V1773" s="2639"/>
      <c r="W1773" s="2638"/>
      <c r="X1773" s="2638"/>
      <c r="Y1773" s="3093"/>
    </row>
    <row r="1774" spans="1:25" ht="12.75" customHeight="1">
      <c r="A1774" s="1886">
        <v>1774</v>
      </c>
      <c r="B1774" s="5250"/>
      <c r="E1774" s="2426" t="s">
        <v>7955</v>
      </c>
      <c r="F1774" s="1706"/>
      <c r="G1774" s="1706">
        <v>50</v>
      </c>
      <c r="H1774" s="1707">
        <v>1</v>
      </c>
      <c r="I1774" s="1707">
        <v>15</v>
      </c>
      <c r="J1774" s="1707">
        <f>COUNTIF(Elan!$C$13:$F$25,Tablas!E1774)+COUNTIF(Elan!$U$13:$X$25,Tablas!E1774)</f>
        <v>0</v>
      </c>
      <c r="K1774" s="1706"/>
      <c r="L1774" s="5238" t="s">
        <v>8227</v>
      </c>
      <c r="M1774" s="5238"/>
      <c r="N1774" s="5238"/>
      <c r="O1774" s="5238"/>
      <c r="P1774" s="5238"/>
      <c r="Q1774" s="5239"/>
      <c r="R1774" s="2429">
        <f>IF(OR($J1774=0,$J1774="Aprendida"),0,SUM($J$1702:$J1774))</f>
        <v>0</v>
      </c>
      <c r="T1774" s="2635" t="str">
        <f>E1820</f>
        <v>Abbadon</v>
      </c>
      <c r="U1774" s="2636"/>
      <c r="V1774" s="2642"/>
      <c r="W1774" s="2636"/>
      <c r="X1774" s="2636"/>
      <c r="Y1774" s="3092"/>
    </row>
    <row r="1775" spans="1:25" ht="12.75" customHeight="1">
      <c r="A1775" s="1886">
        <v>1775</v>
      </c>
      <c r="B1775" s="5250"/>
      <c r="E1775" s="2426" t="s">
        <v>7956</v>
      </c>
      <c r="F1775" s="1706"/>
      <c r="G1775" s="1706">
        <v>60</v>
      </c>
      <c r="H1775" s="1707">
        <v>1</v>
      </c>
      <c r="I1775" s="1707">
        <v>10</v>
      </c>
      <c r="J1775" s="1707">
        <f>COUNTIF(Elan!$C$13:$F$25,Tablas!E1775)+COUNTIF(Elan!$U$13:$X$25,Tablas!E1775)</f>
        <v>0</v>
      </c>
      <c r="K1775" s="1706"/>
      <c r="L1775" s="5238" t="s">
        <v>8228</v>
      </c>
      <c r="M1775" s="5238"/>
      <c r="N1775" s="5238"/>
      <c r="O1775" s="5238"/>
      <c r="P1775" s="5238"/>
      <c r="Q1775" s="5239"/>
      <c r="R1775" s="2429">
        <f>IF(OR($J1775=0,$J1775="Aprendida"),0,SUM($J$1702:$J1775))</f>
        <v>0</v>
      </c>
      <c r="T1775" s="2637" t="s">
        <v>8195</v>
      </c>
      <c r="U1775" s="2638">
        <v>1</v>
      </c>
      <c r="V1775" s="2639" t="s">
        <v>8306</v>
      </c>
      <c r="W1775" s="2638">
        <v>2</v>
      </c>
      <c r="X1775" s="2638" t="s">
        <v>8307</v>
      </c>
      <c r="Y1775" s="3093">
        <v>-1</v>
      </c>
    </row>
    <row r="1776" spans="1:25" ht="12.75" customHeight="1">
      <c r="A1776" s="1886">
        <v>1776</v>
      </c>
      <c r="B1776" s="5250"/>
      <c r="E1776" s="2426" t="s">
        <v>7957</v>
      </c>
      <c r="F1776" s="1706"/>
      <c r="G1776" s="1706">
        <v>70</v>
      </c>
      <c r="H1776" s="1707">
        <v>1</v>
      </c>
      <c r="I1776" s="1707">
        <v>15</v>
      </c>
      <c r="J1776" s="1707">
        <f>COUNTIF(Elan!$C$13:$F$25,Tablas!E1776)+COUNTIF(Elan!$U$13:$X$25,Tablas!E1776)</f>
        <v>0</v>
      </c>
      <c r="K1776" s="1706"/>
      <c r="L1776" s="5238" t="s">
        <v>8229</v>
      </c>
      <c r="M1776" s="5238"/>
      <c r="N1776" s="5238"/>
      <c r="O1776" s="5238"/>
      <c r="P1776" s="5238"/>
      <c r="Q1776" s="5239"/>
      <c r="R1776" s="2429">
        <f>IF(OR($J1776=0,$J1776="Aprendida"),0,SUM($J$1702:$J1776))</f>
        <v>0</v>
      </c>
      <c r="T1776" s="2637" t="s">
        <v>8309</v>
      </c>
      <c r="U1776" s="2638">
        <v>4</v>
      </c>
      <c r="V1776" s="2639" t="s">
        <v>8310</v>
      </c>
      <c r="W1776" s="2638">
        <v>3</v>
      </c>
      <c r="X1776" s="2638" t="s">
        <v>8311</v>
      </c>
      <c r="Y1776" s="3093">
        <v>-6</v>
      </c>
    </row>
    <row r="1777" spans="1:25" ht="12.75" customHeight="1">
      <c r="A1777" s="1886">
        <v>1777</v>
      </c>
      <c r="B1777" s="5250"/>
      <c r="E1777" s="2426" t="s">
        <v>7958</v>
      </c>
      <c r="F1777" s="1706"/>
      <c r="G1777" s="1706">
        <v>70</v>
      </c>
      <c r="H1777" s="1707">
        <v>1</v>
      </c>
      <c r="I1777" s="1707">
        <v>10</v>
      </c>
      <c r="J1777" s="1707">
        <f>COUNTIF(Elan!$C$13:$F$25,Tablas!E1777)+COUNTIF(Elan!$U$13:$X$25,Tablas!E1777)</f>
        <v>0</v>
      </c>
      <c r="K1777" s="1706"/>
      <c r="L1777" s="5238" t="s">
        <v>8230</v>
      </c>
      <c r="M1777" s="5238"/>
      <c r="N1777" s="5238"/>
      <c r="O1777" s="5238"/>
      <c r="P1777" s="5238"/>
      <c r="Q1777" s="5239"/>
      <c r="R1777" s="2429">
        <f>IF(OR($J1777=0,$J1777="Aprendida"),0,SUM($J$1702:$J1777))</f>
        <v>0</v>
      </c>
      <c r="T1777" s="2637" t="s">
        <v>8313</v>
      </c>
      <c r="U1777" s="2638">
        <v>3</v>
      </c>
      <c r="V1777" s="2639"/>
      <c r="W1777" s="2638"/>
      <c r="X1777" s="2638"/>
      <c r="Y1777" s="3093"/>
    </row>
    <row r="1778" spans="1:25" ht="12.75" customHeight="1">
      <c r="A1778" s="1886">
        <v>1778</v>
      </c>
      <c r="B1778" s="5250"/>
      <c r="E1778" s="2426" t="s">
        <v>7959</v>
      </c>
      <c r="F1778" s="1706"/>
      <c r="G1778" s="1706">
        <v>80</v>
      </c>
      <c r="H1778" s="1707">
        <f>IF(J1772,1,0)</f>
        <v>0</v>
      </c>
      <c r="I1778" s="1707">
        <v>20</v>
      </c>
      <c r="J1778" s="1707">
        <f>COUNTIF(Elan!$C$13:$F$25,Tablas!E1778)+COUNTIF(Elan!$U$13:$X$25,Tablas!E1778)</f>
        <v>0</v>
      </c>
      <c r="K1778" s="1706"/>
      <c r="L1778" s="5238" t="s">
        <v>8231</v>
      </c>
      <c r="M1778" s="5238"/>
      <c r="N1778" s="5238"/>
      <c r="O1778" s="5238"/>
      <c r="P1778" s="5238"/>
      <c r="Q1778" s="5239"/>
      <c r="R1778" s="2429">
        <f>IF(OR($J1778=0,$J1778="Aprendida"),0,SUM($J$1702:$J1778))</f>
        <v>0</v>
      </c>
      <c r="T1778" s="2637" t="s">
        <v>8315</v>
      </c>
      <c r="U1778" s="2638">
        <v>2</v>
      </c>
      <c r="V1778" s="2639"/>
      <c r="W1778" s="2638"/>
      <c r="X1778" s="2638"/>
      <c r="Y1778" s="3093"/>
    </row>
    <row r="1779" spans="1:25" ht="12.75" customHeight="1">
      <c r="A1779" s="1886">
        <v>1779</v>
      </c>
      <c r="B1779" s="5250"/>
      <c r="E1779" s="2426" t="s">
        <v>7960</v>
      </c>
      <c r="F1779" s="1706"/>
      <c r="G1779" s="1706">
        <v>90</v>
      </c>
      <c r="H1779" s="1707">
        <v>1</v>
      </c>
      <c r="I1779" s="1707">
        <v>15</v>
      </c>
      <c r="J1779" s="1707">
        <f>COUNTIF(Elan!$C$13:$F$25,Tablas!E1779)+COUNTIF(Elan!$U$13:$X$25,Tablas!E1779)</f>
        <v>0</v>
      </c>
      <c r="K1779" s="1706"/>
      <c r="L1779" s="5238" t="s">
        <v>8232</v>
      </c>
      <c r="M1779" s="5238"/>
      <c r="N1779" s="5238"/>
      <c r="O1779" s="5238"/>
      <c r="P1779" s="5238"/>
      <c r="Q1779" s="5239"/>
      <c r="R1779" s="2429">
        <f>IF(OR($J1779=0,$J1779="Aprendida"),0,SUM($J$1702:$J1779))</f>
        <v>0</v>
      </c>
      <c r="T1779" s="2637" t="s">
        <v>8317</v>
      </c>
      <c r="U1779" s="2638">
        <v>2</v>
      </c>
      <c r="V1779" s="2639"/>
      <c r="W1779" s="2638"/>
      <c r="X1779" s="2638"/>
      <c r="Y1779" s="3093"/>
    </row>
    <row r="1780" spans="1:25" ht="12.75" customHeight="1">
      <c r="A1780" s="1886">
        <v>1780</v>
      </c>
      <c r="B1780" s="5250"/>
      <c r="E1780" s="2426" t="s">
        <v>7961</v>
      </c>
      <c r="F1780" s="1706"/>
      <c r="G1780" s="1706">
        <v>100</v>
      </c>
      <c r="H1780" s="1707">
        <v>1</v>
      </c>
      <c r="I1780" s="1707">
        <v>10</v>
      </c>
      <c r="J1780" s="1707">
        <f>COUNTIF(Elan!$C$13:$F$25,Tablas!E1780)+COUNTIF(Elan!$U$13:$X$25,Tablas!E1780)</f>
        <v>0</v>
      </c>
      <c r="K1780" s="1706"/>
      <c r="L1780" s="5238" t="s">
        <v>8233</v>
      </c>
      <c r="M1780" s="5238"/>
      <c r="N1780" s="5238"/>
      <c r="O1780" s="5238"/>
      <c r="P1780" s="5238"/>
      <c r="Q1780" s="5239"/>
      <c r="R1780" s="2429">
        <f>IF(OR($J1780=0,$J1780="Aprendida"),0,SUM($J$1702:$J1780))</f>
        <v>0</v>
      </c>
      <c r="T1780" s="2640"/>
      <c r="U1780" s="2641"/>
      <c r="V1780" s="2641"/>
      <c r="W1780" s="2641"/>
      <c r="X1780" s="2641"/>
      <c r="Y1780" s="3094"/>
    </row>
    <row r="1781" spans="1:25" ht="12.75" customHeight="1">
      <c r="A1781" s="1886">
        <v>1781</v>
      </c>
      <c r="B1781" s="5250"/>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c r="A1782" s="1886">
        <v>1782</v>
      </c>
      <c r="B1782" s="5250"/>
      <c r="E1782" s="2426" t="s">
        <v>7962</v>
      </c>
      <c r="F1782" s="1706"/>
      <c r="G1782" s="1706">
        <v>10</v>
      </c>
      <c r="H1782" s="1707">
        <v>1</v>
      </c>
      <c r="I1782" s="1707">
        <v>5</v>
      </c>
      <c r="J1782" s="1707">
        <f>COUNTIF(Elan!$C$13:$F$25,Tablas!E1782)+COUNTIF(Elan!$U$13:$X$25,Tablas!E1782)</f>
        <v>0</v>
      </c>
      <c r="K1782" s="1706">
        <f>F$1781*J1782</f>
        <v>0</v>
      </c>
      <c r="L1782" s="5238" t="s">
        <v>8234</v>
      </c>
      <c r="M1782" s="5238"/>
      <c r="N1782" s="5238"/>
      <c r="O1782" s="5238"/>
      <c r="P1782" s="5238"/>
      <c r="Q1782" s="5239"/>
      <c r="R1782" s="2429">
        <f>IF(OR($J1782=0,$J1782="Aprendida"),0,SUM($J$1702:$J1782))</f>
        <v>0</v>
      </c>
      <c r="T1782" s="2635" t="str">
        <f>E1832</f>
        <v>Barakiel</v>
      </c>
      <c r="U1782" s="2636"/>
      <c r="V1782" s="2642"/>
      <c r="W1782" s="2636"/>
      <c r="X1782" s="2636"/>
      <c r="Y1782" s="3092"/>
    </row>
    <row r="1783" spans="1:25" ht="12.75" customHeight="1">
      <c r="A1783" s="1886">
        <v>1783</v>
      </c>
      <c r="B1783" s="5250"/>
      <c r="E1783" s="2426" t="s">
        <v>7963</v>
      </c>
      <c r="F1783" s="1706"/>
      <c r="G1783" s="1706">
        <v>20</v>
      </c>
      <c r="H1783" s="1707">
        <v>1</v>
      </c>
      <c r="I1783" s="1707">
        <v>5</v>
      </c>
      <c r="J1783" s="1707">
        <f>COUNTIF(Elan!$C$13:$F$25,Tablas!E1783)+COUNTIF(Elan!$U$13:$X$25,Tablas!E1783)</f>
        <v>0</v>
      </c>
      <c r="K1783" s="1706">
        <f>F$1781*J1783</f>
        <v>0</v>
      </c>
      <c r="L1783" s="5238" t="s">
        <v>8238</v>
      </c>
      <c r="M1783" s="5238"/>
      <c r="N1783" s="5238"/>
      <c r="O1783" s="5238"/>
      <c r="P1783" s="5238"/>
      <c r="Q1783" s="5239"/>
      <c r="R1783" s="2429">
        <f>IF(OR($J1783=0,$J1783="Aprendida"),0,SUM($J$1702:$J1783))</f>
        <v>0</v>
      </c>
      <c r="T1783" s="2637" t="s">
        <v>8325</v>
      </c>
      <c r="U1783" s="2638">
        <v>1</v>
      </c>
      <c r="V1783" s="2639" t="s">
        <v>8326</v>
      </c>
      <c r="W1783" s="2638">
        <v>2</v>
      </c>
      <c r="X1783" s="2638" t="s">
        <v>8327</v>
      </c>
      <c r="Y1783" s="3093">
        <v>-2</v>
      </c>
    </row>
    <row r="1784" spans="1:25" ht="12.75" customHeight="1">
      <c r="A1784" s="1886">
        <v>1784</v>
      </c>
      <c r="B1784" s="5250"/>
      <c r="E1784" s="2426" t="s">
        <v>7964</v>
      </c>
      <c r="F1784" s="1706"/>
      <c r="G1784" s="1706">
        <v>20</v>
      </c>
      <c r="H1784" s="1707">
        <v>1</v>
      </c>
      <c r="I1784" s="1707">
        <v>10</v>
      </c>
      <c r="J1784" s="1707">
        <f>COUNTIF(Elan!$C$13:$F$25,Tablas!E1784)+COUNTIF(Elan!$U$13:$X$25,Tablas!E1784)</f>
        <v>0</v>
      </c>
      <c r="K1784" s="1706"/>
      <c r="L1784" s="5238" t="s">
        <v>8241</v>
      </c>
      <c r="M1784" s="5238"/>
      <c r="N1784" s="5238"/>
      <c r="O1784" s="5238"/>
      <c r="P1784" s="5238"/>
      <c r="Q1784" s="5239"/>
      <c r="R1784" s="2429">
        <f>IF(OR($J1784=0,$J1784="Aprendida"),0,SUM($J$1702:$J1784))</f>
        <v>0</v>
      </c>
      <c r="T1784" s="2637" t="s">
        <v>8329</v>
      </c>
      <c r="U1784" s="2638">
        <v>2</v>
      </c>
      <c r="V1784" s="2639" t="s">
        <v>8330</v>
      </c>
      <c r="W1784" s="2638">
        <v>3</v>
      </c>
      <c r="X1784" s="2638" t="s">
        <v>8331</v>
      </c>
      <c r="Y1784" s="3093">
        <v>-2</v>
      </c>
    </row>
    <row r="1785" spans="1:25" ht="12.75" customHeight="1">
      <c r="A1785" s="1886">
        <v>1785</v>
      </c>
      <c r="B1785" s="5250"/>
      <c r="E1785" s="2426" t="s">
        <v>7965</v>
      </c>
      <c r="F1785" s="1706"/>
      <c r="G1785" s="1706">
        <v>30</v>
      </c>
      <c r="H1785" s="1707">
        <v>1</v>
      </c>
      <c r="I1785" s="1707">
        <v>5</v>
      </c>
      <c r="J1785" s="1707">
        <f>COUNTIF(Elan!$C$13:$F$25,Tablas!E1785)+COUNTIF(Elan!$U$13:$X$25,Tablas!E1785)</f>
        <v>0</v>
      </c>
      <c r="K1785" s="1706"/>
      <c r="L1785" s="5238" t="s">
        <v>8245</v>
      </c>
      <c r="M1785" s="5238"/>
      <c r="N1785" s="5238"/>
      <c r="O1785" s="5238"/>
      <c r="P1785" s="5238"/>
      <c r="Q1785" s="5239"/>
      <c r="R1785" s="2429">
        <f>IF(OR($J1785=0,$J1785="Aprendida"),0,SUM($J$1702:$J1785))</f>
        <v>0</v>
      </c>
      <c r="T1785" s="2637" t="s">
        <v>8333</v>
      </c>
      <c r="U1785" s="2638">
        <v>2</v>
      </c>
      <c r="V1785" s="2639" t="s">
        <v>8334</v>
      </c>
      <c r="W1785" s="2638">
        <v>1</v>
      </c>
      <c r="X1785" s="2638" t="s">
        <v>8335</v>
      </c>
      <c r="Y1785" s="3093">
        <v>-5</v>
      </c>
    </row>
    <row r="1786" spans="1:25" ht="12.75" customHeight="1">
      <c r="A1786" s="1886">
        <v>1786</v>
      </c>
      <c r="B1786" s="5250"/>
      <c r="E1786" s="2426" t="s">
        <v>7966</v>
      </c>
      <c r="F1786" s="1706"/>
      <c r="G1786" s="1706">
        <v>40</v>
      </c>
      <c r="H1786" s="1707">
        <v>1</v>
      </c>
      <c r="I1786" s="1707">
        <v>10</v>
      </c>
      <c r="J1786" s="1707">
        <f>COUNTIF(Elan!$C$13:$F$25,Tablas!E1786)+COUNTIF(Elan!$U$13:$X$25,Tablas!E1786)</f>
        <v>0</v>
      </c>
      <c r="K1786" s="1706"/>
      <c r="L1786" s="5238" t="s">
        <v>8247</v>
      </c>
      <c r="M1786" s="5238"/>
      <c r="N1786" s="5238"/>
      <c r="O1786" s="5238"/>
      <c r="P1786" s="5238"/>
      <c r="Q1786" s="5239"/>
      <c r="R1786" s="2429">
        <f>IF(OR($J1786=0,$J1786="Aprendida"),0,SUM($J$1702:$J1786))</f>
        <v>0</v>
      </c>
      <c r="T1786" s="2637" t="s">
        <v>8337</v>
      </c>
      <c r="U1786" s="2638">
        <v>3</v>
      </c>
      <c r="V1786" s="2639"/>
      <c r="W1786" s="2638"/>
      <c r="X1786" s="2638" t="s">
        <v>8338</v>
      </c>
      <c r="Y1786" s="3093">
        <v>-10</v>
      </c>
    </row>
    <row r="1787" spans="1:25" ht="12.75" customHeight="1">
      <c r="A1787" s="1886">
        <v>1787</v>
      </c>
      <c r="B1787" s="5250"/>
      <c r="E1787" s="2426" t="s">
        <v>7967</v>
      </c>
      <c r="F1787" s="1706"/>
      <c r="G1787" s="1706">
        <v>50</v>
      </c>
      <c r="H1787" s="1707">
        <v>1</v>
      </c>
      <c r="I1787" s="1707">
        <v>20</v>
      </c>
      <c r="J1787" s="1707">
        <f>COUNTIF(Elan!$C$13:$F$25,Tablas!E1787)+COUNTIF(Elan!$U$13:$X$25,Tablas!E1787)</f>
        <v>0</v>
      </c>
      <c r="K1787" s="1706"/>
      <c r="L1787" s="5238" t="s">
        <v>8249</v>
      </c>
      <c r="M1787" s="5238"/>
      <c r="N1787" s="5238"/>
      <c r="O1787" s="5238"/>
      <c r="P1787" s="5238"/>
      <c r="Q1787" s="5239"/>
      <c r="R1787" s="2429">
        <f>IF(OR($J1787=0,$J1787="Aprendida"),0,SUM($J$1702:$J1787))</f>
        <v>0</v>
      </c>
      <c r="T1787" s="2637" t="s">
        <v>8340</v>
      </c>
      <c r="U1787" s="2638">
        <v>5</v>
      </c>
      <c r="V1787" s="2639"/>
      <c r="W1787" s="2638"/>
      <c r="X1787" s="2638"/>
      <c r="Y1787" s="3093"/>
    </row>
    <row r="1788" spans="1:25" ht="12.75" customHeight="1">
      <c r="A1788" s="1886">
        <v>1788</v>
      </c>
      <c r="B1788" s="5250"/>
      <c r="E1788" s="2426" t="s">
        <v>7968</v>
      </c>
      <c r="F1788" s="1706"/>
      <c r="G1788" s="1706">
        <v>50</v>
      </c>
      <c r="H1788" s="1707">
        <f>IF(J1784,1,0)</f>
        <v>0</v>
      </c>
      <c r="I1788" s="1707">
        <v>15</v>
      </c>
      <c r="J1788" s="1707">
        <f>COUNTIF(Elan!$C$13:$F$25,Tablas!E1788)+COUNTIF(Elan!$U$13:$X$25,Tablas!E1788)</f>
        <v>0</v>
      </c>
      <c r="K1788" s="1706"/>
      <c r="L1788" s="5238" t="s">
        <v>8250</v>
      </c>
      <c r="M1788" s="5238"/>
      <c r="N1788" s="5238"/>
      <c r="O1788" s="5238"/>
      <c r="P1788" s="5238"/>
      <c r="Q1788" s="5239"/>
      <c r="R1788" s="2429">
        <f>IF(OR($J1788=0,$J1788="Aprendida"),0,SUM($J$1702:$J1788))</f>
        <v>0</v>
      </c>
      <c r="T1788" s="2637" t="s">
        <v>8342</v>
      </c>
      <c r="U1788" s="2638">
        <v>2</v>
      </c>
      <c r="V1788" s="2639"/>
      <c r="W1788" s="2638"/>
      <c r="X1788" s="2638"/>
      <c r="Y1788" s="3093"/>
    </row>
    <row r="1789" spans="1:25" ht="12.75" customHeight="1">
      <c r="A1789" s="1886">
        <v>1789</v>
      </c>
      <c r="B1789" s="5250"/>
      <c r="E1789" s="2426" t="s">
        <v>7969</v>
      </c>
      <c r="F1789" s="1706"/>
      <c r="G1789" s="1706">
        <v>60</v>
      </c>
      <c r="H1789" s="1707">
        <v>1</v>
      </c>
      <c r="I1789" s="1707">
        <v>10</v>
      </c>
      <c r="J1789" s="1707">
        <f>COUNTIF(Elan!$C$13:$F$25,Tablas!E1789)+COUNTIF(Elan!$U$13:$X$25,Tablas!E1789)</f>
        <v>0</v>
      </c>
      <c r="K1789" s="1706"/>
      <c r="L1789" s="5238" t="s">
        <v>8251</v>
      </c>
      <c r="M1789" s="5238"/>
      <c r="N1789" s="5238"/>
      <c r="O1789" s="5238"/>
      <c r="P1789" s="5238"/>
      <c r="Q1789" s="5239"/>
      <c r="R1789" s="2429">
        <f>IF(OR($J1789=0,$J1789="Aprendida"),0,SUM($J$1702:$J1789))</f>
        <v>0</v>
      </c>
      <c r="T1789" s="2640"/>
      <c r="U1789" s="2641"/>
      <c r="V1789" s="2641"/>
      <c r="W1789" s="2641"/>
      <c r="X1789" s="2641"/>
      <c r="Y1789" s="3094"/>
    </row>
    <row r="1790" spans="1:25" ht="12.75" customHeight="1">
      <c r="A1790" s="1886">
        <v>1790</v>
      </c>
      <c r="B1790" s="5250"/>
      <c r="E1790" s="2426" t="s">
        <v>7970</v>
      </c>
      <c r="F1790" s="1706"/>
      <c r="G1790" s="1706">
        <v>60</v>
      </c>
      <c r="H1790" s="1707">
        <v>1</v>
      </c>
      <c r="I1790" s="1707">
        <v>10</v>
      </c>
      <c r="J1790" s="1707">
        <f>COUNTIF(Elan!$C$13:$F$25,Tablas!E1790)+COUNTIF(Elan!$U$13:$X$25,Tablas!E1790)</f>
        <v>0</v>
      </c>
      <c r="K1790" s="1706"/>
      <c r="L1790" s="5238" t="s">
        <v>8252</v>
      </c>
      <c r="M1790" s="5238"/>
      <c r="N1790" s="5238"/>
      <c r="O1790" s="5238"/>
      <c r="P1790" s="5238"/>
      <c r="Q1790" s="5239"/>
      <c r="R1790" s="2429">
        <f>IF(OR($J1790=0,$J1790="Aprendida"),0,SUM($J$1702:$J1790))</f>
        <v>0</v>
      </c>
      <c r="T1790" s="2635" t="str">
        <f>E1846</f>
        <v>Eriol</v>
      </c>
      <c r="U1790" s="2636"/>
      <c r="V1790" s="2642"/>
      <c r="W1790" s="2636"/>
      <c r="X1790" s="2636"/>
      <c r="Y1790" s="3092"/>
    </row>
    <row r="1791" spans="1:25" ht="12.75" customHeight="1">
      <c r="A1791" s="1886">
        <v>1791</v>
      </c>
      <c r="B1791" s="5250"/>
      <c r="E1791" s="2426" t="s">
        <v>7971</v>
      </c>
      <c r="F1791" s="1706"/>
      <c r="G1791" s="1706">
        <v>70</v>
      </c>
      <c r="H1791" s="1707">
        <v>1</v>
      </c>
      <c r="I1791" s="1707">
        <v>10</v>
      </c>
      <c r="J1791" s="1707">
        <f>COUNTIF(Elan!$C$13:$F$25,Tablas!E1791)+COUNTIF(Elan!$U$13:$X$25,Tablas!E1791)</f>
        <v>0</v>
      </c>
      <c r="K1791" s="1706"/>
      <c r="L1791" s="5238" t="s">
        <v>8253</v>
      </c>
      <c r="M1791" s="5238"/>
      <c r="N1791" s="5238"/>
      <c r="O1791" s="5238"/>
      <c r="P1791" s="5238"/>
      <c r="Q1791" s="5239"/>
      <c r="R1791" s="2429">
        <f>IF(OR($J1791=0,$J1791="Aprendida"),0,SUM($J$1702:$J1791))</f>
        <v>0</v>
      </c>
      <c r="T1791" s="2637" t="s">
        <v>8351</v>
      </c>
      <c r="U1791" s="2638">
        <v>2</v>
      </c>
      <c r="V1791" s="2639" t="s">
        <v>8352</v>
      </c>
      <c r="W1791" s="2638">
        <v>2</v>
      </c>
      <c r="X1791" s="2638" t="s">
        <v>8353</v>
      </c>
      <c r="Y1791" s="3093">
        <v>-2</v>
      </c>
    </row>
    <row r="1792" spans="1:25" ht="12.75" customHeight="1">
      <c r="A1792" s="1886">
        <v>1792</v>
      </c>
      <c r="B1792" s="5250"/>
      <c r="E1792" s="2426" t="s">
        <v>7972</v>
      </c>
      <c r="F1792" s="1706"/>
      <c r="G1792" s="1706">
        <v>80</v>
      </c>
      <c r="H1792" s="1707">
        <f>IF(J1791,1,0)</f>
        <v>0</v>
      </c>
      <c r="I1792" s="1707">
        <v>10</v>
      </c>
      <c r="J1792" s="1707">
        <f>COUNTIF(Elan!$C$13:$F$25,Tablas!E1792)+COUNTIF(Elan!$U$13:$X$25,Tablas!E1792)</f>
        <v>0</v>
      </c>
      <c r="K1792" s="1706"/>
      <c r="L1792" s="5238" t="s">
        <v>8254</v>
      </c>
      <c r="M1792" s="5238"/>
      <c r="N1792" s="5238"/>
      <c r="O1792" s="5238"/>
      <c r="P1792" s="5238"/>
      <c r="Q1792" s="5239"/>
      <c r="R1792" s="2429">
        <f>IF(OR($J1792=0,$J1792="Aprendida"),0,SUM($J$1702:$J1792))</f>
        <v>0</v>
      </c>
      <c r="T1792" s="2637" t="s">
        <v>8355</v>
      </c>
      <c r="U1792" s="2638">
        <v>2</v>
      </c>
      <c r="V1792" s="2639" t="s">
        <v>8356</v>
      </c>
      <c r="W1792" s="2638">
        <v>2</v>
      </c>
      <c r="X1792" s="2638" t="s">
        <v>8357</v>
      </c>
      <c r="Y1792" s="3093">
        <v>-3</v>
      </c>
    </row>
    <row r="1793" spans="1:25" ht="12.75" customHeight="1">
      <c r="A1793" s="1886">
        <v>1793</v>
      </c>
      <c r="B1793" s="5250"/>
      <c r="E1793" s="2426" t="s">
        <v>7973</v>
      </c>
      <c r="F1793" s="1706"/>
      <c r="G1793" s="1706">
        <v>90</v>
      </c>
      <c r="H1793" s="1707">
        <f>IF(J1788,1,0)</f>
        <v>0</v>
      </c>
      <c r="I1793" s="1707">
        <v>20</v>
      </c>
      <c r="J1793" s="1707">
        <f>COUNTIF(Elan!$C$13:$F$25,Tablas!E1793)+COUNTIF(Elan!$U$13:$X$25,Tablas!E1793)</f>
        <v>0</v>
      </c>
      <c r="K1793" s="1706"/>
      <c r="L1793" s="5238" t="s">
        <v>8255</v>
      </c>
      <c r="M1793" s="5238"/>
      <c r="N1793" s="5238"/>
      <c r="O1793" s="5238"/>
      <c r="P1793" s="5238"/>
      <c r="Q1793" s="5239"/>
      <c r="R1793" s="2429">
        <f>IF(OR($J1793=0,$J1793="Aprendida"),0,SUM($J$1702:$J1793))</f>
        <v>0</v>
      </c>
      <c r="T1793" s="2637" t="s">
        <v>8359</v>
      </c>
      <c r="U1793" s="2638">
        <v>5</v>
      </c>
      <c r="V1793" s="2639" t="s">
        <v>8360</v>
      </c>
      <c r="W1793" s="2638">
        <v>1</v>
      </c>
      <c r="X1793" s="2638" t="s">
        <v>8361</v>
      </c>
      <c r="Y1793" s="3093">
        <v>-2</v>
      </c>
    </row>
    <row r="1794" spans="1:25" ht="12.75" customHeight="1">
      <c r="A1794" s="1886">
        <v>1794</v>
      </c>
      <c r="B1794" s="5250"/>
      <c r="E1794" s="2426" t="s">
        <v>7974</v>
      </c>
      <c r="F1794" s="1706"/>
      <c r="G1794" s="1706">
        <v>100</v>
      </c>
      <c r="H1794" s="1707">
        <v>1</v>
      </c>
      <c r="I1794" s="1707">
        <v>10</v>
      </c>
      <c r="J1794" s="1707">
        <f>COUNTIF(Elan!$C$13:$F$25,Tablas!E1794)+COUNTIF(Elan!$U$13:$X$25,Tablas!E1794)</f>
        <v>0</v>
      </c>
      <c r="K1794" s="1706"/>
      <c r="L1794" s="5238" t="s">
        <v>8256</v>
      </c>
      <c r="M1794" s="5238"/>
      <c r="N1794" s="5238"/>
      <c r="O1794" s="5238"/>
      <c r="P1794" s="5238"/>
      <c r="Q1794" s="5239"/>
      <c r="R1794" s="2429">
        <f>IF(OR($J1794=0,$J1794="Aprendida"),0,SUM($J$1702:$J1794))</f>
        <v>0</v>
      </c>
      <c r="T1794" s="2637" t="s">
        <v>8363</v>
      </c>
      <c r="U1794" s="2638">
        <v>1</v>
      </c>
      <c r="V1794" s="2639"/>
      <c r="W1794" s="2638"/>
      <c r="X1794" s="2638"/>
      <c r="Y1794" s="3093"/>
    </row>
    <row r="1795" spans="1:25" ht="12.75" customHeight="1">
      <c r="A1795" s="1886">
        <v>1795</v>
      </c>
      <c r="B1795" s="5250"/>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093"/>
    </row>
    <row r="1796" spans="1:25" ht="12.75" customHeight="1">
      <c r="A1796" s="1886">
        <v>1796</v>
      </c>
      <c r="B1796" s="5250"/>
      <c r="E1796" s="2426" t="s">
        <v>7975</v>
      </c>
      <c r="F1796" s="1706"/>
      <c r="G1796" s="1706">
        <v>10</v>
      </c>
      <c r="H1796" s="1707">
        <v>1</v>
      </c>
      <c r="I1796" s="1707">
        <v>5</v>
      </c>
      <c r="J1796" s="1707">
        <f>COUNTIF(Elan!$C$13:$F$25,Tablas!E1796)+COUNTIF(Elan!$U$13:$X$25,Tablas!E1796)</f>
        <v>0</v>
      </c>
      <c r="K1796" s="1706">
        <f>F$1795*J1796</f>
        <v>0</v>
      </c>
      <c r="L1796" s="5238" t="s">
        <v>8257</v>
      </c>
      <c r="M1796" s="5238"/>
      <c r="N1796" s="5238"/>
      <c r="O1796" s="5238"/>
      <c r="P1796" s="5238"/>
      <c r="Q1796" s="5239"/>
      <c r="R1796" s="2429">
        <f>IF(OR($J1796=0,$J1796="Aprendida"),0,SUM($J$1702:$J1796))</f>
        <v>0</v>
      </c>
      <c r="T1796" s="2640"/>
      <c r="U1796" s="2641"/>
      <c r="V1796" s="2641"/>
      <c r="W1796" s="2641"/>
      <c r="X1796" s="2641"/>
      <c r="Y1796" s="3094"/>
    </row>
    <row r="1797" spans="1:25" ht="12.75" customHeight="1">
      <c r="A1797" s="1886">
        <v>1797</v>
      </c>
      <c r="B1797" s="5250"/>
      <c r="E1797" s="2426" t="s">
        <v>7976</v>
      </c>
      <c r="F1797" s="1706"/>
      <c r="G1797" s="1706">
        <v>20</v>
      </c>
      <c r="H1797" s="1707">
        <v>1</v>
      </c>
      <c r="I1797" s="1707">
        <v>5</v>
      </c>
      <c r="J1797" s="1707">
        <f>COUNTIF(Elan!$C$13:$F$25,Tablas!E1797)+COUNTIF(Elan!$U$13:$X$25,Tablas!E1797)</f>
        <v>0</v>
      </c>
      <c r="K1797" s="1706">
        <f>F$1795*J1797</f>
        <v>0</v>
      </c>
      <c r="L1797" s="5238" t="s">
        <v>8261</v>
      </c>
      <c r="M1797" s="5238"/>
      <c r="N1797" s="5238"/>
      <c r="O1797" s="5238"/>
      <c r="P1797" s="5238"/>
      <c r="Q1797" s="5239"/>
      <c r="R1797" s="2429">
        <f>IF(OR($J1797=0,$J1797="Aprendida"),0,SUM($J$1702:$J1797))</f>
        <v>0</v>
      </c>
      <c r="T1797" s="2640"/>
      <c r="U1797" s="2641"/>
      <c r="V1797" s="2641"/>
      <c r="W1797" s="2641"/>
      <c r="X1797" s="2641"/>
      <c r="Y1797" s="3094"/>
    </row>
    <row r="1798" spans="1:25" ht="12.75" customHeight="1">
      <c r="A1798" s="1886">
        <v>1798</v>
      </c>
      <c r="B1798" s="5250"/>
      <c r="E1798" s="2426" t="s">
        <v>7977</v>
      </c>
      <c r="F1798" s="1706"/>
      <c r="G1798" s="1706">
        <v>30</v>
      </c>
      <c r="H1798" s="1707">
        <v>1</v>
      </c>
      <c r="I1798" s="1707">
        <v>5</v>
      </c>
      <c r="J1798" s="1707">
        <f>COUNTIF(Elan!$C$13:$F$25,Tablas!E1798)+COUNTIF(Elan!$U$13:$X$25,Tablas!E1798)</f>
        <v>0</v>
      </c>
      <c r="K1798" s="1706"/>
      <c r="L1798" s="5238" t="s">
        <v>8265</v>
      </c>
      <c r="M1798" s="5238"/>
      <c r="N1798" s="5238"/>
      <c r="O1798" s="5238"/>
      <c r="P1798" s="5238"/>
      <c r="Q1798" s="5239"/>
      <c r="R1798" s="2429">
        <f>IF(OR($J1798=0,$J1798="Aprendida"),0,SUM($J$1702:$J1798))</f>
        <v>0</v>
      </c>
      <c r="T1798" s="2635" t="str">
        <f>E1858</f>
        <v>Edamiel</v>
      </c>
      <c r="U1798" s="2636"/>
      <c r="V1798" s="2642"/>
      <c r="W1798" s="2636"/>
      <c r="X1798" s="2636"/>
      <c r="Y1798" s="3092"/>
    </row>
    <row r="1799" spans="1:25" ht="12.75" customHeight="1">
      <c r="A1799" s="1886">
        <v>1799</v>
      </c>
      <c r="B1799" s="5250"/>
      <c r="E1799" s="2426" t="s">
        <v>7978</v>
      </c>
      <c r="F1799" s="1706"/>
      <c r="G1799" s="1706">
        <v>40</v>
      </c>
      <c r="H1799" s="1707">
        <v>1</v>
      </c>
      <c r="I1799" s="1707">
        <v>10</v>
      </c>
      <c r="J1799" s="1707">
        <f>COUNTIF(Elan!$C$13:$F$25,Tablas!E1799)+COUNTIF(Elan!$U$13:$X$25,Tablas!E1799)</f>
        <v>0</v>
      </c>
      <c r="K1799" s="1706"/>
      <c r="L1799" s="5238" t="s">
        <v>8268</v>
      </c>
      <c r="M1799" s="5238"/>
      <c r="N1799" s="5238"/>
      <c r="O1799" s="5238"/>
      <c r="P1799" s="5238"/>
      <c r="Q1799" s="5239"/>
      <c r="R1799" s="2429">
        <f>IF(OR($J1799=0,$J1799="Aprendida"),0,SUM($J$1702:$J1799))</f>
        <v>0</v>
      </c>
      <c r="T1799" s="2637" t="s">
        <v>8373</v>
      </c>
      <c r="U1799" s="2638">
        <v>3</v>
      </c>
      <c r="V1799" s="2639" t="s">
        <v>8374</v>
      </c>
      <c r="W1799" s="2638">
        <v>2</v>
      </c>
      <c r="X1799" s="2638" t="s">
        <v>8375</v>
      </c>
      <c r="Y1799" s="3093">
        <v>-2</v>
      </c>
    </row>
    <row r="1800" spans="1:25" ht="12.75" customHeight="1">
      <c r="A1800" s="1886">
        <v>1800</v>
      </c>
      <c r="B1800" s="5250"/>
      <c r="E1800" s="2426" t="s">
        <v>7979</v>
      </c>
      <c r="F1800" s="1706"/>
      <c r="G1800" s="1706">
        <v>50</v>
      </c>
      <c r="H1800" s="1707">
        <v>1</v>
      </c>
      <c r="I1800" s="1707">
        <v>15</v>
      </c>
      <c r="J1800" s="1707">
        <f>COUNTIF(Elan!$C$13:$F$25,Tablas!E1800)+COUNTIF(Elan!$U$13:$X$25,Tablas!E1800)</f>
        <v>0</v>
      </c>
      <c r="K1800" s="1706"/>
      <c r="L1800" s="5238" t="s">
        <v>8270</v>
      </c>
      <c r="M1800" s="5238"/>
      <c r="N1800" s="5238"/>
      <c r="O1800" s="5238"/>
      <c r="P1800" s="5238"/>
      <c r="Q1800" s="5239"/>
      <c r="R1800" s="2429">
        <f>IF(OR($J1800=0,$J1800="Aprendida"),0,SUM($J$1702:$J1800))</f>
        <v>0</v>
      </c>
      <c r="T1800" s="2637" t="s">
        <v>8377</v>
      </c>
      <c r="U1800" s="2638">
        <v>3</v>
      </c>
      <c r="V1800" s="2639" t="s">
        <v>8378</v>
      </c>
      <c r="W1800" s="2638">
        <v>3</v>
      </c>
      <c r="X1800" s="2638" t="s">
        <v>8379</v>
      </c>
      <c r="Y1800" s="3093">
        <v>-2</v>
      </c>
    </row>
    <row r="1801" spans="1:25" ht="12.75" customHeight="1">
      <c r="A1801" s="1886">
        <v>1801</v>
      </c>
      <c r="B1801" s="5250"/>
      <c r="E1801" s="2426" t="s">
        <v>7980</v>
      </c>
      <c r="F1801" s="1706"/>
      <c r="G1801" s="1706">
        <v>60</v>
      </c>
      <c r="H1801" s="1707">
        <v>1</v>
      </c>
      <c r="I1801" s="1707">
        <v>10</v>
      </c>
      <c r="J1801" s="1707">
        <f>COUNTIF(Elan!$C$13:$F$25,Tablas!E1801)+COUNTIF(Elan!$U$13:$X$25,Tablas!E1801)</f>
        <v>0</v>
      </c>
      <c r="K1801" s="1706"/>
      <c r="L1801" s="5238" t="s">
        <v>8272</v>
      </c>
      <c r="M1801" s="5238"/>
      <c r="N1801" s="5238"/>
      <c r="O1801" s="5238"/>
      <c r="P1801" s="5238"/>
      <c r="Q1801" s="5239"/>
      <c r="R1801" s="2429">
        <f>IF(OR($J1801=0,$J1801="Aprendida"),0,SUM($J$1702:$J1801))</f>
        <v>0</v>
      </c>
      <c r="T1801" s="2637" t="s">
        <v>8381</v>
      </c>
      <c r="U1801" s="2638">
        <v>2</v>
      </c>
      <c r="V1801" s="2639" t="s">
        <v>8382</v>
      </c>
      <c r="W1801" s="2638">
        <v>1</v>
      </c>
      <c r="X1801" s="2638"/>
      <c r="Y1801" s="3093"/>
    </row>
    <row r="1802" spans="1:25" ht="12.75" customHeight="1">
      <c r="A1802" s="1886">
        <v>1802</v>
      </c>
      <c r="B1802" s="5250"/>
      <c r="E1802" s="2426" t="s">
        <v>7981</v>
      </c>
      <c r="F1802" s="1706"/>
      <c r="G1802" s="1706">
        <v>60</v>
      </c>
      <c r="H1802" s="1707">
        <v>1</v>
      </c>
      <c r="I1802" s="1707">
        <v>10</v>
      </c>
      <c r="J1802" s="1707">
        <f>COUNTIF(Elan!$C$13:$F$25,Tablas!E1802)+COUNTIF(Elan!$U$13:$X$25,Tablas!E1802)</f>
        <v>0</v>
      </c>
      <c r="K1802" s="1706"/>
      <c r="L1802" s="5238" t="s">
        <v>8274</v>
      </c>
      <c r="M1802" s="5238"/>
      <c r="N1802" s="5238"/>
      <c r="O1802" s="5238"/>
      <c r="P1802" s="5238"/>
      <c r="Q1802" s="5239"/>
      <c r="R1802" s="2429">
        <f>IF(OR($J1802=0,$J1802="Aprendida"),0,SUM($J$1702:$J1802))</f>
        <v>0</v>
      </c>
      <c r="T1802" s="2637" t="s">
        <v>8384</v>
      </c>
      <c r="U1802" s="2638">
        <v>5</v>
      </c>
      <c r="V1802" s="2639" t="s">
        <v>8385</v>
      </c>
      <c r="W1802" s="2638">
        <v>4</v>
      </c>
      <c r="X1802" s="2638"/>
      <c r="Y1802" s="3093"/>
    </row>
    <row r="1803" spans="1:25" ht="12.75" customHeight="1">
      <c r="A1803" s="1886">
        <v>1803</v>
      </c>
      <c r="B1803" s="5250"/>
      <c r="E1803" s="2426" t="s">
        <v>7982</v>
      </c>
      <c r="F1803" s="1706"/>
      <c r="G1803" s="1706">
        <v>70</v>
      </c>
      <c r="H1803" s="1707">
        <v>1</v>
      </c>
      <c r="I1803" s="1707">
        <v>20</v>
      </c>
      <c r="J1803" s="1707">
        <f>COUNTIF(Elan!$C$13:$F$25,Tablas!E1803)+COUNTIF(Elan!$U$13:$X$25,Tablas!E1803)</f>
        <v>0</v>
      </c>
      <c r="K1803" s="1706"/>
      <c r="L1803" s="5238" t="s">
        <v>8275</v>
      </c>
      <c r="M1803" s="5238"/>
      <c r="N1803" s="5238"/>
      <c r="O1803" s="5238"/>
      <c r="P1803" s="5238"/>
      <c r="Q1803" s="5239"/>
      <c r="R1803" s="2429">
        <f>IF(OR($J1803=0,$J1803="Aprendida"),0,SUM($J$1702:$J1803))</f>
        <v>0</v>
      </c>
      <c r="T1803" s="2637" t="s">
        <v>8387</v>
      </c>
      <c r="U1803" s="2638">
        <v>4</v>
      </c>
      <c r="V1803" s="2639"/>
      <c r="W1803" s="2638"/>
      <c r="X1803" s="2638"/>
      <c r="Y1803" s="3093"/>
    </row>
    <row r="1804" spans="1:25" ht="12.75" customHeight="1">
      <c r="A1804" s="1886">
        <v>1804</v>
      </c>
      <c r="B1804" s="5250"/>
      <c r="E1804" s="2426" t="s">
        <v>7983</v>
      </c>
      <c r="F1804" s="1706"/>
      <c r="G1804" s="1706">
        <v>80</v>
      </c>
      <c r="H1804" s="1707">
        <v>1</v>
      </c>
      <c r="I1804" s="1707">
        <v>15</v>
      </c>
      <c r="J1804" s="1707">
        <f>COUNTIF(Elan!$C$13:$F$25,Tablas!E1804)+COUNTIF(Elan!$U$13:$X$25,Tablas!E1804)</f>
        <v>0</v>
      </c>
      <c r="K1804" s="1706"/>
      <c r="L1804" s="5238" t="s">
        <v>8276</v>
      </c>
      <c r="M1804" s="5238"/>
      <c r="N1804" s="5238"/>
      <c r="O1804" s="5238"/>
      <c r="P1804" s="5238"/>
      <c r="Q1804" s="5239"/>
      <c r="R1804" s="2429">
        <f>IF(OR($J1804=0,$J1804="Aprendida"),0,SUM($J$1702:$J1804))</f>
        <v>0</v>
      </c>
      <c r="T1804" s="2640"/>
      <c r="U1804" s="2641"/>
      <c r="V1804" s="2641"/>
      <c r="W1804" s="2641"/>
      <c r="X1804" s="2641"/>
      <c r="Y1804" s="3094"/>
    </row>
    <row r="1805" spans="1:25" ht="12.75" customHeight="1">
      <c r="A1805" s="1886">
        <v>1805</v>
      </c>
      <c r="B1805" s="5250"/>
      <c r="E1805" s="2426" t="s">
        <v>7984</v>
      </c>
      <c r="F1805" s="1706"/>
      <c r="G1805" s="1706">
        <v>90</v>
      </c>
      <c r="H1805" s="1707">
        <f>IF(J1803,1,0)</f>
        <v>0</v>
      </c>
      <c r="I1805" s="1707">
        <v>10</v>
      </c>
      <c r="J1805" s="1707">
        <f>COUNTIF(Elan!$C$13:$F$25,Tablas!E1805)+COUNTIF(Elan!$U$13:$X$25,Tablas!E1805)</f>
        <v>0</v>
      </c>
      <c r="K1805" s="1706"/>
      <c r="L1805" s="5238" t="s">
        <v>8277</v>
      </c>
      <c r="M1805" s="5238"/>
      <c r="N1805" s="5238"/>
      <c r="O1805" s="5238"/>
      <c r="P1805" s="5238"/>
      <c r="Q1805" s="5239"/>
      <c r="R1805" s="2429">
        <f>IF(OR($J1805=0,$J1805="Aprendida"),0,SUM($J$1702:$J1805))</f>
        <v>0</v>
      </c>
      <c r="T1805" s="2640"/>
      <c r="U1805" s="2641"/>
      <c r="V1805" s="2641"/>
      <c r="W1805" s="2641"/>
      <c r="X1805" s="2641"/>
      <c r="Y1805" s="3094"/>
    </row>
    <row r="1806" spans="1:25" ht="12.75" customHeight="1">
      <c r="A1806" s="1886">
        <v>1806</v>
      </c>
      <c r="B1806" s="5250"/>
      <c r="E1806" s="2426" t="s">
        <v>7985</v>
      </c>
      <c r="F1806" s="1706"/>
      <c r="G1806" s="1706">
        <v>100</v>
      </c>
      <c r="H1806" s="1707">
        <v>1</v>
      </c>
      <c r="I1806" s="1707">
        <v>10</v>
      </c>
      <c r="J1806" s="1707">
        <f>COUNTIF(Elan!$C$13:$F$25,Tablas!E1806)+COUNTIF(Elan!$U$13:$X$25,Tablas!E1806)</f>
        <v>0</v>
      </c>
      <c r="K1806" s="1706"/>
      <c r="L1806" s="5238" t="s">
        <v>8278</v>
      </c>
      <c r="M1806" s="5238"/>
      <c r="N1806" s="5238"/>
      <c r="O1806" s="5238"/>
      <c r="P1806" s="5238"/>
      <c r="Q1806" s="5239"/>
      <c r="R1806" s="2429">
        <f>IF(OR($J1806=0,$J1806="Aprendida"),0,SUM($J$1702:$J1806))</f>
        <v>0</v>
      </c>
      <c r="T1806" s="2635" t="str">
        <f>E1870</f>
        <v>Meseguis</v>
      </c>
      <c r="U1806" s="2636"/>
      <c r="V1806" s="2642"/>
      <c r="W1806" s="2636"/>
      <c r="X1806" s="2636"/>
      <c r="Y1806" s="3092"/>
    </row>
    <row r="1807" spans="1:25" ht="12.75" customHeight="1">
      <c r="A1807" s="1886">
        <v>1807</v>
      </c>
      <c r="B1807" s="5250"/>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093">
        <v>-3</v>
      </c>
    </row>
    <row r="1808" spans="1:25" ht="12.75" customHeight="1">
      <c r="A1808" s="1886">
        <v>1808</v>
      </c>
      <c r="B1808" s="5250"/>
      <c r="E1808" s="2426" t="s">
        <v>7986</v>
      </c>
      <c r="F1808" s="1706"/>
      <c r="G1808" s="1706">
        <v>10</v>
      </c>
      <c r="H1808" s="1707">
        <v>1</v>
      </c>
      <c r="I1808" s="1707">
        <v>5</v>
      </c>
      <c r="J1808" s="1707">
        <f>COUNTIF(Elan!$C$13:$F$25,Tablas!E1808)+COUNTIF(Elan!$U$13:$X$25,Tablas!E1808)</f>
        <v>0</v>
      </c>
      <c r="K1808" s="1706">
        <f>F$1807*J1808</f>
        <v>0</v>
      </c>
      <c r="L1808" s="5238" t="s">
        <v>8279</v>
      </c>
      <c r="M1808" s="5238"/>
      <c r="N1808" s="5238"/>
      <c r="O1808" s="5238"/>
      <c r="P1808" s="5238"/>
      <c r="Q1808" s="5239"/>
      <c r="R1808" s="2429">
        <f>IF(OR($J1808=0,$J1808="Aprendida"),0,SUM($J$1702:$J1808))</f>
        <v>0</v>
      </c>
      <c r="T1808" s="2637" t="s">
        <v>8399</v>
      </c>
      <c r="U1808" s="2638">
        <v>8</v>
      </c>
      <c r="V1808" s="2639" t="s">
        <v>8400</v>
      </c>
      <c r="W1808" s="2638">
        <v>1</v>
      </c>
      <c r="X1808" s="2638" t="s">
        <v>8401</v>
      </c>
      <c r="Y1808" s="3093">
        <v>-4</v>
      </c>
    </row>
    <row r="1809" spans="1:25" ht="12.75" customHeight="1">
      <c r="A1809" s="1886">
        <v>1809</v>
      </c>
      <c r="B1809" s="5250"/>
      <c r="E1809" s="2426" t="s">
        <v>7987</v>
      </c>
      <c r="F1809" s="1706"/>
      <c r="G1809" s="1706">
        <v>20</v>
      </c>
      <c r="H1809" s="1707">
        <v>1</v>
      </c>
      <c r="I1809" s="1707">
        <v>5</v>
      </c>
      <c r="J1809" s="1707">
        <f>COUNTIF(Elan!$C$13:$F$25,Tablas!E1809)+COUNTIF(Elan!$U$13:$X$25,Tablas!E1809)</f>
        <v>0</v>
      </c>
      <c r="K1809" s="1706">
        <f>F$1807*J1809</f>
        <v>0</v>
      </c>
      <c r="L1809" s="5238" t="s">
        <v>8283</v>
      </c>
      <c r="M1809" s="5238"/>
      <c r="N1809" s="5238"/>
      <c r="O1809" s="5238"/>
      <c r="P1809" s="5238"/>
      <c r="Q1809" s="5239"/>
      <c r="R1809" s="2429">
        <f>IF(OR($J1809=0,$J1809="Aprendida"),0,SUM($J$1702:$J1809))</f>
        <v>0</v>
      </c>
      <c r="T1809" s="2637"/>
      <c r="U1809" s="2638"/>
      <c r="V1809" s="2639" t="s">
        <v>8403</v>
      </c>
      <c r="W1809" s="2638">
        <v>4</v>
      </c>
      <c r="X1809" s="2638"/>
      <c r="Y1809" s="3093"/>
    </row>
    <row r="1810" spans="1:25" ht="12.75" customHeight="1">
      <c r="A1810" s="1886">
        <v>1810</v>
      </c>
      <c r="B1810" s="5250"/>
      <c r="E1810" s="2426" t="s">
        <v>7988</v>
      </c>
      <c r="F1810" s="1706"/>
      <c r="G1810" s="1706">
        <v>30</v>
      </c>
      <c r="H1810" s="1707">
        <v>1</v>
      </c>
      <c r="I1810" s="1707">
        <v>10</v>
      </c>
      <c r="J1810" s="1707">
        <f>COUNTIF(Elan!$C$13:$F$25,Tablas!E1810)+COUNTIF(Elan!$U$13:$X$25,Tablas!E1810)</f>
        <v>0</v>
      </c>
      <c r="K1810" s="1706"/>
      <c r="L1810" s="5238" t="s">
        <v>8287</v>
      </c>
      <c r="M1810" s="5238"/>
      <c r="N1810" s="5238"/>
      <c r="O1810" s="5238"/>
      <c r="P1810" s="5238"/>
      <c r="Q1810" s="5239"/>
      <c r="R1810" s="2429">
        <f>IF(OR($J1810=0,$J1810="Aprendida"),0,SUM($J$1702:$J1810))</f>
        <v>0</v>
      </c>
      <c r="T1810" s="2640"/>
      <c r="U1810" s="2641"/>
      <c r="V1810" s="2641"/>
      <c r="W1810" s="2641"/>
      <c r="X1810" s="2641"/>
      <c r="Y1810" s="3094"/>
    </row>
    <row r="1811" spans="1:25" ht="12.75" customHeight="1">
      <c r="A1811" s="1886">
        <v>1811</v>
      </c>
      <c r="B1811" s="5250"/>
      <c r="E1811" s="2426" t="s">
        <v>7989</v>
      </c>
      <c r="F1811" s="1706"/>
      <c r="G1811" s="1706">
        <v>40</v>
      </c>
      <c r="H1811" s="1707">
        <v>1</v>
      </c>
      <c r="I1811" s="1707">
        <v>10</v>
      </c>
      <c r="J1811" s="1707">
        <f>COUNTIF(Elan!$C$13:$F$25,Tablas!E1811)+COUNTIF(Elan!$U$13:$X$25,Tablas!E1811)</f>
        <v>0</v>
      </c>
      <c r="K1811" s="1706"/>
      <c r="L1811" s="5238" t="s">
        <v>8291</v>
      </c>
      <c r="M1811" s="5238"/>
      <c r="N1811" s="5238"/>
      <c r="O1811" s="5238"/>
      <c r="P1811" s="5238"/>
      <c r="Q1811" s="5239"/>
      <c r="R1811" s="2429">
        <f>IF(OR($J1811=0,$J1811="Aprendida"),0,SUM($J$1702:$J1811))</f>
        <v>0</v>
      </c>
      <c r="T1811" s="2640"/>
      <c r="U1811" s="2641"/>
      <c r="V1811" s="2641"/>
      <c r="W1811" s="2641"/>
      <c r="X1811" s="2641"/>
      <c r="Y1811" s="3094"/>
    </row>
    <row r="1812" spans="1:25" ht="12.75" customHeight="1">
      <c r="A1812" s="1886">
        <v>1812</v>
      </c>
      <c r="B1812" s="5250"/>
      <c r="E1812" s="2426" t="s">
        <v>7990</v>
      </c>
      <c r="F1812" s="1706"/>
      <c r="G1812" s="1706">
        <v>50</v>
      </c>
      <c r="H1812" s="1707">
        <v>1</v>
      </c>
      <c r="I1812" s="1707">
        <v>5</v>
      </c>
      <c r="J1812" s="1707">
        <f>COUNTIF(Elan!$C$13:$F$25,Tablas!E1812)+COUNTIF(Elan!$U$13:$X$25,Tablas!E1812)</f>
        <v>0</v>
      </c>
      <c r="K1812" s="1706"/>
      <c r="L1812" s="5238" t="s">
        <v>8294</v>
      </c>
      <c r="M1812" s="5238"/>
      <c r="N1812" s="5238"/>
      <c r="O1812" s="5238"/>
      <c r="P1812" s="5238"/>
      <c r="Q1812" s="5239"/>
      <c r="R1812" s="2429">
        <f>IF(OR($J1812=0,$J1812="Aprendida"),0,SUM($J$1702:$J1812))</f>
        <v>0</v>
      </c>
      <c r="T1812" s="2640"/>
      <c r="U1812" s="2641"/>
      <c r="V1812" s="2641"/>
      <c r="W1812" s="2641"/>
      <c r="X1812" s="2641"/>
      <c r="Y1812" s="3094"/>
    </row>
    <row r="1813" spans="1:25" ht="12.75" customHeight="1">
      <c r="A1813" s="1886">
        <v>1813</v>
      </c>
      <c r="B1813" s="5250"/>
      <c r="E1813" s="2426" t="s">
        <v>7991</v>
      </c>
      <c r="F1813" s="1706"/>
      <c r="G1813" s="1706">
        <v>60</v>
      </c>
      <c r="H1813" s="1707">
        <f>IF(J1812,1,0)</f>
        <v>0</v>
      </c>
      <c r="I1813" s="1707">
        <v>10</v>
      </c>
      <c r="J1813" s="1707">
        <f>COUNTIF(Elan!$C$13:$F$25,Tablas!E1813)+COUNTIF(Elan!$U$13:$X$25,Tablas!E1813)</f>
        <v>0</v>
      </c>
      <c r="K1813" s="1706"/>
      <c r="L1813" s="5238" t="s">
        <v>8296</v>
      </c>
      <c r="M1813" s="5238"/>
      <c r="N1813" s="5238"/>
      <c r="O1813" s="5238"/>
      <c r="P1813" s="5238"/>
      <c r="Q1813" s="5239"/>
      <c r="R1813" s="2429">
        <f>IF(OR($J1813=0,$J1813="Aprendida"),0,SUM($J$1702:$J1813))</f>
        <v>0</v>
      </c>
      <c r="T1813" s="2640"/>
      <c r="U1813" s="2641"/>
      <c r="V1813" s="2641"/>
      <c r="W1813" s="2641"/>
      <c r="X1813" s="2641"/>
      <c r="Y1813" s="3094"/>
    </row>
    <row r="1814" spans="1:25" ht="12.75" customHeight="1">
      <c r="A1814" s="1886">
        <v>1814</v>
      </c>
      <c r="B1814" s="5250"/>
      <c r="E1814" s="2426" t="s">
        <v>196</v>
      </c>
      <c r="F1814" s="1706"/>
      <c r="G1814" s="1706">
        <v>60</v>
      </c>
      <c r="H1814" s="1707">
        <v>1</v>
      </c>
      <c r="I1814" s="1707">
        <v>15</v>
      </c>
      <c r="J1814" s="1707">
        <f>COUNTIF(Elan!$C$13:$F$25,Tablas!E1814)+COUNTIF(Elan!$U$13:$X$25,Tablas!E1814)</f>
        <v>0</v>
      </c>
      <c r="K1814" s="1706"/>
      <c r="L1814" s="5238" t="s">
        <v>8298</v>
      </c>
      <c r="M1814" s="5238"/>
      <c r="N1814" s="5238"/>
      <c r="O1814" s="5238"/>
      <c r="P1814" s="5238"/>
      <c r="Q1814" s="5239"/>
      <c r="R1814" s="2429">
        <f>IF(OR($J1814=0,$J1814="Aprendida"),0,SUM($J$1702:$J1814))</f>
        <v>0</v>
      </c>
      <c r="T1814" s="2643" t="str">
        <f>E1884</f>
        <v>ElanPersonalizado</v>
      </c>
      <c r="U1814" s="2636"/>
      <c r="V1814" s="2642"/>
      <c r="W1814" s="2636"/>
      <c r="X1814" s="2636"/>
      <c r="Y1814" s="3092"/>
    </row>
    <row r="1815" spans="1:25" ht="12.75" customHeight="1">
      <c r="A1815" s="1886">
        <v>1815</v>
      </c>
      <c r="B1815" s="5250"/>
      <c r="E1815" s="2426" t="s">
        <v>7992</v>
      </c>
      <c r="F1815" s="1706"/>
      <c r="G1815" s="1706">
        <v>70</v>
      </c>
      <c r="H1815" s="1707">
        <v>1</v>
      </c>
      <c r="I1815" s="1707">
        <v>15</v>
      </c>
      <c r="J1815" s="1707">
        <f>COUNTIF(Elan!$C$13:$F$25,Tablas!E1815)+COUNTIF(Elan!$U$13:$X$25,Tablas!E1815)</f>
        <v>0</v>
      </c>
      <c r="K1815" s="1706"/>
      <c r="L1815" s="5238" t="s">
        <v>8300</v>
      </c>
      <c r="M1815" s="5238"/>
      <c r="N1815" s="5238"/>
      <c r="O1815" s="5238"/>
      <c r="P1815" s="5238"/>
      <c r="Q1815" s="5239"/>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c r="A1816" s="1886">
        <v>1816</v>
      </c>
      <c r="B1816" s="5250"/>
      <c r="E1816" s="2426" t="s">
        <v>7993</v>
      </c>
      <c r="F1816" s="1706"/>
      <c r="G1816" s="1706">
        <v>70</v>
      </c>
      <c r="H1816" s="1707">
        <v>1</v>
      </c>
      <c r="I1816" s="1707">
        <v>20</v>
      </c>
      <c r="J1816" s="1707">
        <f>COUNTIF(Elan!$C$13:$F$25,Tablas!E1816)+COUNTIF(Elan!$U$13:$X$25,Tablas!E1816)</f>
        <v>0</v>
      </c>
      <c r="K1816" s="1706"/>
      <c r="L1816" s="5238" t="s">
        <v>8301</v>
      </c>
      <c r="M1816" s="5238"/>
      <c r="N1816" s="5238"/>
      <c r="O1816" s="5238"/>
      <c r="P1816" s="5238"/>
      <c r="Q1816" s="5239"/>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c r="A1817" s="1886">
        <v>1817</v>
      </c>
      <c r="B1817" s="5250"/>
      <c r="E1817" s="2426" t="s">
        <v>7994</v>
      </c>
      <c r="F1817" s="1706"/>
      <c r="G1817" s="1706">
        <v>80</v>
      </c>
      <c r="H1817" s="1707">
        <v>1</v>
      </c>
      <c r="I1817" s="1707">
        <v>10</v>
      </c>
      <c r="J1817" s="1707">
        <f>COUNTIF(Elan!$C$13:$F$25,Tablas!E1817)+COUNTIF(Elan!$U$13:$X$25,Tablas!E1817)</f>
        <v>0</v>
      </c>
      <c r="K1817" s="1706">
        <f>IF(J1817&gt;0,1,0)</f>
        <v>0</v>
      </c>
      <c r="L1817" s="5238" t="s">
        <v>8302</v>
      </c>
      <c r="M1817" s="5238"/>
      <c r="N1817" s="5238"/>
      <c r="O1817" s="5238"/>
      <c r="P1817" s="5238"/>
      <c r="Q1817" s="5239"/>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c r="A1818" s="1886">
        <v>1818</v>
      </c>
      <c r="B1818" s="5250"/>
      <c r="E1818" s="2426" t="s">
        <v>7995</v>
      </c>
      <c r="F1818" s="1706"/>
      <c r="G1818" s="1706">
        <v>90</v>
      </c>
      <c r="H1818" s="1707">
        <f>IF(J1813,1,0)</f>
        <v>0</v>
      </c>
      <c r="I1818" s="1707">
        <v>15</v>
      </c>
      <c r="J1818" s="1707">
        <f>COUNTIF(Elan!$C$13:$F$25,Tablas!E1818)+COUNTIF(Elan!$U$13:$X$25,Tablas!E1818)</f>
        <v>0</v>
      </c>
      <c r="K1818" s="1706"/>
      <c r="L1818" s="5238" t="s">
        <v>8303</v>
      </c>
      <c r="M1818" s="5238"/>
      <c r="N1818" s="5238"/>
      <c r="O1818" s="5238"/>
      <c r="P1818" s="5238"/>
      <c r="Q1818" s="5239"/>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c r="A1819" s="1886">
        <v>1819</v>
      </c>
      <c r="B1819" s="5250"/>
      <c r="E1819" s="2426" t="s">
        <v>7996</v>
      </c>
      <c r="F1819" s="1706"/>
      <c r="G1819" s="1706">
        <v>100</v>
      </c>
      <c r="H1819" s="1707">
        <v>1</v>
      </c>
      <c r="I1819" s="1707">
        <v>10</v>
      </c>
      <c r="J1819" s="1707">
        <f>COUNTIF(Elan!$C$13:$F$25,Tablas!E1819)+COUNTIF(Elan!$U$13:$X$25,Tablas!E1819)</f>
        <v>0</v>
      </c>
      <c r="K1819" s="1706"/>
      <c r="L1819" s="5238" t="s">
        <v>8304</v>
      </c>
      <c r="M1819" s="5238"/>
      <c r="N1819" s="5238"/>
      <c r="O1819" s="5238"/>
      <c r="P1819" s="5238"/>
      <c r="Q1819" s="5239"/>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c r="A1820" s="1886">
        <v>1820</v>
      </c>
      <c r="B1820" s="5250"/>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c r="A1821" s="1886">
        <v>1821</v>
      </c>
      <c r="B1821" s="5250"/>
      <c r="E1821" s="2426" t="s">
        <v>7997</v>
      </c>
      <c r="F1821" s="1706"/>
      <c r="G1821" s="1706">
        <v>10</v>
      </c>
      <c r="H1821" s="1707">
        <v>1</v>
      </c>
      <c r="I1821" s="1707">
        <v>10</v>
      </c>
      <c r="J1821" s="1707">
        <f>COUNTIF(Elan!$C$13:$F$25,Tablas!E1821)+COUNTIF(Elan!$U$13:$X$25,Tablas!E1821)</f>
        <v>0</v>
      </c>
      <c r="K1821" s="1706"/>
      <c r="L1821" s="5238" t="s">
        <v>8305</v>
      </c>
      <c r="M1821" s="5238"/>
      <c r="N1821" s="5238"/>
      <c r="O1821" s="5238"/>
      <c r="P1821" s="5238"/>
      <c r="Q1821" s="5239"/>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c r="A1822" s="1886">
        <v>1822</v>
      </c>
      <c r="B1822" s="5250"/>
      <c r="E1822" s="2426" t="s">
        <v>7998</v>
      </c>
      <c r="F1822" s="1706"/>
      <c r="G1822" s="1706">
        <v>20</v>
      </c>
      <c r="H1822" s="1707">
        <v>1</v>
      </c>
      <c r="I1822" s="1707">
        <v>5</v>
      </c>
      <c r="J1822" s="1707">
        <f>COUNTIF(Elan!$C$13:$F$25,Tablas!E1822)+COUNTIF(Elan!$U$13:$X$25,Tablas!E1822)</f>
        <v>0</v>
      </c>
      <c r="K1822" s="1706"/>
      <c r="L1822" s="5238" t="s">
        <v>8308</v>
      </c>
      <c r="M1822" s="5238"/>
      <c r="N1822" s="5238"/>
      <c r="O1822" s="5238"/>
      <c r="P1822" s="5238"/>
      <c r="Q1822" s="5239"/>
      <c r="R1822" s="2429">
        <f>IF(OR($J1822=0,$J1822="Aprendida"),0,SUM($J$1702:$J1822))</f>
        <v>0</v>
      </c>
    </row>
    <row r="1823" spans="1:25" ht="12.75" customHeight="1">
      <c r="A1823" s="1886">
        <v>1823</v>
      </c>
      <c r="B1823" s="5250"/>
      <c r="E1823" s="2426" t="s">
        <v>7999</v>
      </c>
      <c r="F1823" s="1706"/>
      <c r="G1823" s="1706">
        <v>30</v>
      </c>
      <c r="H1823" s="1707">
        <v>1</v>
      </c>
      <c r="I1823" s="1707">
        <v>10</v>
      </c>
      <c r="J1823" s="1707">
        <f>COUNTIF(Elan!$C$13:$F$25,Tablas!E1823)+COUNTIF(Elan!$U$13:$X$25,Tablas!E1823)</f>
        <v>0</v>
      </c>
      <c r="K1823" s="1706"/>
      <c r="L1823" s="5238" t="s">
        <v>8312</v>
      </c>
      <c r="M1823" s="5238"/>
      <c r="N1823" s="5238"/>
      <c r="O1823" s="5238"/>
      <c r="P1823" s="5238"/>
      <c r="Q1823" s="5239"/>
      <c r="R1823" s="2429">
        <f>IF(OR($J1823=0,$J1823="Aprendida"),0,SUM($J$1702:$J1823))</f>
        <v>0</v>
      </c>
    </row>
    <row r="1824" spans="1:25" ht="12.75" customHeight="1">
      <c r="A1824" s="1886">
        <v>1824</v>
      </c>
      <c r="B1824" s="5250"/>
      <c r="E1824" s="2426" t="s">
        <v>8000</v>
      </c>
      <c r="F1824" s="1706"/>
      <c r="G1824" s="1706">
        <v>40</v>
      </c>
      <c r="H1824" s="1707">
        <v>1</v>
      </c>
      <c r="I1824" s="1707">
        <v>5</v>
      </c>
      <c r="J1824" s="1707">
        <f>COUNTIF(Elan!$C$13:$F$25,Tablas!E1824)+COUNTIF(Elan!$U$13:$X$25,Tablas!E1824)</f>
        <v>0</v>
      </c>
      <c r="K1824" s="1706"/>
      <c r="L1824" s="5238" t="s">
        <v>8314</v>
      </c>
      <c r="M1824" s="5238"/>
      <c r="N1824" s="5238"/>
      <c r="O1824" s="5238"/>
      <c r="P1824" s="5238"/>
      <c r="Q1824" s="5239"/>
      <c r="R1824" s="2429">
        <f>IF(OR($J1824=0,$J1824="Aprendida"),0,SUM($J$1702:$J1824))</f>
        <v>0</v>
      </c>
    </row>
    <row r="1825" spans="1:18" ht="12.75" customHeight="1">
      <c r="A1825" s="1886">
        <v>1825</v>
      </c>
      <c r="B1825" s="5250"/>
      <c r="E1825" s="2426" t="s">
        <v>8001</v>
      </c>
      <c r="F1825" s="1706"/>
      <c r="G1825" s="1706">
        <v>50</v>
      </c>
      <c r="H1825" s="1707">
        <v>1</v>
      </c>
      <c r="I1825" s="1707">
        <v>15</v>
      </c>
      <c r="J1825" s="1707">
        <f>COUNTIF(Elan!$C$13:$F$25,Tablas!E1825)+COUNTIF(Elan!$U$13:$X$25,Tablas!E1825)</f>
        <v>0</v>
      </c>
      <c r="K1825" s="1706"/>
      <c r="L1825" s="5238" t="s">
        <v>8316</v>
      </c>
      <c r="M1825" s="5238"/>
      <c r="N1825" s="5238"/>
      <c r="O1825" s="5238"/>
      <c r="P1825" s="5238"/>
      <c r="Q1825" s="5239"/>
      <c r="R1825" s="2429">
        <f>IF(OR($J1825=0,$J1825="Aprendida"),0,SUM($J$1702:$J1825))</f>
        <v>0</v>
      </c>
    </row>
    <row r="1826" spans="1:18" ht="12.75" customHeight="1">
      <c r="A1826" s="1886">
        <v>1826</v>
      </c>
      <c r="B1826" s="5250"/>
      <c r="E1826" s="2426" t="s">
        <v>8002</v>
      </c>
      <c r="F1826" s="1706"/>
      <c r="G1826" s="1706">
        <v>60</v>
      </c>
      <c r="H1826" s="1707">
        <f>IF(J1824,1,0)</f>
        <v>0</v>
      </c>
      <c r="I1826" s="1707">
        <v>10</v>
      </c>
      <c r="J1826" s="1707">
        <f>COUNTIF(Elan!$C$13:$F$25,Tablas!E1826)+COUNTIF(Elan!$U$13:$X$25,Tablas!E1826)</f>
        <v>1</v>
      </c>
      <c r="K1826" s="1706">
        <f>2*J1826*F1820</f>
        <v>160</v>
      </c>
      <c r="L1826" s="5238" t="s">
        <v>8318</v>
      </c>
      <c r="M1826" s="5238"/>
      <c r="N1826" s="5238"/>
      <c r="O1826" s="5238"/>
      <c r="P1826" s="5238"/>
      <c r="Q1826" s="5239"/>
      <c r="R1826" s="2429">
        <f>IF(OR($J1826=0,$J1826="Aprendida"),0,SUM($J$1702:$J1826))</f>
        <v>1</v>
      </c>
    </row>
    <row r="1827" spans="1:18" ht="12.75" customHeight="1">
      <c r="A1827" s="1886">
        <v>1827</v>
      </c>
      <c r="B1827" s="5250"/>
      <c r="E1827" s="2426" t="s">
        <v>8003</v>
      </c>
      <c r="F1827" s="1706"/>
      <c r="G1827" s="1706">
        <v>70</v>
      </c>
      <c r="H1827" s="1707">
        <v>1</v>
      </c>
      <c r="I1827" s="1707">
        <v>15</v>
      </c>
      <c r="J1827" s="1707">
        <f>COUNTIF(Elan!$C$13:$F$25,Tablas!E1827)+COUNTIF(Elan!$U$13:$X$25,Tablas!E1827)</f>
        <v>0</v>
      </c>
      <c r="K1827" s="1706"/>
      <c r="L1827" s="5238" t="s">
        <v>8319</v>
      </c>
      <c r="M1827" s="5238"/>
      <c r="N1827" s="5238"/>
      <c r="O1827" s="5238"/>
      <c r="P1827" s="5238"/>
      <c r="Q1827" s="5239"/>
      <c r="R1827" s="2429">
        <f>IF(OR($J1827=0,$J1827="Aprendida"),0,SUM($J$1702:$J1827))</f>
        <v>0</v>
      </c>
    </row>
    <row r="1828" spans="1:18" ht="12.75" customHeight="1">
      <c r="A1828" s="1886">
        <v>1828</v>
      </c>
      <c r="B1828" s="5250"/>
      <c r="E1828" s="2426" t="s">
        <v>8004</v>
      </c>
      <c r="F1828" s="1706"/>
      <c r="G1828" s="1706">
        <v>80</v>
      </c>
      <c r="H1828" s="1707">
        <f>IF(J1824,1,0)</f>
        <v>0</v>
      </c>
      <c r="I1828" s="1707">
        <v>10</v>
      </c>
      <c r="J1828" s="1707">
        <f>COUNTIF(Elan!$C$13:$F$25,Tablas!E1828)+COUNTIF(Elan!$U$13:$X$25,Tablas!E1828)</f>
        <v>0</v>
      </c>
      <c r="K1828" s="1706"/>
      <c r="L1828" s="5238" t="s">
        <v>8320</v>
      </c>
      <c r="M1828" s="5238"/>
      <c r="N1828" s="5238"/>
      <c r="O1828" s="5238"/>
      <c r="P1828" s="5238"/>
      <c r="Q1828" s="5239"/>
      <c r="R1828" s="2429">
        <f>IF(OR($J1828=0,$J1828="Aprendida"),0,SUM($J$1702:$J1828))</f>
        <v>0</v>
      </c>
    </row>
    <row r="1829" spans="1:18" ht="12.75" customHeight="1">
      <c r="A1829" s="1886">
        <v>1829</v>
      </c>
      <c r="B1829" s="5250"/>
      <c r="E1829" s="2426" t="s">
        <v>8005</v>
      </c>
      <c r="F1829" s="1706"/>
      <c r="G1829" s="1706">
        <v>80</v>
      </c>
      <c r="H1829" s="1707">
        <v>1</v>
      </c>
      <c r="I1829" s="1707">
        <v>15</v>
      </c>
      <c r="J1829" s="1707">
        <f>COUNTIF(Elan!$C$13:$F$25,Tablas!E1829)+COUNTIF(Elan!$U$13:$X$25,Tablas!E1829)</f>
        <v>0</v>
      </c>
      <c r="K1829" s="1706"/>
      <c r="L1829" s="5238" t="s">
        <v>8321</v>
      </c>
      <c r="M1829" s="5238"/>
      <c r="N1829" s="5238"/>
      <c r="O1829" s="5238"/>
      <c r="P1829" s="5238"/>
      <c r="Q1829" s="5239"/>
      <c r="R1829" s="2429">
        <f>IF(OR($J1829=0,$J1829="Aprendida"),0,SUM($J$1702:$J1829))</f>
        <v>0</v>
      </c>
    </row>
    <row r="1830" spans="1:18" ht="12.75" customHeight="1">
      <c r="A1830" s="1886">
        <v>1830</v>
      </c>
      <c r="B1830" s="5250"/>
      <c r="E1830" s="2426" t="s">
        <v>8006</v>
      </c>
      <c r="F1830" s="1706"/>
      <c r="G1830" s="1706">
        <v>90</v>
      </c>
      <c r="H1830" s="1707">
        <v>1</v>
      </c>
      <c r="I1830" s="1707">
        <v>15</v>
      </c>
      <c r="J1830" s="1707">
        <f>COUNTIF(Elan!$C$13:$F$25,Tablas!E1830)+COUNTIF(Elan!$U$13:$X$25,Tablas!E1830)</f>
        <v>0</v>
      </c>
      <c r="K1830" s="1706"/>
      <c r="L1830" s="5238" t="s">
        <v>8322</v>
      </c>
      <c r="M1830" s="5238"/>
      <c r="N1830" s="5238"/>
      <c r="O1830" s="5238"/>
      <c r="P1830" s="5238"/>
      <c r="Q1830" s="5239"/>
      <c r="R1830" s="2429">
        <f>IF(OR($J1830=0,$J1830="Aprendida"),0,SUM($J$1702:$J1830))</f>
        <v>0</v>
      </c>
    </row>
    <row r="1831" spans="1:18" ht="12.75" customHeight="1">
      <c r="A1831" s="1886">
        <v>1831</v>
      </c>
      <c r="B1831" s="5250"/>
      <c r="E1831" s="2426" t="s">
        <v>8007</v>
      </c>
      <c r="F1831" s="1706"/>
      <c r="G1831" s="1706">
        <v>100</v>
      </c>
      <c r="H1831" s="1707">
        <v>1</v>
      </c>
      <c r="I1831" s="1707">
        <v>10</v>
      </c>
      <c r="J1831" s="1707">
        <f>COUNTIF(Elan!$C$13:$F$25,Tablas!E1831)+COUNTIF(Elan!$U$13:$X$25,Tablas!E1831)</f>
        <v>0</v>
      </c>
      <c r="K1831" s="1706"/>
      <c r="L1831" s="5238" t="s">
        <v>8323</v>
      </c>
      <c r="M1831" s="5238"/>
      <c r="N1831" s="5238"/>
      <c r="O1831" s="5238"/>
      <c r="P1831" s="5238"/>
      <c r="Q1831" s="5239"/>
      <c r="R1831" s="2429">
        <f>IF(OR($J1831=0,$J1831="Aprendida"),0,SUM($J$1702:$J1831))</f>
        <v>0</v>
      </c>
    </row>
    <row r="1832" spans="1:18" ht="12.75" customHeight="1">
      <c r="A1832" s="1886">
        <v>1832</v>
      </c>
      <c r="B1832" s="5250"/>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c r="A1833" s="1886">
        <v>1833</v>
      </c>
      <c r="B1833" s="5250"/>
      <c r="E1833" s="2426" t="s">
        <v>8008</v>
      </c>
      <c r="F1833" s="1706"/>
      <c r="G1833" s="1706">
        <v>10</v>
      </c>
      <c r="H1833" s="1707">
        <v>1</v>
      </c>
      <c r="I1833" s="1707">
        <v>5</v>
      </c>
      <c r="J1833" s="1707">
        <f>COUNTIF(Elan!$C$13:$F$25,Tablas!E1833)+COUNTIF(Elan!$U$13:$X$25,Tablas!E1833)</f>
        <v>0</v>
      </c>
      <c r="K1833" s="1706">
        <f>F$1832*J1833</f>
        <v>0</v>
      </c>
      <c r="L1833" s="5238" t="s">
        <v>8324</v>
      </c>
      <c r="M1833" s="5238"/>
      <c r="N1833" s="5238"/>
      <c r="O1833" s="5238"/>
      <c r="P1833" s="5238"/>
      <c r="Q1833" s="5239"/>
      <c r="R1833" s="2429">
        <f>IF(OR($J1833=0,$J1833="Aprendida"),0,SUM($J$1702:$J1833))</f>
        <v>0</v>
      </c>
    </row>
    <row r="1834" spans="1:18" ht="12.75" customHeight="1">
      <c r="A1834" s="1886">
        <v>1834</v>
      </c>
      <c r="B1834" s="5250"/>
      <c r="E1834" s="2426" t="s">
        <v>8009</v>
      </c>
      <c r="F1834" s="1706"/>
      <c r="G1834" s="1706">
        <v>20</v>
      </c>
      <c r="H1834" s="1707">
        <v>1</v>
      </c>
      <c r="I1834" s="1707">
        <v>10</v>
      </c>
      <c r="J1834" s="1707">
        <f>COUNTIF(Elan!$C$13:$F$25,Tablas!E1834)+COUNTIF(Elan!$U$13:$X$25,Tablas!E1834)</f>
        <v>0</v>
      </c>
      <c r="K1834" s="1706"/>
      <c r="L1834" s="5238" t="s">
        <v>8328</v>
      </c>
      <c r="M1834" s="5238"/>
      <c r="N1834" s="5238"/>
      <c r="O1834" s="5238"/>
      <c r="P1834" s="5238"/>
      <c r="Q1834" s="5239"/>
      <c r="R1834" s="2429">
        <f>IF(OR($J1834=0,$J1834="Aprendida"),0,SUM($J$1702:$J1834))</f>
        <v>0</v>
      </c>
    </row>
    <row r="1835" spans="1:18" ht="12.75" customHeight="1">
      <c r="A1835" s="1886">
        <v>1835</v>
      </c>
      <c r="B1835" s="5250"/>
      <c r="E1835" s="2426" t="s">
        <v>8010</v>
      </c>
      <c r="F1835" s="1706"/>
      <c r="G1835" s="1706">
        <v>30</v>
      </c>
      <c r="H1835" s="1707">
        <v>1</v>
      </c>
      <c r="I1835" s="1707">
        <v>10</v>
      </c>
      <c r="J1835" s="1707">
        <f>COUNTIF(Elan!$C$13:$F$25,Tablas!E1835)+COUNTIF(Elan!$U$13:$X$25,Tablas!E1835)</f>
        <v>0</v>
      </c>
      <c r="K1835" s="1706">
        <f>F$1832*J1835</f>
        <v>0</v>
      </c>
      <c r="L1835" s="5238" t="s">
        <v>8332</v>
      </c>
      <c r="M1835" s="5238"/>
      <c r="N1835" s="5238"/>
      <c r="O1835" s="5238"/>
      <c r="P1835" s="5238"/>
      <c r="Q1835" s="5239"/>
      <c r="R1835" s="2429">
        <f>IF(OR($J1835=0,$J1835="Aprendida"),0,SUM($J$1702:$J1835))</f>
        <v>0</v>
      </c>
    </row>
    <row r="1836" spans="1:18" ht="12.75" customHeight="1">
      <c r="A1836" s="1886">
        <v>1836</v>
      </c>
      <c r="B1836" s="5250"/>
      <c r="E1836" s="2426" t="s">
        <v>8011</v>
      </c>
      <c r="F1836" s="1706"/>
      <c r="G1836" s="1706">
        <v>40</v>
      </c>
      <c r="H1836" s="1707">
        <v>1</v>
      </c>
      <c r="I1836" s="1707">
        <v>10</v>
      </c>
      <c r="J1836" s="1707">
        <f>COUNTIF(Elan!$C$13:$F$25,Tablas!E1836)+COUNTIF(Elan!$U$13:$X$25,Tablas!E1836)</f>
        <v>0</v>
      </c>
      <c r="K1836" s="1706"/>
      <c r="L1836" s="5238" t="s">
        <v>8336</v>
      </c>
      <c r="M1836" s="5238"/>
      <c r="N1836" s="5238"/>
      <c r="O1836" s="5238"/>
      <c r="P1836" s="5238"/>
      <c r="Q1836" s="5239"/>
      <c r="R1836" s="2429">
        <f>IF(OR($J1836=0,$J1836="Aprendida"),0,SUM($J$1702:$J1836))</f>
        <v>0</v>
      </c>
    </row>
    <row r="1837" spans="1:18" ht="12.75" customHeight="1">
      <c r="A1837" s="1886">
        <v>1837</v>
      </c>
      <c r="B1837" s="5250"/>
      <c r="E1837" s="2426" t="s">
        <v>8012</v>
      </c>
      <c r="F1837" s="1706"/>
      <c r="G1837" s="1706">
        <v>40</v>
      </c>
      <c r="H1837" s="1707">
        <v>1</v>
      </c>
      <c r="I1837" s="1707">
        <v>5</v>
      </c>
      <c r="J1837" s="1707">
        <f>COUNTIF(Elan!$C$13:$F$25,Tablas!E1837)+COUNTIF(Elan!$U$13:$X$25,Tablas!E1837)</f>
        <v>0</v>
      </c>
      <c r="K1837" s="1706"/>
      <c r="L1837" s="5238" t="s">
        <v>8339</v>
      </c>
      <c r="M1837" s="5238"/>
      <c r="N1837" s="5238"/>
      <c r="O1837" s="5238"/>
      <c r="P1837" s="5238"/>
      <c r="Q1837" s="5239"/>
      <c r="R1837" s="2429">
        <f>IF(OR($J1837=0,$J1837="Aprendida"),0,SUM($J$1702:$J1837))</f>
        <v>0</v>
      </c>
    </row>
    <row r="1838" spans="1:18" ht="12.75" customHeight="1">
      <c r="A1838" s="1886">
        <v>1838</v>
      </c>
      <c r="B1838" s="5250"/>
      <c r="D1838" s="1988"/>
      <c r="E1838" s="2426" t="s">
        <v>8013</v>
      </c>
      <c r="F1838" s="1706"/>
      <c r="G1838" s="1706">
        <v>50</v>
      </c>
      <c r="H1838" s="1707">
        <f>IF(J1839,1,0)</f>
        <v>0</v>
      </c>
      <c r="I1838" s="1707">
        <v>15</v>
      </c>
      <c r="J1838" s="1707">
        <f>COUNTIF(Elan!$C$13:$F$25,Tablas!E1838)+COUNTIF(Elan!$U$13:$X$25,Tablas!E1838)</f>
        <v>0</v>
      </c>
      <c r="K1838" s="1706"/>
      <c r="L1838" s="5238" t="s">
        <v>8341</v>
      </c>
      <c r="M1838" s="5238"/>
      <c r="N1838" s="5238"/>
      <c r="O1838" s="5238"/>
      <c r="P1838" s="5238"/>
      <c r="Q1838" s="5239"/>
      <c r="R1838" s="2429">
        <f>IF(OR($J1838=0,$J1838="Aprendida"),0,SUM($J$1702:$J1838))</f>
        <v>0</v>
      </c>
    </row>
    <row r="1839" spans="1:18" ht="12.75" customHeight="1">
      <c r="A1839" s="1886">
        <v>1839</v>
      </c>
      <c r="B1839" s="5250"/>
      <c r="E1839" s="2426" t="s">
        <v>8014</v>
      </c>
      <c r="F1839" s="1706"/>
      <c r="G1839" s="1706">
        <v>50</v>
      </c>
      <c r="H1839" s="1707">
        <v>1</v>
      </c>
      <c r="I1839" s="1707">
        <v>5</v>
      </c>
      <c r="J1839" s="1707">
        <f>COUNTIF(Elan!$C$13:$F$25,Tablas!E1839)+COUNTIF(Elan!$U$13:$X$25,Tablas!E1839)</f>
        <v>0</v>
      </c>
      <c r="K1839" s="1706"/>
      <c r="L1839" s="5238" t="s">
        <v>8343</v>
      </c>
      <c r="M1839" s="5238"/>
      <c r="N1839" s="5238"/>
      <c r="O1839" s="5238"/>
      <c r="P1839" s="5238"/>
      <c r="Q1839" s="5239"/>
      <c r="R1839" s="2429">
        <f>IF(OR($J1839=0,$J1839="Aprendida"),0,SUM($J$1702:$J1839))</f>
        <v>0</v>
      </c>
    </row>
    <row r="1840" spans="1:18" ht="12.75" customHeight="1">
      <c r="A1840" s="1886">
        <v>1840</v>
      </c>
      <c r="B1840" s="5250"/>
      <c r="E1840" s="2426" t="s">
        <v>8015</v>
      </c>
      <c r="F1840" s="1706"/>
      <c r="G1840" s="1706">
        <v>60</v>
      </c>
      <c r="H1840" s="1707">
        <v>1</v>
      </c>
      <c r="I1840" s="1707">
        <v>10</v>
      </c>
      <c r="J1840" s="1707">
        <f>COUNTIF(Elan!$C$13:$F$25,Tablas!E1840)+COUNTIF(Elan!$U$13:$X$25,Tablas!E1840)</f>
        <v>0</v>
      </c>
      <c r="K1840" s="1706"/>
      <c r="L1840" s="5238" t="s">
        <v>8344</v>
      </c>
      <c r="M1840" s="5238"/>
      <c r="N1840" s="5238"/>
      <c r="O1840" s="5238"/>
      <c r="P1840" s="5238"/>
      <c r="Q1840" s="5239"/>
      <c r="R1840" s="2429">
        <f>IF(OR($J1840=0,$J1840="Aprendida"),0,SUM($J$1702:$J1840))</f>
        <v>0</v>
      </c>
    </row>
    <row r="1841" spans="1:18" ht="12.75" customHeight="1">
      <c r="A1841" s="1886">
        <v>1841</v>
      </c>
      <c r="B1841" s="5250"/>
      <c r="E1841" s="2426" t="s">
        <v>8016</v>
      </c>
      <c r="F1841" s="1706"/>
      <c r="G1841" s="1706">
        <v>70</v>
      </c>
      <c r="H1841" s="1707">
        <v>1</v>
      </c>
      <c r="I1841" s="1707">
        <v>20</v>
      </c>
      <c r="J1841" s="1707">
        <f>COUNTIF(Elan!$C$13:$F$25,Tablas!E1841)+COUNTIF(Elan!$U$13:$X$25,Tablas!E1841)</f>
        <v>0</v>
      </c>
      <c r="K1841" s="1706"/>
      <c r="L1841" s="5238" t="s">
        <v>8345</v>
      </c>
      <c r="M1841" s="5238"/>
      <c r="N1841" s="5238"/>
      <c r="O1841" s="5238"/>
      <c r="P1841" s="5238"/>
      <c r="Q1841" s="5239"/>
      <c r="R1841" s="2429">
        <f>IF(OR($J1841=0,$J1841="Aprendida"),0,SUM($J$1702:$J1841))</f>
        <v>0</v>
      </c>
    </row>
    <row r="1842" spans="1:18" ht="12.75" customHeight="1">
      <c r="A1842" s="1886">
        <v>1842</v>
      </c>
      <c r="B1842" s="5250"/>
      <c r="E1842" s="2426" t="s">
        <v>8017</v>
      </c>
      <c r="F1842" s="1706"/>
      <c r="G1842" s="1706">
        <v>70</v>
      </c>
      <c r="H1842" s="1707">
        <v>1</v>
      </c>
      <c r="I1842" s="1707">
        <v>10</v>
      </c>
      <c r="J1842" s="1707">
        <f>COUNTIF(Elan!$C$13:$F$25,Tablas!E1842)+COUNTIF(Elan!$U$13:$X$25,Tablas!E1842)</f>
        <v>0</v>
      </c>
      <c r="K1842" s="1706"/>
      <c r="L1842" s="5238" t="s">
        <v>8346</v>
      </c>
      <c r="M1842" s="5238"/>
      <c r="N1842" s="5238"/>
      <c r="O1842" s="5238"/>
      <c r="P1842" s="5238"/>
      <c r="Q1842" s="5239"/>
      <c r="R1842" s="2429">
        <f>IF(OR($J1842=0,$J1842="Aprendida"),0,SUM($J$1702:$J1842))</f>
        <v>0</v>
      </c>
    </row>
    <row r="1843" spans="1:18" ht="12.75" customHeight="1">
      <c r="A1843" s="1886">
        <v>1843</v>
      </c>
      <c r="B1843" s="5250"/>
      <c r="E1843" s="2426" t="s">
        <v>8018</v>
      </c>
      <c r="F1843" s="1706"/>
      <c r="G1843" s="1706">
        <v>80</v>
      </c>
      <c r="H1843" s="1707">
        <f>IF(J1838,1,0)</f>
        <v>0</v>
      </c>
      <c r="I1843" s="1707">
        <v>20</v>
      </c>
      <c r="J1843" s="1707">
        <f>COUNTIF(Elan!$C$13:$F$25,Tablas!E1843)+COUNTIF(Elan!$U$13:$X$25,Tablas!E1843)</f>
        <v>0</v>
      </c>
      <c r="K1843" s="1706"/>
      <c r="L1843" s="5238" t="s">
        <v>8347</v>
      </c>
      <c r="M1843" s="5238"/>
      <c r="N1843" s="5238"/>
      <c r="O1843" s="5238"/>
      <c r="P1843" s="5238"/>
      <c r="Q1843" s="5239"/>
      <c r="R1843" s="2429">
        <f>IF(OR($J1843=0,$J1843="Aprendida"),0,SUM($J$1702:$J1843))</f>
        <v>0</v>
      </c>
    </row>
    <row r="1844" spans="1:18" ht="12.75" customHeight="1">
      <c r="A1844" s="1886">
        <v>1844</v>
      </c>
      <c r="B1844" s="5250"/>
      <c r="E1844" s="2426" t="s">
        <v>737</v>
      </c>
      <c r="F1844" s="1706"/>
      <c r="G1844" s="1706">
        <v>90</v>
      </c>
      <c r="H1844" s="1707">
        <f>IF(J1838,1,0)</f>
        <v>0</v>
      </c>
      <c r="I1844" s="1707">
        <v>10</v>
      </c>
      <c r="J1844" s="1707">
        <f>COUNTIF(Elan!$C$13:$F$25,Tablas!E1844)+COUNTIF(Elan!$U$13:$X$25,Tablas!E1844)</f>
        <v>0</v>
      </c>
      <c r="K1844" s="1706"/>
      <c r="L1844" s="5238" t="s">
        <v>8348</v>
      </c>
      <c r="M1844" s="5238"/>
      <c r="N1844" s="5238"/>
      <c r="O1844" s="5238"/>
      <c r="P1844" s="5238"/>
      <c r="Q1844" s="5239"/>
      <c r="R1844" s="2429">
        <f>IF(OR($J1844=0,$J1844="Aprendida"),0,SUM($J$1702:$J1844))</f>
        <v>0</v>
      </c>
    </row>
    <row r="1845" spans="1:18" ht="12.75" customHeight="1">
      <c r="A1845" s="1886">
        <v>1845</v>
      </c>
      <c r="B1845" s="5250"/>
      <c r="E1845" s="2426" t="s">
        <v>8019</v>
      </c>
      <c r="F1845" s="1706"/>
      <c r="G1845" s="1706">
        <v>100</v>
      </c>
      <c r="H1845" s="1707">
        <v>1</v>
      </c>
      <c r="I1845" s="1707">
        <v>10</v>
      </c>
      <c r="J1845" s="1707">
        <f>COUNTIF(Elan!$C$13:$F$25,Tablas!E1845)+COUNTIF(Elan!$U$13:$X$25,Tablas!E1845)</f>
        <v>0</v>
      </c>
      <c r="K1845" s="1706"/>
      <c r="L1845" s="5238" t="s">
        <v>8349</v>
      </c>
      <c r="M1845" s="5238"/>
      <c r="N1845" s="5238"/>
      <c r="O1845" s="5238"/>
      <c r="P1845" s="5238"/>
      <c r="Q1845" s="5239"/>
      <c r="R1845" s="2429">
        <f>IF(OR($J1845=0,$J1845="Aprendida"),0,SUM($J$1702:$J1845))</f>
        <v>0</v>
      </c>
    </row>
    <row r="1846" spans="1:18" ht="12.75" customHeight="1">
      <c r="A1846" s="1886">
        <v>1846</v>
      </c>
      <c r="B1846" s="5250"/>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c r="A1847" s="1886">
        <v>1847</v>
      </c>
      <c r="B1847" s="5250"/>
      <c r="E1847" s="2426" t="s">
        <v>8020</v>
      </c>
      <c r="F1847" s="1706"/>
      <c r="G1847" s="1706">
        <v>10</v>
      </c>
      <c r="H1847" s="1707">
        <v>1</v>
      </c>
      <c r="I1847" s="1707">
        <v>10</v>
      </c>
      <c r="J1847" s="1707">
        <f>COUNTIF(Elan!$C$13:$F$25,Tablas!E1847)+COUNTIF(Elan!$U$13:$X$25,Tablas!E1847)</f>
        <v>0</v>
      </c>
      <c r="K1847" s="1706"/>
      <c r="L1847" s="5238" t="s">
        <v>8350</v>
      </c>
      <c r="M1847" s="5238"/>
      <c r="N1847" s="5238"/>
      <c r="O1847" s="5238"/>
      <c r="P1847" s="5238"/>
      <c r="Q1847" s="5239"/>
      <c r="R1847" s="2429">
        <f>IF(OR($J1847=0,$J1847="Aprendida"),0,SUM($J$1702:$J1847))</f>
        <v>0</v>
      </c>
    </row>
    <row r="1848" spans="1:18" ht="12.75" customHeight="1">
      <c r="A1848" s="1886">
        <v>1848</v>
      </c>
      <c r="B1848" s="5250"/>
      <c r="E1848" s="2426" t="s">
        <v>8021</v>
      </c>
      <c r="F1848" s="1706"/>
      <c r="G1848" s="1706">
        <v>20</v>
      </c>
      <c r="H1848" s="1707">
        <v>1</v>
      </c>
      <c r="I1848" s="1707">
        <v>5</v>
      </c>
      <c r="J1848" s="1707">
        <f>COUNTIF(Elan!$C$13:$F$25,Tablas!E1848)+COUNTIF(Elan!$U$13:$X$25,Tablas!E1848)</f>
        <v>0</v>
      </c>
      <c r="K1848" s="1706"/>
      <c r="L1848" s="5238" t="s">
        <v>8354</v>
      </c>
      <c r="M1848" s="5238"/>
      <c r="N1848" s="5238"/>
      <c r="O1848" s="5238"/>
      <c r="P1848" s="5238"/>
      <c r="Q1848" s="5239"/>
      <c r="R1848" s="2429">
        <f>IF(OR($J1848=0,$J1848="Aprendida"),0,SUM($J$1702:$J1848))</f>
        <v>0</v>
      </c>
    </row>
    <row r="1849" spans="1:18" ht="12.75" customHeight="1">
      <c r="A1849" s="1886">
        <v>1849</v>
      </c>
      <c r="B1849" s="5250"/>
      <c r="E1849" s="2426" t="s">
        <v>8022</v>
      </c>
      <c r="F1849" s="1706"/>
      <c r="G1849" s="1706">
        <v>30</v>
      </c>
      <c r="H1849" s="1707">
        <v>1</v>
      </c>
      <c r="I1849" s="1707">
        <v>5</v>
      </c>
      <c r="J1849" s="1707">
        <f>COUNTIF(Elan!$C$13:$F$25,Tablas!E1849)+COUNTIF(Elan!$U$13:$X$25,Tablas!E1849)</f>
        <v>0</v>
      </c>
      <c r="K1849" s="1706"/>
      <c r="L1849" s="5238" t="s">
        <v>8358</v>
      </c>
      <c r="M1849" s="5238"/>
      <c r="N1849" s="5238"/>
      <c r="O1849" s="5238"/>
      <c r="P1849" s="5238"/>
      <c r="Q1849" s="5239"/>
      <c r="R1849" s="2429">
        <f>IF(OR($J1849=0,$J1849="Aprendida"),0,SUM($J$1702:$J1849))</f>
        <v>0</v>
      </c>
    </row>
    <row r="1850" spans="1:18" ht="12.75" customHeight="1">
      <c r="A1850" s="1886">
        <v>1850</v>
      </c>
      <c r="B1850" s="5250"/>
      <c r="E1850" s="2426" t="s">
        <v>8023</v>
      </c>
      <c r="F1850" s="1706"/>
      <c r="G1850" s="1706">
        <v>40</v>
      </c>
      <c r="H1850" s="1707">
        <v>1</v>
      </c>
      <c r="I1850" s="1707">
        <v>10</v>
      </c>
      <c r="J1850" s="1707">
        <f>COUNTIF(Elan!$C$13:$F$25,Tablas!E1850)+COUNTIF(Elan!$U$13:$X$25,Tablas!E1850)</f>
        <v>0</v>
      </c>
      <c r="K1850" s="1706"/>
      <c r="L1850" s="5238" t="s">
        <v>8362</v>
      </c>
      <c r="M1850" s="5238"/>
      <c r="N1850" s="5238"/>
      <c r="O1850" s="5238"/>
      <c r="P1850" s="5238"/>
      <c r="Q1850" s="5239"/>
      <c r="R1850" s="2429">
        <f>IF(OR($J1850=0,$J1850="Aprendida"),0,SUM($J$1702:$J1850))</f>
        <v>0</v>
      </c>
    </row>
    <row r="1851" spans="1:18" ht="12.75" customHeight="1">
      <c r="A1851" s="1886">
        <v>1851</v>
      </c>
      <c r="B1851" s="5250"/>
      <c r="E1851" s="2426" t="s">
        <v>8024</v>
      </c>
      <c r="F1851" s="1706"/>
      <c r="G1851" s="1706">
        <v>50</v>
      </c>
      <c r="H1851" s="1707">
        <v>1</v>
      </c>
      <c r="I1851" s="1707">
        <v>10</v>
      </c>
      <c r="J1851" s="1707">
        <f>COUNTIF(Elan!$C$13:$F$25,Tablas!E1851)+COUNTIF(Elan!$U$13:$X$25,Tablas!E1851)</f>
        <v>0</v>
      </c>
      <c r="K1851" s="1706"/>
      <c r="L1851" s="5238" t="s">
        <v>8364</v>
      </c>
      <c r="M1851" s="5238"/>
      <c r="N1851" s="5238"/>
      <c r="O1851" s="5238"/>
      <c r="P1851" s="5238"/>
      <c r="Q1851" s="5239"/>
      <c r="R1851" s="2429">
        <f>IF(OR($J1851=0,$J1851="Aprendida"),0,SUM($J$1702:$J1851))</f>
        <v>0</v>
      </c>
    </row>
    <row r="1852" spans="1:18" ht="12.75" customHeight="1">
      <c r="A1852" s="1886">
        <v>1852</v>
      </c>
      <c r="B1852" s="5250"/>
      <c r="E1852" s="2426" t="s">
        <v>8025</v>
      </c>
      <c r="F1852" s="1706"/>
      <c r="G1852" s="1706">
        <v>50</v>
      </c>
      <c r="H1852" s="1707">
        <v>1</v>
      </c>
      <c r="I1852" s="1707">
        <v>15</v>
      </c>
      <c r="J1852" s="1707">
        <f>COUNTIF(Elan!$C$13:$F$25,Tablas!E1852)+COUNTIF(Elan!$U$13:$X$25,Tablas!E1852)</f>
        <v>0</v>
      </c>
      <c r="K1852" s="1706"/>
      <c r="L1852" s="5238" t="s">
        <v>8366</v>
      </c>
      <c r="M1852" s="5238"/>
      <c r="N1852" s="5238"/>
      <c r="O1852" s="5238"/>
      <c r="P1852" s="5238"/>
      <c r="Q1852" s="5239"/>
      <c r="R1852" s="2429">
        <f>IF(OR($J1852=0,$J1852="Aprendida"),0,SUM($J$1702:$J1852))</f>
        <v>0</v>
      </c>
    </row>
    <row r="1853" spans="1:18" ht="12.75" customHeight="1">
      <c r="A1853" s="1886">
        <v>1853</v>
      </c>
      <c r="B1853" s="5250"/>
      <c r="E1853" s="2426" t="s">
        <v>762</v>
      </c>
      <c r="F1853" s="1706"/>
      <c r="G1853" s="1706">
        <v>60</v>
      </c>
      <c r="H1853" s="1707">
        <v>1</v>
      </c>
      <c r="I1853" s="1707">
        <v>10</v>
      </c>
      <c r="J1853" s="1707">
        <f>COUNTIF(Elan!$C$13:$F$25,Tablas!E1853)+COUNTIF(Elan!$U$13:$X$25,Tablas!E1853)</f>
        <v>0</v>
      </c>
      <c r="K1853" s="1706"/>
      <c r="L1853" s="5238" t="s">
        <v>8367</v>
      </c>
      <c r="M1853" s="5238"/>
      <c r="N1853" s="5238"/>
      <c r="O1853" s="5238"/>
      <c r="P1853" s="5238"/>
      <c r="Q1853" s="5239"/>
      <c r="R1853" s="2429">
        <f>IF(OR($J1853=0,$J1853="Aprendida"),0,SUM($J$1702:$J1853))</f>
        <v>0</v>
      </c>
    </row>
    <row r="1854" spans="1:18" ht="12.75" customHeight="1">
      <c r="A1854" s="1886">
        <v>1854</v>
      </c>
      <c r="B1854" s="5250"/>
      <c r="E1854" s="2426" t="s">
        <v>8026</v>
      </c>
      <c r="F1854" s="1706"/>
      <c r="G1854" s="1706">
        <v>70</v>
      </c>
      <c r="H1854" s="1707">
        <f>IF(J1851,1,0)</f>
        <v>0</v>
      </c>
      <c r="I1854" s="1707">
        <v>15</v>
      </c>
      <c r="J1854" s="1707">
        <f>COUNTIF(Elan!$C$13:$F$25,Tablas!E1854)+COUNTIF(Elan!$U$13:$X$25,Tablas!E1854)</f>
        <v>0</v>
      </c>
      <c r="K1854" s="1706"/>
      <c r="L1854" s="5238" t="s">
        <v>8368</v>
      </c>
      <c r="M1854" s="5238"/>
      <c r="N1854" s="5238"/>
      <c r="O1854" s="5238"/>
      <c r="P1854" s="5238"/>
      <c r="Q1854" s="5239"/>
      <c r="R1854" s="2429">
        <f>IF(OR($J1854=0,$J1854="Aprendida"),0,SUM($J$1702:$J1854))</f>
        <v>0</v>
      </c>
    </row>
    <row r="1855" spans="1:18" ht="12.75" customHeight="1">
      <c r="A1855" s="1886">
        <v>1855</v>
      </c>
      <c r="B1855" s="5250"/>
      <c r="E1855" s="2426" t="s">
        <v>8027</v>
      </c>
      <c r="F1855" s="1706"/>
      <c r="G1855" s="1706">
        <v>80</v>
      </c>
      <c r="H1855" s="1707">
        <v>1</v>
      </c>
      <c r="I1855" s="1707">
        <v>15</v>
      </c>
      <c r="J1855" s="1707">
        <f>COUNTIF(Elan!$C$13:$F$25,Tablas!E1855)+COUNTIF(Elan!$U$13:$X$25,Tablas!E1855)</f>
        <v>0</v>
      </c>
      <c r="K1855" s="1706"/>
      <c r="L1855" s="5238" t="s">
        <v>8369</v>
      </c>
      <c r="M1855" s="5238"/>
      <c r="N1855" s="5238"/>
      <c r="O1855" s="5238"/>
      <c r="P1855" s="5238"/>
      <c r="Q1855" s="5239"/>
      <c r="R1855" s="2429">
        <f>IF(OR($J1855=0,$J1855="Aprendida"),0,SUM($J$1702:$J1855))</f>
        <v>0</v>
      </c>
    </row>
    <row r="1856" spans="1:18" ht="12.75" customHeight="1">
      <c r="A1856" s="1886">
        <v>1856</v>
      </c>
      <c r="B1856" s="5250"/>
      <c r="E1856" s="2426" t="s">
        <v>8028</v>
      </c>
      <c r="F1856" s="1706"/>
      <c r="G1856" s="1706">
        <v>90</v>
      </c>
      <c r="H1856" s="1707">
        <v>1</v>
      </c>
      <c r="I1856" s="1707">
        <v>15</v>
      </c>
      <c r="J1856" s="1707">
        <f>COUNTIF(Elan!$C$13:$F$25,Tablas!E1856)+COUNTIF(Elan!$U$13:$X$25,Tablas!E1856)</f>
        <v>0</v>
      </c>
      <c r="K1856" s="1706"/>
      <c r="L1856" s="5238" t="s">
        <v>8370</v>
      </c>
      <c r="M1856" s="5238"/>
      <c r="N1856" s="5238"/>
      <c r="O1856" s="5238"/>
      <c r="P1856" s="5238"/>
      <c r="Q1856" s="5239"/>
      <c r="R1856" s="2429">
        <f>IF(OR($J1856=0,$J1856="Aprendida"),0,SUM($J$1702:$J1856))</f>
        <v>0</v>
      </c>
    </row>
    <row r="1857" spans="1:18" ht="12.75" customHeight="1">
      <c r="A1857" s="1886">
        <v>1857</v>
      </c>
      <c r="B1857" s="5250"/>
      <c r="E1857" s="2426" t="s">
        <v>8029</v>
      </c>
      <c r="F1857" s="1706"/>
      <c r="G1857" s="1706">
        <v>100</v>
      </c>
      <c r="H1857" s="1707">
        <f>IF(J1853,1,0)</f>
        <v>0</v>
      </c>
      <c r="I1857" s="1707">
        <v>10</v>
      </c>
      <c r="J1857" s="1707">
        <f>COUNTIF(Elan!$C$13:$F$25,Tablas!E1857)+COUNTIF(Elan!$U$13:$X$25,Tablas!E1857)</f>
        <v>0</v>
      </c>
      <c r="K1857" s="1706"/>
      <c r="L1857" s="5238" t="s">
        <v>8371</v>
      </c>
      <c r="M1857" s="5238"/>
      <c r="N1857" s="5238"/>
      <c r="O1857" s="5238"/>
      <c r="P1857" s="5238"/>
      <c r="Q1857" s="5239"/>
      <c r="R1857" s="2429">
        <f>IF(OR($J1857=0,$J1857="Aprendida"),0,SUM($J$1702:$J1857))</f>
        <v>0</v>
      </c>
    </row>
    <row r="1858" spans="1:18" ht="12.75" customHeight="1">
      <c r="A1858" s="1886">
        <v>1858</v>
      </c>
      <c r="B1858" s="5250"/>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c r="A1859" s="1886">
        <v>1859</v>
      </c>
      <c r="B1859" s="5250"/>
      <c r="E1859" s="2426" t="s">
        <v>8030</v>
      </c>
      <c r="F1859" s="1706"/>
      <c r="G1859" s="1706">
        <v>10</v>
      </c>
      <c r="H1859" s="1707">
        <v>1</v>
      </c>
      <c r="I1859" s="1707">
        <v>5</v>
      </c>
      <c r="J1859" s="1707">
        <f>COUNTIF(Elan!$C$13:$F$25,Tablas!E1859)+COUNTIF(Elan!$U$13:$X$25,Tablas!E1859)</f>
        <v>0</v>
      </c>
      <c r="K1859" s="1706"/>
      <c r="L1859" s="5238" t="s">
        <v>8372</v>
      </c>
      <c r="M1859" s="5238"/>
      <c r="N1859" s="5238"/>
      <c r="O1859" s="5238"/>
      <c r="P1859" s="5238"/>
      <c r="Q1859" s="5239"/>
      <c r="R1859" s="2429">
        <f>IF(OR($J1859=0,$J1859="Aprendida"),0,SUM($J$1702:$J1859))</f>
        <v>0</v>
      </c>
    </row>
    <row r="1860" spans="1:18" ht="12.75" customHeight="1">
      <c r="A1860" s="1886">
        <v>1860</v>
      </c>
      <c r="B1860" s="5250"/>
      <c r="E1860" s="2426" t="s">
        <v>8031</v>
      </c>
      <c r="F1860" s="1706"/>
      <c r="G1860" s="1706">
        <v>20</v>
      </c>
      <c r="H1860" s="1707">
        <v>1</v>
      </c>
      <c r="I1860" s="1707">
        <v>5</v>
      </c>
      <c r="J1860" s="1707">
        <f>COUNTIF(Elan!$C$13:$F$25,Tablas!E1860)+COUNTIF(Elan!$U$13:$X$25,Tablas!E1860)</f>
        <v>0</v>
      </c>
      <c r="K1860" s="1706"/>
      <c r="L1860" s="5238" t="s">
        <v>8376</v>
      </c>
      <c r="M1860" s="5238"/>
      <c r="N1860" s="5238"/>
      <c r="O1860" s="5238"/>
      <c r="P1860" s="5238"/>
      <c r="Q1860" s="5239"/>
      <c r="R1860" s="2429">
        <f>IF(OR($J1860=0,$J1860="Aprendida"),0,SUM($J$1702:$J1860))</f>
        <v>0</v>
      </c>
    </row>
    <row r="1861" spans="1:18" ht="12.75" customHeight="1">
      <c r="A1861" s="1886">
        <v>1861</v>
      </c>
      <c r="B1861" s="5250"/>
      <c r="E1861" s="2426" t="s">
        <v>8032</v>
      </c>
      <c r="F1861" s="1706"/>
      <c r="G1861" s="1706">
        <v>30</v>
      </c>
      <c r="H1861" s="1707">
        <v>1</v>
      </c>
      <c r="I1861" s="1707">
        <v>5</v>
      </c>
      <c r="J1861" s="1707">
        <f>COUNTIF(Elan!$C$13:$F$25,Tablas!E1861)+COUNTIF(Elan!$U$13:$X$25,Tablas!E1861)</f>
        <v>0</v>
      </c>
      <c r="K1861" s="1706">
        <f>F1858*J1861</f>
        <v>0</v>
      </c>
      <c r="L1861" s="5238" t="s">
        <v>8380</v>
      </c>
      <c r="M1861" s="5238"/>
      <c r="N1861" s="5238"/>
      <c r="O1861" s="5238"/>
      <c r="P1861" s="5238"/>
      <c r="Q1861" s="5239"/>
      <c r="R1861" s="2429">
        <f>IF(OR($J1861=0,$J1861="Aprendida"),0,SUM($J$1702:$J1861))</f>
        <v>0</v>
      </c>
    </row>
    <row r="1862" spans="1:18" ht="12.75" customHeight="1">
      <c r="A1862" s="1886">
        <v>1862</v>
      </c>
      <c r="B1862" s="5250"/>
      <c r="E1862" s="2426" t="s">
        <v>8033</v>
      </c>
      <c r="F1862" s="1706"/>
      <c r="G1862" s="1706">
        <v>40</v>
      </c>
      <c r="H1862" s="1707">
        <v>1</v>
      </c>
      <c r="I1862" s="1707">
        <v>10</v>
      </c>
      <c r="J1862" s="1707">
        <f>COUNTIF(Elan!$C$13:$F$25,Tablas!E1862)+COUNTIF(Elan!$U$13:$X$25,Tablas!E1862)</f>
        <v>0</v>
      </c>
      <c r="K1862" s="1706"/>
      <c r="L1862" s="5238" t="s">
        <v>8383</v>
      </c>
      <c r="M1862" s="5238"/>
      <c r="N1862" s="5238"/>
      <c r="O1862" s="5238"/>
      <c r="P1862" s="5238"/>
      <c r="Q1862" s="5239"/>
      <c r="R1862" s="2429">
        <f>IF(OR($J1862=0,$J1862="Aprendida"),0,SUM($J$1702:$J1862))</f>
        <v>0</v>
      </c>
    </row>
    <row r="1863" spans="1:18" ht="12.75" customHeight="1">
      <c r="A1863" s="1886">
        <v>1863</v>
      </c>
      <c r="B1863" s="5250"/>
      <c r="E1863" s="2426" t="s">
        <v>9973</v>
      </c>
      <c r="F1863" s="1706"/>
      <c r="G1863" s="1706">
        <v>50</v>
      </c>
      <c r="H1863" s="1707">
        <v>1</v>
      </c>
      <c r="I1863" s="1707">
        <v>10</v>
      </c>
      <c r="J1863" s="1707">
        <f>COUNTIF(Elan!$C$13:$F$25,Tablas!E1863)+COUNTIF(Elan!$U$13:$X$25,Tablas!E1863)</f>
        <v>0</v>
      </c>
      <c r="K1863" s="1706"/>
      <c r="L1863" s="5238" t="s">
        <v>8386</v>
      </c>
      <c r="M1863" s="5238"/>
      <c r="N1863" s="5238"/>
      <c r="O1863" s="5238"/>
      <c r="P1863" s="5238"/>
      <c r="Q1863" s="5239"/>
      <c r="R1863" s="2429">
        <f>IF(OR($J1863=0,$J1863="Aprendida"),0,SUM($J$1702:$J1863))</f>
        <v>0</v>
      </c>
    </row>
    <row r="1864" spans="1:18" ht="12.75" customHeight="1">
      <c r="A1864" s="1886">
        <v>1864</v>
      </c>
      <c r="B1864" s="5250"/>
      <c r="E1864" s="2426" t="s">
        <v>8034</v>
      </c>
      <c r="F1864" s="1706"/>
      <c r="G1864" s="1706">
        <v>60</v>
      </c>
      <c r="H1864" s="1707">
        <v>1</v>
      </c>
      <c r="I1864" s="1707">
        <v>10</v>
      </c>
      <c r="J1864" s="1707">
        <f>COUNTIF(Elan!$C$13:$F$25,Tablas!E1864)+COUNTIF(Elan!$U$13:$X$25,Tablas!E1864)</f>
        <v>0</v>
      </c>
      <c r="K1864" s="1706"/>
      <c r="L1864" s="5238" t="s">
        <v>8388</v>
      </c>
      <c r="M1864" s="5238"/>
      <c r="N1864" s="5238"/>
      <c r="O1864" s="5238"/>
      <c r="P1864" s="5238"/>
      <c r="Q1864" s="5239"/>
      <c r="R1864" s="2429">
        <f>IF(OR($J1864=0,$J1864="Aprendida"),0,SUM($J$1702:$J1864))</f>
        <v>0</v>
      </c>
    </row>
    <row r="1865" spans="1:18" ht="12.75" customHeight="1">
      <c r="A1865" s="1886">
        <v>1865</v>
      </c>
      <c r="B1865" s="5250"/>
      <c r="E1865" s="2426" t="s">
        <v>8035</v>
      </c>
      <c r="F1865" s="1706"/>
      <c r="G1865" s="1706">
        <v>60</v>
      </c>
      <c r="H1865" s="1707">
        <v>1</v>
      </c>
      <c r="I1865" s="1707">
        <v>15</v>
      </c>
      <c r="J1865" s="1707">
        <f>COUNTIF(Elan!$C$13:$F$25,Tablas!E1865)+COUNTIF(Elan!$U$13:$X$25,Tablas!E1865)</f>
        <v>0</v>
      </c>
      <c r="K1865" s="1706"/>
      <c r="L1865" s="5238" t="s">
        <v>8389</v>
      </c>
      <c r="M1865" s="5238"/>
      <c r="N1865" s="5238"/>
      <c r="O1865" s="5238"/>
      <c r="P1865" s="5238"/>
      <c r="Q1865" s="5239"/>
      <c r="R1865" s="2429">
        <f>IF(OR($J1865=0,$J1865="Aprendida"),0,SUM($J$1702:$J1865))</f>
        <v>0</v>
      </c>
    </row>
    <row r="1866" spans="1:18" ht="12.75" customHeight="1">
      <c r="A1866" s="1886">
        <v>1866</v>
      </c>
      <c r="B1866" s="5250"/>
      <c r="E1866" s="2426" t="s">
        <v>8036</v>
      </c>
      <c r="F1866" s="1706"/>
      <c r="G1866" s="1706">
        <v>70</v>
      </c>
      <c r="H1866" s="1707">
        <f>IF(J1864,1,0)</f>
        <v>0</v>
      </c>
      <c r="I1866" s="1707">
        <v>15</v>
      </c>
      <c r="J1866" s="1707">
        <f>COUNTIF(Elan!$C$13:$F$25,Tablas!E1866)+COUNTIF(Elan!$U$13:$X$25,Tablas!E1866)</f>
        <v>0</v>
      </c>
      <c r="K1866" s="1706"/>
      <c r="L1866" s="5238" t="s">
        <v>8390</v>
      </c>
      <c r="M1866" s="5238"/>
      <c r="N1866" s="5238"/>
      <c r="O1866" s="5238"/>
      <c r="P1866" s="5238"/>
      <c r="Q1866" s="5239"/>
      <c r="R1866" s="2429">
        <f>IF(OR($J1866=0,$J1866="Aprendida"),0,SUM($J$1702:$J1866))</f>
        <v>0</v>
      </c>
    </row>
    <row r="1867" spans="1:18" ht="12.75" customHeight="1">
      <c r="A1867" s="1886">
        <v>1867</v>
      </c>
      <c r="B1867" s="5250"/>
      <c r="E1867" s="2426" t="s">
        <v>8037</v>
      </c>
      <c r="F1867" s="1706"/>
      <c r="G1867" s="1706">
        <v>80</v>
      </c>
      <c r="H1867" s="1707">
        <v>1</v>
      </c>
      <c r="I1867" s="1707">
        <v>15</v>
      </c>
      <c r="J1867" s="1707">
        <f>COUNTIF(Elan!$C$13:$F$25,Tablas!E1867)+COUNTIF(Elan!$U$13:$X$25,Tablas!E1867)</f>
        <v>0</v>
      </c>
      <c r="K1867" s="1706"/>
      <c r="L1867" s="5238" t="s">
        <v>8391</v>
      </c>
      <c r="M1867" s="5238"/>
      <c r="N1867" s="5238"/>
      <c r="O1867" s="5238"/>
      <c r="P1867" s="5238"/>
      <c r="Q1867" s="5239"/>
      <c r="R1867" s="2429">
        <f>IF(OR($J1867=0,$J1867="Aprendida"),0,SUM($J$1702:$J1867))</f>
        <v>0</v>
      </c>
    </row>
    <row r="1868" spans="1:18" ht="12.75" customHeight="1">
      <c r="A1868" s="1886">
        <v>1868</v>
      </c>
      <c r="B1868" s="5250"/>
      <c r="E1868" s="2426" t="s">
        <v>8038</v>
      </c>
      <c r="F1868" s="1706"/>
      <c r="G1868" s="1706">
        <v>90</v>
      </c>
      <c r="H1868" s="1707">
        <v>1</v>
      </c>
      <c r="I1868" s="1707">
        <v>25</v>
      </c>
      <c r="J1868" s="1707">
        <f>COUNTIF(Elan!$C$13:$F$25,Tablas!E1868)+COUNTIF(Elan!$U$13:$X$25,Tablas!E1868)</f>
        <v>0</v>
      </c>
      <c r="K1868" s="1706"/>
      <c r="L1868" s="5238" t="s">
        <v>8392</v>
      </c>
      <c r="M1868" s="5238"/>
      <c r="N1868" s="5238"/>
      <c r="O1868" s="5238"/>
      <c r="P1868" s="5238"/>
      <c r="Q1868" s="5239"/>
      <c r="R1868" s="2429">
        <f>IF(OR($J1868=0,$J1868="Aprendida"),0,SUM($J$1702:$J1868))</f>
        <v>0</v>
      </c>
    </row>
    <row r="1869" spans="1:18" ht="12.75" customHeight="1">
      <c r="A1869" s="1886">
        <v>1869</v>
      </c>
      <c r="B1869" s="5250"/>
      <c r="E1869" s="2426" t="s">
        <v>8039</v>
      </c>
      <c r="F1869" s="1706"/>
      <c r="G1869" s="1706">
        <v>100</v>
      </c>
      <c r="H1869" s="1707">
        <v>1</v>
      </c>
      <c r="I1869" s="1707">
        <v>10</v>
      </c>
      <c r="J1869" s="1707">
        <f>COUNTIF(Elan!$C$13:$F$25,Tablas!E1869)+COUNTIF(Elan!$U$13:$X$25,Tablas!E1869)</f>
        <v>0</v>
      </c>
      <c r="K1869" s="1706"/>
      <c r="L1869" s="5238" t="s">
        <v>8393</v>
      </c>
      <c r="M1869" s="5238"/>
      <c r="N1869" s="5238"/>
      <c r="O1869" s="5238"/>
      <c r="P1869" s="5238"/>
      <c r="Q1869" s="5239"/>
      <c r="R1869" s="2429">
        <f>IF(OR($J1869=0,$J1869="Aprendida"),0,SUM($J$1702:$J1869))</f>
        <v>0</v>
      </c>
    </row>
    <row r="1870" spans="1:18" ht="12.75" customHeight="1">
      <c r="A1870" s="1886">
        <v>1870</v>
      </c>
      <c r="B1870" s="5250"/>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c r="A1871" s="1886">
        <v>1871</v>
      </c>
      <c r="B1871" s="5250"/>
      <c r="E1871" s="2426" t="s">
        <v>8040</v>
      </c>
      <c r="F1871" s="1706"/>
      <c r="G1871" s="1706">
        <v>10</v>
      </c>
      <c r="H1871" s="1707">
        <v>1</v>
      </c>
      <c r="I1871" s="1707">
        <v>5</v>
      </c>
      <c r="J1871" s="1707">
        <f>COUNTIF(Elan!$C$13:$F$25,Tablas!E1871)+COUNTIF(Elan!$U$13:$X$25,Tablas!E1871)</f>
        <v>0</v>
      </c>
      <c r="K1871" s="1706">
        <f>F1870*J1871</f>
        <v>0</v>
      </c>
      <c r="L1871" s="5238" t="s">
        <v>8394</v>
      </c>
      <c r="M1871" s="5238"/>
      <c r="N1871" s="5238"/>
      <c r="O1871" s="5238"/>
      <c r="P1871" s="5238"/>
      <c r="Q1871" s="5239"/>
      <c r="R1871" s="2429">
        <f>IF(OR($J1871=0,$J1871="Aprendida"),0,SUM($J$1702:$J1871))</f>
        <v>0</v>
      </c>
    </row>
    <row r="1872" spans="1:18" ht="12.75" customHeight="1">
      <c r="A1872" s="1886">
        <v>1872</v>
      </c>
      <c r="B1872" s="5250"/>
      <c r="E1872" s="2426" t="s">
        <v>8041</v>
      </c>
      <c r="F1872" s="1706"/>
      <c r="G1872" s="1706">
        <v>20</v>
      </c>
      <c r="H1872" s="1707">
        <v>1</v>
      </c>
      <c r="I1872" s="1707">
        <v>5</v>
      </c>
      <c r="J1872" s="1707">
        <f>COUNTIF(Elan!$C$13:$F$25,Tablas!E1872)+COUNTIF(Elan!$U$13:$X$25,Tablas!E1872)</f>
        <v>0</v>
      </c>
      <c r="K1872" s="1706"/>
      <c r="L1872" s="5238" t="s">
        <v>8398</v>
      </c>
      <c r="M1872" s="5238"/>
      <c r="N1872" s="5238"/>
      <c r="O1872" s="5238"/>
      <c r="P1872" s="5238"/>
      <c r="Q1872" s="5239"/>
      <c r="R1872" s="2429">
        <f>IF(OR($J1872=0,$J1872="Aprendida"),0,SUM($J$1702:$J1872))</f>
        <v>0</v>
      </c>
    </row>
    <row r="1873" spans="1:18" ht="12.75" customHeight="1">
      <c r="A1873" s="1886">
        <v>1873</v>
      </c>
      <c r="B1873" s="5250"/>
      <c r="E1873" s="2426" t="s">
        <v>8042</v>
      </c>
      <c r="F1873" s="1706"/>
      <c r="G1873" s="1706">
        <v>30</v>
      </c>
      <c r="H1873" s="1707">
        <v>1</v>
      </c>
      <c r="I1873" s="1707">
        <v>10</v>
      </c>
      <c r="J1873" s="1707">
        <f>COUNTIF(Elan!$C$13:$F$25,Tablas!E1873)+COUNTIF(Elan!$U$13:$X$25,Tablas!E1873)</f>
        <v>0</v>
      </c>
      <c r="K1873" s="1706"/>
      <c r="L1873" s="5238" t="s">
        <v>8402</v>
      </c>
      <c r="M1873" s="5238"/>
      <c r="N1873" s="5238"/>
      <c r="O1873" s="5238"/>
      <c r="P1873" s="5238"/>
      <c r="Q1873" s="5239"/>
      <c r="R1873" s="2429">
        <f>IF(OR($J1873=0,$J1873="Aprendida"),0,SUM($J$1702:$J1873))</f>
        <v>0</v>
      </c>
    </row>
    <row r="1874" spans="1:18" ht="12.75" customHeight="1">
      <c r="A1874" s="1886">
        <v>1874</v>
      </c>
      <c r="B1874" s="5250"/>
      <c r="E1874" s="2426" t="s">
        <v>8043</v>
      </c>
      <c r="F1874" s="1706"/>
      <c r="G1874" s="1706">
        <v>30</v>
      </c>
      <c r="H1874" s="1707">
        <v>1</v>
      </c>
      <c r="I1874" s="1707">
        <v>5</v>
      </c>
      <c r="J1874" s="1707">
        <f>COUNTIF(Elan!$C$13:$F$25,Tablas!E1874)+COUNTIF(Elan!$U$13:$X$25,Tablas!E1874)</f>
        <v>0</v>
      </c>
      <c r="K1874" s="1706"/>
      <c r="L1874" s="5238" t="s">
        <v>8404</v>
      </c>
      <c r="M1874" s="5238"/>
      <c r="N1874" s="5238"/>
      <c r="O1874" s="5238"/>
      <c r="P1874" s="5238"/>
      <c r="Q1874" s="5239"/>
      <c r="R1874" s="2429">
        <f>IF(OR($J1874=0,$J1874="Aprendida"),0,SUM($J$1702:$J1874))</f>
        <v>0</v>
      </c>
    </row>
    <row r="1875" spans="1:18" ht="12.75" customHeight="1">
      <c r="A1875" s="1886">
        <v>1875</v>
      </c>
      <c r="B1875" s="5250"/>
      <c r="E1875" s="2426" t="s">
        <v>8044</v>
      </c>
      <c r="F1875" s="1706"/>
      <c r="G1875" s="1706">
        <v>40</v>
      </c>
      <c r="H1875" s="1707">
        <v>1</v>
      </c>
      <c r="I1875" s="1707">
        <v>10</v>
      </c>
      <c r="J1875" s="1707">
        <f>COUNTIF(Elan!$C$13:$F$25,Tablas!E1875)+COUNTIF(Elan!$U$13:$X$25,Tablas!E1875)</f>
        <v>0</v>
      </c>
      <c r="K1875" s="1706"/>
      <c r="L1875" s="5238" t="s">
        <v>8405</v>
      </c>
      <c r="M1875" s="5238"/>
      <c r="N1875" s="5238"/>
      <c r="O1875" s="5238"/>
      <c r="P1875" s="5238"/>
      <c r="Q1875" s="5239"/>
      <c r="R1875" s="2429">
        <f>IF(OR($J1875=0,$J1875="Aprendida"),0,SUM($J$1702:$J1875))</f>
        <v>0</v>
      </c>
    </row>
    <row r="1876" spans="1:18" ht="12.75" customHeight="1">
      <c r="A1876" s="1886">
        <v>1876</v>
      </c>
      <c r="B1876" s="5250"/>
      <c r="E1876" s="2426" t="s">
        <v>8045</v>
      </c>
      <c r="F1876" s="1706"/>
      <c r="G1876" s="1706">
        <v>40</v>
      </c>
      <c r="H1876" s="1707">
        <v>1</v>
      </c>
      <c r="I1876" s="1707">
        <v>10</v>
      </c>
      <c r="J1876" s="1707">
        <f>COUNTIF(Elan!$C$13:$F$25,Tablas!E1876)+COUNTIF(Elan!$U$13:$X$25,Tablas!E1876)</f>
        <v>0</v>
      </c>
      <c r="K1876" s="1706"/>
      <c r="L1876" s="5238" t="s">
        <v>8406</v>
      </c>
      <c r="M1876" s="5238"/>
      <c r="N1876" s="5238"/>
      <c r="O1876" s="5238"/>
      <c r="P1876" s="5238"/>
      <c r="Q1876" s="5239"/>
      <c r="R1876" s="2429">
        <f>IF(OR($J1876=0,$J1876="Aprendida"),0,SUM($J$1702:$J1876))</f>
        <v>0</v>
      </c>
    </row>
    <row r="1877" spans="1:18" ht="12.75" customHeight="1">
      <c r="A1877" s="1886">
        <v>1877</v>
      </c>
      <c r="B1877" s="5250"/>
      <c r="E1877" s="2426" t="s">
        <v>8046</v>
      </c>
      <c r="F1877" s="1706"/>
      <c r="G1877" s="1706">
        <v>50</v>
      </c>
      <c r="H1877" s="1707">
        <v>1</v>
      </c>
      <c r="I1877" s="1707">
        <v>10</v>
      </c>
      <c r="J1877" s="1707">
        <f>COUNTIF(Elan!$C$13:$F$25,Tablas!E1877)+COUNTIF(Elan!$U$13:$X$25,Tablas!E1877)</f>
        <v>0</v>
      </c>
      <c r="K1877" s="1706"/>
      <c r="L1877" s="5238" t="s">
        <v>8407</v>
      </c>
      <c r="M1877" s="5238"/>
      <c r="N1877" s="5238"/>
      <c r="O1877" s="5238"/>
      <c r="P1877" s="5238"/>
      <c r="Q1877" s="5239"/>
      <c r="R1877" s="2429">
        <f>IF(OR($J1877=0,$J1877="Aprendida"),0,SUM($J$1702:$J1877))</f>
        <v>0</v>
      </c>
    </row>
    <row r="1878" spans="1:18" ht="12.75" customHeight="1">
      <c r="A1878" s="1886">
        <v>1878</v>
      </c>
      <c r="B1878" s="5250"/>
      <c r="E1878" s="2426" t="s">
        <v>8047</v>
      </c>
      <c r="F1878" s="1706"/>
      <c r="G1878" s="1706">
        <v>60</v>
      </c>
      <c r="H1878" s="1707">
        <v>1</v>
      </c>
      <c r="I1878" s="1707">
        <v>10</v>
      </c>
      <c r="J1878" s="1707">
        <f>COUNTIF(Elan!$C$13:$F$25,Tablas!E1878)+COUNTIF(Elan!$U$13:$X$25,Tablas!E1878)</f>
        <v>0</v>
      </c>
      <c r="K1878" s="1706"/>
      <c r="L1878" s="5238" t="s">
        <v>8408</v>
      </c>
      <c r="M1878" s="5238"/>
      <c r="N1878" s="5238"/>
      <c r="O1878" s="5238"/>
      <c r="P1878" s="5238"/>
      <c r="Q1878" s="5239"/>
      <c r="R1878" s="2429">
        <f>IF(OR($J1878=0,$J1878="Aprendida"),0,SUM($J$1702:$J1878))</f>
        <v>0</v>
      </c>
    </row>
    <row r="1879" spans="1:18" ht="12.75" customHeight="1">
      <c r="A1879" s="1886">
        <v>1879</v>
      </c>
      <c r="B1879" s="5250"/>
      <c r="E1879" s="2426" t="s">
        <v>8048</v>
      </c>
      <c r="F1879" s="1706"/>
      <c r="G1879" s="1706">
        <v>60</v>
      </c>
      <c r="H1879" s="1707">
        <f>IF(J1875,1,0)</f>
        <v>0</v>
      </c>
      <c r="I1879" s="1707">
        <v>15</v>
      </c>
      <c r="J1879" s="1707">
        <f>COUNTIF(Elan!$C$13:$F$25,Tablas!E1879)+COUNTIF(Elan!$U$13:$X$25,Tablas!E1879)</f>
        <v>0</v>
      </c>
      <c r="K1879" s="1706"/>
      <c r="L1879" s="5238" t="s">
        <v>8409</v>
      </c>
      <c r="M1879" s="5238"/>
      <c r="N1879" s="5238"/>
      <c r="O1879" s="5238"/>
      <c r="P1879" s="5238"/>
      <c r="Q1879" s="5239"/>
      <c r="R1879" s="2429">
        <f>IF(OR($J1879=0,$J1879="Aprendida"),0,SUM($J$1702:$J1879))</f>
        <v>0</v>
      </c>
    </row>
    <row r="1880" spans="1:18" ht="12.75" customHeight="1">
      <c r="A1880" s="1886">
        <v>1880</v>
      </c>
      <c r="B1880" s="5250"/>
      <c r="E1880" s="2426" t="s">
        <v>8049</v>
      </c>
      <c r="F1880" s="1706"/>
      <c r="G1880" s="1706">
        <v>70</v>
      </c>
      <c r="H1880" s="1707">
        <v>1</v>
      </c>
      <c r="I1880" s="1707">
        <v>10</v>
      </c>
      <c r="J1880" s="1707">
        <f>COUNTIF(Elan!$C$13:$F$25,Tablas!E1880)+COUNTIF(Elan!$U$13:$X$25,Tablas!E1880)</f>
        <v>0</v>
      </c>
      <c r="K1880" s="1706"/>
      <c r="L1880" s="5238" t="s">
        <v>8410</v>
      </c>
      <c r="M1880" s="5238"/>
      <c r="N1880" s="5238"/>
      <c r="O1880" s="5238"/>
      <c r="P1880" s="5238"/>
      <c r="Q1880" s="5239"/>
      <c r="R1880" s="2429">
        <f>IF(OR($J1880=0,$J1880="Aprendida"),0,SUM($J$1702:$J1880))</f>
        <v>0</v>
      </c>
    </row>
    <row r="1881" spans="1:18" ht="12.75" customHeight="1">
      <c r="A1881" s="1886">
        <v>1881</v>
      </c>
      <c r="B1881" s="5250"/>
      <c r="E1881" s="2426" t="s">
        <v>8050</v>
      </c>
      <c r="F1881" s="1706"/>
      <c r="G1881" s="1706">
        <v>80</v>
      </c>
      <c r="H1881" s="1707">
        <f>IF(J1878,1,0)</f>
        <v>0</v>
      </c>
      <c r="I1881" s="1707">
        <v>10</v>
      </c>
      <c r="J1881" s="1707">
        <f>COUNTIF(Elan!$C$13:$F$25,Tablas!E1881)+COUNTIF(Elan!$U$13:$X$25,Tablas!E1881)</f>
        <v>0</v>
      </c>
      <c r="K1881" s="1706"/>
      <c r="L1881" s="5238" t="s">
        <v>8411</v>
      </c>
      <c r="M1881" s="5238"/>
      <c r="N1881" s="5238"/>
      <c r="O1881" s="5238"/>
      <c r="P1881" s="5238"/>
      <c r="Q1881" s="5239"/>
      <c r="R1881" s="2429">
        <f>IF(OR($J1881=0,$J1881="Aprendida"),0,SUM($J$1702:$J1881))</f>
        <v>0</v>
      </c>
    </row>
    <row r="1882" spans="1:18" ht="12.75" customHeight="1">
      <c r="A1882" s="1886">
        <v>1882</v>
      </c>
      <c r="B1882" s="5250"/>
      <c r="E1882" s="2426" t="s">
        <v>8051</v>
      </c>
      <c r="F1882" s="1706"/>
      <c r="G1882" s="1706">
        <v>90</v>
      </c>
      <c r="H1882" s="1707">
        <v>1</v>
      </c>
      <c r="I1882" s="1707">
        <v>15</v>
      </c>
      <c r="J1882" s="1707">
        <f>COUNTIF(Elan!$C$13:$F$25,Tablas!E1882)+COUNTIF(Elan!$U$13:$X$25,Tablas!E1882)</f>
        <v>0</v>
      </c>
      <c r="K1882" s="1706"/>
      <c r="L1882" s="5238" t="s">
        <v>8412</v>
      </c>
      <c r="M1882" s="5238"/>
      <c r="N1882" s="5238"/>
      <c r="O1882" s="5238"/>
      <c r="P1882" s="5238"/>
      <c r="Q1882" s="5239"/>
      <c r="R1882" s="2429">
        <f>IF(OR($J1882=0,$J1882="Aprendida"),0,SUM($J$1702:$J1882))</f>
        <v>0</v>
      </c>
    </row>
    <row r="1883" spans="1:18" ht="12.75" customHeight="1" thickBot="1">
      <c r="A1883" s="1886">
        <v>1883</v>
      </c>
      <c r="B1883" s="5250"/>
      <c r="E1883" s="2426" t="s">
        <v>8052</v>
      </c>
      <c r="F1883" s="1711"/>
      <c r="G1883" s="1711">
        <v>100</v>
      </c>
      <c r="H1883" s="1712">
        <f>IF(J1877,1,0)</f>
        <v>0</v>
      </c>
      <c r="I1883" s="1712">
        <v>10</v>
      </c>
      <c r="J1883" s="1711">
        <f>COUNTIF(Elan!$C$13:$F$25,Tablas!E1883)+COUNTIF(Elan!$U$13:$X$25,Tablas!E1883)</f>
        <v>0</v>
      </c>
      <c r="K1883" s="1711"/>
      <c r="L1883" s="5238" t="s">
        <v>8413</v>
      </c>
      <c r="M1883" s="5238"/>
      <c r="N1883" s="5238"/>
      <c r="O1883" s="5238"/>
      <c r="P1883" s="5238"/>
      <c r="Q1883" s="5239"/>
      <c r="R1883" s="2429">
        <f>IF(OR($J1883=0,$J1883="Aprendida"),0,SUM($J$1702:$J1883))</f>
        <v>0</v>
      </c>
    </row>
    <row r="1884" spans="1:18" ht="12.75" customHeight="1">
      <c r="A1884" s="1886">
        <v>1884</v>
      </c>
      <c r="B1884" s="5250"/>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c r="A1885" s="1886">
        <v>1885</v>
      </c>
      <c r="B1885" s="5250"/>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38">
        <f>IF(E1885="Poder no definido",0,VLOOKUP(E1885,Personalización!$D$45:$Q$54,6,FALSE))</f>
        <v>0</v>
      </c>
      <c r="M1885" s="5238"/>
      <c r="N1885" s="5238"/>
      <c r="O1885" s="5238"/>
      <c r="P1885" s="5238"/>
      <c r="Q1885" s="5239"/>
      <c r="R1885" s="2429">
        <f>IF(OR($J1885=0,$J1885="Aprendida"),0,SUM($J$1702:$J1885))</f>
        <v>0</v>
      </c>
    </row>
    <row r="1886" spans="1:18" ht="12.75" customHeight="1">
      <c r="A1886" s="1886">
        <v>1886</v>
      </c>
      <c r="B1886" s="5250"/>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38">
        <f>IF(E1886="Poder no definido",0,VLOOKUP(E1886,Personalización!$D$45:$Q$54,6,FALSE))</f>
        <v>0</v>
      </c>
      <c r="M1886" s="5238"/>
      <c r="N1886" s="5238"/>
      <c r="O1886" s="5238"/>
      <c r="P1886" s="5238"/>
      <c r="Q1886" s="5239"/>
      <c r="R1886" s="2429">
        <f>IF(OR($J1886=0,$J1886="Aprendida"),0,SUM($J$1702:$J1886))</f>
        <v>0</v>
      </c>
    </row>
    <row r="1887" spans="1:18" ht="12.75" customHeight="1">
      <c r="A1887" s="1886">
        <v>1887</v>
      </c>
      <c r="B1887" s="5250"/>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38">
        <f>IF(E1887="Poder no definido",0,VLOOKUP(E1887,Personalización!$D$45:$Q$54,6,FALSE))</f>
        <v>0</v>
      </c>
      <c r="M1887" s="5238"/>
      <c r="N1887" s="5238"/>
      <c r="O1887" s="5238"/>
      <c r="P1887" s="5238"/>
      <c r="Q1887" s="5239"/>
      <c r="R1887" s="2429">
        <f>IF(OR($J1887=0,$J1887="Aprendida"),0,SUM($J$1702:$J1887))</f>
        <v>0</v>
      </c>
    </row>
    <row r="1888" spans="1:18" ht="12.75" customHeight="1">
      <c r="A1888" s="1886">
        <v>1888</v>
      </c>
      <c r="B1888" s="5250"/>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38">
        <f>IF(E1888="Poder no definido",0,VLOOKUP(E1888,Personalización!$D$45:$Q$54,6,FALSE))</f>
        <v>0</v>
      </c>
      <c r="M1888" s="5238"/>
      <c r="N1888" s="5238"/>
      <c r="O1888" s="5238"/>
      <c r="P1888" s="5238"/>
      <c r="Q1888" s="5239"/>
      <c r="R1888" s="2429">
        <f>IF(OR($J1888=0,$J1888="Aprendida"),0,SUM($J$1702:$J1888))</f>
        <v>0</v>
      </c>
    </row>
    <row r="1889" spans="1:31" ht="12.75" customHeight="1">
      <c r="A1889" s="1886">
        <v>1889</v>
      </c>
      <c r="B1889" s="5250"/>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38">
        <f>IF(E1889="Poder no definido",0,VLOOKUP(E1889,Personalización!$D$45:$Q$54,6,FALSE))</f>
        <v>0</v>
      </c>
      <c r="M1889" s="5238"/>
      <c r="N1889" s="5238"/>
      <c r="O1889" s="5238"/>
      <c r="P1889" s="5238"/>
      <c r="Q1889" s="5239"/>
      <c r="R1889" s="2429">
        <f>IF(OR($J1889=0,$J1889="Aprendida"),0,SUM($J$1702:$J1889))</f>
        <v>0</v>
      </c>
    </row>
    <row r="1890" spans="1:31" ht="12.75" customHeight="1">
      <c r="A1890" s="1886">
        <v>1890</v>
      </c>
      <c r="B1890" s="5250"/>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38">
        <f>IF(E1890="Poder no definido",0,VLOOKUP(E1890,Personalización!$D$45:$Q$54,6,FALSE))</f>
        <v>0</v>
      </c>
      <c r="M1890" s="5238"/>
      <c r="N1890" s="5238"/>
      <c r="O1890" s="5238"/>
      <c r="P1890" s="5238"/>
      <c r="Q1890" s="5239"/>
      <c r="R1890" s="2429">
        <f>IF(OR($J1890=0,$J1890="Aprendida"),0,SUM($J$1702:$J1890))</f>
        <v>0</v>
      </c>
    </row>
    <row r="1891" spans="1:31" ht="12.75" customHeight="1">
      <c r="A1891" s="1886">
        <v>1891</v>
      </c>
      <c r="B1891" s="5250"/>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38">
        <f>IF(E1891="Poder no definido",0,VLOOKUP(E1891,Personalización!$D$45:$Q$54,6,FALSE))</f>
        <v>0</v>
      </c>
      <c r="M1891" s="5238"/>
      <c r="N1891" s="5238"/>
      <c r="O1891" s="5238"/>
      <c r="P1891" s="5238"/>
      <c r="Q1891" s="5239"/>
      <c r="R1891" s="2429">
        <f>IF(OR($J1891=0,$J1891="Aprendida"),0,SUM($J$1702:$J1891))</f>
        <v>0</v>
      </c>
    </row>
    <row r="1892" spans="1:31" ht="12.75" customHeight="1">
      <c r="A1892" s="1886">
        <v>1892</v>
      </c>
      <c r="B1892" s="5250"/>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38">
        <f>IF(E1892="Poder no definido",0,VLOOKUP(E1892,Personalización!$D$45:$Q$54,6,FALSE))</f>
        <v>0</v>
      </c>
      <c r="M1892" s="5238"/>
      <c r="N1892" s="5238"/>
      <c r="O1892" s="5238"/>
      <c r="P1892" s="5238"/>
      <c r="Q1892" s="5239"/>
      <c r="R1892" s="2429">
        <f>IF(OR($J1892=0,$J1892="Aprendida"),0,SUM($J$1702:$J1892))</f>
        <v>0</v>
      </c>
    </row>
    <row r="1893" spans="1:31" ht="12.75" customHeight="1">
      <c r="A1893" s="1886">
        <v>1893</v>
      </c>
      <c r="B1893" s="5250"/>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38">
        <f>IF(E1893="Poder no definido",0,VLOOKUP(E1893,Personalización!$D$45:$Q$54,6,FALSE))</f>
        <v>0</v>
      </c>
      <c r="M1893" s="5238"/>
      <c r="N1893" s="5238"/>
      <c r="O1893" s="5238"/>
      <c r="P1893" s="5238"/>
      <c r="Q1893" s="5239"/>
      <c r="R1893" s="2429">
        <f>IF(OR($J1893=0,$J1893="Aprendida"),0,SUM($J$1702:$J1893))</f>
        <v>0</v>
      </c>
    </row>
    <row r="1894" spans="1:31" ht="12.75" customHeight="1" thickBot="1">
      <c r="A1894" s="1886">
        <v>1894</v>
      </c>
      <c r="B1894" s="5250"/>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279">
        <f>IF(E1894="Poder no definido",0,VLOOKUP(E1894,Personalización!$D$45:$Q$54,6,FALSE))</f>
        <v>0</v>
      </c>
      <c r="M1894" s="5279"/>
      <c r="N1894" s="5279"/>
      <c r="O1894" s="5279"/>
      <c r="P1894" s="5279"/>
      <c r="Q1894" s="5280"/>
      <c r="R1894" s="1713">
        <f>IF(OR($J1894=0,$J1894="Aprendida"),0,SUM($J$1702:$J1894))</f>
        <v>0</v>
      </c>
    </row>
    <row r="1895" spans="1:31" ht="12.75" customHeight="1">
      <c r="A1895" s="1886">
        <v>1895</v>
      </c>
      <c r="B1895" s="5250"/>
      <c r="H1895" s="361"/>
      <c r="I1895" s="1634"/>
      <c r="N1895" s="361"/>
      <c r="O1895" s="1969"/>
    </row>
    <row r="1896" spans="1:31" ht="12.75" customHeight="1">
      <c r="A1896" s="1886">
        <v>1896</v>
      </c>
      <c r="B1896" s="5250"/>
      <c r="H1896" s="361"/>
      <c r="I1896" s="1634"/>
      <c r="N1896" s="361"/>
      <c r="O1896" s="1969"/>
    </row>
    <row r="1897" spans="1:31" ht="12.75" customHeight="1">
      <c r="A1897" s="1886">
        <v>1897</v>
      </c>
      <c r="B1897" s="5250"/>
      <c r="H1897" s="361"/>
      <c r="I1897" s="1634"/>
      <c r="N1897" s="361"/>
      <c r="O1897" s="1969"/>
    </row>
    <row r="1898" spans="1:31" ht="12.75" customHeight="1">
      <c r="A1898" s="1886">
        <v>1898</v>
      </c>
      <c r="B1898" s="5250"/>
      <c r="C1898" s="5241" t="s">
        <v>8937</v>
      </c>
      <c r="D1898" s="5241"/>
      <c r="E1898" s="5241"/>
      <c r="F1898" s="5241"/>
      <c r="G1898" s="5241"/>
      <c r="H1898" s="5241"/>
      <c r="I1898" s="5241"/>
      <c r="J1898" s="5241"/>
      <c r="K1898" s="5241"/>
      <c r="L1898" s="5241"/>
      <c r="M1898" s="5241"/>
      <c r="N1898" s="5241"/>
      <c r="O1898" s="5241"/>
      <c r="P1898" s="5241"/>
      <c r="Q1898" s="5241"/>
      <c r="R1898" s="5241"/>
      <c r="S1898" s="5241"/>
      <c r="T1898" s="5241"/>
      <c r="U1898" s="5241"/>
      <c r="V1898" s="5241"/>
      <c r="W1898" s="5241"/>
      <c r="X1898" s="5241"/>
      <c r="Y1898" s="5241"/>
      <c r="Z1898" s="5241"/>
      <c r="AA1898" s="5241"/>
      <c r="AB1898" s="5241"/>
      <c r="AC1898" s="5241"/>
      <c r="AD1898" s="5241"/>
      <c r="AE1898" s="5241"/>
    </row>
    <row r="1899" spans="1:31" ht="12.75" customHeight="1">
      <c r="A1899" s="1886">
        <v>1899</v>
      </c>
      <c r="B1899" s="5250"/>
      <c r="C1899" s="5241"/>
      <c r="D1899" s="5241"/>
      <c r="E1899" s="5241"/>
      <c r="F1899" s="5241"/>
      <c r="G1899" s="5241"/>
      <c r="H1899" s="5241"/>
      <c r="I1899" s="5241"/>
      <c r="J1899" s="5241"/>
      <c r="K1899" s="5241"/>
      <c r="L1899" s="5241"/>
      <c r="M1899" s="5241"/>
      <c r="N1899" s="5241"/>
      <c r="O1899" s="5241"/>
      <c r="P1899" s="5241"/>
      <c r="Q1899" s="5241"/>
      <c r="R1899" s="5241"/>
      <c r="S1899" s="5241"/>
      <c r="T1899" s="5241"/>
      <c r="U1899" s="5241"/>
      <c r="V1899" s="5241"/>
      <c r="W1899" s="5241"/>
      <c r="X1899" s="5241"/>
      <c r="Y1899" s="5241"/>
      <c r="Z1899" s="5241"/>
      <c r="AA1899" s="5241"/>
      <c r="AB1899" s="5241"/>
      <c r="AC1899" s="5241"/>
      <c r="AD1899" s="5241"/>
      <c r="AE1899" s="5241"/>
    </row>
    <row r="1900" spans="1:31" ht="12.75" customHeight="1">
      <c r="A1900" s="1886">
        <v>1900</v>
      </c>
      <c r="B1900" s="5250"/>
      <c r="C1900" s="5241"/>
      <c r="D1900" s="5241"/>
      <c r="E1900" s="5241"/>
      <c r="F1900" s="5241"/>
      <c r="G1900" s="5241"/>
      <c r="H1900" s="5241"/>
      <c r="I1900" s="5241"/>
      <c r="J1900" s="5241"/>
      <c r="K1900" s="5241"/>
      <c r="L1900" s="5241"/>
      <c r="M1900" s="5241"/>
      <c r="N1900" s="5241"/>
      <c r="O1900" s="5241"/>
      <c r="P1900" s="5241"/>
      <c r="Q1900" s="5241"/>
      <c r="R1900" s="5241"/>
      <c r="S1900" s="5241"/>
      <c r="T1900" s="5241"/>
      <c r="U1900" s="5241"/>
      <c r="V1900" s="5241"/>
      <c r="W1900" s="5241"/>
      <c r="X1900" s="5241"/>
      <c r="Y1900" s="5241"/>
      <c r="Z1900" s="5241"/>
      <c r="AA1900" s="5241"/>
      <c r="AB1900" s="5241"/>
      <c r="AC1900" s="5241"/>
      <c r="AD1900" s="5241"/>
      <c r="AE1900" s="5241"/>
    </row>
    <row r="1901" spans="1:31" ht="12.75" customHeight="1" thickBot="1">
      <c r="A1901" s="1886">
        <v>1901</v>
      </c>
      <c r="B1901" s="5250"/>
      <c r="H1901" s="361"/>
      <c r="I1901" s="1634"/>
      <c r="N1901" s="361"/>
      <c r="O1901" s="1969"/>
    </row>
    <row r="1902" spans="1:31" ht="12.75" customHeight="1" thickBot="1">
      <c r="A1902" s="1886">
        <v>1902</v>
      </c>
      <c r="B1902" s="5250"/>
      <c r="C1902" s="5432" t="s">
        <v>910</v>
      </c>
      <c r="D1902" s="5432"/>
      <c r="E1902" s="5432"/>
      <c r="F1902" s="511"/>
      <c r="G1902" s="3281" t="s">
        <v>911</v>
      </c>
      <c r="H1902" s="3281"/>
      <c r="I1902" s="1634"/>
      <c r="J1902" s="3281" t="s">
        <v>914</v>
      </c>
      <c r="K1902" s="3281"/>
      <c r="N1902" s="361"/>
      <c r="O1902" s="1969"/>
    </row>
    <row r="1903" spans="1:31" ht="12.75" customHeight="1" thickBot="1">
      <c r="A1903" s="1886">
        <v>1903</v>
      </c>
      <c r="B1903" s="5250"/>
      <c r="C1903" s="5432"/>
      <c r="D1903" s="5432"/>
      <c r="E1903" s="5432"/>
      <c r="F1903" s="511"/>
      <c r="G1903" s="3281"/>
      <c r="H1903" s="3281"/>
      <c r="I1903" s="1634"/>
      <c r="J1903" s="3281"/>
      <c r="K1903" s="3281"/>
      <c r="N1903" s="361"/>
      <c r="O1903" s="1969"/>
    </row>
    <row r="1904" spans="1:31" ht="12.75" customHeight="1">
      <c r="A1904" s="1886">
        <v>1904</v>
      </c>
      <c r="B1904" s="5250"/>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c r="A1905" s="1886">
        <v>1905</v>
      </c>
      <c r="B1905" s="5250"/>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c r="A1906" s="1886">
        <v>1906</v>
      </c>
      <c r="B1906" s="5250"/>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c r="A1907" s="1886">
        <v>1907</v>
      </c>
      <c r="B1907" s="5250"/>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c r="A1908" s="1886">
        <v>1908</v>
      </c>
      <c r="B1908" s="5250"/>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c r="A1909" s="1886">
        <v>1909</v>
      </c>
      <c r="B1909" s="5250"/>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c r="A1910" s="1886">
        <v>1910</v>
      </c>
      <c r="B1910" s="5250"/>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c r="A1911" s="1886">
        <v>1911</v>
      </c>
      <c r="B1911" s="5250"/>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c r="A1912" s="1886">
        <v>1912</v>
      </c>
      <c r="B1912" s="5250"/>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c r="A1913" s="1886">
        <v>1913</v>
      </c>
      <c r="B1913" s="5250"/>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c r="A1914" s="1886">
        <v>1914</v>
      </c>
      <c r="B1914" s="5250"/>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c r="A1915" s="1886">
        <v>1915</v>
      </c>
      <c r="B1915" s="5250"/>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228" t="s">
        <v>10211</v>
      </c>
      <c r="L1915" s="5230" t="b">
        <f>PDs!AF123</f>
        <v>0</v>
      </c>
      <c r="M1915" s="5231"/>
      <c r="N1915" s="361"/>
      <c r="O1915" s="1969"/>
    </row>
    <row r="1916" spans="1:30" ht="12.75" customHeight="1" thickBot="1">
      <c r="A1916" s="1886">
        <v>1916</v>
      </c>
      <c r="B1916" s="5250"/>
      <c r="C1916" s="520" t="str">
        <f>IF(Ki!$P$23="-",", "&amp;"Mag. arcana","")</f>
        <v/>
      </c>
      <c r="D1916" s="67"/>
      <c r="E1916" s="68"/>
      <c r="H1916" s="361"/>
      <c r="I1916" s="1634"/>
      <c r="K1916" s="5229"/>
      <c r="L1916" s="5232"/>
      <c r="M1916" s="5233"/>
      <c r="N1916" s="361"/>
      <c r="O1916" s="1969"/>
    </row>
    <row r="1917" spans="1:30" ht="12.75" customHeight="1">
      <c r="A1917" s="1886">
        <v>1917</v>
      </c>
      <c r="B1917" s="5250"/>
      <c r="C1917" s="520" t="str">
        <f>IF(Ki!$P$24="-",", "&amp;Ki!$M$24,"")</f>
        <v/>
      </c>
      <c r="D1917" s="67"/>
      <c r="E1917" s="68"/>
      <c r="G1917" s="3248" t="s">
        <v>912</v>
      </c>
      <c r="H1917" s="3249"/>
      <c r="I1917" s="3249"/>
      <c r="J1917" s="3250"/>
      <c r="K1917" s="5228" t="s">
        <v>7877</v>
      </c>
      <c r="L1917" s="5228" t="s">
        <v>1751</v>
      </c>
      <c r="M1917" s="5228" t="s">
        <v>10208</v>
      </c>
      <c r="N1917" s="5228" t="s">
        <v>7859</v>
      </c>
      <c r="O1917" s="5228" t="s">
        <v>10217</v>
      </c>
      <c r="P1917" s="5228" t="s">
        <v>10213</v>
      </c>
      <c r="Q1917" s="5228" t="s">
        <v>10214</v>
      </c>
      <c r="R1917" s="5228" t="s">
        <v>10212</v>
      </c>
      <c r="S1917" s="5228" t="s">
        <v>10209</v>
      </c>
      <c r="T1917" s="5228" t="s">
        <v>10216</v>
      </c>
      <c r="U1917" s="5228" t="s">
        <v>10219</v>
      </c>
      <c r="V1917" s="5228" t="s">
        <v>10215</v>
      </c>
      <c r="W1917" s="5228" t="s">
        <v>10218</v>
      </c>
      <c r="X1917" s="5228" t="s">
        <v>10210</v>
      </c>
      <c r="Y1917" s="5242" t="s">
        <v>7861</v>
      </c>
      <c r="Z1917" s="5243"/>
      <c r="AA1917" s="5242" t="s">
        <v>7875</v>
      </c>
      <c r="AB1917" s="5243"/>
      <c r="AC1917" s="5322" t="s">
        <v>7879</v>
      </c>
      <c r="AD1917" s="5322" t="s">
        <v>1509</v>
      </c>
    </row>
    <row r="1918" spans="1:30" ht="12.75" customHeight="1" thickBot="1">
      <c r="A1918" s="1886">
        <v>1918</v>
      </c>
      <c r="B1918" s="5250"/>
      <c r="C1918" s="520" t="str">
        <f>IF(Ki!$P$25="-",", "&amp;Ki!$L$25,"")</f>
        <v/>
      </c>
      <c r="D1918" s="67"/>
      <c r="E1918" s="68"/>
      <c r="G1918" s="5197"/>
      <c r="H1918" s="5347"/>
      <c r="I1918" s="5347"/>
      <c r="J1918" s="5376"/>
      <c r="K1918" s="5234"/>
      <c r="L1918" s="5234"/>
      <c r="M1918" s="5234"/>
      <c r="N1918" s="5234"/>
      <c r="O1918" s="5234"/>
      <c r="P1918" s="5234"/>
      <c r="Q1918" s="5234"/>
      <c r="R1918" s="5234"/>
      <c r="S1918" s="5234"/>
      <c r="T1918" s="5234"/>
      <c r="U1918" s="5234"/>
      <c r="V1918" s="5234"/>
      <c r="W1918" s="5234"/>
      <c r="X1918" s="5234"/>
      <c r="Y1918" s="3096" t="s">
        <v>7873</v>
      </c>
      <c r="Z1918" s="3097" t="s">
        <v>7874</v>
      </c>
      <c r="AA1918" s="5244"/>
      <c r="AB1918" s="5245"/>
      <c r="AC1918" s="5323"/>
      <c r="AD1918" s="5323"/>
    </row>
    <row r="1919" spans="1:30" ht="12.75" customHeight="1">
      <c r="A1919" s="1886">
        <v>1919</v>
      </c>
      <c r="B1919" s="5250"/>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10152</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419" t="s">
        <v>8719</v>
      </c>
      <c r="AD1919" s="3099">
        <f>Principal!O22</f>
        <v>0</v>
      </c>
    </row>
    <row r="1920" spans="1:30" ht="12.75" customHeight="1">
      <c r="A1920" s="1886">
        <v>1920</v>
      </c>
      <c r="B1920" s="5250"/>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10153</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419"/>
      <c r="AD1920" s="3099">
        <f>Principal!O23</f>
        <v>0</v>
      </c>
    </row>
    <row r="1921" spans="1:30" ht="12.75" customHeight="1">
      <c r="A1921" s="1886">
        <v>1921</v>
      </c>
      <c r="B1921" s="5250"/>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10154</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419"/>
      <c r="AD1921" s="3099">
        <f>Principal!O24</f>
        <v>0</v>
      </c>
    </row>
    <row r="1922" spans="1:30" ht="12.75" customHeight="1">
      <c r="A1922" s="1886">
        <v>1922</v>
      </c>
      <c r="B1922" s="5250"/>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10155</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419"/>
      <c r="AD1922" s="3099">
        <f>Principal!O25</f>
        <v>0</v>
      </c>
    </row>
    <row r="1923" spans="1:30" ht="12.75" customHeight="1">
      <c r="A1923" s="1886">
        <v>1923</v>
      </c>
      <c r="B1923" s="5250"/>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10156</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419"/>
      <c r="AD1923" s="3099">
        <f>Principal!O26</f>
        <v>0</v>
      </c>
    </row>
    <row r="1924" spans="1:30" ht="12.75" customHeight="1">
      <c r="A1924" s="1886">
        <v>1924</v>
      </c>
      <c r="B1924" s="5250"/>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10157</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419"/>
      <c r="AD1924" s="3099">
        <f>Principal!O27</f>
        <v>0</v>
      </c>
    </row>
    <row r="1925" spans="1:30" ht="12.75" customHeight="1">
      <c r="A1925" s="1886">
        <v>1925</v>
      </c>
      <c r="B1925" s="5250"/>
      <c r="C1925" s="520" t="str">
        <f>IF(Ki!$P$32="-",", "&amp;Ki!$K$32,"")</f>
        <v/>
      </c>
      <c r="D1925" s="67"/>
      <c r="E1925" s="68"/>
      <c r="G1925" s="1672" t="str">
        <f t="shared" si="150"/>
        <v/>
      </c>
      <c r="H1925" s="67"/>
      <c r="I1925" s="67"/>
      <c r="J1925" s="1679"/>
      <c r="K1925" s="2147" t="b">
        <f>AND(NOT(Pilotar_final="-"),OR(PDs!T132&gt;4,PDs!W132&gt;0,PDs!X132&gt;0,$G$303&gt;0))</f>
        <v>0</v>
      </c>
      <c r="L1925" s="1683" t="s">
        <v>7752</v>
      </c>
      <c r="M1925" s="1682" t="s">
        <v>10158</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419"/>
      <c r="AD1925" s="3099">
        <f>Principal!O28</f>
        <v>0</v>
      </c>
    </row>
    <row r="1926" spans="1:30" ht="12.75" customHeight="1">
      <c r="A1926" s="1886">
        <v>1926</v>
      </c>
      <c r="B1926" s="5250"/>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10159</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419"/>
      <c r="AD1926" s="3099">
        <f>Principal!O29</f>
        <v>0</v>
      </c>
    </row>
    <row r="1927" spans="1:30" ht="12.75" customHeight="1">
      <c r="A1927" s="1886">
        <v>1927</v>
      </c>
      <c r="B1927" s="5250"/>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10160</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419"/>
      <c r="AD1927" s="3099">
        <f>Principal!O30</f>
        <v>0</v>
      </c>
    </row>
    <row r="1928" spans="1:30" ht="12.75" customHeight="1">
      <c r="A1928" s="1886">
        <v>1928</v>
      </c>
      <c r="B1928" s="5250"/>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10161</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419"/>
      <c r="AD1928" s="3099">
        <f>Principal!O31</f>
        <v>0</v>
      </c>
    </row>
    <row r="1929" spans="1:30" ht="12.75" customHeight="1">
      <c r="A1929" s="1886">
        <v>1929</v>
      </c>
      <c r="B1929" s="5250"/>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10162</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419"/>
      <c r="AD1929" s="3099">
        <f>Principal!O32</f>
        <v>0</v>
      </c>
    </row>
    <row r="1930" spans="1:30" ht="12.75" customHeight="1">
      <c r="A1930" s="1886">
        <v>1930</v>
      </c>
      <c r="B1930" s="5250"/>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10163</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419"/>
      <c r="AD1930" s="3099">
        <f>Principal!O33</f>
        <v>0</v>
      </c>
    </row>
    <row r="1931" spans="1:30" ht="12.75" customHeight="1">
      <c r="A1931" s="1886">
        <v>1931</v>
      </c>
      <c r="B1931" s="5250"/>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10164</v>
      </c>
      <c r="N1931" s="1685" t="str">
        <f>IF(PDs!I138=0,"",L1931&amp;" ("&amp;PDs!I138&amp;")")</f>
        <v/>
      </c>
      <c r="O1931" s="1688" t="e">
        <f>LEFT(PDs!AG138,2)+LEFT(PDs!AH138,2)</f>
        <v>#N/A</v>
      </c>
      <c r="P1931" s="1688" t="str">
        <f>IF(PDs!AI138,MID(PDs!AH138,4,25)&amp;MID(PDs!AG138,4,25),"")</f>
        <v/>
      </c>
      <c r="Q1931" s="2986">
        <v>40</v>
      </c>
      <c r="R1931" s="1687" t="s">
        <v>7878</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419"/>
      <c r="AD1931" s="3099">
        <f>Principal!O34</f>
        <v>0</v>
      </c>
    </row>
    <row r="1932" spans="1:30" ht="12.75" customHeight="1">
      <c r="A1932" s="1886">
        <v>1932</v>
      </c>
      <c r="B1932" s="5250"/>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10165</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419"/>
      <c r="AD1932" s="3099">
        <f>Principal!O35</f>
        <v>0</v>
      </c>
    </row>
    <row r="1933" spans="1:30" ht="12.75" customHeight="1">
      <c r="A1933" s="1886">
        <v>1933</v>
      </c>
      <c r="B1933" s="5250"/>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10166</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419"/>
      <c r="AD1933" s="3099">
        <f>Principal!O36</f>
        <v>0</v>
      </c>
    </row>
    <row r="1934" spans="1:30" ht="12.75" customHeight="1">
      <c r="A1934" s="1886">
        <v>1934</v>
      </c>
      <c r="B1934" s="5250"/>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10167</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419"/>
      <c r="AD1934" s="3099">
        <f>Principal!O37</f>
        <v>0</v>
      </c>
    </row>
    <row r="1935" spans="1:30" ht="12.75" customHeight="1">
      <c r="A1935" s="1886">
        <v>1935</v>
      </c>
      <c r="B1935" s="5250"/>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10168</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419"/>
      <c r="AD1935" s="3099">
        <f>Principal!O38</f>
        <v>0</v>
      </c>
    </row>
    <row r="1936" spans="1:30" ht="12.75" customHeight="1">
      <c r="A1936" s="1886">
        <v>1936</v>
      </c>
      <c r="B1936" s="5250"/>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10169</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419"/>
      <c r="AD1936" s="3099">
        <f>Principal!O39</f>
        <v>0</v>
      </c>
    </row>
    <row r="1937" spans="1:30" ht="12.75" customHeight="1">
      <c r="A1937" s="1886">
        <v>1937</v>
      </c>
      <c r="B1937" s="5250"/>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10170</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419"/>
      <c r="AD1937" s="3099">
        <f>Principal!O40</f>
        <v>0</v>
      </c>
    </row>
    <row r="1938" spans="1:30" ht="12.75" customHeight="1">
      <c r="A1938" s="1886">
        <v>1938</v>
      </c>
      <c r="B1938" s="5250"/>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10171</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419"/>
      <c r="AD1938" s="3099">
        <f>Principal!O41</f>
        <v>0</v>
      </c>
    </row>
    <row r="1939" spans="1:30" ht="12.75" customHeight="1">
      <c r="A1939" s="1886">
        <v>1939</v>
      </c>
      <c r="B1939" s="5250"/>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10172</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419"/>
      <c r="AD1939" s="3099">
        <f>Principal!O42</f>
        <v>0</v>
      </c>
    </row>
    <row r="1940" spans="1:30" ht="12.75" customHeight="1">
      <c r="A1940" s="1886">
        <v>1940</v>
      </c>
      <c r="B1940" s="5250"/>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10173</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419"/>
      <c r="AD1940" s="3099">
        <f>Principal!O43</f>
        <v>0</v>
      </c>
    </row>
    <row r="1941" spans="1:30" ht="12.75" customHeight="1">
      <c r="A1941" s="1886">
        <v>1941</v>
      </c>
      <c r="B1941" s="5250"/>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10174</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419"/>
      <c r="AD1941" s="3099">
        <f>Principal!O44</f>
        <v>0</v>
      </c>
    </row>
    <row r="1942" spans="1:30" ht="12.75" customHeight="1">
      <c r="A1942" s="1886">
        <v>1942</v>
      </c>
      <c r="B1942" s="5250"/>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10175</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419"/>
      <c r="AD1942" s="3099">
        <f>Principal!O45</f>
        <v>0</v>
      </c>
    </row>
    <row r="1943" spans="1:30" ht="12.75" customHeight="1">
      <c r="A1943" s="1886">
        <v>1943</v>
      </c>
      <c r="B1943" s="5250"/>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10176</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419"/>
      <c r="AD1943" s="3099">
        <f>Principal!O46</f>
        <v>0</v>
      </c>
    </row>
    <row r="1944" spans="1:30" ht="12.75" customHeight="1">
      <c r="A1944" s="1886">
        <v>1944</v>
      </c>
      <c r="B1944" s="5250"/>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10177</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419"/>
      <c r="AD1944" s="3099">
        <f>Principal!O47</f>
        <v>0</v>
      </c>
    </row>
    <row r="1945" spans="1:30" ht="12.75" customHeight="1">
      <c r="A1945" s="1886">
        <v>1945</v>
      </c>
      <c r="B1945" s="5250"/>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10178</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419"/>
      <c r="AD1945" s="3099">
        <f>Principal!O48</f>
        <v>0</v>
      </c>
    </row>
    <row r="1946" spans="1:30" ht="12.75" customHeight="1">
      <c r="A1946" s="1886">
        <v>1946</v>
      </c>
      <c r="B1946" s="5250"/>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10179</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419"/>
      <c r="AD1946" s="3099">
        <f>Principal!O49</f>
        <v>0</v>
      </c>
    </row>
    <row r="1947" spans="1:30" ht="12.75" customHeight="1">
      <c r="A1947" s="1886">
        <v>1947</v>
      </c>
      <c r="B1947" s="5250"/>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10180</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419"/>
      <c r="AD1947" s="3099">
        <f>Principal!O50</f>
        <v>0</v>
      </c>
    </row>
    <row r="1948" spans="1:30" ht="12.75" customHeight="1">
      <c r="A1948" s="1886">
        <v>1948</v>
      </c>
      <c r="B1948" s="5250"/>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10181</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419"/>
      <c r="AD1948" s="3099">
        <f>Principal!O51</f>
        <v>0</v>
      </c>
    </row>
    <row r="1949" spans="1:30" ht="12.75" customHeight="1">
      <c r="A1949" s="1886">
        <v>1949</v>
      </c>
      <c r="B1949" s="5250"/>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10182</v>
      </c>
      <c r="N1949" s="1681" t="str">
        <f>IF(PDs!I156=0,"",L1949&amp;" ("&amp;PDs!I156&amp;")")</f>
        <v/>
      </c>
      <c r="O1949" s="1684" t="e">
        <f>LEFT(PDs!AG156,2)+LEFT(PDs!AH156,2)</f>
        <v>#N/A</v>
      </c>
      <c r="P1949" s="1684" t="str">
        <f>IF(PDs!AI156,MID(PDs!AH156,4,25)&amp;MID(PDs!AG156,4,25),"")</f>
        <v/>
      </c>
      <c r="Q1949" s="2985"/>
      <c r="R1949" s="2985"/>
      <c r="S1949" s="1684">
        <f t="shared" ca="1" si="161"/>
        <v>-25</v>
      </c>
      <c r="T1949" s="1684" t="str">
        <f t="shared" si="162"/>
        <v/>
      </c>
      <c r="U1949" s="1684" t="str">
        <f t="shared" si="160"/>
        <v/>
      </c>
      <c r="V1949" s="2985" t="str">
        <f t="shared" si="156"/>
        <v/>
      </c>
      <c r="W1949" s="1684" t="str">
        <f t="shared" si="154"/>
        <v/>
      </c>
      <c r="X1949" s="1684" t="str">
        <f t="shared" ca="1" si="157"/>
        <v>P. Fuerza -25</v>
      </c>
      <c r="Y1949" s="1683">
        <f t="shared" si="159"/>
        <v>36</v>
      </c>
      <c r="Z1949" s="1683" t="str">
        <f t="shared" si="155"/>
        <v/>
      </c>
      <c r="AA1949" s="1683">
        <f t="shared" si="158"/>
        <v>0</v>
      </c>
      <c r="AB1949" s="3098">
        <f>SUM($AA$1920:AA1949)</f>
        <v>0</v>
      </c>
      <c r="AC1949" s="5419"/>
      <c r="AD1949" s="3099">
        <f>Principal!O52</f>
        <v>0</v>
      </c>
    </row>
    <row r="1950" spans="1:30" ht="12.75" customHeight="1">
      <c r="A1950" s="1886">
        <v>1950</v>
      </c>
      <c r="B1950" s="5250"/>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10183</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419"/>
      <c r="AD1950" s="3099">
        <f>Principal!O53</f>
        <v>0</v>
      </c>
    </row>
    <row r="1951" spans="1:30" ht="12.75" customHeight="1">
      <c r="A1951" s="1886">
        <v>1951</v>
      </c>
      <c r="B1951" s="5250"/>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10184</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419"/>
      <c r="AD1951" s="3099">
        <f>Principal!O54</f>
        <v>0</v>
      </c>
    </row>
    <row r="1952" spans="1:30" ht="12.75" customHeight="1">
      <c r="A1952" s="1886">
        <v>1952</v>
      </c>
      <c r="B1952" s="5250"/>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10185</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419"/>
      <c r="AD1952" s="3099">
        <f>Principal!O55</f>
        <v>0</v>
      </c>
    </row>
    <row r="1953" spans="1:30" ht="12.75" customHeight="1">
      <c r="A1953" s="1886">
        <v>1953</v>
      </c>
      <c r="B1953" s="5250"/>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10186</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419"/>
      <c r="AD1953" s="3099">
        <f>Principal!O56</f>
        <v>0</v>
      </c>
    </row>
    <row r="1954" spans="1:30" ht="12.75" customHeight="1">
      <c r="A1954" s="1886">
        <v>1954</v>
      </c>
      <c r="B1954" s="5250"/>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10187</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419"/>
      <c r="AD1954" s="3099">
        <f>Principal!O57</f>
        <v>0</v>
      </c>
    </row>
    <row r="1955" spans="1:30" ht="12.75" customHeight="1">
      <c r="A1955" s="1886">
        <v>1955</v>
      </c>
      <c r="B1955" s="5250"/>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10188</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419"/>
      <c r="AD1955" s="3099">
        <f>Principal!O58</f>
        <v>0</v>
      </c>
    </row>
    <row r="1956" spans="1:30" ht="12.75" customHeight="1">
      <c r="A1956" s="1886">
        <v>1956</v>
      </c>
      <c r="B1956" s="5250"/>
      <c r="C1956" s="520"/>
      <c r="D1956" s="67"/>
      <c r="E1956" s="68"/>
      <c r="G1956" s="1672" t="str">
        <f t="shared" si="163"/>
        <v/>
      </c>
      <c r="H1956" s="67"/>
      <c r="I1956" s="67"/>
      <c r="J1956" s="1679"/>
      <c r="K1956" s="2147" t="b">
        <f>AND(NOT(Trampería_final="-"),OR(PDs!T163&gt;4,PDs!W163&gt;0,PDs!X163&gt;0,$G$303&gt;0))</f>
        <v>0</v>
      </c>
      <c r="L1956" s="1683" t="s">
        <v>1778</v>
      </c>
      <c r="M1956" s="1682" t="s">
        <v>10189</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419"/>
      <c r="AD1956" s="3099">
        <f>Principal!O59</f>
        <v>0</v>
      </c>
    </row>
    <row r="1957" spans="1:30" ht="12.75" customHeight="1">
      <c r="A1957" s="1886">
        <v>1957</v>
      </c>
      <c r="B1957" s="5250"/>
      <c r="C1957" s="520"/>
      <c r="D1957" s="67"/>
      <c r="E1957" s="68"/>
      <c r="G1957" s="1672" t="str">
        <f t="shared" si="163"/>
        <v/>
      </c>
      <c r="H1957" s="67"/>
      <c r="I1957" s="67"/>
      <c r="J1957" s="1679"/>
      <c r="K1957" s="2147" t="b">
        <f>AND(NOT(Venenos_final="-"),OR(PDs!T164&gt;4,PDs!W164&gt;0,PDs!X164&gt;0,$G$303&gt;0))</f>
        <v>0</v>
      </c>
      <c r="L1957" s="1683" t="s">
        <v>1779</v>
      </c>
      <c r="M1957" s="1682" t="s">
        <v>10190</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419"/>
      <c r="AD1957" s="3099">
        <f>Principal!O60</f>
        <v>0</v>
      </c>
    </row>
    <row r="1958" spans="1:30" ht="12.75" customHeight="1">
      <c r="A1958" s="1886">
        <v>1958</v>
      </c>
      <c r="B1958" s="5250"/>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10191</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419"/>
      <c r="AD1958" s="3099">
        <f>Principal!O61</f>
        <v>0</v>
      </c>
    </row>
    <row r="1959" spans="1:30" ht="12.75" customHeight="1">
      <c r="A1959" s="1886">
        <v>1959</v>
      </c>
      <c r="B1959" s="5250"/>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10192</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419"/>
      <c r="AD1959" s="3099">
        <f>Principal!O62</f>
        <v>0</v>
      </c>
    </row>
    <row r="1960" spans="1:30" ht="12.75" customHeight="1">
      <c r="A1960" s="1886">
        <v>1960</v>
      </c>
      <c r="B1960" s="5250"/>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10193</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419"/>
      <c r="AD1960" s="3099">
        <f>Principal!O63</f>
        <v>0</v>
      </c>
    </row>
    <row r="1961" spans="1:30" ht="12.75" customHeight="1">
      <c r="A1961" s="1886">
        <v>1961</v>
      </c>
      <c r="B1961" s="5250"/>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10194</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419"/>
      <c r="AD1961" s="3099">
        <f>Principal!O64</f>
        <v>0</v>
      </c>
    </row>
    <row r="1962" spans="1:30" ht="12.75" customHeight="1">
      <c r="A1962" s="1886">
        <v>1962</v>
      </c>
      <c r="B1962" s="5250"/>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10195</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419"/>
      <c r="AD1962" s="3099">
        <f>Principal!O65</f>
        <v>0</v>
      </c>
    </row>
    <row r="1963" spans="1:30" ht="12.75" customHeight="1">
      <c r="A1963" s="1886">
        <v>1963</v>
      </c>
      <c r="B1963" s="5250"/>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10196</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419"/>
      <c r="AD1963" s="3099">
        <f>Principal!O66</f>
        <v>0</v>
      </c>
    </row>
    <row r="1964" spans="1:30" ht="12.75" customHeight="1">
      <c r="A1964" s="1886">
        <v>1964</v>
      </c>
      <c r="B1964" s="5250"/>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10197</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419"/>
      <c r="AD1964" s="3099">
        <f>Principal!O67</f>
        <v>0</v>
      </c>
    </row>
    <row r="1965" spans="1:30" ht="12.75" customHeight="1">
      <c r="A1965" s="1886">
        <v>1965</v>
      </c>
      <c r="B1965" s="5250"/>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10198</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419"/>
      <c r="AD1965" s="3099">
        <f>Principal!O68</f>
        <v>0</v>
      </c>
    </row>
    <row r="1966" spans="1:30" ht="12.75" customHeight="1">
      <c r="A1966" s="1886">
        <v>1966</v>
      </c>
      <c r="B1966" s="5250"/>
      <c r="C1966" s="520" t="str">
        <f>IF(Ki!$H$52="-",", "&amp;Ki!$D$52,"")</f>
        <v/>
      </c>
      <c r="D1966" s="67"/>
      <c r="E1966" s="68"/>
      <c r="G1966" s="1672" t="str">
        <f t="shared" si="163"/>
        <v/>
      </c>
      <c r="H1966" s="67"/>
      <c r="I1966" s="67"/>
      <c r="J1966" s="1679"/>
      <c r="K1966" s="2147" t="b">
        <f>AND(NOT(Caligrafíaritual_final="-"),OR(PDs!T173&gt;4,PDs!W173&gt;0,PDs!X173&gt;0,$G$303&gt;0))</f>
        <v>0</v>
      </c>
      <c r="L1966" s="1683" t="s">
        <v>7753</v>
      </c>
      <c r="M1966" s="1682" t="s">
        <v>10199</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419"/>
      <c r="AD1966" s="3099">
        <f>Principal!O69</f>
        <v>0</v>
      </c>
    </row>
    <row r="1967" spans="1:30" ht="12.75" customHeight="1">
      <c r="A1967" s="1886">
        <v>1967</v>
      </c>
      <c r="B1967" s="5250"/>
      <c r="C1967" s="520" t="str">
        <f>IF(Ki!$H$53="-",", "&amp;Ki!$C$53,"")</f>
        <v/>
      </c>
      <c r="D1967" s="67"/>
      <c r="E1967" s="68"/>
      <c r="G1967" s="1672" t="str">
        <f t="shared" si="163"/>
        <v/>
      </c>
      <c r="H1967" s="67"/>
      <c r="I1967" s="67"/>
      <c r="J1967" s="1679"/>
      <c r="K1967" s="2148" t="b">
        <f>AND(NOT(Orfebrería_final="-"),OR(PDs!T174&gt;4,PDs!W174&gt;0,PDs!X174&gt;0,$G$303&gt;0))</f>
        <v>0</v>
      </c>
      <c r="L1967" s="1687" t="s">
        <v>7754</v>
      </c>
      <c r="M1967" s="1686" t="s">
        <v>10200</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419"/>
      <c r="AD1967" s="3099">
        <f>Principal!O70</f>
        <v>0</v>
      </c>
    </row>
    <row r="1968" spans="1:30" ht="12.75" customHeight="1">
      <c r="A1968" s="1886">
        <v>1968</v>
      </c>
      <c r="B1968" s="5250"/>
      <c r="C1968" s="520" t="str">
        <f>IF(Ki!$H$54="-",", "&amp;Ki!$C$54,"")</f>
        <v/>
      </c>
      <c r="D1968" s="67"/>
      <c r="E1968" s="68"/>
      <c r="G1968" s="1672" t="str">
        <f t="shared" si="163"/>
        <v/>
      </c>
      <c r="H1968" s="67"/>
      <c r="I1968" s="67"/>
      <c r="J1968" s="1679"/>
      <c r="K1968" s="2147" t="b">
        <f>AND(NOT(Confección_final="-"),OR(PDs!T175&gt;4,PDs!W175&gt;0,PDs!X175&gt;0,$G$303&gt;0))</f>
        <v>0</v>
      </c>
      <c r="L1968" s="1683" t="s">
        <v>7755</v>
      </c>
      <c r="M1968" s="1682" t="s">
        <v>10201</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419"/>
      <c r="AD1968" s="3099">
        <f>Principal!O71</f>
        <v>0</v>
      </c>
    </row>
    <row r="1969" spans="1:30" ht="12.75" customHeight="1">
      <c r="A1969" s="1886">
        <v>1969</v>
      </c>
      <c r="B1969" s="5250"/>
      <c r="C1969" s="520" t="str">
        <f>IF(CuerpodeVacío,", "&amp;Ki!$C$56,"")</f>
        <v/>
      </c>
      <c r="D1969" s="67"/>
      <c r="E1969" s="68"/>
      <c r="G1969" s="1672" t="str">
        <f t="shared" si="163"/>
        <v/>
      </c>
      <c r="H1969" s="67"/>
      <c r="I1969" s="67"/>
      <c r="J1969" s="1679"/>
      <c r="K1969" s="2147" t="b">
        <f>AND(NOT(Conf.marionetas_final="-"),OR(PDs!T176&gt;4,PDs!W176&gt;0,PDs!X176&gt;0,$G$303&gt;0))</f>
        <v>0</v>
      </c>
      <c r="L1969" s="1683" t="s">
        <v>7756</v>
      </c>
      <c r="M1969" s="1682" t="s">
        <v>10202</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419"/>
      <c r="AD1969" s="3099">
        <f>Principal!O72</f>
        <v>0</v>
      </c>
    </row>
    <row r="1970" spans="1:30" ht="12.75" customHeight="1">
      <c r="A1970" s="1886">
        <v>1970</v>
      </c>
      <c r="B1970" s="5250"/>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10203</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419"/>
      <c r="AD1970" s="3099">
        <f>Principal!O73</f>
        <v>0</v>
      </c>
    </row>
    <row r="1971" spans="1:30" ht="12.75" customHeight="1">
      <c r="A1971" s="1886">
        <v>1971</v>
      </c>
      <c r="B1971" s="5250"/>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10204</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419"/>
      <c r="AD1971" s="3099">
        <f>Principal!O74</f>
        <v>0</v>
      </c>
    </row>
    <row r="1972" spans="1:30" ht="12.75" customHeight="1">
      <c r="A1972" s="1886">
        <v>1972</v>
      </c>
      <c r="B1972" s="5250"/>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10205</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419"/>
      <c r="AD1972" s="3099">
        <f>Principal!O75</f>
        <v>0</v>
      </c>
    </row>
    <row r="1973" spans="1:30" ht="12.75" customHeight="1">
      <c r="A1973" s="1886">
        <v>1973</v>
      </c>
      <c r="B1973" s="5250"/>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10206</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419"/>
      <c r="AD1973" s="3099">
        <f>Principal!O76</f>
        <v>0</v>
      </c>
    </row>
    <row r="1974" spans="1:30" ht="12.75" customHeight="1" thickBot="1">
      <c r="A1974" s="1886">
        <v>1974</v>
      </c>
      <c r="B1974" s="5250"/>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10207</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420"/>
      <c r="AD1974" s="3102">
        <f>Principal!O77</f>
        <v>0</v>
      </c>
    </row>
    <row r="1975" spans="1:30" ht="12.75" customHeight="1">
      <c r="A1975" s="1886">
        <v>1975</v>
      </c>
      <c r="B1975" s="5250"/>
      <c r="C1975" s="520" t="str">
        <f>IF(Ki!$H$61="-",", "&amp;Ki!$C$61,"")</f>
        <v/>
      </c>
      <c r="D1975" s="67"/>
      <c r="E1975" s="68"/>
      <c r="H1975" s="361"/>
      <c r="I1975" s="1634"/>
      <c r="N1975" s="361"/>
      <c r="O1975" s="1969"/>
    </row>
    <row r="1976" spans="1:30" ht="12.75" customHeight="1">
      <c r="A1976" s="1886">
        <v>1976</v>
      </c>
      <c r="B1976" s="5250"/>
      <c r="C1976" s="520" t="str">
        <f>IF(Ki!$H$62="-",", "&amp;Ki!$C$62,"")</f>
        <v/>
      </c>
      <c r="D1976" s="67"/>
      <c r="E1976" s="68"/>
      <c r="H1976" s="361"/>
      <c r="I1976" s="1634"/>
      <c r="N1976" s="361"/>
      <c r="O1976" s="1969"/>
    </row>
    <row r="1977" spans="1:30" ht="12.75" customHeight="1">
      <c r="A1977" s="1886">
        <v>1977</v>
      </c>
      <c r="B1977" s="5250"/>
      <c r="C1977" s="520" t="str">
        <f>IF(Inhumanidad,", "&amp;"Inhumanidad","")</f>
        <v/>
      </c>
      <c r="D1977" s="67"/>
      <c r="E1977" s="68"/>
      <c r="H1977" s="361"/>
      <c r="I1977" s="1634"/>
      <c r="N1977" s="361"/>
      <c r="O1977" s="1969"/>
    </row>
    <row r="1978" spans="1:30" ht="12.75" customHeight="1" thickBot="1">
      <c r="A1978" s="1886">
        <v>1978</v>
      </c>
      <c r="B1978" s="5250"/>
      <c r="C1978" s="521" t="str">
        <f>IF(Zen,", "&amp;"Zen","")</f>
        <v/>
      </c>
      <c r="D1978" s="179"/>
      <c r="E1978" s="180"/>
      <c r="H1978" s="361"/>
      <c r="I1978" s="1634"/>
      <c r="N1978" s="361"/>
      <c r="O1978" s="1969"/>
    </row>
    <row r="1979" spans="1:30" ht="12.75" customHeight="1">
      <c r="A1979" s="1886">
        <v>1979</v>
      </c>
      <c r="B1979" s="5250"/>
      <c r="H1979" s="361"/>
      <c r="I1979" s="1634"/>
      <c r="N1979" s="361"/>
      <c r="O1979" s="1969"/>
    </row>
    <row r="1980" spans="1:30" ht="12.75" customHeight="1">
      <c r="A1980" s="1886">
        <v>1980</v>
      </c>
      <c r="B1980" s="5250"/>
      <c r="C1980" s="5347" t="s">
        <v>913</v>
      </c>
      <c r="D1980" s="5347"/>
      <c r="E1980" s="5347"/>
      <c r="F1980" s="5376"/>
      <c r="H1980" s="361"/>
      <c r="I1980" s="1634"/>
      <c r="N1980" s="361"/>
      <c r="O1980" s="1969"/>
    </row>
    <row r="1981" spans="1:30" ht="12.75" customHeight="1">
      <c r="A1981" s="1886">
        <v>1981</v>
      </c>
      <c r="B1981" s="5250"/>
      <c r="C1981" s="5410"/>
      <c r="D1981" s="5410"/>
      <c r="E1981" s="5410"/>
      <c r="F1981" s="4362"/>
      <c r="H1981" s="361"/>
      <c r="I1981" s="1634"/>
      <c r="N1981" s="361"/>
      <c r="O1981" s="1969"/>
    </row>
    <row r="1982" spans="1:30" ht="12.75" customHeight="1">
      <c r="A1982" s="1886">
        <v>1982</v>
      </c>
      <c r="B1982" s="5250"/>
      <c r="C1982" s="2193" t="s">
        <v>3062</v>
      </c>
      <c r="D1982" s="2138" t="s">
        <v>1674</v>
      </c>
      <c r="E1982" s="2137" t="s">
        <v>7874</v>
      </c>
      <c r="F1982" s="2139" t="s">
        <v>8685</v>
      </c>
      <c r="H1982" s="361"/>
      <c r="I1982" s="1634"/>
      <c r="N1982" s="361"/>
      <c r="O1982" s="1969"/>
    </row>
    <row r="1983" spans="1:30" ht="12.75" customHeight="1">
      <c r="A1983" s="1886">
        <v>1983</v>
      </c>
      <c r="B1983" s="5250"/>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34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c r="A1984" s="1886">
        <v>1984</v>
      </c>
      <c r="B1984" s="5250"/>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343"/>
      <c r="H1984" s="361"/>
      <c r="I1984" s="1634"/>
      <c r="N1984" s="361"/>
      <c r="O1984" s="1969"/>
    </row>
    <row r="1985" spans="1:31" ht="12.75" customHeight="1">
      <c r="A1985" s="1886">
        <v>1985</v>
      </c>
      <c r="B1985" s="5250"/>
      <c r="C1985" s="2190">
        <f t="shared" si="169"/>
        <v>2</v>
      </c>
      <c r="D1985" s="1672" t="str">
        <f>IF(Combate!AL13=" ","",Combate!AL13)</f>
        <v xml:space="preserve">Uso de arma mixta: </v>
      </c>
      <c r="E1985" s="2135" t="str">
        <f t="shared" si="170"/>
        <v xml:space="preserve">, Uso de arma similar: </v>
      </c>
      <c r="F1985" s="5343"/>
      <c r="H1985" s="3248" t="s">
        <v>8676</v>
      </c>
      <c r="I1985" s="3249"/>
      <c r="J1985" s="3249"/>
      <c r="K1985" s="3249"/>
      <c r="L1985" s="3249"/>
      <c r="M1985" s="3249"/>
      <c r="N1985" s="3249"/>
      <c r="O1985" s="3249"/>
      <c r="P1985" s="3249"/>
      <c r="Q1985" s="3249"/>
      <c r="R1985" s="3249"/>
      <c r="S1985" s="3249"/>
      <c r="T1985" s="3249"/>
      <c r="U1985" s="3249"/>
      <c r="V1985" s="3249"/>
      <c r="W1985" s="3249"/>
      <c r="X1985" s="3249"/>
      <c r="Y1985" s="3249"/>
      <c r="Z1985" s="3249"/>
      <c r="AA1985" s="3249"/>
      <c r="AB1985" s="3249"/>
      <c r="AC1985" s="3250"/>
    </row>
    <row r="1986" spans="1:31" ht="12.75" customHeight="1">
      <c r="A1986" s="1886">
        <v>1986</v>
      </c>
      <c r="B1986" s="5250"/>
      <c r="C1986" s="2190" t="str">
        <f t="shared" si="169"/>
        <v/>
      </c>
      <c r="D1986" s="1672" t="str">
        <f>IF(Combate!AL14=" ","",Combate!AL14)</f>
        <v/>
      </c>
      <c r="E1986" s="2135" t="str">
        <f t="shared" si="170"/>
        <v/>
      </c>
      <c r="F1986" s="5343"/>
      <c r="H1986" s="5197" t="s">
        <v>8675</v>
      </c>
      <c r="I1986" s="5347"/>
      <c r="J1986" s="4169" t="s">
        <v>8674</v>
      </c>
      <c r="K1986" s="4169"/>
      <c r="L1986" s="4169"/>
      <c r="M1986" s="4169"/>
      <c r="N1986" s="4169"/>
      <c r="O1986" s="4169"/>
      <c r="P1986" s="4169"/>
      <c r="Q1986" s="4169"/>
      <c r="R1986" s="4169"/>
      <c r="S1986" s="4169"/>
      <c r="T1986" s="4169"/>
      <c r="U1986" s="4169"/>
      <c r="V1986" s="4169"/>
      <c r="W1986" s="4169"/>
      <c r="X1986" s="4169"/>
      <c r="Y1986" s="4169"/>
      <c r="Z1986" s="4169"/>
      <c r="AA1986" s="4169"/>
      <c r="AB1986" s="4169"/>
      <c r="AC1986" s="4362"/>
    </row>
    <row r="1987" spans="1:31" ht="12.75" customHeight="1">
      <c r="A1987" s="1886">
        <v>1987</v>
      </c>
      <c r="B1987" s="5250"/>
      <c r="C1987" s="2190" t="str">
        <f t="shared" si="169"/>
        <v/>
      </c>
      <c r="D1987" s="1672" t="str">
        <f>IF(Combate!AL15=" ","",Combate!AL15)</f>
        <v/>
      </c>
      <c r="E1987" s="2135" t="str">
        <f t="shared" si="170"/>
        <v/>
      </c>
      <c r="F1987" s="5343"/>
      <c r="H1987" s="2144" t="s">
        <v>1674</v>
      </c>
      <c r="I1987" s="2571" t="s">
        <v>8684</v>
      </c>
      <c r="J1987" s="5348" t="str">
        <f>IF(ISNA(VLOOKUP(A1,$AD$1990:$AE$2017,2,FALSE)),"",VLOOKUP(A1,$AD$1990:$AE$2017,2,FALSE))</f>
        <v/>
      </c>
      <c r="K1987" s="5349"/>
      <c r="L1987" s="5349" t="str">
        <f>IF(ISNA(VLOOKUP(B1,$AD$1990:$AE$2017,2,FALSE)),"",VLOOKUP(B1,$AD$1990:$AE$2017,2,FALSE))</f>
        <v/>
      </c>
      <c r="M1987" s="5349"/>
      <c r="N1987" s="5349" t="str">
        <f>IF(ISNA(VLOOKUP(C1,$AD$1990:$AE$2017,2,FALSE)),"",VLOOKUP(C1,$AD$1990:$AE$2017,2,FALSE))</f>
        <v/>
      </c>
      <c r="O1987" s="5349"/>
      <c r="P1987" s="5349" t="str">
        <f>IF(ISNA(VLOOKUP(D1,$AD$1990:$AE$2017,2,FALSE)),"",VLOOKUP(D1,$AD$1990:$AE$2017,2,FALSE))</f>
        <v/>
      </c>
      <c r="Q1987" s="5349"/>
      <c r="R1987" s="5349" t="str">
        <f>IF(ISNA(VLOOKUP(E1,$AD$1990:$AE$2017,2,FALSE)),"",VLOOKUP(E1,$AD$1990:$AE$2017,2,FALSE))</f>
        <v/>
      </c>
      <c r="S1987" s="5349"/>
      <c r="T1987" s="5349" t="str">
        <f>IF(ISNA(VLOOKUP(F1,$AD$1990:$AE$2017,2,FALSE)),"",VLOOKUP(F1,$AD$1990:$AE$2017,2,FALSE))</f>
        <v/>
      </c>
      <c r="U1987" s="5349"/>
      <c r="V1987" s="5349" t="str">
        <f>IF(ISNA(VLOOKUP(G1,$AD$1990:$AE$2017,2,FALSE)),"",VLOOKUP(G1,$AD$1990:$AE$2017,2,FALSE))</f>
        <v/>
      </c>
      <c r="W1987" s="5349"/>
      <c r="X1987" s="5349" t="str">
        <f>IF(ISNA(VLOOKUP(H1,$AD$1990:$AE$2017,2,FALSE)),"",VLOOKUP(H1,$AD$1990:$AE$2017,2,FALSE))</f>
        <v/>
      </c>
      <c r="Y1987" s="5349"/>
      <c r="Z1987" s="5350" t="str">
        <f>IF(ISNA(VLOOKUP(I1,$AD$1990:$AE$2017,2,FALSE)),"",VLOOKUP(I1,$AD$1990:$AE$2017,2,FALSE))</f>
        <v/>
      </c>
      <c r="AA1987" s="5350"/>
      <c r="AB1987" s="5350" t="str">
        <f>IF(ISNA(VLOOKUP(J1,$AD$1990:$AE$2017,2,FALSE)),"",VLOOKUP(J1,$AD$1990:$AE$2017,2,FALSE))</f>
        <v/>
      </c>
      <c r="AC1987" s="5351"/>
    </row>
    <row r="1988" spans="1:31" ht="12.75" customHeight="1">
      <c r="A1988" s="1886">
        <v>1988</v>
      </c>
      <c r="B1988" s="5250"/>
      <c r="C1988" s="2190" t="str">
        <f t="shared" si="169"/>
        <v/>
      </c>
      <c r="D1988" s="2123" t="str">
        <f>IF(Combate!AL16=" ","",Combate!AL16)</f>
        <v/>
      </c>
      <c r="E1988" s="2135" t="str">
        <f t="shared" si="170"/>
        <v/>
      </c>
      <c r="F1988" s="5343"/>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03" t="s">
        <v>8684</v>
      </c>
      <c r="Z1988" s="3103" t="s">
        <v>1674</v>
      </c>
      <c r="AA1988" s="3103" t="s">
        <v>8684</v>
      </c>
      <c r="AB1988" s="3103" t="s">
        <v>1674</v>
      </c>
      <c r="AC1988" s="3104" t="s">
        <v>8684</v>
      </c>
      <c r="AD1988" s="5320" t="s">
        <v>8677</v>
      </c>
      <c r="AE1988" s="5321"/>
    </row>
    <row r="1989" spans="1:31" ht="12.75" customHeight="1">
      <c r="A1989" s="1886">
        <v>1989</v>
      </c>
      <c r="B1989" s="5250"/>
      <c r="C1989" s="2190" t="str">
        <f t="shared" si="169"/>
        <v/>
      </c>
      <c r="D1989" s="1672" t="str">
        <f>Combate!AB19</f>
        <v/>
      </c>
      <c r="E1989" s="2135" t="str">
        <f t="shared" si="170"/>
        <v/>
      </c>
      <c r="F1989" s="5343"/>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8678</v>
      </c>
    </row>
    <row r="1990" spans="1:31" ht="12.75" customHeight="1">
      <c r="A1990" s="1886">
        <v>1990</v>
      </c>
      <c r="B1990" s="5250"/>
      <c r="C1990" s="2190" t="str">
        <f t="shared" si="169"/>
        <v/>
      </c>
      <c r="D1990" s="1672" t="str">
        <f>Combate!AB20</f>
        <v/>
      </c>
      <c r="E1990" s="2135" t="str">
        <f t="shared" si="170"/>
        <v/>
      </c>
      <c r="F1990" s="5343"/>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c r="A1991" s="1886">
        <v>1991</v>
      </c>
      <c r="B1991" s="5250"/>
      <c r="C1991" s="2190" t="str">
        <f t="shared" si="169"/>
        <v/>
      </c>
      <c r="D1991" s="1672" t="str">
        <f>Combate!AB21</f>
        <v/>
      </c>
      <c r="E1991" s="2135" t="str">
        <f t="shared" si="170"/>
        <v/>
      </c>
      <c r="F1991" s="5343"/>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c r="A1992" s="1886">
        <v>1992</v>
      </c>
      <c r="B1992" s="5250"/>
      <c r="C1992" s="2190" t="str">
        <f t="shared" si="169"/>
        <v/>
      </c>
      <c r="D1992" s="1672" t="str">
        <f>Combate!AB22</f>
        <v/>
      </c>
      <c r="E1992" s="2135" t="str">
        <f t="shared" si="170"/>
        <v/>
      </c>
      <c r="F1992" s="5343"/>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c r="A1993" s="1886">
        <v>1993</v>
      </c>
      <c r="B1993" s="5250"/>
      <c r="C1993" s="2190" t="str">
        <f t="shared" si="169"/>
        <v/>
      </c>
      <c r="D1993" s="1672" t="str">
        <f>Combate!AB23</f>
        <v/>
      </c>
      <c r="E1993" s="2135" t="str">
        <f t="shared" si="170"/>
        <v/>
      </c>
      <c r="F1993" s="5343"/>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c r="A1994" s="1886">
        <v>1994</v>
      </c>
      <c r="B1994" s="5250"/>
      <c r="C1994" s="2190" t="str">
        <f t="shared" si="169"/>
        <v/>
      </c>
      <c r="D1994" s="1672" t="str">
        <f>Combate!AB24</f>
        <v/>
      </c>
      <c r="E1994" s="2135" t="str">
        <f t="shared" si="170"/>
        <v/>
      </c>
      <c r="F1994" s="5343"/>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c r="A1995" s="1886">
        <v>1995</v>
      </c>
      <c r="B1995" s="5250"/>
      <c r="C1995" s="2190" t="str">
        <f t="shared" si="169"/>
        <v/>
      </c>
      <c r="D1995" s="1672" t="str">
        <f>Combate!AB25</f>
        <v/>
      </c>
      <c r="E1995" s="2135" t="str">
        <f t="shared" si="170"/>
        <v/>
      </c>
      <c r="F1995" s="5343"/>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c r="A1996" s="1886">
        <v>1996</v>
      </c>
      <c r="B1996" s="5250"/>
      <c r="C1996" s="2190" t="str">
        <f t="shared" si="169"/>
        <v/>
      </c>
      <c r="D1996" s="1672" t="str">
        <f>Combate!AB26</f>
        <v/>
      </c>
      <c r="E1996" s="2135" t="str">
        <f t="shared" si="170"/>
        <v/>
      </c>
      <c r="F1996" s="5343"/>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c r="A1997" s="1886">
        <v>1997</v>
      </c>
      <c r="B1997" s="5250"/>
      <c r="C1997" s="2190" t="str">
        <f t="shared" si="169"/>
        <v/>
      </c>
      <c r="D1997" s="1672" t="str">
        <f>Combate!AB27</f>
        <v/>
      </c>
      <c r="E1997" s="2135" t="str">
        <f t="shared" si="170"/>
        <v/>
      </c>
      <c r="F1997" s="5343"/>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c r="A1998" s="1886">
        <v>1998</v>
      </c>
      <c r="B1998" s="5250"/>
      <c r="C1998" s="2190" t="str">
        <f t="shared" si="169"/>
        <v/>
      </c>
      <c r="D1998" s="2124" t="str">
        <f>Combate!AB28</f>
        <v/>
      </c>
      <c r="E1998" s="2135" t="str">
        <f t="shared" si="170"/>
        <v/>
      </c>
      <c r="F1998" s="5343"/>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c r="A1999" s="1886">
        <v>1999</v>
      </c>
      <c r="B1999" s="5250"/>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343"/>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c r="A2000" s="1886">
        <v>2000</v>
      </c>
      <c r="B2000" s="5250"/>
      <c r="C2000" s="2194" t="str">
        <f t="shared" si="237"/>
        <v/>
      </c>
      <c r="D2000" s="1672" t="str">
        <f>Combate!AB32</f>
        <v/>
      </c>
      <c r="E2000" s="2135" t="str">
        <f t="shared" si="170"/>
        <v/>
      </c>
      <c r="F2000" s="5343"/>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c r="A2001" s="1886">
        <v>2001</v>
      </c>
      <c r="B2001" s="5250"/>
      <c r="C2001" s="2194" t="str">
        <f t="shared" si="237"/>
        <v/>
      </c>
      <c r="D2001" s="1672" t="str">
        <f>Combate!AB33</f>
        <v/>
      </c>
      <c r="E2001" s="2135" t="str">
        <f t="shared" si="170"/>
        <v/>
      </c>
      <c r="F2001" s="5343"/>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c r="A2002" s="1886">
        <v>2002</v>
      </c>
      <c r="B2002" s="5250"/>
      <c r="C2002" s="2194" t="str">
        <f t="shared" si="237"/>
        <v/>
      </c>
      <c r="D2002" s="1672" t="str">
        <f>Combate!AB34</f>
        <v/>
      </c>
      <c r="E2002" s="2135" t="str">
        <f t="shared" si="170"/>
        <v/>
      </c>
      <c r="F2002" s="5343"/>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c r="A2003" s="1886">
        <v>2003</v>
      </c>
      <c r="B2003" s="5250"/>
      <c r="C2003" s="2194" t="str">
        <f t="shared" si="237"/>
        <v/>
      </c>
      <c r="D2003" s="1672" t="str">
        <f>Combate!AB35</f>
        <v/>
      </c>
      <c r="E2003" s="2135" t="str">
        <f t="shared" si="170"/>
        <v/>
      </c>
      <c r="F2003" s="5343"/>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c r="A2004" s="1886">
        <v>2004</v>
      </c>
      <c r="B2004" s="5250"/>
      <c r="C2004" s="2194" t="str">
        <f t="shared" si="237"/>
        <v/>
      </c>
      <c r="D2004" s="1672" t="str">
        <f>Combate!AB36</f>
        <v/>
      </c>
      <c r="E2004" s="2135" t="str">
        <f t="shared" si="170"/>
        <v/>
      </c>
      <c r="F2004" s="5343"/>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c r="A2005" s="1886">
        <v>2005</v>
      </c>
      <c r="B2005" s="5250"/>
      <c r="C2005" s="2194" t="str">
        <f t="shared" si="237"/>
        <v/>
      </c>
      <c r="D2005" s="1672" t="str">
        <f>Combate!AB37</f>
        <v/>
      </c>
      <c r="E2005" s="2135" t="str">
        <f t="shared" si="170"/>
        <v/>
      </c>
      <c r="F2005" s="5343"/>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c r="A2006" s="1886">
        <v>2006</v>
      </c>
      <c r="B2006" s="5250"/>
      <c r="C2006" s="2194" t="str">
        <f t="shared" si="237"/>
        <v/>
      </c>
      <c r="D2006" s="1672" t="str">
        <f>Combate!AB38</f>
        <v/>
      </c>
      <c r="E2006" s="2135" t="str">
        <f t="shared" si="170"/>
        <v/>
      </c>
      <c r="F2006" s="5343"/>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c r="A2007" s="1886">
        <v>2007</v>
      </c>
      <c r="B2007" s="5250"/>
      <c r="C2007" s="2194" t="str">
        <f t="shared" si="237"/>
        <v/>
      </c>
      <c r="D2007" s="1672" t="str">
        <f>Combate!AB39</f>
        <v/>
      </c>
      <c r="E2007" s="2135" t="str">
        <f t="shared" si="170"/>
        <v/>
      </c>
      <c r="F2007" s="5343"/>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c r="A2008" s="1886">
        <v>2008</v>
      </c>
      <c r="B2008" s="5250"/>
      <c r="C2008" s="2194" t="str">
        <f t="shared" si="237"/>
        <v/>
      </c>
      <c r="D2008" s="1672" t="str">
        <f>Combate!AB40</f>
        <v/>
      </c>
      <c r="E2008" s="2135" t="str">
        <f t="shared" si="170"/>
        <v/>
      </c>
      <c r="F2008" s="5343"/>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c r="A2009" s="1886">
        <v>2009</v>
      </c>
      <c r="B2009" s="5250"/>
      <c r="C2009" s="2194" t="str">
        <f t="shared" si="237"/>
        <v/>
      </c>
      <c r="D2009" s="1672" t="str">
        <f>Combate!AB41</f>
        <v/>
      </c>
      <c r="E2009" s="2135" t="str">
        <f t="shared" si="170"/>
        <v/>
      </c>
      <c r="F2009" s="5343"/>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c r="A2010" s="1886">
        <v>2010</v>
      </c>
      <c r="B2010" s="5250"/>
      <c r="C2010" s="2194" t="str">
        <f t="shared" si="237"/>
        <v/>
      </c>
      <c r="D2010" s="1672" t="str">
        <f>Combate!AB42</f>
        <v/>
      </c>
      <c r="E2010" s="2135" t="str">
        <f t="shared" si="170"/>
        <v/>
      </c>
      <c r="F2010" s="5343"/>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c r="A2011" s="1886">
        <v>2011</v>
      </c>
      <c r="B2011" s="5250"/>
      <c r="C2011" s="2194" t="str">
        <f t="shared" si="237"/>
        <v/>
      </c>
      <c r="D2011" s="1672" t="str">
        <f>Combate!AB43</f>
        <v/>
      </c>
      <c r="E2011" s="2135" t="str">
        <f t="shared" si="170"/>
        <v/>
      </c>
      <c r="F2011" s="5343"/>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c r="A2012" s="1886">
        <v>2012</v>
      </c>
      <c r="B2012" s="5250"/>
      <c r="C2012" s="2194" t="str">
        <f t="shared" si="237"/>
        <v/>
      </c>
      <c r="D2012" s="1672" t="str">
        <f>Combate!AB44</f>
        <v/>
      </c>
      <c r="E2012" s="2135" t="str">
        <f t="shared" si="170"/>
        <v/>
      </c>
      <c r="F2012" s="5343"/>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c r="A2013" s="1886">
        <v>2013</v>
      </c>
      <c r="B2013" s="5250"/>
      <c r="C2013" s="2194" t="str">
        <f t="shared" si="237"/>
        <v/>
      </c>
      <c r="D2013" s="1672" t="str">
        <f>Combate!AB45</f>
        <v/>
      </c>
      <c r="E2013" s="2135" t="str">
        <f t="shared" si="170"/>
        <v/>
      </c>
      <c r="F2013" s="5343"/>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c r="A2014" s="1886">
        <v>2014</v>
      </c>
      <c r="B2014" s="5250"/>
      <c r="C2014" s="2194" t="str">
        <f t="shared" si="237"/>
        <v/>
      </c>
      <c r="D2014" s="1672" t="str">
        <f>Combate!AB46</f>
        <v/>
      </c>
      <c r="E2014" s="2135" t="str">
        <f t="shared" si="170"/>
        <v/>
      </c>
      <c r="F2014" s="5343"/>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c r="A2015" s="1886">
        <v>2015</v>
      </c>
      <c r="B2015" s="5250"/>
      <c r="C2015" s="2194" t="str">
        <f t="shared" si="237"/>
        <v/>
      </c>
      <c r="D2015" s="1672" t="str">
        <f>Combate!AB47</f>
        <v/>
      </c>
      <c r="E2015" s="2135" t="str">
        <f t="shared" si="170"/>
        <v/>
      </c>
      <c r="F2015" s="5343"/>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c r="A2016" s="1886">
        <v>2016</v>
      </c>
      <c r="B2016" s="5250"/>
      <c r="C2016" s="2194" t="str">
        <f t="shared" si="237"/>
        <v/>
      </c>
      <c r="D2016" s="1672" t="str">
        <f>Combate!AB48</f>
        <v/>
      </c>
      <c r="E2016" s="2135" t="str">
        <f t="shared" si="170"/>
        <v/>
      </c>
      <c r="F2016" s="5343"/>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c r="A2017" s="1886">
        <v>2017</v>
      </c>
      <c r="B2017" s="5250"/>
      <c r="C2017" s="2194" t="str">
        <f t="shared" si="237"/>
        <v/>
      </c>
      <c r="D2017" s="1672" t="str">
        <f>Combate!AB49</f>
        <v/>
      </c>
      <c r="E2017" s="2135" t="str">
        <f t="shared" si="170"/>
        <v/>
      </c>
      <c r="F2017" s="5343"/>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c r="A2018" s="1886">
        <v>2018</v>
      </c>
      <c r="B2018" s="5250"/>
      <c r="C2018" s="2190" t="str">
        <f t="shared" ref="C2018:C2025" si="390">IF(D2018="","",COUNTIF($D$1983:$D$2025,"&lt;="&amp;D2018)-SUMPRODUCT(--($D$1983:$D$2025="")))</f>
        <v/>
      </c>
      <c r="D2018" s="1672" t="str">
        <f>Combate!AB50</f>
        <v/>
      </c>
      <c r="E2018" s="2135" t="str">
        <f t="shared" si="170"/>
        <v/>
      </c>
      <c r="F2018" s="5343"/>
      <c r="H2018" s="5345" t="str">
        <f>I1988&amp;I1989&amp;I1990&amp;I1991&amp;I1992&amp;I1993&amp;I1994&amp;I1995&amp;I1996&amp;I1997&amp;I1998&amp;I1999&amp;I2000&amp;I2001&amp;I2002&amp;I2003&amp;I2004&amp;I2005&amp;I2006&amp;I2007&amp;I2008&amp;I2009&amp;I2010&amp;I2012&amp;I2011&amp;I2013&amp;I2014&amp;I2016&amp;I2015&amp;I2017</f>
        <v/>
      </c>
      <c r="I2018" s="5346"/>
      <c r="J2018" s="5318" t="str">
        <f>IF(J1987="","",J1987&amp;" ("&amp;K1989&amp;K1990&amp;K1991&amp;K1992&amp;K1993&amp;K1994&amp;K1995&amp;K1996&amp;K1997&amp;K1998&amp;K1999&amp;K2000&amp;K2001&amp;K2002&amp;K2003&amp;K2004&amp;K2005&amp;K2006&amp;K2007&amp;K2008&amp;K2009&amp;K2010&amp;K2011&amp;K2012&amp;K2013&amp;K2014&amp;K2015&amp;K2016&amp;K2017&amp;")")</f>
        <v/>
      </c>
      <c r="K2018" s="5318"/>
      <c r="L2018" s="5318" t="str">
        <f>IF(L1987="","",L1987&amp;" ("&amp;M1989&amp;M1990&amp;M1991&amp;M1992&amp;M1993&amp;M1994&amp;M1995&amp;M1996&amp;M1997&amp;M1998&amp;M1999&amp;M2000&amp;M2001&amp;M2002&amp;M2003&amp;M2004&amp;M2005&amp;M2006&amp;M2007&amp;M2008&amp;M2009&amp;M2010&amp;M2011&amp;M2012&amp;M2013&amp;M2014&amp;M2015&amp;M2016&amp;M2017&amp;")")</f>
        <v/>
      </c>
      <c r="M2018" s="5318"/>
      <c r="N2018" s="5318" t="str">
        <f>IF(N1987="","",N1987&amp;" ("&amp;O1989&amp;O1990&amp;O1991&amp;O1992&amp;O1993&amp;O1994&amp;O1995&amp;O1996&amp;O1997&amp;O1998&amp;O1999&amp;O2000&amp;O2001&amp;O2002&amp;O2003&amp;O2004&amp;O2005&amp;O2006&amp;O2007&amp;O2008&amp;O2009&amp;O2010&amp;O2011&amp;O2012&amp;O2013&amp;O2014&amp;O2015&amp;O2016&amp;O2017&amp;")")</f>
        <v/>
      </c>
      <c r="O2018" s="5318"/>
      <c r="P2018" s="5318" t="str">
        <f>IF(P1987="","",P1987&amp;" ("&amp;Q1989&amp;Q1990&amp;Q1991&amp;Q1992&amp;Q1993&amp;Q1994&amp;Q1995&amp;Q1996&amp;Q1997&amp;Q1998&amp;Q1999&amp;Q2000&amp;Q2001&amp;Q2002&amp;Q2003&amp;Q2004&amp;Q2005&amp;Q2006&amp;Q2007&amp;Q2008&amp;Q2009&amp;Q2010&amp;Q2011&amp;Q2012&amp;Q2013&amp;Q2014&amp;Q2015&amp;Q2016&amp;Q2017&amp;")")</f>
        <v/>
      </c>
      <c r="Q2018" s="5318"/>
      <c r="R2018" s="5318" t="str">
        <f>IF(R1987="","",R1987&amp;" ("&amp;S1989&amp;S1990&amp;S1991&amp;S1992&amp;S1993&amp;S1994&amp;S1995&amp;S1996&amp;S1997&amp;S1998&amp;S1999&amp;S2000&amp;S2001&amp;S2002&amp;S2003&amp;S2004&amp;S2005&amp;S2006&amp;S2007&amp;S2008&amp;S2009&amp;S2010&amp;S2011&amp;S2012&amp;S2013&amp;S2014&amp;S2015&amp;S2016&amp;S2017&amp;")")</f>
        <v/>
      </c>
      <c r="S2018" s="5318"/>
      <c r="T2018" s="5318" t="str">
        <f>IF(T1987="","",T1987&amp;" ("&amp;U1989&amp;U1990&amp;U1991&amp;U1992&amp;U1993&amp;U1994&amp;U1995&amp;U1996&amp;U1997&amp;U1998&amp;U1999&amp;U2000&amp;U2001&amp;U2002&amp;U2003&amp;U2004&amp;U2005&amp;U2006&amp;U2007&amp;U2008&amp;U2009&amp;U2010&amp;U2011&amp;U2012&amp;U2013&amp;U2014&amp;U2015&amp;U2016&amp;U2017&amp;")")</f>
        <v/>
      </c>
      <c r="U2018" s="5318"/>
      <c r="V2018" s="5318" t="str">
        <f>IF(V1987="","",V1987&amp;" ("&amp;W1989&amp;W1990&amp;W1991&amp;W1992&amp;W1993&amp;W1994&amp;W1995&amp;W1996&amp;W1997&amp;W1998&amp;W1999&amp;W2000&amp;W2001&amp;W2002&amp;W2003&amp;W2004&amp;W2005&amp;W2006&amp;W2007&amp;W2008&amp;W2009&amp;W2010&amp;W2011&amp;W2012&amp;W2013&amp;W2014&amp;W2015&amp;W2016&amp;W2017&amp;")")</f>
        <v/>
      </c>
      <c r="W2018" s="5318"/>
      <c r="X2018" s="5318" t="str">
        <f>IF(X1987="","",X1987&amp;" ("&amp;Y1989&amp;Y1990&amp;Y1991&amp;Y1992&amp;Y1993&amp;Y1994&amp;Y1995&amp;Y1996&amp;Y1997&amp;Y1998&amp;Y1999&amp;Y2000&amp;Y2001&amp;Y2002&amp;Y2003&amp;Y2004&amp;Y2005&amp;Y2006&amp;Y2007&amp;Y2008&amp;Y2009&amp;Y2010&amp;Y2011&amp;Y2012&amp;Y2013&amp;Y2014&amp;Y2015&amp;Y2016&amp;Y2017&amp;")")</f>
        <v/>
      </c>
      <c r="Y2018" s="5318"/>
      <c r="Z2018" s="532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24"/>
      <c r="AB2018" s="532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24"/>
    </row>
    <row r="2019" spans="1:31" ht="12.75" customHeight="1">
      <c r="A2019" s="1886">
        <v>2019</v>
      </c>
      <c r="B2019" s="5250"/>
      <c r="C2019" s="2190" t="str">
        <f t="shared" si="390"/>
        <v/>
      </c>
      <c r="D2019" s="1672" t="str">
        <f>Combate!AB51</f>
        <v/>
      </c>
      <c r="E2019" s="2135" t="str">
        <f t="shared" si="170"/>
        <v/>
      </c>
      <c r="F2019" s="5343"/>
      <c r="H2019" s="5345"/>
      <c r="I2019" s="5346"/>
      <c r="J2019" s="5352" t="str">
        <f>J2018&amp;IF(L2018="","",", "&amp;L2018)&amp;IF(N2018="","",", "&amp;N2018)&amp;IF(P2018="","",", "&amp;P2018)&amp;IF(R2018="","",", "&amp;R2018)&amp;IF(T2018="","",", "&amp;T2018)&amp;IF(V2018="","",", "&amp;V2018)&amp;IF(X2018="","",", "&amp;X2018)&amp;IF(Z2018="","",", "&amp;Z2018)&amp;IF(AB2018="","",", "&amp;AB2018)</f>
        <v/>
      </c>
      <c r="K2019" s="5352"/>
      <c r="L2019" s="5352"/>
      <c r="M2019" s="5352"/>
      <c r="N2019" s="5352"/>
      <c r="O2019" s="5352"/>
      <c r="P2019" s="5352"/>
      <c r="Q2019" s="5352"/>
      <c r="R2019" s="5352"/>
      <c r="S2019" s="5352"/>
      <c r="T2019" s="5352"/>
      <c r="U2019" s="5352"/>
      <c r="V2019" s="5352"/>
      <c r="W2019" s="5352"/>
      <c r="X2019" s="5352"/>
      <c r="Y2019" s="5352"/>
      <c r="Z2019" s="5352"/>
      <c r="AA2019" s="5352"/>
      <c r="AB2019" s="5352"/>
      <c r="AC2019" s="5353"/>
    </row>
    <row r="2020" spans="1:31" ht="12.75" customHeight="1">
      <c r="A2020" s="1886">
        <v>2020</v>
      </c>
      <c r="B2020" s="5250"/>
      <c r="C2020" s="2190" t="str">
        <f t="shared" si="390"/>
        <v/>
      </c>
      <c r="D2020" s="1672" t="str">
        <f>Combate!AB52</f>
        <v/>
      </c>
      <c r="E2020" s="2135" t="str">
        <f t="shared" si="170"/>
        <v/>
      </c>
      <c r="F2020" s="5343"/>
      <c r="H2020" s="5337" t="str">
        <f>J2019&amp;IF(J2019="",H2018,", "&amp;H2018)</f>
        <v/>
      </c>
      <c r="I2020" s="5338"/>
      <c r="J2020" s="5338"/>
      <c r="K2020" s="5338"/>
      <c r="L2020" s="5338"/>
      <c r="M2020" s="5338"/>
      <c r="N2020" s="5338"/>
      <c r="O2020" s="5338"/>
      <c r="P2020" s="5338"/>
      <c r="Q2020" s="5338"/>
      <c r="R2020" s="5338"/>
      <c r="S2020" s="5338"/>
      <c r="T2020" s="5338"/>
      <c r="U2020" s="5338"/>
      <c r="V2020" s="5338"/>
      <c r="W2020" s="5338"/>
      <c r="X2020" s="5338"/>
      <c r="Y2020" s="5338"/>
      <c r="Z2020" s="5338"/>
      <c r="AA2020" s="5338"/>
      <c r="AB2020" s="5338"/>
      <c r="AC2020" s="5339"/>
    </row>
    <row r="2021" spans="1:31" ht="12.75" customHeight="1" thickBot="1">
      <c r="A2021" s="1886">
        <v>2021</v>
      </c>
      <c r="B2021" s="5250"/>
      <c r="C2021" s="2190" t="str">
        <f t="shared" si="390"/>
        <v/>
      </c>
      <c r="D2021" s="1958" t="str">
        <f>Combate!AB55</f>
        <v/>
      </c>
      <c r="E2021" s="2135" t="str">
        <f t="shared" si="170"/>
        <v/>
      </c>
      <c r="F2021" s="5343"/>
      <c r="H2021" s="5340"/>
      <c r="I2021" s="5341"/>
      <c r="J2021" s="5341"/>
      <c r="K2021" s="5341"/>
      <c r="L2021" s="5341"/>
      <c r="M2021" s="5341"/>
      <c r="N2021" s="5341"/>
      <c r="O2021" s="5341"/>
      <c r="P2021" s="5341"/>
      <c r="Q2021" s="5341"/>
      <c r="R2021" s="5341"/>
      <c r="S2021" s="5341"/>
      <c r="T2021" s="5341"/>
      <c r="U2021" s="5341"/>
      <c r="V2021" s="5341"/>
      <c r="W2021" s="5341"/>
      <c r="X2021" s="5341"/>
      <c r="Y2021" s="5341"/>
      <c r="Z2021" s="5341"/>
      <c r="AA2021" s="5341"/>
      <c r="AB2021" s="5341"/>
      <c r="AC2021" s="5342"/>
    </row>
    <row r="2022" spans="1:31" ht="12.75" customHeight="1">
      <c r="A2022" s="1886">
        <v>2022</v>
      </c>
      <c r="B2022" s="5250"/>
      <c r="C2022" s="2190" t="str">
        <f t="shared" si="390"/>
        <v/>
      </c>
      <c r="D2022" s="1672" t="str">
        <f>Combate!AB57</f>
        <v/>
      </c>
      <c r="E2022" s="2135" t="str">
        <f t="shared" si="170"/>
        <v/>
      </c>
      <c r="F2022" s="5343"/>
      <c r="H2022" s="2143"/>
      <c r="I2022" s="2143"/>
      <c r="J2022" s="2143"/>
      <c r="K2022" s="2143"/>
      <c r="L2022" s="2143"/>
      <c r="M2022" s="2143"/>
      <c r="N2022" s="2143"/>
      <c r="O2022" s="2143"/>
      <c r="P2022" s="2143"/>
      <c r="Q2022" s="2143"/>
      <c r="R2022" s="2143"/>
      <c r="S2022" s="2143"/>
      <c r="T2022" s="2143"/>
    </row>
    <row r="2023" spans="1:31" ht="12.75" customHeight="1">
      <c r="A2023" s="1886">
        <v>2023</v>
      </c>
      <c r="B2023" s="5250"/>
      <c r="C2023" s="2190" t="str">
        <f t="shared" si="390"/>
        <v/>
      </c>
      <c r="D2023" s="1672" t="str">
        <f>Combate!AB59</f>
        <v/>
      </c>
      <c r="E2023" s="2135" t="str">
        <f t="shared" si="170"/>
        <v/>
      </c>
      <c r="F2023" s="5343"/>
      <c r="H2023" s="2143"/>
      <c r="I2023" s="2143"/>
      <c r="J2023" s="2143"/>
      <c r="K2023" s="2143"/>
      <c r="L2023" s="2143"/>
      <c r="M2023" s="2143"/>
      <c r="N2023" s="2143"/>
      <c r="O2023" s="2143"/>
      <c r="P2023" s="2143"/>
      <c r="Q2023" s="2143"/>
      <c r="R2023" s="2143"/>
      <c r="S2023" s="2143"/>
      <c r="T2023" s="2143"/>
    </row>
    <row r="2024" spans="1:31" ht="12.75" customHeight="1">
      <c r="A2024" s="1886">
        <v>2024</v>
      </c>
      <c r="B2024" s="5250"/>
      <c r="C2024" s="2190" t="str">
        <f t="shared" si="390"/>
        <v/>
      </c>
      <c r="D2024" s="1672" t="str">
        <f>Combate!AB61</f>
        <v/>
      </c>
      <c r="E2024" s="2135" t="str">
        <f t="shared" si="170"/>
        <v/>
      </c>
      <c r="F2024" s="5343"/>
      <c r="H2024" s="361"/>
      <c r="I2024" s="1634"/>
      <c r="N2024" s="361"/>
      <c r="O2024" s="1969"/>
    </row>
    <row r="2025" spans="1:31" ht="12.75" customHeight="1" thickBot="1">
      <c r="A2025" s="1886">
        <v>2025</v>
      </c>
      <c r="B2025" s="5250"/>
      <c r="C2025" s="2192" t="str">
        <f t="shared" si="390"/>
        <v/>
      </c>
      <c r="D2025" s="1673" t="str">
        <f>Combate!AB63</f>
        <v/>
      </c>
      <c r="E2025" s="2136" t="str">
        <f t="shared" si="170"/>
        <v/>
      </c>
      <c r="F2025" s="5344"/>
      <c r="H2025" s="361"/>
      <c r="I2025" s="1634"/>
      <c r="N2025" s="361"/>
      <c r="O2025" s="1969"/>
    </row>
    <row r="2026" spans="1:31" ht="12.75" customHeight="1">
      <c r="A2026" s="1886"/>
    </row>
    <row r="2027" spans="1:31" ht="12.75" customHeight="1">
      <c r="A2027" s="1886"/>
    </row>
    <row r="2028" spans="1:31" ht="12.75" customHeight="1">
      <c r="A2028" s="1886"/>
    </row>
    <row r="2029" spans="1:31" ht="12.75" customHeight="1">
      <c r="A2029" s="1886"/>
    </row>
    <row r="2030" spans="1:31" ht="12.75" customHeight="1">
      <c r="A2030" s="1886"/>
    </row>
    <row r="2031" spans="1:31" ht="12.75" customHeight="1">
      <c r="A2031" s="1886"/>
    </row>
    <row r="2032" spans="1:31" ht="12.75" customHeight="1">
      <c r="A2032" s="1886"/>
    </row>
    <row r="2033" spans="1:1" ht="12.75" customHeight="1">
      <c r="A2033" s="1886"/>
    </row>
    <row r="2034" spans="1:1" ht="12.75" customHeight="1">
      <c r="A2034" s="1886"/>
    </row>
    <row r="2035" spans="1:1" ht="12.75" customHeight="1">
      <c r="A2035" s="1886"/>
    </row>
    <row r="2036" spans="1:1" ht="12.75" customHeight="1">
      <c r="A2036" s="1886"/>
    </row>
    <row r="2037" spans="1:1" ht="12.75" customHeight="1">
      <c r="A2037" s="1886"/>
    </row>
    <row r="2038" spans="1:1" ht="12.75" customHeight="1">
      <c r="A2038" s="1886"/>
    </row>
    <row r="2039" spans="1:1" ht="12.75" customHeight="1">
      <c r="A2039" s="1886"/>
    </row>
    <row r="2040" spans="1:1" ht="12.75" customHeight="1">
      <c r="A2040" s="1886"/>
    </row>
    <row r="2041" spans="1:1" ht="12.75" customHeight="1">
      <c r="A2041" s="1886"/>
    </row>
    <row r="2042" spans="1:1" ht="12.75" customHeight="1">
      <c r="A2042" s="1886"/>
    </row>
    <row r="2043" spans="1:1" ht="12.75" customHeight="1">
      <c r="A2043" s="1886"/>
    </row>
    <row r="2044" spans="1:1" ht="12.75" customHeight="1">
      <c r="A2044" s="1886"/>
    </row>
    <row r="2045" spans="1:1" ht="12.75" customHeight="1">
      <c r="A2045" s="1886"/>
    </row>
    <row r="2046" spans="1:1" ht="12.75" customHeight="1">
      <c r="A2046" s="1886"/>
    </row>
    <row r="2047" spans="1:1" ht="12.75" customHeight="1">
      <c r="A2047" s="1886"/>
    </row>
    <row r="2048" spans="1:1" ht="12.75" customHeight="1">
      <c r="A2048" s="1886"/>
    </row>
    <row r="2049" spans="1:1" ht="12.75" customHeight="1">
      <c r="A2049" s="1886"/>
    </row>
    <row r="2050" spans="1:1" ht="12.75" customHeight="1">
      <c r="A2050" s="1886"/>
    </row>
    <row r="2051" spans="1:1" ht="12.75" customHeight="1">
      <c r="A2051" s="1886"/>
    </row>
    <row r="2052" spans="1:1" ht="12.75" customHeight="1">
      <c r="A2052" s="1886"/>
    </row>
    <row r="2053" spans="1:1" ht="12.75" customHeight="1">
      <c r="A2053" s="1886"/>
    </row>
    <row r="2054" spans="1:1" ht="12.75" customHeight="1">
      <c r="A2054" s="1886"/>
    </row>
    <row r="2055" spans="1:1" ht="12.75" customHeight="1">
      <c r="A2055" s="1886"/>
    </row>
    <row r="2056" spans="1:1" ht="12.75" customHeight="1">
      <c r="A2056" s="1886"/>
    </row>
    <row r="2057" spans="1:1" ht="12.75" customHeight="1">
      <c r="A2057" s="1886"/>
    </row>
    <row r="2058" spans="1:1" ht="12.75" customHeight="1">
      <c r="A2058" s="1886"/>
    </row>
    <row r="2059" spans="1:1" ht="12.75" customHeight="1">
      <c r="A2059" s="1886"/>
    </row>
    <row r="2060" spans="1:1" ht="12.75" customHeight="1">
      <c r="A2060" s="1886"/>
    </row>
    <row r="2061" spans="1:1" ht="12.75" customHeight="1">
      <c r="A2061" s="1886"/>
    </row>
    <row r="2062" spans="1:1" ht="12.75" customHeight="1">
      <c r="A2062" s="1886"/>
    </row>
    <row r="2063" spans="1:1" ht="12.75" customHeight="1">
      <c r="A2063" s="1886"/>
    </row>
    <row r="2064" spans="1:1" ht="12.75" customHeight="1">
      <c r="A2064" s="1886"/>
    </row>
    <row r="2065" spans="1:1" ht="12.75" customHeight="1">
      <c r="A2065" s="1886"/>
    </row>
    <row r="2066" spans="1:1" ht="12.75" customHeight="1">
      <c r="A2066" s="1886"/>
    </row>
    <row r="2067" spans="1:1" ht="12.75" customHeight="1">
      <c r="A2067" s="1886"/>
    </row>
    <row r="2068" spans="1:1" ht="12.75" customHeight="1">
      <c r="A2068" s="1886"/>
    </row>
    <row r="2069" spans="1:1" ht="12.75" customHeight="1">
      <c r="A2069" s="1886"/>
    </row>
    <row r="2070" spans="1:1" ht="12.75" customHeight="1">
      <c r="A2070" s="1886"/>
    </row>
    <row r="2071" spans="1:1" ht="12.75" customHeight="1">
      <c r="A2071" s="1886"/>
    </row>
    <row r="2072" spans="1:1" ht="12.75" customHeight="1">
      <c r="A2072" s="1886"/>
    </row>
    <row r="2073" spans="1:1" ht="12.75" customHeight="1">
      <c r="A2073" s="1886"/>
    </row>
    <row r="2074" spans="1:1" ht="12.75" customHeight="1">
      <c r="A2074" s="1886"/>
    </row>
    <row r="2075" spans="1:1" ht="12.75" customHeight="1">
      <c r="A2075" s="1886"/>
    </row>
    <row r="2076" spans="1:1" ht="12.75" customHeight="1">
      <c r="A2076" s="1886"/>
    </row>
    <row r="2077" spans="1:1" ht="12.75" customHeight="1">
      <c r="A2077" s="1886"/>
    </row>
    <row r="2078" spans="1:1" ht="12.75" customHeight="1">
      <c r="A2078" s="1886"/>
    </row>
    <row r="2079" spans="1:1" ht="12.75" customHeight="1">
      <c r="A2079" s="1886"/>
    </row>
    <row r="2080" spans="1:1" ht="12.75" customHeight="1">
      <c r="A2080" s="1886"/>
    </row>
    <row r="2081" spans="1:1" ht="12.75" customHeight="1">
      <c r="A2081" s="1886"/>
    </row>
    <row r="2082" spans="1:1" ht="12.75" customHeight="1">
      <c r="A2082" s="1886"/>
    </row>
    <row r="2083" spans="1:1" ht="12.75" customHeight="1">
      <c r="A2083" s="1886"/>
    </row>
    <row r="2084" spans="1:1" ht="12.75" customHeight="1">
      <c r="A2084" s="1886"/>
    </row>
    <row r="2085" spans="1:1" ht="12.75" customHeight="1">
      <c r="A2085" s="1886"/>
    </row>
    <row r="2086" spans="1:1" ht="12.75" customHeight="1">
      <c r="A2086" s="1886"/>
    </row>
    <row r="2087" spans="1:1" ht="12.75" customHeight="1">
      <c r="A2087" s="1886"/>
    </row>
    <row r="2088" spans="1:1" ht="12.75" customHeight="1">
      <c r="A2088" s="1886"/>
    </row>
    <row r="2089" spans="1:1" ht="12.75" customHeight="1">
      <c r="A2089" s="1886"/>
    </row>
    <row r="2090" spans="1:1" ht="12.75" customHeight="1">
      <c r="A2090" s="1886"/>
    </row>
    <row r="2091" spans="1:1" ht="12.75" customHeight="1">
      <c r="A2091" s="1886"/>
    </row>
    <row r="2092" spans="1:1" ht="12.75" customHeight="1">
      <c r="A2092" s="1886"/>
    </row>
    <row r="2093" spans="1:1" ht="12.75" customHeight="1">
      <c r="A2093" s="1886"/>
    </row>
    <row r="2094" spans="1:1" ht="12.75" customHeight="1">
      <c r="A2094" s="1886"/>
    </row>
    <row r="2095" spans="1:1" ht="12.75" customHeight="1">
      <c r="A2095" s="1886"/>
    </row>
    <row r="2096" spans="1:1" ht="12.75" customHeight="1">
      <c r="A2096" s="1886"/>
    </row>
    <row r="2097" spans="1:1" ht="12.75" customHeight="1">
      <c r="A2097" s="1886"/>
    </row>
    <row r="2098" spans="1:1" ht="12.75" customHeight="1">
      <c r="A2098" s="1886"/>
    </row>
    <row r="2099" spans="1:1" ht="12.75" customHeight="1">
      <c r="A2099" s="1886"/>
    </row>
    <row r="2100" spans="1:1" ht="12.75" customHeight="1">
      <c r="A2100" s="1886"/>
    </row>
    <row r="2101" spans="1:1" ht="12.75" customHeight="1">
      <c r="A2101" s="1886"/>
    </row>
    <row r="2102" spans="1:1" ht="12.75" customHeight="1">
      <c r="A2102" s="1886"/>
    </row>
    <row r="2103" spans="1:1" ht="12.75" customHeight="1">
      <c r="A2103" s="1886"/>
    </row>
    <row r="2104" spans="1:1" ht="12.75" customHeight="1">
      <c r="A2104" s="1886"/>
    </row>
    <row r="2105" spans="1:1" ht="12.75" customHeight="1">
      <c r="A2105" s="1886"/>
    </row>
    <row r="2106" spans="1:1" ht="12.75" customHeight="1">
      <c r="A2106" s="1886"/>
    </row>
    <row r="2107" spans="1:1" ht="12.75" customHeight="1">
      <c r="A2107" s="1886"/>
    </row>
    <row r="2108" spans="1:1" ht="12.75" customHeight="1">
      <c r="A2108" s="1886"/>
    </row>
    <row r="2109" spans="1:1" ht="12.75" customHeight="1">
      <c r="A2109" s="1886"/>
    </row>
    <row r="2110" spans="1:1" ht="12.75" customHeight="1">
      <c r="A2110" s="1886"/>
    </row>
    <row r="2111" spans="1:1" ht="12.75" customHeight="1">
      <c r="A2111" s="1886"/>
    </row>
    <row r="2112" spans="1:1" ht="12.75" customHeight="1">
      <c r="A2112" s="1886"/>
    </row>
    <row r="2113" spans="1:1" ht="12.75" customHeight="1">
      <c r="A2113" s="1886"/>
    </row>
    <row r="2114" spans="1:1" ht="12.75" customHeight="1">
      <c r="A2114" s="1886"/>
    </row>
    <row r="2115" spans="1:1" ht="12.75" customHeight="1">
      <c r="A2115" s="1886"/>
    </row>
    <row r="2116" spans="1:1" ht="12.75" customHeight="1">
      <c r="A2116" s="1886"/>
    </row>
    <row r="2117" spans="1:1" ht="12.75" customHeight="1">
      <c r="A2117" s="1886"/>
    </row>
    <row r="2118" spans="1:1" ht="12.75" customHeight="1">
      <c r="A2118" s="1886"/>
    </row>
    <row r="2119" spans="1:1" ht="12.75" customHeight="1">
      <c r="A2119" s="1886"/>
    </row>
    <row r="2120" spans="1:1" ht="12.75" customHeight="1">
      <c r="A2120" s="1886"/>
    </row>
    <row r="2121" spans="1:1" ht="12.75" customHeight="1">
      <c r="A2121" s="1886"/>
    </row>
    <row r="2122" spans="1:1" ht="12.75" customHeight="1">
      <c r="A2122" s="1886"/>
    </row>
    <row r="2123" spans="1:1" ht="12.75" customHeight="1">
      <c r="A2123" s="1886"/>
    </row>
    <row r="2124" spans="1:1" ht="12.75" customHeight="1">
      <c r="A2124" s="1886"/>
    </row>
    <row r="2125" spans="1:1" ht="12.75" customHeight="1">
      <c r="A2125" s="1886"/>
    </row>
    <row r="2126" spans="1:1" ht="12.75" customHeight="1">
      <c r="A2126" s="1886"/>
    </row>
    <row r="2127" spans="1:1" ht="12.75" customHeight="1">
      <c r="A2127" s="1886"/>
    </row>
    <row r="2128" spans="1:1" ht="12.75" customHeight="1">
      <c r="A2128" s="1886"/>
    </row>
    <row r="2129" spans="1:1" ht="12.75" customHeight="1">
      <c r="A2129" s="1886"/>
    </row>
    <row r="2130" spans="1:1" ht="12.75" customHeight="1">
      <c r="A2130" s="1886"/>
    </row>
    <row r="2131" spans="1:1" ht="12.75" customHeight="1">
      <c r="A2131" s="1886"/>
    </row>
    <row r="2132" spans="1:1" ht="12.75" customHeight="1">
      <c r="A2132" s="1886"/>
    </row>
    <row r="2133" spans="1:1" ht="12.75" customHeight="1">
      <c r="A2133" s="1886"/>
    </row>
    <row r="2134" spans="1:1" ht="12.75" customHeight="1">
      <c r="A2134" s="1886"/>
    </row>
    <row r="2135" spans="1:1" ht="12.75" customHeight="1">
      <c r="A2135" s="1886"/>
    </row>
    <row r="2136" spans="1:1" ht="12.75" customHeight="1">
      <c r="A2136" s="1886"/>
    </row>
    <row r="2137" spans="1:1" ht="12.75" customHeight="1">
      <c r="A2137" s="1886"/>
    </row>
    <row r="2138" spans="1:1" ht="12.75" customHeight="1">
      <c r="A2138" s="1886"/>
    </row>
    <row r="2139" spans="1:1" ht="12.75" customHeight="1">
      <c r="A2139" s="1886"/>
    </row>
    <row r="2140" spans="1:1" ht="12.75" customHeight="1">
      <c r="A2140" s="1886"/>
    </row>
    <row r="2141" spans="1:1" ht="12.75" customHeight="1">
      <c r="A2141" s="1886"/>
    </row>
    <row r="2142" spans="1:1" ht="12.75" customHeight="1">
      <c r="A2142" s="1886"/>
    </row>
    <row r="2143" spans="1:1" ht="12.75" customHeight="1">
      <c r="A2143" s="1886"/>
    </row>
    <row r="2144" spans="1:1" ht="12.75" customHeight="1">
      <c r="A2144" s="1886"/>
    </row>
    <row r="2145" spans="1:1" ht="12.75" customHeight="1">
      <c r="A2145" s="1886"/>
    </row>
    <row r="2146" spans="1:1" ht="12.75" customHeight="1">
      <c r="A2146" s="1886"/>
    </row>
    <row r="2147" spans="1:1" ht="12.75" customHeight="1">
      <c r="A2147" s="1886"/>
    </row>
    <row r="2148" spans="1:1" ht="12.75" customHeight="1">
      <c r="A2148" s="1886"/>
    </row>
    <row r="2149" spans="1:1" ht="12.75" customHeight="1">
      <c r="A2149" s="1886"/>
    </row>
    <row r="2150" spans="1:1" ht="12.75" customHeight="1">
      <c r="A2150" s="1886"/>
    </row>
    <row r="2151" spans="1:1" ht="12.75" customHeight="1">
      <c r="A2151" s="1886"/>
    </row>
    <row r="2152" spans="1:1" ht="12.75" customHeight="1">
      <c r="A2152" s="1886"/>
    </row>
    <row r="2153" spans="1:1" ht="12.75" customHeight="1">
      <c r="A2153" s="1886"/>
    </row>
    <row r="2154" spans="1:1" ht="12.75" customHeight="1">
      <c r="A2154" s="1886"/>
    </row>
    <row r="2155" spans="1:1" ht="12.75" customHeight="1">
      <c r="A2155" s="1886"/>
    </row>
    <row r="2156" spans="1:1" ht="12.75" customHeight="1">
      <c r="A2156" s="1886"/>
    </row>
    <row r="2157" spans="1:1" ht="12.75" customHeight="1">
      <c r="A2157" s="1886"/>
    </row>
    <row r="2158" spans="1:1" ht="12.75" customHeight="1">
      <c r="A2158" s="1886"/>
    </row>
    <row r="2159" spans="1:1" ht="12.75" customHeight="1">
      <c r="A2159" s="1886"/>
    </row>
    <row r="2160" spans="1:1" ht="12.75" customHeight="1">
      <c r="A2160" s="1886"/>
    </row>
    <row r="2161" spans="1:1" ht="12.75" customHeight="1">
      <c r="A2161" s="1886"/>
    </row>
    <row r="2162" spans="1:1" ht="12.75" customHeight="1">
      <c r="A2162" s="1886"/>
    </row>
    <row r="2163" spans="1:1" ht="12.75" customHeight="1">
      <c r="A2163" s="1886"/>
    </row>
    <row r="2164" spans="1:1" ht="12.75" customHeight="1">
      <c r="A2164" s="1886"/>
    </row>
    <row r="2165" spans="1:1" ht="12.75" customHeight="1">
      <c r="A2165" s="1886"/>
    </row>
    <row r="2166" spans="1:1" ht="12.75" customHeight="1">
      <c r="A2166" s="1886"/>
    </row>
    <row r="2167" spans="1:1" ht="12.75" customHeight="1">
      <c r="A2167" s="1886"/>
    </row>
    <row r="2168" spans="1:1" ht="12.75" customHeight="1">
      <c r="A2168" s="1886"/>
    </row>
    <row r="2169" spans="1:1" ht="12.75" customHeight="1">
      <c r="A2169" s="1886"/>
    </row>
    <row r="2170" spans="1:1" ht="12.75" customHeight="1">
      <c r="A2170" s="1886"/>
    </row>
    <row r="2171" spans="1:1" ht="12.75" customHeight="1">
      <c r="A2171" s="1886"/>
    </row>
    <row r="2172" spans="1:1" ht="12.75" customHeight="1">
      <c r="A2172" s="1886"/>
    </row>
    <row r="2173" spans="1:1" ht="12.75" customHeight="1">
      <c r="A2173" s="1886"/>
    </row>
    <row r="2174" spans="1:1" ht="12.75" customHeight="1">
      <c r="A2174" s="1886"/>
    </row>
    <row r="2175" spans="1:1" ht="12.75" customHeight="1">
      <c r="A2175" s="1886"/>
    </row>
    <row r="2176" spans="1:1" ht="12.75" customHeight="1">
      <c r="A2176" s="1886"/>
    </row>
    <row r="2177" spans="1:1" ht="12.75" customHeight="1">
      <c r="A2177" s="1886"/>
    </row>
    <row r="2178" spans="1:1" ht="12.75" customHeight="1">
      <c r="A2178" s="1886"/>
    </row>
    <row r="2179" spans="1:1" ht="12.75" customHeight="1">
      <c r="A2179" s="1886"/>
    </row>
    <row r="2180" spans="1:1" ht="12.75" customHeight="1">
      <c r="A2180" s="1886"/>
    </row>
    <row r="2181" spans="1:1" ht="12.75" customHeight="1">
      <c r="A2181" s="1886"/>
    </row>
    <row r="2182" spans="1:1" ht="12.75" customHeight="1">
      <c r="A2182" s="1886"/>
    </row>
    <row r="2183" spans="1:1" ht="12.75" customHeight="1">
      <c r="A2183" s="1886"/>
    </row>
    <row r="2184" spans="1:1" ht="12.75" customHeight="1">
      <c r="A2184" s="1886"/>
    </row>
    <row r="2185" spans="1:1" ht="12.75" customHeight="1">
      <c r="A2185" s="1886"/>
    </row>
    <row r="2186" spans="1:1" ht="12.75" customHeight="1">
      <c r="A2186" s="1886"/>
    </row>
    <row r="2187" spans="1:1" ht="12.75" customHeight="1">
      <c r="A2187" s="1886"/>
    </row>
    <row r="2188" spans="1:1" ht="12.75" customHeight="1">
      <c r="A2188" s="1886"/>
    </row>
    <row r="2189" spans="1:1" ht="12.75" customHeight="1">
      <c r="A2189" s="1886"/>
    </row>
    <row r="2190" spans="1:1" ht="12.75" customHeight="1">
      <c r="A2190" s="1886"/>
    </row>
    <row r="2191" spans="1:1" ht="12.75" customHeight="1">
      <c r="A2191" s="1886"/>
    </row>
    <row r="2192" spans="1:1" ht="12.75" customHeight="1">
      <c r="A2192" s="1886"/>
    </row>
    <row r="2193" spans="1:1" ht="12.75" customHeight="1">
      <c r="A2193" s="1886"/>
    </row>
    <row r="2194" spans="1:1" ht="12.75" customHeight="1">
      <c r="A2194" s="1886"/>
    </row>
    <row r="2195" spans="1:1" ht="12.75" customHeight="1">
      <c r="A2195" s="1886"/>
    </row>
    <row r="2196" spans="1:1" ht="12.75" customHeight="1">
      <c r="A2196" s="1886"/>
    </row>
    <row r="2197" spans="1:1" ht="12.75" customHeight="1">
      <c r="A2197" s="1886"/>
    </row>
    <row r="2198" spans="1:1" ht="12.75" customHeight="1">
      <c r="A2198" s="1886"/>
    </row>
    <row r="2199" spans="1:1" ht="12.75" customHeight="1">
      <c r="A2199" s="1886"/>
    </row>
    <row r="2200" spans="1:1" ht="12.75" customHeight="1">
      <c r="A2200" s="1886"/>
    </row>
    <row r="2201" spans="1:1" ht="12.75" customHeight="1">
      <c r="A2201" s="1886"/>
    </row>
    <row r="2202" spans="1:1" ht="12.75" customHeight="1">
      <c r="A2202" s="1886"/>
    </row>
    <row r="2203" spans="1:1" ht="12.75" customHeight="1">
      <c r="A2203" s="1886"/>
    </row>
    <row r="2204" spans="1:1" ht="12.75" customHeight="1">
      <c r="A2204" s="1886"/>
    </row>
    <row r="2205" spans="1:1" ht="12.75" customHeight="1">
      <c r="A2205" s="1886"/>
    </row>
    <row r="2206" spans="1:1" ht="12.75" customHeight="1">
      <c r="A2206" s="1886"/>
    </row>
    <row r="2207" spans="1:1" ht="12.75" customHeight="1">
      <c r="A2207" s="1886"/>
    </row>
    <row r="2208" spans="1:1" ht="12.75" customHeight="1">
      <c r="A2208" s="1886"/>
    </row>
    <row r="2209" spans="1:1" ht="12.75" customHeight="1">
      <c r="A2209" s="1886"/>
    </row>
    <row r="2210" spans="1:1" ht="12.75" customHeight="1">
      <c r="A2210" s="1886"/>
    </row>
    <row r="2211" spans="1:1" ht="12.75" customHeight="1">
      <c r="A2211" s="1886"/>
    </row>
    <row r="2212" spans="1:1" ht="12.75" customHeight="1">
      <c r="A2212" s="1886"/>
    </row>
    <row r="2213" spans="1:1" ht="12.75" customHeight="1">
      <c r="A2213" s="1886"/>
    </row>
    <row r="2214" spans="1:1" ht="12.75" customHeight="1">
      <c r="A2214" s="1886"/>
    </row>
    <row r="2215" spans="1:1" ht="12.75" customHeight="1">
      <c r="A2215" s="1886"/>
    </row>
    <row r="2216" spans="1:1" ht="12.75" customHeight="1">
      <c r="A2216" s="1886"/>
    </row>
    <row r="2217" spans="1:1" ht="12.75" customHeight="1">
      <c r="A2217" s="1886"/>
    </row>
    <row r="2218" spans="1:1" ht="12.75" customHeight="1">
      <c r="A2218" s="1886"/>
    </row>
    <row r="2219" spans="1:1" ht="12.75" customHeight="1">
      <c r="A2219" s="1886"/>
    </row>
    <row r="2220" spans="1:1" ht="12.75" customHeight="1">
      <c r="A2220" s="1886"/>
    </row>
    <row r="2221" spans="1:1" ht="12.75" customHeight="1">
      <c r="A2221" s="1886"/>
    </row>
    <row r="2222" spans="1:1" ht="12.75" customHeight="1">
      <c r="A2222" s="1886"/>
    </row>
    <row r="2223" spans="1:1" ht="12.75" customHeight="1">
      <c r="A2223" s="1886"/>
    </row>
    <row r="2224" spans="1:1" ht="12.75" customHeight="1">
      <c r="A2224" s="1886"/>
    </row>
    <row r="2225" spans="1:1" ht="12.75" customHeight="1">
      <c r="A2225" s="1886"/>
    </row>
    <row r="2226" spans="1:1" ht="12.75" customHeight="1">
      <c r="A2226" s="1886"/>
    </row>
    <row r="2227" spans="1:1" ht="12.75" customHeight="1">
      <c r="A2227" s="1886"/>
    </row>
    <row r="2228" spans="1:1" ht="12.75" customHeight="1">
      <c r="A2228" s="1886"/>
    </row>
    <row r="2229" spans="1:1" ht="12.75" customHeight="1">
      <c r="A2229" s="1886"/>
    </row>
    <row r="2230" spans="1:1" ht="12.75" customHeight="1">
      <c r="A2230" s="1886"/>
    </row>
    <row r="2231" spans="1:1" ht="12.75" customHeight="1">
      <c r="A2231" s="1886"/>
    </row>
    <row r="2232" spans="1:1" ht="12.75" customHeight="1">
      <c r="A2232" s="1886"/>
    </row>
    <row r="2233" spans="1:1" ht="12.75" customHeight="1">
      <c r="A2233" s="1886"/>
    </row>
    <row r="2234" spans="1:1" ht="12.75" customHeight="1">
      <c r="A2234" s="1886"/>
    </row>
    <row r="2235" spans="1:1" ht="12.75" customHeight="1">
      <c r="A2235" s="1886"/>
    </row>
    <row r="2236" spans="1:1" ht="12.75" customHeight="1">
      <c r="A2236" s="1886"/>
    </row>
    <row r="2237" spans="1:1" ht="12.75" customHeight="1">
      <c r="A2237" s="1886"/>
    </row>
    <row r="2238" spans="1:1" ht="12.75" customHeight="1">
      <c r="A2238" s="1886"/>
    </row>
    <row r="2239" spans="1:1" ht="12.75" customHeight="1">
      <c r="A2239" s="1886"/>
    </row>
    <row r="2240" spans="1:1" ht="12.75" customHeight="1">
      <c r="A2240" s="1886"/>
    </row>
    <row r="2241" spans="1:1" ht="12.75" customHeight="1">
      <c r="A2241" s="1886"/>
    </row>
    <row r="2242" spans="1:1" ht="12.75" customHeight="1">
      <c r="A2242" s="1886"/>
    </row>
    <row r="2243" spans="1:1" ht="12.75" customHeight="1">
      <c r="A2243" s="1886"/>
    </row>
    <row r="2244" spans="1:1" ht="12.75" customHeight="1">
      <c r="A2244" s="1886"/>
    </row>
    <row r="2245" spans="1:1" ht="12.75" customHeight="1">
      <c r="A2245" s="1886"/>
    </row>
    <row r="2246" spans="1:1" ht="12.75" customHeight="1">
      <c r="A2246" s="1886"/>
    </row>
    <row r="2247" spans="1:1" ht="12.75" customHeight="1">
      <c r="A2247" s="1886"/>
    </row>
    <row r="2248" spans="1:1" ht="12.75" customHeight="1">
      <c r="A2248" s="1886"/>
    </row>
    <row r="2249" spans="1:1" ht="12.75" customHeight="1">
      <c r="A2249" s="1886"/>
    </row>
    <row r="2250" spans="1:1" ht="12.75" customHeight="1">
      <c r="A2250" s="1886"/>
    </row>
    <row r="2251" spans="1:1" ht="12.75" customHeight="1">
      <c r="A2251" s="1886"/>
    </row>
    <row r="2252" spans="1:1" ht="12.75" customHeight="1">
      <c r="A2252" s="1886"/>
    </row>
    <row r="2253" spans="1:1" ht="12.75" customHeight="1">
      <c r="A2253" s="1886"/>
    </row>
    <row r="2254" spans="1:1" ht="12.75" customHeight="1">
      <c r="A2254" s="1886"/>
    </row>
    <row r="2255" spans="1:1" ht="12.75" customHeight="1">
      <c r="A2255" s="1886"/>
    </row>
    <row r="2256" spans="1:1" ht="12.75" customHeight="1">
      <c r="A2256" s="1886"/>
    </row>
    <row r="2257" spans="1:1" ht="12.75" customHeight="1">
      <c r="A2257" s="1886"/>
    </row>
    <row r="2258" spans="1:1" ht="12.75" customHeight="1">
      <c r="A2258" s="1886"/>
    </row>
    <row r="2259" spans="1:1" ht="12.75" customHeight="1">
      <c r="A2259" s="1886"/>
    </row>
    <row r="2260" spans="1:1" ht="12.75" customHeight="1">
      <c r="A2260" s="1886"/>
    </row>
    <row r="2261" spans="1:1" ht="12.75" customHeight="1">
      <c r="A2261" s="1886"/>
    </row>
    <row r="2262" spans="1:1" ht="12.75" customHeight="1">
      <c r="A2262" s="1886"/>
    </row>
    <row r="2263" spans="1:1" ht="12.75" customHeight="1">
      <c r="A2263" s="1886"/>
    </row>
    <row r="2264" spans="1:1" ht="12.75" customHeight="1">
      <c r="A2264" s="1886"/>
    </row>
    <row r="2265" spans="1:1" ht="12.75" customHeight="1">
      <c r="A2265" s="1886"/>
    </row>
    <row r="2266" spans="1:1" ht="12.75" customHeight="1">
      <c r="A2266" s="1886"/>
    </row>
    <row r="2267" spans="1:1" ht="12.75" customHeight="1">
      <c r="A2267" s="1886"/>
    </row>
    <row r="2268" spans="1:1" ht="12.75" customHeight="1">
      <c r="A2268" s="1886"/>
    </row>
    <row r="2269" spans="1:1" ht="12.75" customHeight="1">
      <c r="A2269" s="1886"/>
    </row>
    <row r="2270" spans="1:1" ht="12.75" customHeight="1">
      <c r="A2270" s="1886"/>
    </row>
    <row r="2271" spans="1:1" ht="12.75" customHeight="1">
      <c r="A2271" s="1886"/>
    </row>
    <row r="2272" spans="1:1" ht="12.75" customHeight="1">
      <c r="A2272" s="1886"/>
    </row>
    <row r="2273" spans="1:1" ht="12.75" customHeight="1">
      <c r="A2273" s="1886"/>
    </row>
    <row r="2274" spans="1:1" ht="12.75" customHeight="1">
      <c r="A2274" s="1886"/>
    </row>
    <row r="2275" spans="1:1" ht="12.75" customHeight="1">
      <c r="A2275" s="1886"/>
    </row>
    <row r="2276" spans="1:1" ht="12.75" customHeight="1">
      <c r="A2276" s="1886"/>
    </row>
    <row r="2277" spans="1:1" ht="12.75" customHeight="1">
      <c r="A2277" s="1886"/>
    </row>
    <row r="2278" spans="1:1" ht="12.75" customHeight="1">
      <c r="A2278" s="1886"/>
    </row>
    <row r="2279" spans="1:1" ht="12.75" customHeight="1">
      <c r="A2279" s="1886"/>
    </row>
    <row r="2280" spans="1:1" ht="12.75" customHeight="1">
      <c r="A2280" s="1886"/>
    </row>
    <row r="2281" spans="1:1" ht="12.75" customHeight="1">
      <c r="A2281" s="1886"/>
    </row>
    <row r="2282" spans="1:1" ht="12.75" customHeight="1">
      <c r="A2282" s="1886"/>
    </row>
    <row r="2283" spans="1:1" ht="12.75" customHeight="1">
      <c r="A2283" s="1886"/>
    </row>
    <row r="2284" spans="1:1" ht="12.75" customHeight="1">
      <c r="A2284" s="1886"/>
    </row>
    <row r="2285" spans="1:1" ht="12.75" customHeight="1">
      <c r="A2285" s="1886"/>
    </row>
    <row r="2286" spans="1:1" ht="12.75" customHeight="1">
      <c r="A2286" s="1886"/>
    </row>
    <row r="2287" spans="1:1" ht="12.75" customHeight="1">
      <c r="A2287" s="1886"/>
    </row>
    <row r="2288" spans="1:1" ht="12.75" customHeight="1">
      <c r="A2288" s="1886"/>
    </row>
    <row r="2289" spans="1:1" ht="12.75" customHeight="1">
      <c r="A2289" s="1886"/>
    </row>
    <row r="2290" spans="1:1" ht="12.75" customHeight="1">
      <c r="A2290" s="1886"/>
    </row>
    <row r="2291" spans="1:1" ht="12.75" customHeight="1">
      <c r="A2291" s="1886"/>
    </row>
    <row r="2292" spans="1:1" ht="12.75" customHeight="1">
      <c r="A2292" s="1886"/>
    </row>
    <row r="2293" spans="1:1" ht="12.75" customHeight="1">
      <c r="A2293" s="1886"/>
    </row>
    <row r="2294" spans="1:1" ht="12.75" customHeight="1">
      <c r="A2294" s="1886"/>
    </row>
    <row r="2295" spans="1:1" ht="12.75" customHeight="1">
      <c r="A2295" s="1886"/>
    </row>
    <row r="2296" spans="1:1" ht="12.75" customHeight="1">
      <c r="A2296" s="1886"/>
    </row>
    <row r="2297" spans="1:1" ht="12.75" customHeight="1">
      <c r="A2297" s="1886"/>
    </row>
    <row r="2298" spans="1:1" ht="12.75" customHeight="1">
      <c r="A2298" s="1886"/>
    </row>
    <row r="2299" spans="1:1" ht="12.75" customHeight="1">
      <c r="A2299" s="1886"/>
    </row>
    <row r="2300" spans="1:1" ht="12.75" customHeight="1">
      <c r="A2300" s="1886"/>
    </row>
    <row r="2301" spans="1:1" ht="12.75" customHeight="1">
      <c r="A2301" s="1886"/>
    </row>
    <row r="2302" spans="1:1" ht="12.75" customHeight="1">
      <c r="A2302" s="1886"/>
    </row>
    <row r="2303" spans="1:1" ht="12.75" customHeight="1">
      <c r="A2303" s="1886"/>
    </row>
    <row r="2304" spans="1:1" ht="12.75" customHeight="1">
      <c r="A2304" s="1886"/>
    </row>
    <row r="2305" spans="1:1" ht="12.75" customHeight="1">
      <c r="A2305" s="1886"/>
    </row>
    <row r="2306" spans="1:1" ht="12.75" customHeight="1">
      <c r="A2306" s="1886"/>
    </row>
    <row r="2307" spans="1:1" ht="12.75" customHeight="1">
      <c r="A2307" s="1886"/>
    </row>
    <row r="2308" spans="1:1" ht="12.75" customHeight="1">
      <c r="A2308" s="1886"/>
    </row>
    <row r="2309" spans="1:1" ht="12.75" customHeight="1">
      <c r="A2309" s="1886"/>
    </row>
    <row r="2310" spans="1:1" ht="12.75" customHeight="1">
      <c r="A2310" s="1886"/>
    </row>
    <row r="2311" spans="1:1" ht="12.75" customHeight="1">
      <c r="A2311" s="1886"/>
    </row>
    <row r="2312" spans="1:1" ht="12.75" customHeight="1">
      <c r="A2312" s="1886"/>
    </row>
    <row r="2313" spans="1:1" ht="12.75" customHeight="1">
      <c r="A2313" s="1886"/>
    </row>
    <row r="2314" spans="1:1" ht="12.75" customHeight="1">
      <c r="A2314" s="1886"/>
    </row>
    <row r="2315" spans="1:1" ht="12.75" customHeight="1">
      <c r="A2315" s="1886"/>
    </row>
    <row r="2316" spans="1:1" ht="12.75" customHeight="1">
      <c r="A2316" s="1886"/>
    </row>
    <row r="2317" spans="1:1" ht="12.75" customHeight="1">
      <c r="A2317" s="1886"/>
    </row>
    <row r="2318" spans="1:1" ht="12.75" customHeight="1">
      <c r="A2318" s="1886"/>
    </row>
    <row r="2319" spans="1:1" ht="12.75" customHeight="1">
      <c r="A2319" s="1886"/>
    </row>
    <row r="2320" spans="1:1" ht="12.75" customHeight="1">
      <c r="A2320" s="1886"/>
    </row>
    <row r="2321" spans="1:1" ht="12.75" customHeight="1">
      <c r="A2321" s="1886"/>
    </row>
    <row r="2322" spans="1:1" ht="12.75" customHeight="1">
      <c r="A2322" s="1886"/>
    </row>
    <row r="2323" spans="1:1" ht="12.75" customHeight="1">
      <c r="A2323" s="1886"/>
    </row>
    <row r="2324" spans="1:1" ht="12.75" customHeight="1">
      <c r="A2324" s="1886"/>
    </row>
    <row r="2325" spans="1:1" ht="12.75" customHeight="1">
      <c r="A2325" s="1886"/>
    </row>
    <row r="2326" spans="1:1" ht="12.75" customHeight="1">
      <c r="A2326" s="1886"/>
    </row>
    <row r="2327" spans="1:1" ht="12.75" customHeight="1">
      <c r="A2327" s="1886"/>
    </row>
    <row r="2328" spans="1:1" ht="12.75" customHeight="1">
      <c r="A2328" s="1886"/>
    </row>
    <row r="2329" spans="1:1" ht="12.75" customHeight="1">
      <c r="A2329" s="1886"/>
    </row>
    <row r="2330" spans="1:1" ht="12.75" customHeight="1">
      <c r="A2330" s="1886"/>
    </row>
    <row r="2331" spans="1:1" ht="12.75" customHeight="1">
      <c r="A2331" s="1886"/>
    </row>
    <row r="2332" spans="1:1" ht="12.75" customHeight="1">
      <c r="A2332" s="1886"/>
    </row>
    <row r="2333" spans="1:1" ht="12.75" customHeight="1">
      <c r="A2333" s="1886"/>
    </row>
    <row r="2334" spans="1:1" ht="12.75" customHeight="1">
      <c r="A2334" s="1886"/>
    </row>
    <row r="2335" spans="1:1" ht="12.75" customHeight="1">
      <c r="A2335" s="1886"/>
    </row>
    <row r="2336" spans="1:1" ht="12.75" customHeight="1">
      <c r="A2336" s="1886"/>
    </row>
    <row r="2337" spans="1:1" ht="12.75" customHeight="1">
      <c r="A2337" s="1886"/>
    </row>
    <row r="2338" spans="1:1" ht="12.75" customHeight="1">
      <c r="A2338" s="1886"/>
    </row>
    <row r="2339" spans="1:1" ht="12.75" customHeight="1">
      <c r="A2339" s="1886"/>
    </row>
    <row r="2340" spans="1:1" ht="12.75" customHeight="1">
      <c r="A2340" s="1886"/>
    </row>
    <row r="2341" spans="1:1" ht="12.75" customHeight="1">
      <c r="A2341" s="1886"/>
    </row>
    <row r="2342" spans="1:1" ht="12.75" customHeight="1">
      <c r="A2342" s="1886"/>
    </row>
    <row r="2343" spans="1:1" ht="12.75" customHeight="1">
      <c r="A2343" s="1886"/>
    </row>
    <row r="2344" spans="1:1" ht="12.75" customHeight="1">
      <c r="A2344" s="1886"/>
    </row>
    <row r="2345" spans="1:1" ht="12.75" customHeight="1">
      <c r="A2345" s="1886"/>
    </row>
    <row r="2346" spans="1:1" ht="12.75" customHeight="1">
      <c r="A2346" s="1886"/>
    </row>
    <row r="2347" spans="1:1" ht="12.75" customHeight="1">
      <c r="A2347" s="1886"/>
    </row>
    <row r="2348" spans="1:1" ht="12.75" customHeight="1">
      <c r="A2348" s="1886"/>
    </row>
    <row r="2349" spans="1:1" ht="12.75" customHeight="1">
      <c r="A2349" s="1886"/>
    </row>
    <row r="2350" spans="1:1" ht="12.75" customHeight="1">
      <c r="A2350" s="1886"/>
    </row>
    <row r="2351" spans="1:1" ht="12.75" customHeight="1">
      <c r="A2351" s="1886"/>
    </row>
    <row r="2352" spans="1:1" ht="12.75" customHeight="1">
      <c r="A2352" s="1886"/>
    </row>
    <row r="2353" spans="1:1" ht="12.75" customHeight="1">
      <c r="A2353" s="1886"/>
    </row>
    <row r="2354" spans="1:1" ht="12.75" customHeight="1">
      <c r="A2354" s="1886"/>
    </row>
    <row r="2355" spans="1:1" ht="12.75" customHeight="1">
      <c r="A2355" s="1886"/>
    </row>
    <row r="2356" spans="1:1" ht="12.75" customHeight="1">
      <c r="A2356" s="1886"/>
    </row>
    <row r="2357" spans="1:1" ht="12.75" customHeight="1">
      <c r="A2357" s="1886"/>
    </row>
    <row r="2358" spans="1:1" ht="12.75" customHeight="1">
      <c r="A2358" s="1886"/>
    </row>
    <row r="2359" spans="1:1" ht="12.75" customHeight="1">
      <c r="A2359" s="1886"/>
    </row>
    <row r="2360" spans="1:1" ht="12.75" customHeight="1">
      <c r="A2360" s="1886"/>
    </row>
    <row r="2361" spans="1:1" ht="12.75" customHeight="1">
      <c r="A2361" s="1886"/>
    </row>
    <row r="2362" spans="1:1" ht="12.75" customHeight="1">
      <c r="A2362" s="1886"/>
    </row>
    <row r="2363" spans="1:1" ht="12.75" customHeight="1">
      <c r="A2363" s="1886"/>
    </row>
    <row r="2364" spans="1:1" ht="12.75" customHeight="1">
      <c r="A2364" s="1886"/>
    </row>
    <row r="2365" spans="1:1" ht="12.75" customHeight="1">
      <c r="A2365" s="1886"/>
    </row>
    <row r="2366" spans="1:1" ht="12.75" customHeight="1">
      <c r="A2366" s="1886"/>
    </row>
    <row r="2367" spans="1:1" ht="12.75" customHeight="1">
      <c r="A2367" s="1886"/>
    </row>
    <row r="2368" spans="1:1" ht="12.75" customHeight="1">
      <c r="A2368" s="1886"/>
    </row>
    <row r="2369" spans="1:1" ht="12.75" customHeight="1">
      <c r="A2369" s="1886"/>
    </row>
    <row r="2370" spans="1:1" ht="12.75" customHeight="1">
      <c r="A2370" s="1886"/>
    </row>
    <row r="2371" spans="1:1" ht="12.75" customHeight="1">
      <c r="A2371" s="1886"/>
    </row>
    <row r="2372" spans="1:1" ht="12.75" customHeight="1">
      <c r="A2372" s="1886"/>
    </row>
    <row r="2373" spans="1:1" ht="12.75" customHeight="1">
      <c r="A2373" s="1886"/>
    </row>
    <row r="2374" spans="1:1" ht="12.75" customHeight="1">
      <c r="A2374" s="1886"/>
    </row>
    <row r="2375" spans="1:1" ht="12.75" customHeight="1">
      <c r="A2375" s="1886"/>
    </row>
    <row r="2376" spans="1:1" ht="12.75" customHeight="1">
      <c r="A2376" s="1886"/>
    </row>
    <row r="2377" spans="1:1" ht="12.75" customHeight="1">
      <c r="A2377" s="1886"/>
    </row>
    <row r="2378" spans="1:1" ht="12.75" customHeight="1">
      <c r="A2378" s="1886"/>
    </row>
    <row r="2379" spans="1:1" ht="12.75" customHeight="1">
      <c r="A2379" s="1886"/>
    </row>
    <row r="2380" spans="1:1" ht="12.75" customHeight="1">
      <c r="A2380" s="1886"/>
    </row>
    <row r="2381" spans="1:1" ht="12.75" customHeight="1">
      <c r="A2381" s="1886"/>
    </row>
    <row r="2382" spans="1:1" ht="12.75" customHeight="1">
      <c r="A2382" s="1886"/>
    </row>
    <row r="2383" spans="1:1" ht="12.75" customHeight="1">
      <c r="A2383" s="1886"/>
    </row>
    <row r="2384" spans="1:1" ht="12.75" customHeight="1">
      <c r="A2384" s="1886"/>
    </row>
    <row r="2385" spans="1:1" ht="12.75" customHeight="1">
      <c r="A2385" s="1886"/>
    </row>
    <row r="2386" spans="1:1" ht="12.75" customHeight="1">
      <c r="A2386" s="1886"/>
    </row>
    <row r="2387" spans="1:1" ht="12.75" customHeight="1">
      <c r="A2387" s="1886"/>
    </row>
    <row r="2388" spans="1:1" ht="12.75" customHeight="1">
      <c r="A2388" s="1886"/>
    </row>
    <row r="2389" spans="1:1" ht="12.75" customHeight="1">
      <c r="A2389" s="1886"/>
    </row>
    <row r="2390" spans="1:1" ht="12.75" customHeight="1">
      <c r="A2390" s="1886"/>
    </row>
    <row r="2391" spans="1:1" ht="12.75" customHeight="1">
      <c r="A2391" s="1886"/>
    </row>
    <row r="2392" spans="1:1" ht="12.75" customHeight="1">
      <c r="A2392" s="1886"/>
    </row>
    <row r="2393" spans="1:1" ht="12.75" customHeight="1">
      <c r="A2393" s="1886"/>
    </row>
    <row r="2394" spans="1:1" ht="12.75" customHeight="1">
      <c r="A2394" s="1886"/>
    </row>
    <row r="2395" spans="1:1" ht="12.75" customHeight="1">
      <c r="A2395" s="1886"/>
    </row>
    <row r="2396" spans="1:1" ht="12.75" customHeight="1">
      <c r="A2396" s="1886"/>
    </row>
    <row r="2397" spans="1:1" ht="12.75" customHeight="1">
      <c r="A2397" s="1886"/>
    </row>
    <row r="2398" spans="1:1" ht="12.75" customHeight="1">
      <c r="A2398" s="1886"/>
    </row>
    <row r="2399" spans="1:1" ht="12.75" customHeight="1">
      <c r="A2399" s="1886"/>
    </row>
    <row r="2400" spans="1:1" ht="12.75" customHeight="1">
      <c r="A2400" s="1886"/>
    </row>
    <row r="2401" spans="1:1" ht="12.75" customHeight="1">
      <c r="A2401" s="1886"/>
    </row>
    <row r="2402" spans="1:1" ht="12.75" customHeight="1">
      <c r="A2402" s="1886"/>
    </row>
    <row r="2403" spans="1:1" ht="12.75" customHeight="1">
      <c r="A2403" s="1886"/>
    </row>
    <row r="2404" spans="1:1" ht="12.75" customHeight="1">
      <c r="A2404" s="1886"/>
    </row>
    <row r="2405" spans="1:1" ht="12.75" customHeight="1">
      <c r="A2405" s="1886"/>
    </row>
    <row r="2406" spans="1:1" ht="12.75" customHeight="1">
      <c r="A2406" s="1886"/>
    </row>
    <row r="2407" spans="1:1" ht="12.75" customHeight="1">
      <c r="A2407" s="1886"/>
    </row>
    <row r="2408" spans="1:1" ht="12.75" customHeight="1">
      <c r="A2408" s="1886"/>
    </row>
    <row r="2409" spans="1:1" ht="12.75" customHeight="1">
      <c r="A2409" s="1886"/>
    </row>
    <row r="2410" spans="1:1" ht="12.75" customHeight="1">
      <c r="A2410" s="1886"/>
    </row>
    <row r="2411" spans="1:1" ht="12.75" customHeight="1">
      <c r="A2411" s="1886"/>
    </row>
    <row r="2412" spans="1:1" ht="12.75" customHeight="1">
      <c r="A2412" s="1886"/>
    </row>
    <row r="2413" spans="1:1" ht="12.75" customHeight="1">
      <c r="A2413" s="1886"/>
    </row>
    <row r="2414" spans="1:1" ht="12.75" customHeight="1">
      <c r="A2414" s="1886"/>
    </row>
    <row r="2415" spans="1:1" ht="12.75" customHeight="1">
      <c r="A2415" s="1886"/>
    </row>
    <row r="2416" spans="1:1" ht="12.75" customHeight="1">
      <c r="A2416" s="1886"/>
    </row>
    <row r="2417" spans="1:1" ht="12.75" customHeight="1">
      <c r="A2417" s="1886"/>
    </row>
    <row r="2418" spans="1:1" ht="12.75" customHeight="1">
      <c r="A2418" s="1886"/>
    </row>
    <row r="2419" spans="1:1" ht="12.75" customHeight="1">
      <c r="A2419" s="1886"/>
    </row>
    <row r="2420" spans="1:1" ht="12.75" customHeight="1">
      <c r="A2420" s="1886"/>
    </row>
    <row r="2421" spans="1:1" ht="12.75" customHeight="1">
      <c r="A2421" s="1886"/>
    </row>
    <row r="2422" spans="1:1" ht="12.75" customHeight="1">
      <c r="A2422" s="1886"/>
    </row>
    <row r="2423" spans="1:1" ht="12.75" customHeight="1">
      <c r="A2423" s="1886"/>
    </row>
    <row r="2424" spans="1:1" ht="12.75" customHeight="1">
      <c r="A2424" s="1886"/>
    </row>
    <row r="2425" spans="1:1" ht="12.75" customHeight="1">
      <c r="A2425" s="1886"/>
    </row>
    <row r="2426" spans="1:1" ht="12.75" customHeight="1">
      <c r="A2426" s="1886"/>
    </row>
    <row r="2427" spans="1:1" ht="12.75" customHeight="1">
      <c r="A2427" s="1886"/>
    </row>
    <row r="2428" spans="1:1" ht="12.75" customHeight="1">
      <c r="A2428" s="1886"/>
    </row>
    <row r="2429" spans="1:1" ht="12.75" customHeight="1">
      <c r="A2429" s="1886"/>
    </row>
    <row r="2430" spans="1:1" ht="12.75" customHeight="1">
      <c r="A2430" s="1886"/>
    </row>
    <row r="2431" spans="1:1" ht="12.75" customHeight="1">
      <c r="A2431" s="1886"/>
    </row>
    <row r="2432" spans="1:1" ht="12.75" customHeight="1">
      <c r="A2432" s="1886"/>
    </row>
    <row r="2433" spans="1:1" ht="12.75" customHeight="1">
      <c r="A2433" s="1886"/>
    </row>
    <row r="2434" spans="1:1" ht="12.75" customHeight="1">
      <c r="A2434" s="1886"/>
    </row>
    <row r="2435" spans="1:1" ht="12.75" customHeight="1">
      <c r="A2435" s="1886"/>
    </row>
    <row r="2436" spans="1:1" ht="12.75" customHeight="1">
      <c r="A2436" s="1886"/>
    </row>
    <row r="2437" spans="1:1" ht="12.75" customHeight="1">
      <c r="A2437" s="1886"/>
    </row>
    <row r="2438" spans="1:1" ht="12.75" customHeight="1">
      <c r="A2438" s="1886"/>
    </row>
    <row r="2439" spans="1:1" ht="12.75" customHeight="1">
      <c r="A2439" s="1886"/>
    </row>
    <row r="2440" spans="1:1" ht="12.75" customHeight="1">
      <c r="A2440" s="1886"/>
    </row>
    <row r="2441" spans="1:1" ht="12.75" customHeight="1">
      <c r="A2441" s="1886"/>
    </row>
    <row r="2442" spans="1:1" ht="12.75" customHeight="1">
      <c r="A2442" s="1886"/>
    </row>
    <row r="2443" spans="1:1" ht="12.75" customHeight="1">
      <c r="A2443" s="1886"/>
    </row>
    <row r="2444" spans="1:1" ht="12.75" customHeight="1">
      <c r="A2444" s="1886"/>
    </row>
    <row r="2445" spans="1:1" ht="12.75" customHeight="1">
      <c r="A2445" s="1886"/>
    </row>
    <row r="2446" spans="1:1" ht="12.75" customHeight="1">
      <c r="A2446" s="1886"/>
    </row>
    <row r="2447" spans="1:1" ht="12.75" customHeight="1">
      <c r="A2447" s="1886"/>
    </row>
    <row r="2448" spans="1:1" ht="12.75" customHeight="1">
      <c r="A2448" s="1886"/>
    </row>
    <row r="2449" spans="1:1" ht="12.75" customHeight="1">
      <c r="A2449" s="1886"/>
    </row>
    <row r="2450" spans="1:1" ht="12.75" customHeight="1">
      <c r="A2450" s="1886"/>
    </row>
    <row r="2451" spans="1:1" ht="12.75" customHeight="1">
      <c r="A2451" s="1886"/>
    </row>
    <row r="2452" spans="1:1" ht="12.75" customHeight="1">
      <c r="A2452" s="1886"/>
    </row>
    <row r="2453" spans="1:1" ht="12.75" customHeight="1">
      <c r="A2453" s="1886"/>
    </row>
    <row r="2454" spans="1:1" ht="12.75" customHeight="1">
      <c r="A2454" s="1886"/>
    </row>
    <row r="2455" spans="1:1" ht="12.75" customHeight="1">
      <c r="A2455" s="1886"/>
    </row>
    <row r="2456" spans="1:1" ht="12.75" customHeight="1">
      <c r="A2456" s="1886"/>
    </row>
    <row r="2457" spans="1:1" ht="12.75" customHeight="1">
      <c r="A2457" s="1886"/>
    </row>
    <row r="2458" spans="1:1" ht="12.75" customHeight="1">
      <c r="A2458" s="1886"/>
    </row>
    <row r="2459" spans="1:1" ht="12.75" customHeight="1">
      <c r="A2459" s="1886"/>
    </row>
    <row r="2460" spans="1:1" ht="12.75" customHeight="1">
      <c r="A2460" s="1886"/>
    </row>
    <row r="2461" spans="1:1" ht="12.75" customHeight="1">
      <c r="A2461" s="1886"/>
    </row>
    <row r="2462" spans="1:1" ht="12.75" customHeight="1">
      <c r="A2462" s="1886"/>
    </row>
    <row r="2463" spans="1:1" ht="12.75" customHeight="1">
      <c r="A2463" s="1886"/>
    </row>
    <row r="2464" spans="1:1" ht="12.75" customHeight="1">
      <c r="A2464" s="1886"/>
    </row>
    <row r="2465" spans="1:1" ht="12.75" customHeight="1">
      <c r="A2465" s="1886"/>
    </row>
    <row r="2466" spans="1:1" ht="12.75" customHeight="1">
      <c r="A2466" s="1886"/>
    </row>
    <row r="2467" spans="1:1" ht="12.75" customHeight="1">
      <c r="A2467" s="1886"/>
    </row>
    <row r="2468" spans="1:1" ht="12.75" customHeight="1">
      <c r="A2468" s="1886"/>
    </row>
    <row r="2469" spans="1:1" ht="12.75" customHeight="1">
      <c r="A2469" s="1886"/>
    </row>
    <row r="2470" spans="1:1" ht="12.75" customHeight="1">
      <c r="A2470" s="1886"/>
    </row>
    <row r="2471" spans="1:1" ht="12.75" customHeight="1">
      <c r="A2471" s="1886"/>
    </row>
    <row r="2472" spans="1:1" ht="12.75" customHeight="1">
      <c r="A2472" s="1886"/>
    </row>
    <row r="2473" spans="1:1" ht="12.75" customHeight="1">
      <c r="A2473" s="1886"/>
    </row>
    <row r="2474" spans="1:1" ht="12.75" customHeight="1">
      <c r="A2474" s="1886"/>
    </row>
    <row r="2475" spans="1:1" ht="12.75" customHeight="1">
      <c r="A2475" s="1886"/>
    </row>
    <row r="2476" spans="1:1" ht="12.75" customHeight="1">
      <c r="A2476" s="1886"/>
    </row>
    <row r="2477" spans="1:1" ht="12.75" customHeight="1">
      <c r="A2477" s="1886"/>
    </row>
    <row r="2478" spans="1:1" ht="12.75" customHeight="1">
      <c r="A2478" s="1886"/>
    </row>
    <row r="2479" spans="1:1" ht="12.75" customHeight="1">
      <c r="A2479" s="1886"/>
    </row>
    <row r="2480" spans="1:1" ht="12.75" customHeight="1">
      <c r="A2480" s="1886"/>
    </row>
    <row r="2481" spans="1:1" ht="12.75" customHeight="1">
      <c r="A2481" s="1886"/>
    </row>
    <row r="2482" spans="1:1" ht="12.75" customHeight="1">
      <c r="A2482" s="1886"/>
    </row>
    <row r="2483" spans="1:1" ht="12.75" customHeight="1">
      <c r="A2483" s="1886"/>
    </row>
    <row r="2484" spans="1:1" ht="12.75" customHeight="1">
      <c r="A2484" s="1886"/>
    </row>
    <row r="2485" spans="1:1" ht="12.75" customHeight="1">
      <c r="A2485" s="1886"/>
    </row>
    <row r="2486" spans="1:1" ht="12.75" customHeight="1">
      <c r="A2486" s="1886"/>
    </row>
    <row r="2487" spans="1:1" ht="12.75" customHeight="1">
      <c r="A2487" s="1886"/>
    </row>
    <row r="2488" spans="1:1" ht="12.75" customHeight="1">
      <c r="A2488" s="1886"/>
    </row>
    <row r="2489" spans="1:1" ht="12.75" customHeight="1">
      <c r="A2489" s="1886"/>
    </row>
    <row r="2490" spans="1:1" ht="12.75" customHeight="1">
      <c r="A2490" s="1886"/>
    </row>
    <row r="2491" spans="1:1" ht="12.75" customHeight="1">
      <c r="A2491" s="1886"/>
    </row>
    <row r="2492" spans="1:1" ht="12.75" customHeight="1">
      <c r="A2492" s="1886"/>
    </row>
    <row r="2493" spans="1:1" ht="12.75" customHeight="1">
      <c r="A2493" s="1886"/>
    </row>
    <row r="2494" spans="1:1" ht="12.75" customHeight="1">
      <c r="A2494" s="1886"/>
    </row>
    <row r="2495" spans="1:1" ht="12.75" customHeight="1">
      <c r="A2495" s="1886"/>
    </row>
    <row r="2496" spans="1:1" ht="12.75" customHeight="1">
      <c r="A2496" s="1886"/>
    </row>
    <row r="2497" spans="1:1" ht="12.75" customHeight="1">
      <c r="A2497" s="1886"/>
    </row>
    <row r="2498" spans="1:1" ht="12.75" customHeight="1">
      <c r="A2498" s="1886"/>
    </row>
    <row r="2499" spans="1:1" ht="12.75" customHeight="1">
      <c r="A2499" s="1886"/>
    </row>
    <row r="2500" spans="1:1" ht="12.75" customHeight="1">
      <c r="A2500" s="1886"/>
    </row>
    <row r="2501" spans="1:1" ht="12.75" customHeight="1">
      <c r="A2501" s="1886"/>
    </row>
    <row r="2502" spans="1:1" ht="12.75" customHeight="1">
      <c r="A2502" s="1886"/>
    </row>
    <row r="2503" spans="1:1" ht="12.75" customHeight="1">
      <c r="A2503" s="1886"/>
    </row>
    <row r="2504" spans="1:1" ht="12.75" customHeight="1">
      <c r="A2504" s="1886"/>
    </row>
    <row r="2505" spans="1:1" ht="12.75" customHeight="1">
      <c r="A2505" s="1886"/>
    </row>
    <row r="2506" spans="1:1" ht="12.75" customHeight="1">
      <c r="A2506" s="1886"/>
    </row>
    <row r="2507" spans="1:1" ht="12.75" customHeight="1">
      <c r="A2507" s="1886"/>
    </row>
    <row r="2508" spans="1:1" ht="12.75" customHeight="1">
      <c r="A2508" s="1886"/>
    </row>
    <row r="2509" spans="1:1" ht="12.75" customHeight="1">
      <c r="A2509" s="1886"/>
    </row>
    <row r="2510" spans="1:1" ht="12.75" customHeight="1">
      <c r="A2510" s="1886"/>
    </row>
    <row r="2511" spans="1:1" ht="12.75" customHeight="1">
      <c r="A2511" s="1886"/>
    </row>
    <row r="2512" spans="1:1" ht="12.75" customHeight="1">
      <c r="A2512" s="1886"/>
    </row>
    <row r="2513" spans="1:1" ht="12.75" customHeight="1">
      <c r="A2513" s="1886"/>
    </row>
    <row r="2514" spans="1:1" ht="12.75" customHeight="1">
      <c r="A2514" s="1886"/>
    </row>
    <row r="2515" spans="1:1" ht="12.75" customHeight="1">
      <c r="A2515" s="1886"/>
    </row>
    <row r="2516" spans="1:1" ht="12.75" customHeight="1">
      <c r="A2516" s="1886"/>
    </row>
    <row r="2517" spans="1:1" ht="12.75" customHeight="1">
      <c r="A2517" s="1886"/>
    </row>
    <row r="2518" spans="1:1" ht="12.75" customHeight="1">
      <c r="A2518" s="1886"/>
    </row>
    <row r="2519" spans="1:1" ht="12.75" customHeight="1">
      <c r="A2519" s="1886"/>
    </row>
    <row r="2520" spans="1:1" ht="12.75" customHeight="1">
      <c r="A2520" s="1886"/>
    </row>
    <row r="2521" spans="1:1" ht="12.75" customHeight="1">
      <c r="A2521" s="1886"/>
    </row>
    <row r="2522" spans="1:1" ht="12.75" customHeight="1">
      <c r="A2522" s="1886"/>
    </row>
    <row r="2523" spans="1:1" ht="12.75" customHeight="1">
      <c r="A2523" s="1886"/>
    </row>
    <row r="2524" spans="1:1" ht="12.75" customHeight="1">
      <c r="A2524" s="1886"/>
    </row>
    <row r="2525" spans="1:1" ht="12.75" customHeight="1">
      <c r="A2525" s="1886"/>
    </row>
    <row r="2526" spans="1:1" ht="12.75" customHeight="1">
      <c r="A2526" s="1886"/>
    </row>
    <row r="2527" spans="1:1" ht="12.75" customHeight="1">
      <c r="A2527" s="1886"/>
    </row>
    <row r="2528" spans="1:1" ht="12.75" customHeight="1">
      <c r="A2528" s="1886"/>
    </row>
    <row r="2529" spans="1:1" ht="12.75" customHeight="1">
      <c r="A2529" s="1886"/>
    </row>
    <row r="2530" spans="1:1" ht="12.75" customHeight="1">
      <c r="A2530" s="1886"/>
    </row>
    <row r="2531" spans="1:1" ht="12.75" customHeight="1">
      <c r="A2531" s="1886"/>
    </row>
    <row r="2532" spans="1:1" ht="12.75" customHeight="1">
      <c r="A2532" s="1886"/>
    </row>
    <row r="2533" spans="1:1" ht="12.75" customHeight="1">
      <c r="A2533" s="1886"/>
    </row>
    <row r="2534" spans="1:1" ht="12.75" customHeight="1">
      <c r="A2534" s="1886"/>
    </row>
    <row r="2535" spans="1:1" ht="12.75" customHeight="1">
      <c r="A2535" s="1886"/>
    </row>
    <row r="2536" spans="1:1" ht="12.75" customHeight="1">
      <c r="A2536" s="1886"/>
    </row>
    <row r="2537" spans="1:1" ht="12.75" customHeight="1">
      <c r="A2537" s="1886"/>
    </row>
    <row r="2538" spans="1:1" ht="12.75" customHeight="1">
      <c r="A2538" s="1886"/>
    </row>
    <row r="2539" spans="1:1" ht="12.75" customHeight="1">
      <c r="A2539" s="1886"/>
    </row>
    <row r="2540" spans="1:1" ht="12.75" customHeight="1">
      <c r="A2540" s="1886"/>
    </row>
    <row r="2541" spans="1:1" ht="12.75" customHeight="1">
      <c r="A2541" s="1886"/>
    </row>
    <row r="2542" spans="1:1" ht="12.75" customHeight="1">
      <c r="A2542" s="1886"/>
    </row>
    <row r="2543" spans="1:1" ht="12.75" customHeight="1">
      <c r="A2543" s="1886"/>
    </row>
    <row r="2544" spans="1:1" ht="12.75" customHeight="1">
      <c r="A2544" s="1886"/>
    </row>
    <row r="2545" spans="1:1" ht="12.75" customHeight="1">
      <c r="A2545" s="1886"/>
    </row>
    <row r="2546" spans="1:1" ht="12.75" customHeight="1">
      <c r="A2546" s="1886"/>
    </row>
    <row r="2547" spans="1:1" ht="12.75" customHeight="1">
      <c r="A2547" s="1886"/>
    </row>
    <row r="2548" spans="1:1" ht="12.75" customHeight="1">
      <c r="A2548" s="1886"/>
    </row>
    <row r="2549" spans="1:1" ht="12.75" customHeight="1">
      <c r="A2549" s="1886"/>
    </row>
    <row r="2550" spans="1:1" ht="12.75" customHeight="1">
      <c r="A2550" s="1886"/>
    </row>
    <row r="2551" spans="1:1" ht="12.75" customHeight="1">
      <c r="A2551" s="1886"/>
    </row>
    <row r="2552" spans="1:1" ht="12.75" customHeight="1">
      <c r="A2552" s="1886"/>
    </row>
    <row r="2553" spans="1:1" ht="12.75" customHeight="1">
      <c r="A2553" s="1886"/>
    </row>
    <row r="2554" spans="1:1" ht="12.75" customHeight="1">
      <c r="A2554" s="1886"/>
    </row>
    <row r="2555" spans="1:1" ht="12.75" customHeight="1">
      <c r="A2555" s="1886"/>
    </row>
    <row r="2556" spans="1:1" ht="12.75" customHeight="1">
      <c r="A2556" s="1886"/>
    </row>
    <row r="2557" spans="1:1" ht="12.75" customHeight="1">
      <c r="A2557" s="1886"/>
    </row>
    <row r="2558" spans="1:1" ht="12.75" customHeight="1">
      <c r="A2558" s="1886"/>
    </row>
    <row r="2559" spans="1:1" ht="12.75" customHeight="1">
      <c r="A2559" s="1886"/>
    </row>
    <row r="2560" spans="1:1" ht="12.75" customHeight="1">
      <c r="A2560" s="1886"/>
    </row>
    <row r="2561" spans="1:1" ht="12.75" customHeight="1">
      <c r="A2561" s="1886"/>
    </row>
    <row r="2562" spans="1:1" ht="12.75" customHeight="1">
      <c r="A2562" s="1886"/>
    </row>
    <row r="2563" spans="1:1" ht="12.75" customHeight="1">
      <c r="A2563" s="1886"/>
    </row>
    <row r="2564" spans="1:1" ht="12.75" customHeight="1">
      <c r="A2564" s="1886"/>
    </row>
    <row r="2565" spans="1:1" ht="12.75" customHeight="1">
      <c r="A2565" s="1886"/>
    </row>
    <row r="2566" spans="1:1" ht="12.75" customHeight="1">
      <c r="A2566" s="1886"/>
    </row>
    <row r="2567" spans="1:1" ht="12.75" customHeight="1">
      <c r="A2567" s="1886"/>
    </row>
    <row r="2568" spans="1:1" ht="12.75" customHeight="1">
      <c r="A2568" s="1886"/>
    </row>
    <row r="2569" spans="1:1" ht="12.75" customHeight="1">
      <c r="A2569" s="1886"/>
    </row>
    <row r="2570" spans="1:1" ht="12.75" customHeight="1">
      <c r="A2570" s="1886"/>
    </row>
    <row r="2571" spans="1:1" ht="12.75" customHeight="1">
      <c r="A2571" s="1886"/>
    </row>
    <row r="2572" spans="1:1" ht="12.75" customHeight="1">
      <c r="A2572" s="1886"/>
    </row>
    <row r="2573" spans="1:1" ht="12.75" customHeight="1">
      <c r="A2573" s="1886"/>
    </row>
    <row r="2574" spans="1:1" ht="12.75" customHeight="1">
      <c r="A2574" s="1886"/>
    </row>
    <row r="2575" spans="1:1" ht="12.75" customHeight="1">
      <c r="A2575" s="1886"/>
    </row>
    <row r="2576" spans="1:1" ht="12.75" customHeight="1">
      <c r="A2576" s="1886"/>
    </row>
    <row r="2577" spans="1:1" ht="12.75" customHeight="1">
      <c r="A2577" s="1886"/>
    </row>
    <row r="2578" spans="1:1" ht="12.75" customHeight="1">
      <c r="A2578" s="1886"/>
    </row>
    <row r="2579" spans="1:1" ht="12.75" customHeight="1">
      <c r="A2579" s="1886"/>
    </row>
    <row r="2580" spans="1:1" ht="12.75" customHeight="1">
      <c r="A2580" s="1886"/>
    </row>
    <row r="2581" spans="1:1" ht="12.75" customHeight="1">
      <c r="A2581" s="1886"/>
    </row>
    <row r="2582" spans="1:1" ht="12.75" customHeight="1">
      <c r="A2582" s="1886"/>
    </row>
    <row r="2583" spans="1:1" ht="12.75" customHeight="1">
      <c r="A2583" s="1886"/>
    </row>
    <row r="2584" spans="1:1" ht="12.75" customHeight="1">
      <c r="A2584" s="1886"/>
    </row>
    <row r="2585" spans="1:1" ht="12.75" customHeight="1">
      <c r="A2585" s="1886"/>
    </row>
    <row r="2586" spans="1:1" ht="12.75" customHeight="1">
      <c r="A2586" s="1886"/>
    </row>
    <row r="2587" spans="1:1" ht="12.75" customHeight="1">
      <c r="A2587" s="1886"/>
    </row>
    <row r="2588" spans="1:1" ht="12.75" customHeight="1">
      <c r="A2588" s="1886"/>
    </row>
    <row r="2589" spans="1:1" ht="12.75" customHeight="1">
      <c r="A2589" s="1886"/>
    </row>
    <row r="2590" spans="1:1" ht="12.75" customHeight="1">
      <c r="A2590" s="1886"/>
    </row>
    <row r="2591" spans="1:1" ht="12.75" customHeight="1">
      <c r="A2591" s="1886"/>
    </row>
    <row r="2592" spans="1:1" ht="12.75" customHeight="1">
      <c r="A2592" s="1886"/>
    </row>
    <row r="2593" spans="1:1" ht="12.75" customHeight="1">
      <c r="A2593" s="1886"/>
    </row>
    <row r="2594" spans="1:1" ht="12.75" customHeight="1">
      <c r="A2594" s="1886"/>
    </row>
    <row r="2595" spans="1:1" ht="12.75" customHeight="1">
      <c r="A2595" s="1886"/>
    </row>
    <row r="2596" spans="1:1" ht="12.75" customHeight="1">
      <c r="A2596" s="1886"/>
    </row>
    <row r="2597" spans="1:1" ht="12.75" customHeight="1">
      <c r="A2597" s="1886"/>
    </row>
    <row r="2598" spans="1:1" ht="12.75" customHeight="1">
      <c r="A2598" s="1886"/>
    </row>
    <row r="2599" spans="1:1" ht="12.75" customHeight="1">
      <c r="A2599" s="1886"/>
    </row>
    <row r="2600" spans="1:1" ht="12.75" customHeight="1">
      <c r="A2600" s="1886"/>
    </row>
    <row r="2601" spans="1:1" ht="12.75" customHeight="1">
      <c r="A2601" s="1886"/>
    </row>
    <row r="2602" spans="1:1" ht="12.75" customHeight="1">
      <c r="A2602" s="1886"/>
    </row>
    <row r="2603" spans="1:1" ht="12.75" customHeight="1">
      <c r="A2603" s="1886"/>
    </row>
    <row r="2604" spans="1:1" ht="12.75" customHeight="1">
      <c r="A2604" s="1886"/>
    </row>
    <row r="2605" spans="1:1" ht="12.75" customHeight="1">
      <c r="A2605" s="1886"/>
    </row>
    <row r="2606" spans="1:1" ht="12.75" customHeight="1">
      <c r="A2606" s="1886"/>
    </row>
    <row r="2607" spans="1:1" ht="12.75" customHeight="1">
      <c r="A2607" s="1886"/>
    </row>
    <row r="2608" spans="1:1" ht="12.75" customHeight="1">
      <c r="A2608" s="1886"/>
    </row>
    <row r="2609" spans="1:1" ht="12.75" customHeight="1">
      <c r="A2609" s="1886"/>
    </row>
    <row r="2610" spans="1:1" ht="12.75" customHeight="1">
      <c r="A2610" s="1886"/>
    </row>
    <row r="2611" spans="1:1" ht="12.75" customHeight="1">
      <c r="A2611" s="1886"/>
    </row>
    <row r="2612" spans="1:1" ht="12.75" customHeight="1">
      <c r="A2612" s="1886"/>
    </row>
    <row r="2613" spans="1:1" ht="12.75" customHeight="1">
      <c r="A2613" s="1886"/>
    </row>
    <row r="2614" spans="1:1" ht="12.75" customHeight="1">
      <c r="A2614" s="1886"/>
    </row>
    <row r="2615" spans="1:1" ht="12.75" customHeight="1">
      <c r="A2615" s="1886"/>
    </row>
    <row r="2616" spans="1:1" ht="12.75" customHeight="1">
      <c r="A2616" s="1886"/>
    </row>
    <row r="2617" spans="1:1" ht="12.75" customHeight="1">
      <c r="A2617" s="1886"/>
    </row>
    <row r="2618" spans="1:1" ht="12.75" customHeight="1">
      <c r="A2618" s="1886"/>
    </row>
    <row r="2619" spans="1:1" ht="12.75" customHeight="1">
      <c r="A2619" s="1886"/>
    </row>
    <row r="2620" spans="1:1" ht="12.75" customHeight="1">
      <c r="A2620" s="1886"/>
    </row>
    <row r="2621" spans="1:1" ht="12.75" customHeight="1">
      <c r="A2621" s="1886"/>
    </row>
    <row r="2622" spans="1:1" ht="12.75" customHeight="1">
      <c r="A2622" s="1886"/>
    </row>
    <row r="2623" spans="1:1" ht="12.75" customHeight="1">
      <c r="A2623" s="1886"/>
    </row>
    <row r="2624" spans="1:1" ht="12.75" customHeight="1">
      <c r="A2624" s="1886"/>
    </row>
    <row r="2625" spans="1:1" ht="12.75" customHeight="1">
      <c r="A2625" s="1886"/>
    </row>
    <row r="2626" spans="1:1" ht="12.75" customHeight="1">
      <c r="A2626" s="1886"/>
    </row>
    <row r="2627" spans="1:1" ht="12.75" customHeight="1">
      <c r="A2627" s="1886"/>
    </row>
    <row r="2628" spans="1:1" ht="12.75" customHeight="1">
      <c r="A2628" s="1886"/>
    </row>
    <row r="2629" spans="1:1" ht="12.75" customHeight="1">
      <c r="A2629" s="1886"/>
    </row>
    <row r="2630" spans="1:1" ht="12.75" customHeight="1">
      <c r="A2630" s="1886"/>
    </row>
    <row r="2631" spans="1:1" ht="12.75" customHeight="1">
      <c r="A2631" s="1886"/>
    </row>
    <row r="2632" spans="1:1" ht="12.75" customHeight="1">
      <c r="A2632" s="1886"/>
    </row>
    <row r="2633" spans="1:1" ht="12.75" customHeight="1">
      <c r="A2633" s="1886"/>
    </row>
    <row r="2634" spans="1:1" ht="12.75" customHeight="1">
      <c r="A2634" s="1886"/>
    </row>
    <row r="2635" spans="1:1" ht="12.75" customHeight="1">
      <c r="A2635" s="1886"/>
    </row>
    <row r="2636" spans="1:1" ht="12.75" customHeight="1">
      <c r="A2636" s="1886"/>
    </row>
    <row r="2637" spans="1:1" ht="12.75" customHeight="1">
      <c r="A2637" s="1886"/>
    </row>
    <row r="2638" spans="1:1" ht="12.75" customHeight="1">
      <c r="A2638" s="1886"/>
    </row>
    <row r="2639" spans="1:1" ht="12.75" customHeight="1">
      <c r="A2639" s="1886"/>
    </row>
    <row r="2640" spans="1:1" ht="12.75" customHeight="1">
      <c r="A2640" s="1886"/>
    </row>
    <row r="2641" spans="1:15" ht="12.75" customHeight="1">
      <c r="A2641" s="1886"/>
    </row>
    <row r="2642" spans="1:15" ht="12.75" customHeight="1">
      <c r="A2642" s="1886"/>
    </row>
    <row r="2643" spans="1:15" ht="12.75" customHeight="1">
      <c r="A2643" s="1886"/>
    </row>
    <row r="2644" spans="1:15" ht="12.75" customHeight="1">
      <c r="A2644" s="1886"/>
    </row>
    <row r="2645" spans="1:15" ht="12.75" customHeight="1">
      <c r="A2645" s="1886"/>
    </row>
    <row r="2646" spans="1:15" ht="12.75" customHeight="1">
      <c r="A2646" s="1886"/>
    </row>
    <row r="2647" spans="1:15" ht="12.75" customHeight="1">
      <c r="A2647" s="1886"/>
    </row>
    <row r="2648" spans="1:15" ht="12.75" customHeight="1">
      <c r="A2648" s="1886"/>
    </row>
    <row r="2649" spans="1:15" ht="12.75" customHeight="1">
      <c r="A2649" s="1886"/>
    </row>
    <row r="2650" spans="1:15" ht="12.75" customHeight="1">
      <c r="B2650" s="1885"/>
      <c r="H2650" s="361"/>
      <c r="I2650" s="1634"/>
      <c r="N2650" s="361"/>
      <c r="O2650" s="1969"/>
    </row>
    <row r="2651" spans="1:15" ht="12.75" customHeight="1">
      <c r="H2651" s="361"/>
      <c r="I2651" s="1634"/>
      <c r="N2651" s="361"/>
      <c r="O2651" s="1969"/>
    </row>
    <row r="2652" spans="1:15" ht="12.75" customHeight="1">
      <c r="H2652" s="361"/>
      <c r="I2652" s="1634"/>
      <c r="N2652" s="361"/>
      <c r="O2652" s="1969"/>
    </row>
    <row r="2653" spans="1:15" ht="12.75" customHeight="1">
      <c r="A2653" s="361"/>
      <c r="B2653" s="1885"/>
      <c r="H2653" s="361"/>
      <c r="I2653" s="1634"/>
      <c r="N2653" s="361"/>
      <c r="O2653" s="1969"/>
    </row>
    <row r="2654" spans="1:15" ht="12.75" customHeight="1">
      <c r="A2654" s="361"/>
      <c r="B2654" s="1885"/>
      <c r="H2654" s="361"/>
      <c r="I2654" s="1634"/>
      <c r="N2654" s="361"/>
      <c r="O2654" s="1969"/>
    </row>
    <row r="2655" spans="1:15" ht="12.75" customHeight="1">
      <c r="A2655" s="361"/>
      <c r="B2655" s="1885"/>
      <c r="H2655" s="361"/>
      <c r="I2655" s="1634"/>
      <c r="N2655" s="361"/>
      <c r="O2655" s="1969"/>
    </row>
    <row r="2656" spans="1:15" ht="12.75" customHeight="1">
      <c r="A2656" s="361"/>
      <c r="B2656" s="1885"/>
      <c r="H2656" s="361"/>
      <c r="I2656" s="1634"/>
      <c r="N2656" s="361"/>
      <c r="O2656" s="1969"/>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4"/>
    </row>
    <row r="3411" spans="10:13" ht="12.75" customHeight="1">
      <c r="J3411" s="1703"/>
      <c r="M3411" s="1634"/>
    </row>
    <row r="3412" spans="10:13" ht="12.75" customHeight="1">
      <c r="J3412" s="1703"/>
      <c r="M3412" s="1634"/>
    </row>
    <row r="3413" spans="10:13" ht="12.75" customHeight="1">
      <c r="J3413" s="1703"/>
      <c r="M3413" s="1634"/>
    </row>
    <row r="3414" spans="10:13" ht="12.75" customHeight="1">
      <c r="J3414" s="1703"/>
      <c r="M3414" s="1634"/>
    </row>
    <row r="3415" spans="10:13" ht="12.75" customHeight="1">
      <c r="J3415" s="1703"/>
      <c r="M3415" s="1634"/>
    </row>
    <row r="3416" spans="10:13" ht="12.75" customHeight="1">
      <c r="J3416" s="1703"/>
      <c r="M3416" s="1634"/>
    </row>
    <row r="3417" spans="10:13" ht="12.75" customHeight="1">
      <c r="J3417" s="1703"/>
      <c r="M3417" s="1634"/>
    </row>
    <row r="3418" spans="10:13" ht="12.75" customHeight="1">
      <c r="J3418" s="1703"/>
    </row>
    <row r="3419" spans="10:13" ht="12.75" customHeight="1">
      <c r="J3419" s="1703"/>
    </row>
    <row r="3420" spans="10:13" ht="12.75" customHeight="1">
      <c r="J3420" s="1703"/>
    </row>
    <row r="3421" spans="10:13" ht="12.75" customHeight="1">
      <c r="J3421" s="1703"/>
    </row>
    <row r="3422" spans="10:13" ht="12.75" customHeight="1">
      <c r="J3422" s="1703"/>
    </row>
    <row r="3423" spans="10:13" ht="12.75" customHeight="1">
      <c r="J3423" s="1703"/>
    </row>
    <row r="3424" spans="10:13" ht="12.75" customHeight="1">
      <c r="J3424" s="1703"/>
    </row>
    <row r="3425" spans="8:12" ht="12.75" customHeight="1">
      <c r="J3425" s="1703"/>
    </row>
    <row r="3426" spans="8:12" ht="12.75" customHeight="1">
      <c r="H3426" s="1709"/>
      <c r="I3426" s="1703"/>
      <c r="J3426" s="1703"/>
      <c r="K3426" s="582"/>
      <c r="L3426" s="582"/>
    </row>
    <row r="3624" spans="14:15" ht="12.75" customHeight="1">
      <c r="N3624" s="361"/>
      <c r="O3624" s="1969"/>
    </row>
    <row r="3625" spans="14:15" ht="12.75" customHeight="1">
      <c r="N3625" s="361"/>
    </row>
    <row r="3626" spans="14:15" ht="12.75" customHeight="1">
      <c r="N3626" s="361"/>
    </row>
  </sheetData>
  <sheetProtection selectLockedCells="1"/>
  <dataConsolidate/>
  <mergeCells count="539">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3:Q1793"/>
    <mergeCell ref="L1794:Q1794"/>
    <mergeCell ref="L1796:Q1796"/>
    <mergeCell ref="L1816:Q181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8A672B36-4FC0-49F3-BDED-A717E1349B9D}">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60"/>
      <c r="C1" s="1059"/>
    </row>
    <row r="2" spans="2:63" ht="12.75" customHeight="1">
      <c r="B2" s="2061"/>
      <c r="C2" s="5485" t="s">
        <v>4556</v>
      </c>
      <c r="D2" s="5486"/>
      <c r="E2" s="5486"/>
      <c r="F2" s="5486"/>
      <c r="G2" s="5486"/>
      <c r="H2" s="5486"/>
      <c r="I2" s="5486"/>
      <c r="J2" s="5486"/>
      <c r="K2" s="5486"/>
      <c r="L2" s="5486"/>
      <c r="M2" s="5486"/>
      <c r="N2" s="5486"/>
      <c r="O2" s="5486"/>
      <c r="P2" s="5486"/>
      <c r="Q2" s="5486"/>
      <c r="R2" s="5486"/>
      <c r="S2" s="5486"/>
      <c r="T2" s="5486"/>
      <c r="U2" s="5486"/>
      <c r="V2" s="5486"/>
      <c r="W2" s="5486"/>
      <c r="X2" s="5486"/>
      <c r="Y2" s="5486"/>
      <c r="Z2" s="5487"/>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61"/>
      <c r="C3" s="5488"/>
      <c r="D3" s="5489"/>
      <c r="E3" s="5489"/>
      <c r="F3" s="5489"/>
      <c r="G3" s="5489"/>
      <c r="H3" s="5489"/>
      <c r="I3" s="5489"/>
      <c r="J3" s="5489"/>
      <c r="K3" s="5489"/>
      <c r="L3" s="5489"/>
      <c r="M3" s="5489"/>
      <c r="N3" s="5489"/>
      <c r="O3" s="5489"/>
      <c r="P3" s="5489"/>
      <c r="Q3" s="5489"/>
      <c r="R3" s="5489"/>
      <c r="S3" s="5489"/>
      <c r="T3" s="5489"/>
      <c r="U3" s="5489"/>
      <c r="V3" s="5489"/>
      <c r="W3" s="5489"/>
      <c r="X3" s="5489"/>
      <c r="Y3" s="5489"/>
      <c r="Z3" s="5490"/>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84"/>
      <c r="AB4" s="5484"/>
      <c r="AC4" s="1069"/>
      <c r="AD4" s="5484"/>
      <c r="AE4" s="5484"/>
      <c r="AF4" s="1069"/>
      <c r="AG4" s="1070"/>
      <c r="AH4" s="1071"/>
      <c r="AI4" s="1069"/>
      <c r="AJ4" s="5484"/>
      <c r="AK4" s="5484"/>
      <c r="AL4" s="1069"/>
      <c r="AM4" s="5484"/>
      <c r="AN4" s="5484"/>
      <c r="AO4" s="1069"/>
      <c r="AP4" s="5484"/>
      <c r="AQ4" s="5484"/>
      <c r="AR4" s="1069"/>
      <c r="AS4" s="5484"/>
      <c r="AT4" s="5484"/>
      <c r="AU4" s="1069"/>
      <c r="AV4" s="5484"/>
      <c r="AW4" s="5484"/>
      <c r="AX4" s="1069"/>
      <c r="AY4" s="5484"/>
      <c r="AZ4" s="5484"/>
      <c r="BA4" s="1069"/>
      <c r="BB4" s="5484"/>
      <c r="BC4" s="5484"/>
      <c r="BD4" s="1069"/>
      <c r="BE4" s="5484"/>
      <c r="BF4" s="5484"/>
      <c r="BG4" s="1069"/>
      <c r="BH4" s="1059"/>
      <c r="BI4" s="1059"/>
      <c r="BJ4" s="1059"/>
      <c r="BK4" s="1059"/>
    </row>
    <row r="5" spans="2:63" ht="12.75" customHeight="1" thickBot="1">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91"/>
      <c r="AB5" s="5491"/>
      <c r="AC5" s="1074"/>
      <c r="AD5" s="5491"/>
      <c r="AE5" s="5491"/>
      <c r="AF5" s="1074"/>
      <c r="AG5" s="1075"/>
      <c r="AH5" s="1076"/>
      <c r="AI5" s="1074"/>
      <c r="AJ5" s="5491"/>
      <c r="AK5" s="5491"/>
      <c r="AL5" s="1074"/>
      <c r="AM5" s="5491"/>
      <c r="AN5" s="5491"/>
      <c r="AO5" s="1074"/>
      <c r="AP5" s="5491"/>
      <c r="AQ5" s="5491"/>
      <c r="AR5" s="1074"/>
      <c r="AS5" s="5491"/>
      <c r="AT5" s="5491"/>
      <c r="AU5" s="1074"/>
      <c r="AV5" s="5491"/>
      <c r="AW5" s="5491"/>
      <c r="AX5" s="1074"/>
      <c r="AY5" s="5491"/>
      <c r="AZ5" s="5491"/>
      <c r="BA5" s="1074"/>
      <c r="BB5" s="5491"/>
      <c r="BC5" s="5491"/>
      <c r="BD5" s="1074"/>
      <c r="BE5" s="5491"/>
      <c r="BF5" s="5491"/>
      <c r="BG5" s="1074"/>
      <c r="BH5" s="1059"/>
      <c r="BI5" s="1059"/>
      <c r="BJ5" s="1059"/>
      <c r="BK5" s="1059"/>
    </row>
    <row r="6" spans="2:63" ht="12.75" customHeight="1">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c r="B675" s="2060" t="str">
        <f t="shared" si="19"/>
        <v>Vacío44</v>
      </c>
      <c r="C675" s="1086"/>
      <c r="D675" s="507" t="s">
        <v>10040</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464" t="s">
        <v>2995</v>
      </c>
      <c r="D2" s="4465"/>
      <c r="E2" s="4465"/>
      <c r="F2" s="4465"/>
      <c r="G2" s="4466"/>
      <c r="I2" s="4467" t="s">
        <v>2996</v>
      </c>
      <c r="J2" s="4468"/>
      <c r="L2" s="5498" t="s">
        <v>2997</v>
      </c>
    </row>
    <row r="3" spans="1:27">
      <c r="A3" s="523">
        <v>3</v>
      </c>
      <c r="C3" s="4467"/>
      <c r="D3" s="4468"/>
      <c r="E3" s="4468"/>
      <c r="F3" s="4468"/>
      <c r="G3" s="4469"/>
      <c r="I3" s="4467"/>
      <c r="J3" s="4468"/>
      <c r="L3" s="5499"/>
    </row>
    <row r="4" spans="1:27" ht="13.5" thickBot="1">
      <c r="A4" s="523">
        <v>4</v>
      </c>
      <c r="C4" s="524" t="s">
        <v>2998</v>
      </c>
      <c r="D4" s="2012" t="s">
        <v>2999</v>
      </c>
      <c r="E4" s="2013" t="s">
        <v>3000</v>
      </c>
      <c r="F4" s="2013" t="s">
        <v>3001</v>
      </c>
      <c r="G4" s="2014" t="s">
        <v>1751</v>
      </c>
      <c r="I4" s="525" t="s">
        <v>3002</v>
      </c>
      <c r="J4" s="526" t="s">
        <v>3003</v>
      </c>
      <c r="L4" s="527" t="s">
        <v>1690</v>
      </c>
    </row>
    <row r="5" spans="1:27" ht="13.5" thickTop="1">
      <c r="A5" s="523">
        <v>5</v>
      </c>
      <c r="C5" s="2015" t="s">
        <v>1922</v>
      </c>
      <c r="D5" s="2016" t="s">
        <v>3004</v>
      </c>
      <c r="E5" s="2017" t="s">
        <v>3005</v>
      </c>
      <c r="F5" s="2017" t="s">
        <v>3006</v>
      </c>
      <c r="G5" s="2018" t="s">
        <v>3007</v>
      </c>
      <c r="I5" s="528">
        <v>0</v>
      </c>
      <c r="J5" s="529">
        <v>20</v>
      </c>
      <c r="L5" s="527" t="s">
        <v>3008</v>
      </c>
    </row>
    <row r="6" spans="1:27" ht="13.5" thickBot="1">
      <c r="A6" s="523">
        <v>6</v>
      </c>
      <c r="C6" s="2019" t="s">
        <v>1925</v>
      </c>
      <c r="D6" s="2020" t="s">
        <v>3009</v>
      </c>
      <c r="E6" s="2021" t="s">
        <v>3010</v>
      </c>
      <c r="F6" s="2021" t="s">
        <v>3011</v>
      </c>
      <c r="G6" s="2022" t="s">
        <v>3012</v>
      </c>
      <c r="I6" s="530">
        <v>50</v>
      </c>
      <c r="J6" s="531">
        <v>30</v>
      </c>
      <c r="L6" s="532" t="s">
        <v>3013</v>
      </c>
    </row>
    <row r="7" spans="1:27">
      <c r="A7" s="523">
        <v>7</v>
      </c>
      <c r="C7" s="2023" t="s">
        <v>1929</v>
      </c>
      <c r="D7" s="2024" t="s">
        <v>3014</v>
      </c>
      <c r="E7" s="2021" t="s">
        <v>3015</v>
      </c>
      <c r="F7" s="2021" t="s">
        <v>3016</v>
      </c>
      <c r="G7" s="2022" t="s">
        <v>3017</v>
      </c>
      <c r="I7" s="530">
        <v>100</v>
      </c>
      <c r="J7" s="531">
        <v>40</v>
      </c>
    </row>
    <row r="8" spans="1:27">
      <c r="A8" s="523">
        <v>8</v>
      </c>
      <c r="C8" s="2019" t="s">
        <v>2024</v>
      </c>
      <c r="D8" s="2020" t="s">
        <v>3018</v>
      </c>
      <c r="E8" s="2021" t="s">
        <v>3019</v>
      </c>
      <c r="F8" s="2021" t="s">
        <v>3020</v>
      </c>
      <c r="G8" s="2022" t="s">
        <v>3021</v>
      </c>
      <c r="I8" s="528">
        <v>150</v>
      </c>
      <c r="J8" s="529">
        <v>50</v>
      </c>
    </row>
    <row r="9" spans="1:27">
      <c r="A9" s="523">
        <v>9</v>
      </c>
      <c r="C9" s="2023" t="s">
        <v>2019</v>
      </c>
      <c r="D9" s="2024" t="s">
        <v>3022</v>
      </c>
      <c r="E9" s="2021" t="s">
        <v>3023</v>
      </c>
      <c r="F9" s="2021" t="s">
        <v>3024</v>
      </c>
      <c r="G9" s="2022" t="s">
        <v>3025</v>
      </c>
      <c r="I9" s="530">
        <v>200</v>
      </c>
      <c r="J9" s="531">
        <v>60</v>
      </c>
    </row>
    <row r="10" spans="1:27">
      <c r="A10" s="523">
        <v>10</v>
      </c>
      <c r="C10" s="2019" t="s">
        <v>2020</v>
      </c>
      <c r="D10" s="2020" t="s">
        <v>3026</v>
      </c>
      <c r="E10" s="2021" t="s">
        <v>3027</v>
      </c>
      <c r="F10" s="2021" t="s">
        <v>3028</v>
      </c>
      <c r="G10" s="2022" t="s">
        <v>3029</v>
      </c>
      <c r="I10" s="530">
        <v>250</v>
      </c>
      <c r="J10" s="531">
        <v>70</v>
      </c>
    </row>
    <row r="11" spans="1:27">
      <c r="A11" s="523">
        <v>11</v>
      </c>
      <c r="C11" s="2023" t="s">
        <v>3030</v>
      </c>
      <c r="D11" s="2024" t="s">
        <v>3031</v>
      </c>
      <c r="E11" s="2021" t="s">
        <v>3032</v>
      </c>
      <c r="F11" s="2021" t="s">
        <v>3033</v>
      </c>
      <c r="G11" s="2022" t="s">
        <v>3034</v>
      </c>
      <c r="I11" s="528">
        <v>300</v>
      </c>
      <c r="J11" s="529">
        <v>80</v>
      </c>
    </row>
    <row r="12" spans="1:27" ht="13.5" thickBot="1">
      <c r="A12" s="523">
        <v>12</v>
      </c>
      <c r="C12" s="2025" t="s">
        <v>2031</v>
      </c>
      <c r="D12" s="2026" t="s">
        <v>3035</v>
      </c>
      <c r="E12" s="2027" t="s">
        <v>3036</v>
      </c>
      <c r="F12" s="2027" t="s">
        <v>3037</v>
      </c>
      <c r="G12" s="2011"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464" t="s">
        <v>2636</v>
      </c>
      <c r="D15" s="4466"/>
      <c r="F15" s="4464" t="s">
        <v>3039</v>
      </c>
      <c r="G15" s="4465"/>
      <c r="H15" s="4465"/>
      <c r="I15" s="4465"/>
      <c r="J15" s="4465"/>
      <c r="K15" s="4465"/>
      <c r="L15" s="4465"/>
      <c r="M15" s="4465"/>
      <c r="N15" s="4466"/>
      <c r="AA15" s="535"/>
    </row>
    <row r="16" spans="1:27">
      <c r="A16" s="523">
        <v>16</v>
      </c>
      <c r="C16" s="4467"/>
      <c r="D16" s="4469"/>
      <c r="F16" s="4467"/>
      <c r="G16" s="4468"/>
      <c r="H16" s="4468"/>
      <c r="I16" s="4468"/>
      <c r="J16" s="4468"/>
      <c r="K16" s="4468"/>
      <c r="L16" s="4468"/>
      <c r="M16" s="4468"/>
      <c r="N16" s="4469"/>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464" t="s">
        <v>3056</v>
      </c>
      <c r="D27" s="4465"/>
      <c r="E27" s="4465"/>
      <c r="F27" s="4465"/>
      <c r="G27" s="4465"/>
      <c r="H27" s="4465"/>
      <c r="I27" s="4465"/>
      <c r="J27" s="4465"/>
      <c r="K27" s="4466"/>
    </row>
    <row r="28" spans="1:27" ht="12.75" customHeight="1" thickBot="1">
      <c r="A28" s="523">
        <v>28</v>
      </c>
      <c r="C28" s="5500"/>
      <c r="D28" s="5501"/>
      <c r="E28" s="5501"/>
      <c r="F28" s="5501"/>
      <c r="G28" s="5501"/>
      <c r="H28" s="5501"/>
      <c r="I28" s="5501"/>
      <c r="J28" s="5501"/>
      <c r="K28" s="5502"/>
    </row>
    <row r="29" spans="1:27" ht="12.75" customHeight="1">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c r="A30" s="523">
        <v>30</v>
      </c>
      <c r="B30" s="1467">
        <v>2</v>
      </c>
      <c r="C30" s="1348" t="s">
        <v>1714</v>
      </c>
      <c r="D30" s="1455">
        <v>60</v>
      </c>
      <c r="E30" s="1455"/>
      <c r="F30" s="1455">
        <v>20</v>
      </c>
      <c r="G30" s="1455"/>
      <c r="H30" s="1455"/>
      <c r="I30" s="1455"/>
      <c r="J30" s="1455"/>
      <c r="K30" s="1456"/>
    </row>
    <row r="31" spans="1:27">
      <c r="A31" s="523">
        <v>31</v>
      </c>
      <c r="B31" s="1467">
        <v>3</v>
      </c>
      <c r="C31" s="1347" t="s">
        <v>1716</v>
      </c>
      <c r="D31" s="1457"/>
      <c r="E31" s="1457"/>
      <c r="F31" s="1457"/>
      <c r="G31" s="1457"/>
      <c r="H31" s="1457"/>
      <c r="I31" s="1457"/>
      <c r="J31" s="1457"/>
      <c r="K31" s="1458"/>
    </row>
    <row r="32" spans="1:27">
      <c r="A32" s="523">
        <v>32</v>
      </c>
      <c r="B32" s="1467">
        <v>4</v>
      </c>
      <c r="C32" s="1346" t="s">
        <v>1719</v>
      </c>
      <c r="D32" s="1459"/>
      <c r="E32" s="1459"/>
      <c r="F32" s="1459"/>
      <c r="G32" s="1459"/>
      <c r="H32" s="1459"/>
      <c r="I32" s="1459"/>
      <c r="J32" s="1459"/>
      <c r="K32" s="1460"/>
    </row>
    <row r="33" spans="1:11">
      <c r="A33" s="523">
        <v>33</v>
      </c>
      <c r="B33" s="1467">
        <v>5</v>
      </c>
      <c r="C33" s="1347" t="s">
        <v>1723</v>
      </c>
      <c r="D33" s="1457"/>
      <c r="E33" s="1457"/>
      <c r="F33" s="1457"/>
      <c r="G33" s="1457"/>
      <c r="H33" s="1457"/>
      <c r="I33" s="1457"/>
      <c r="J33" s="1457"/>
      <c r="K33" s="1458"/>
    </row>
    <row r="34" spans="1:11">
      <c r="A34" s="523">
        <v>34</v>
      </c>
      <c r="B34" s="1467">
        <v>6</v>
      </c>
      <c r="C34" s="1346" t="s">
        <v>1726</v>
      </c>
      <c r="D34" s="1459"/>
      <c r="E34" s="1459"/>
      <c r="F34" s="1459"/>
      <c r="G34" s="1459"/>
      <c r="H34" s="1459"/>
      <c r="I34" s="1459"/>
      <c r="J34" s="1459"/>
      <c r="K34" s="1460"/>
    </row>
    <row r="35" spans="1:11">
      <c r="A35" s="523">
        <v>35</v>
      </c>
      <c r="B35" s="1467">
        <v>7</v>
      </c>
      <c r="C35" s="1347" t="s">
        <v>1729</v>
      </c>
      <c r="D35" s="1457"/>
      <c r="E35" s="1457"/>
      <c r="F35" s="1457"/>
      <c r="G35" s="1457"/>
      <c r="H35" s="1457"/>
      <c r="I35" s="1457"/>
      <c r="J35" s="1457"/>
      <c r="K35" s="1458"/>
    </row>
    <row r="36" spans="1:11" ht="12.75" customHeight="1">
      <c r="A36" s="523">
        <v>36</v>
      </c>
      <c r="B36" s="1467">
        <v>8</v>
      </c>
      <c r="C36" s="1346" t="s">
        <v>7752</v>
      </c>
      <c r="D36" s="1459"/>
      <c r="E36" s="1459"/>
      <c r="F36" s="1459"/>
      <c r="G36" s="1459"/>
      <c r="H36" s="1459"/>
      <c r="I36" s="1459"/>
      <c r="J36" s="1459"/>
      <c r="K36" s="1460"/>
    </row>
    <row r="37" spans="1:11">
      <c r="A37" s="523">
        <v>37</v>
      </c>
      <c r="B37" s="1467">
        <v>9</v>
      </c>
      <c r="C37" s="1350" t="s">
        <v>1733</v>
      </c>
      <c r="D37" s="1463"/>
      <c r="E37" s="1463"/>
      <c r="F37" s="1463"/>
      <c r="G37" s="1463"/>
      <c r="H37" s="1463">
        <v>20</v>
      </c>
      <c r="I37" s="1463"/>
      <c r="J37" s="1463">
        <v>20</v>
      </c>
      <c r="K37" s="1464"/>
    </row>
    <row r="38" spans="1:11">
      <c r="A38" s="523">
        <v>38</v>
      </c>
      <c r="B38" s="1467">
        <v>10</v>
      </c>
      <c r="C38" s="1346" t="s">
        <v>1735</v>
      </c>
      <c r="D38" s="1459"/>
      <c r="E38" s="1459"/>
      <c r="F38" s="1459"/>
      <c r="G38" s="1459"/>
      <c r="H38" s="1459"/>
      <c r="I38" s="1459">
        <v>20</v>
      </c>
      <c r="J38" s="1459"/>
      <c r="K38" s="1460"/>
    </row>
    <row r="39" spans="1:11">
      <c r="A39" s="523">
        <v>39</v>
      </c>
      <c r="B39" s="1467">
        <v>11</v>
      </c>
      <c r="C39" s="1347" t="s">
        <v>1738</v>
      </c>
      <c r="D39" s="1457"/>
      <c r="E39" s="1457"/>
      <c r="F39" s="1457"/>
      <c r="G39" s="1457"/>
      <c r="H39" s="1457"/>
      <c r="I39" s="1457"/>
      <c r="J39" s="1457"/>
      <c r="K39" s="1458"/>
    </row>
    <row r="40" spans="1:11">
      <c r="A40" s="523">
        <v>40</v>
      </c>
      <c r="B40" s="1467">
        <v>12</v>
      </c>
      <c r="C40" s="1346" t="s">
        <v>1740</v>
      </c>
      <c r="D40" s="1459"/>
      <c r="E40" s="1459">
        <v>40</v>
      </c>
      <c r="F40" s="1459"/>
      <c r="G40" s="1459"/>
      <c r="H40" s="1459">
        <v>20</v>
      </c>
      <c r="I40" s="1459"/>
      <c r="J40" s="1459">
        <v>20</v>
      </c>
      <c r="K40" s="1460">
        <v>80</v>
      </c>
    </row>
    <row r="41" spans="1:11">
      <c r="A41" s="523">
        <v>41</v>
      </c>
      <c r="B41" s="1467">
        <v>13</v>
      </c>
      <c r="C41" s="1347" t="s">
        <v>1085</v>
      </c>
      <c r="D41" s="1457"/>
      <c r="E41" s="1457"/>
      <c r="F41" s="1457"/>
      <c r="G41" s="1457"/>
      <c r="H41" s="1457"/>
      <c r="I41" s="1457"/>
      <c r="J41" s="1457"/>
      <c r="K41" s="1458"/>
    </row>
    <row r="42" spans="1:11">
      <c r="A42" s="523">
        <v>42</v>
      </c>
      <c r="B42" s="1467">
        <v>14</v>
      </c>
      <c r="C42" s="1346" t="s">
        <v>1086</v>
      </c>
      <c r="D42" s="1459"/>
      <c r="E42" s="1459"/>
      <c r="F42" s="1459"/>
      <c r="G42" s="1459"/>
      <c r="H42" s="1459"/>
      <c r="I42" s="1459"/>
      <c r="J42" s="1459"/>
      <c r="K42" s="1460"/>
    </row>
    <row r="43" spans="1:11" ht="12.75" customHeight="1">
      <c r="A43" s="523">
        <v>43</v>
      </c>
      <c r="B43" s="1467">
        <v>15</v>
      </c>
      <c r="C43" s="1349" t="s">
        <v>1087</v>
      </c>
      <c r="D43" s="1461"/>
      <c r="E43" s="1461"/>
      <c r="F43" s="1461"/>
      <c r="G43" s="1461"/>
      <c r="H43" s="1461"/>
      <c r="I43" s="1461"/>
      <c r="J43" s="1461"/>
      <c r="K43" s="1462"/>
    </row>
    <row r="44" spans="1:11" ht="15.75" customHeight="1">
      <c r="A44" s="523">
        <v>44</v>
      </c>
      <c r="B44" s="1467">
        <v>16</v>
      </c>
      <c r="C44" s="1348" t="s">
        <v>1742</v>
      </c>
      <c r="D44" s="1455">
        <v>30</v>
      </c>
      <c r="E44" s="1455">
        <v>40</v>
      </c>
      <c r="F44" s="1455">
        <v>40</v>
      </c>
      <c r="G44" s="1455">
        <v>30</v>
      </c>
      <c r="H44" s="1455">
        <v>80</v>
      </c>
      <c r="I44" s="1455">
        <v>60</v>
      </c>
      <c r="J44" s="1455">
        <v>40</v>
      </c>
      <c r="K44" s="1456">
        <v>40</v>
      </c>
    </row>
    <row r="45" spans="1:11" ht="12.75" customHeight="1">
      <c r="A45" s="523">
        <v>45</v>
      </c>
      <c r="B45" s="1467">
        <v>17</v>
      </c>
      <c r="C45" s="1347" t="s">
        <v>1743</v>
      </c>
      <c r="D45" s="1457">
        <v>10</v>
      </c>
      <c r="E45" s="1457">
        <v>20</v>
      </c>
      <c r="F45" s="1457">
        <v>20</v>
      </c>
      <c r="G45" s="1457">
        <v>10</v>
      </c>
      <c r="H45" s="1457">
        <v>60</v>
      </c>
      <c r="I45" s="1457">
        <v>40</v>
      </c>
      <c r="J45" s="1457">
        <v>20</v>
      </c>
      <c r="K45" s="1458">
        <v>20</v>
      </c>
    </row>
    <row r="46" spans="1:11" ht="12.75" customHeight="1">
      <c r="A46" s="523">
        <v>46</v>
      </c>
      <c r="B46" s="1467">
        <v>18</v>
      </c>
      <c r="C46" s="1351" t="s">
        <v>1744</v>
      </c>
      <c r="D46" s="1465"/>
      <c r="E46" s="1465"/>
      <c r="F46" s="1465"/>
      <c r="G46" s="1465">
        <v>10</v>
      </c>
      <c r="H46" s="1465"/>
      <c r="I46" s="1465"/>
      <c r="J46" s="1465"/>
      <c r="K46" s="1466"/>
    </row>
    <row r="47" spans="1:11" ht="12.75" customHeight="1">
      <c r="A47" s="523">
        <v>47</v>
      </c>
      <c r="B47" s="1467">
        <v>19</v>
      </c>
      <c r="C47" s="1350" t="s">
        <v>1746</v>
      </c>
      <c r="D47" s="1463"/>
      <c r="E47" s="1463"/>
      <c r="F47" s="1463"/>
      <c r="G47" s="1463"/>
      <c r="H47" s="1463">
        <v>20</v>
      </c>
      <c r="I47" s="1463"/>
      <c r="J47" s="1463">
        <v>40</v>
      </c>
      <c r="K47" s="1464"/>
    </row>
    <row r="48" spans="1:11">
      <c r="A48" s="523">
        <v>48</v>
      </c>
      <c r="B48" s="1467">
        <v>20</v>
      </c>
      <c r="C48" s="1346" t="s">
        <v>1747</v>
      </c>
      <c r="D48" s="1459"/>
      <c r="E48" s="1459"/>
      <c r="F48" s="1459"/>
      <c r="G48" s="1459">
        <v>80</v>
      </c>
      <c r="H48" s="1459"/>
      <c r="I48" s="1459"/>
      <c r="J48" s="1459"/>
      <c r="K48" s="1460"/>
    </row>
    <row r="49" spans="1:11" ht="16.5" customHeight="1">
      <c r="A49" s="523">
        <v>49</v>
      </c>
      <c r="B49" s="1467">
        <v>21</v>
      </c>
      <c r="C49" s="1347" t="s">
        <v>2991</v>
      </c>
      <c r="D49" s="1457"/>
      <c r="E49" s="1457"/>
      <c r="F49" s="1457"/>
      <c r="G49" s="1457"/>
      <c r="H49" s="1457"/>
      <c r="I49" s="1457"/>
      <c r="J49" s="1457"/>
      <c r="K49" s="1458"/>
    </row>
    <row r="50" spans="1:11">
      <c r="A50" s="523">
        <v>50</v>
      </c>
      <c r="B50" s="1467">
        <v>22</v>
      </c>
      <c r="C50" s="1346" t="s">
        <v>1748</v>
      </c>
      <c r="D50" s="1459"/>
      <c r="E50" s="1459"/>
      <c r="F50" s="1459"/>
      <c r="G50" s="1459"/>
      <c r="H50" s="1459"/>
      <c r="I50" s="1459"/>
      <c r="J50" s="1459">
        <v>80</v>
      </c>
      <c r="K50" s="1460"/>
    </row>
    <row r="51" spans="1:11">
      <c r="A51" s="523">
        <v>51</v>
      </c>
      <c r="B51" s="1467">
        <v>23</v>
      </c>
      <c r="C51" s="1347" t="s">
        <v>1750</v>
      </c>
      <c r="D51" s="1457"/>
      <c r="E51" s="1457"/>
      <c r="F51" s="1457"/>
      <c r="G51" s="1457"/>
      <c r="H51" s="1457"/>
      <c r="I51" s="1457"/>
      <c r="J51" s="1457"/>
      <c r="K51" s="1458"/>
    </row>
    <row r="52" spans="1:11">
      <c r="A52" s="523">
        <v>52</v>
      </c>
      <c r="B52" s="1467">
        <v>24</v>
      </c>
      <c r="C52" s="1346" t="s">
        <v>1088</v>
      </c>
      <c r="D52" s="1459"/>
      <c r="E52" s="1459"/>
      <c r="F52" s="1459"/>
      <c r="G52" s="1459"/>
      <c r="H52" s="1459"/>
      <c r="I52" s="1459"/>
      <c r="J52" s="1459"/>
      <c r="K52" s="1460"/>
    </row>
    <row r="53" spans="1:11">
      <c r="A53" s="523">
        <v>53</v>
      </c>
      <c r="B53" s="1467">
        <v>25</v>
      </c>
      <c r="C53" s="1347" t="s">
        <v>1753</v>
      </c>
      <c r="D53" s="1457"/>
      <c r="E53" s="1457"/>
      <c r="F53" s="1457"/>
      <c r="G53" s="1457"/>
      <c r="H53" s="1457"/>
      <c r="I53" s="1457"/>
      <c r="J53" s="1457">
        <v>20</v>
      </c>
      <c r="K53" s="1458"/>
    </row>
    <row r="54" spans="1:11">
      <c r="A54" s="523">
        <v>54</v>
      </c>
      <c r="B54" s="1467">
        <v>26</v>
      </c>
      <c r="C54" s="1346" t="s">
        <v>1754</v>
      </c>
      <c r="D54" s="1459"/>
      <c r="E54" s="1459"/>
      <c r="F54" s="1459"/>
      <c r="G54" s="1459">
        <v>20</v>
      </c>
      <c r="H54" s="1459"/>
      <c r="I54" s="1459"/>
      <c r="J54" s="1459"/>
      <c r="K54" s="1460"/>
    </row>
    <row r="55" spans="1:11">
      <c r="A55" s="523">
        <v>55</v>
      </c>
      <c r="B55" s="1467">
        <v>27</v>
      </c>
      <c r="C55" s="1347" t="s">
        <v>1755</v>
      </c>
      <c r="D55" s="1457"/>
      <c r="E55" s="1457">
        <v>60</v>
      </c>
      <c r="F55" s="1457"/>
      <c r="G55" s="1457"/>
      <c r="H55" s="1457"/>
      <c r="I55" s="1457"/>
      <c r="J55" s="1457"/>
      <c r="K55" s="1458"/>
    </row>
    <row r="56" spans="1:11">
      <c r="A56" s="523">
        <v>56</v>
      </c>
      <c r="B56" s="1467">
        <v>28</v>
      </c>
      <c r="C56" s="1346" t="s">
        <v>1756</v>
      </c>
      <c r="D56" s="1459"/>
      <c r="E56" s="1459"/>
      <c r="F56" s="1459"/>
      <c r="G56" s="1459"/>
      <c r="H56" s="1459"/>
      <c r="I56" s="1459"/>
      <c r="J56" s="1459"/>
      <c r="K56" s="1460"/>
    </row>
    <row r="57" spans="1:11">
      <c r="A57" s="523">
        <v>57</v>
      </c>
      <c r="B57" s="1467">
        <v>29</v>
      </c>
      <c r="C57" s="1347" t="s">
        <v>1757</v>
      </c>
      <c r="D57" s="1457"/>
      <c r="E57" s="1457"/>
      <c r="F57" s="1457"/>
      <c r="G57" s="1457">
        <v>20</v>
      </c>
      <c r="H57" s="1457"/>
      <c r="I57" s="1457"/>
      <c r="J57" s="1457"/>
      <c r="K57" s="1458"/>
    </row>
    <row r="58" spans="1:11" ht="12.75" customHeight="1">
      <c r="A58" s="523">
        <v>58</v>
      </c>
      <c r="B58" s="1467">
        <v>30</v>
      </c>
      <c r="C58" s="1351" t="s">
        <v>1758</v>
      </c>
      <c r="D58" s="1465">
        <v>80</v>
      </c>
      <c r="E58" s="1465">
        <v>80</v>
      </c>
      <c r="F58" s="1465">
        <v>80</v>
      </c>
      <c r="G58" s="1465">
        <v>60</v>
      </c>
      <c r="H58" s="1465">
        <v>100</v>
      </c>
      <c r="I58" s="1465">
        <v>100</v>
      </c>
      <c r="J58" s="1465">
        <v>80</v>
      </c>
      <c r="K58" s="1466">
        <v>80</v>
      </c>
    </row>
    <row r="59" spans="1:11">
      <c r="A59" s="523">
        <v>59</v>
      </c>
      <c r="B59" s="1467">
        <v>31</v>
      </c>
      <c r="C59" s="1350" t="s">
        <v>1760</v>
      </c>
      <c r="D59" s="1463"/>
      <c r="E59" s="1463">
        <v>40</v>
      </c>
      <c r="F59" s="1463"/>
      <c r="G59" s="1463"/>
      <c r="H59" s="1463"/>
      <c r="I59" s="1463"/>
      <c r="J59" s="1463"/>
      <c r="K59" s="1464"/>
    </row>
    <row r="60" spans="1:11">
      <c r="A60" s="523">
        <v>60</v>
      </c>
      <c r="B60" s="1467">
        <v>32</v>
      </c>
      <c r="C60" s="1346" t="s">
        <v>1761</v>
      </c>
      <c r="D60" s="1459"/>
      <c r="E60" s="1459"/>
      <c r="F60" s="1459">
        <v>20</v>
      </c>
      <c r="G60" s="1459">
        <v>60</v>
      </c>
      <c r="H60" s="1459"/>
      <c r="I60" s="1459"/>
      <c r="J60" s="1459"/>
      <c r="K60" s="1460"/>
    </row>
    <row r="61" spans="1:11" ht="12.75" customHeight="1">
      <c r="A61" s="523">
        <v>61</v>
      </c>
      <c r="B61" s="1467">
        <v>33</v>
      </c>
      <c r="C61" s="1347" t="s">
        <v>1764</v>
      </c>
      <c r="D61" s="1457"/>
      <c r="E61" s="1457"/>
      <c r="F61" s="1457">
        <v>20</v>
      </c>
      <c r="G61" s="1457">
        <v>40</v>
      </c>
      <c r="H61" s="1457"/>
      <c r="I61" s="1457"/>
      <c r="J61" s="1457"/>
      <c r="K61" s="1458"/>
    </row>
    <row r="62" spans="1:11">
      <c r="A62" s="523">
        <v>62</v>
      </c>
      <c r="B62" s="1467">
        <v>34</v>
      </c>
      <c r="C62" s="1348" t="s">
        <v>1768</v>
      </c>
      <c r="D62" s="1455"/>
      <c r="E62" s="1455"/>
      <c r="F62" s="1455"/>
      <c r="G62" s="1455">
        <v>20</v>
      </c>
      <c r="H62" s="1455"/>
      <c r="I62" s="1455"/>
      <c r="J62" s="1455"/>
      <c r="K62" s="1456"/>
    </row>
    <row r="63" spans="1:11">
      <c r="A63" s="523">
        <v>63</v>
      </c>
      <c r="B63" s="1467">
        <v>35</v>
      </c>
      <c r="C63" s="1347" t="s">
        <v>1770</v>
      </c>
      <c r="D63" s="1457"/>
      <c r="E63" s="1457"/>
      <c r="F63" s="1457"/>
      <c r="G63" s="1457"/>
      <c r="H63" s="1457"/>
      <c r="I63" s="1457"/>
      <c r="J63" s="1457"/>
      <c r="K63" s="1458">
        <v>20</v>
      </c>
    </row>
    <row r="64" spans="1:11">
      <c r="A64" s="523">
        <v>64</v>
      </c>
      <c r="B64" s="1467">
        <v>36</v>
      </c>
      <c r="C64" s="1346" t="s">
        <v>1772</v>
      </c>
      <c r="D64" s="1459"/>
      <c r="E64" s="1459"/>
      <c r="F64" s="1459"/>
      <c r="G64" s="1459"/>
      <c r="H64" s="1459"/>
      <c r="I64" s="1459">
        <v>20</v>
      </c>
      <c r="J64" s="1459"/>
      <c r="K64" s="1460">
        <v>20</v>
      </c>
    </row>
    <row r="65" spans="1:11">
      <c r="A65" s="523">
        <v>65</v>
      </c>
      <c r="B65" s="1467">
        <v>37</v>
      </c>
      <c r="C65" s="1347" t="s">
        <v>1774</v>
      </c>
      <c r="D65" s="1457">
        <v>40</v>
      </c>
      <c r="E65" s="1457"/>
      <c r="F65" s="1457"/>
      <c r="G65" s="1457"/>
      <c r="H65" s="1457"/>
      <c r="I65" s="1457">
        <v>60</v>
      </c>
      <c r="J65" s="1457"/>
      <c r="K65" s="1458">
        <v>20</v>
      </c>
    </row>
    <row r="66" spans="1:11">
      <c r="A66" s="523">
        <v>66</v>
      </c>
      <c r="B66" s="1467">
        <v>38</v>
      </c>
      <c r="C66" s="1346" t="s">
        <v>1776</v>
      </c>
      <c r="D66" s="1459"/>
      <c r="E66" s="1459"/>
      <c r="F66" s="1459"/>
      <c r="G66" s="1459"/>
      <c r="H66" s="1459"/>
      <c r="I66" s="1459">
        <v>60</v>
      </c>
      <c r="J66" s="1459"/>
      <c r="K66" s="1460">
        <v>20</v>
      </c>
    </row>
    <row r="67" spans="1:11">
      <c r="A67" s="523">
        <v>67</v>
      </c>
      <c r="B67" s="1467">
        <v>39</v>
      </c>
      <c r="C67" s="1347" t="s">
        <v>1778</v>
      </c>
      <c r="D67" s="1457"/>
      <c r="E67" s="1457"/>
      <c r="F67" s="1457"/>
      <c r="G67" s="1457"/>
      <c r="H67" s="1457"/>
      <c r="I67" s="1457"/>
      <c r="J67" s="1457"/>
      <c r="K67" s="1458"/>
    </row>
    <row r="68" spans="1:11" ht="16.5" customHeight="1">
      <c r="A68" s="523">
        <v>68</v>
      </c>
      <c r="B68" s="1467">
        <v>40</v>
      </c>
      <c r="C68" s="1346" t="s">
        <v>1779</v>
      </c>
      <c r="D68" s="1459"/>
      <c r="E68" s="1459">
        <v>20</v>
      </c>
      <c r="F68" s="1459"/>
      <c r="G68" s="1459"/>
      <c r="H68" s="1459"/>
      <c r="I68" s="1459"/>
      <c r="J68" s="1459">
        <v>80</v>
      </c>
      <c r="K68" s="1460"/>
    </row>
    <row r="69" spans="1:11">
      <c r="A69" s="523">
        <v>69</v>
      </c>
      <c r="B69" s="1467">
        <v>41</v>
      </c>
      <c r="C69" s="1350" t="s">
        <v>1781</v>
      </c>
      <c r="D69" s="1463"/>
      <c r="E69" s="1463"/>
      <c r="F69" s="1463"/>
      <c r="G69" s="1463"/>
      <c r="H69" s="1463">
        <v>20</v>
      </c>
      <c r="I69" s="1463"/>
      <c r="J69" s="1463"/>
      <c r="K69" s="1464"/>
    </row>
    <row r="70" spans="1:11">
      <c r="A70" s="523">
        <v>70</v>
      </c>
      <c r="B70" s="1467">
        <v>42</v>
      </c>
      <c r="C70" s="1346" t="s">
        <v>1782</v>
      </c>
      <c r="D70" s="1459">
        <v>40</v>
      </c>
      <c r="E70" s="1459"/>
      <c r="F70" s="1459"/>
      <c r="G70" s="1459"/>
      <c r="H70" s="1459"/>
      <c r="I70" s="1459"/>
      <c r="J70" s="1459"/>
      <c r="K70" s="1460"/>
    </row>
    <row r="71" spans="1:11">
      <c r="A71" s="523">
        <v>71</v>
      </c>
      <c r="B71" s="1467">
        <v>43</v>
      </c>
      <c r="C71" s="1347" t="s">
        <v>1783</v>
      </c>
      <c r="D71" s="1457"/>
      <c r="E71" s="1457"/>
      <c r="F71" s="1457">
        <v>20</v>
      </c>
      <c r="G71" s="1457">
        <v>20</v>
      </c>
      <c r="H71" s="1457"/>
      <c r="I71" s="1457"/>
      <c r="J71" s="1457"/>
      <c r="K71" s="1458"/>
    </row>
    <row r="72" spans="1:11">
      <c r="A72" s="523">
        <v>72</v>
      </c>
      <c r="B72" s="1467">
        <v>44</v>
      </c>
      <c r="C72" s="1346" t="s">
        <v>1082</v>
      </c>
      <c r="D72" s="1459"/>
      <c r="E72" s="1459"/>
      <c r="F72" s="1459"/>
      <c r="G72" s="1459"/>
      <c r="H72" s="1459"/>
      <c r="I72" s="1459"/>
      <c r="J72" s="1459"/>
      <c r="K72" s="1460"/>
    </row>
    <row r="73" spans="1:11">
      <c r="A73" s="523">
        <v>73</v>
      </c>
      <c r="B73" s="1467">
        <v>45</v>
      </c>
      <c r="C73" s="1347" t="s">
        <v>1083</v>
      </c>
      <c r="D73" s="1457"/>
      <c r="E73" s="1457"/>
      <c r="F73" s="1457"/>
      <c r="G73" s="1457"/>
      <c r="H73" s="1457"/>
      <c r="I73" s="1457"/>
      <c r="J73" s="1457"/>
      <c r="K73" s="1458"/>
    </row>
    <row r="74" spans="1:11">
      <c r="A74" s="523">
        <v>74</v>
      </c>
      <c r="B74" s="1467">
        <v>46</v>
      </c>
      <c r="C74" s="1346" t="s">
        <v>1084</v>
      </c>
      <c r="D74" s="1459"/>
      <c r="E74" s="1459"/>
      <c r="F74" s="1459"/>
      <c r="G74" s="1459"/>
      <c r="H74" s="1459"/>
      <c r="I74" s="1459"/>
      <c r="J74" s="1459"/>
      <c r="K74" s="1460"/>
    </row>
    <row r="75" spans="1:11">
      <c r="A75" s="523">
        <v>75</v>
      </c>
      <c r="B75" s="1467">
        <v>47</v>
      </c>
      <c r="C75" s="1347" t="s">
        <v>1784</v>
      </c>
      <c r="D75" s="1457"/>
      <c r="E75" s="1457"/>
      <c r="F75" s="1457"/>
      <c r="G75" s="1457"/>
      <c r="H75" s="1457">
        <v>20</v>
      </c>
      <c r="I75" s="1457"/>
      <c r="J75" s="1457"/>
      <c r="K75" s="1458"/>
    </row>
    <row r="76" spans="1:11">
      <c r="A76" s="523">
        <v>76</v>
      </c>
      <c r="B76" s="1467">
        <v>48</v>
      </c>
      <c r="C76" s="1346" t="s">
        <v>1787</v>
      </c>
      <c r="D76" s="1459">
        <v>20</v>
      </c>
      <c r="E76" s="1459"/>
      <c r="F76" s="1459"/>
      <c r="G76" s="1459"/>
      <c r="H76" s="1459"/>
      <c r="I76" s="1459">
        <v>20</v>
      </c>
      <c r="J76" s="1459"/>
      <c r="K76" s="1460"/>
    </row>
    <row r="77" spans="1:11">
      <c r="A77" s="523">
        <v>77</v>
      </c>
      <c r="B77" s="1467">
        <v>49</v>
      </c>
      <c r="C77" s="1347" t="s">
        <v>7753</v>
      </c>
      <c r="D77" s="1457"/>
      <c r="E77" s="1457"/>
      <c r="F77" s="1457"/>
      <c r="G77" s="1457"/>
      <c r="H77" s="1457"/>
      <c r="I77" s="1457"/>
      <c r="J77" s="1457"/>
      <c r="K77" s="1458"/>
    </row>
    <row r="78" spans="1:11">
      <c r="A78" s="523">
        <v>78</v>
      </c>
      <c r="B78" s="1467">
        <v>50</v>
      </c>
      <c r="C78" s="1346" t="s">
        <v>7754</v>
      </c>
      <c r="D78" s="1459"/>
      <c r="E78" s="1459"/>
      <c r="F78" s="1459"/>
      <c r="G78" s="1459"/>
      <c r="H78" s="1459"/>
      <c r="I78" s="1459"/>
      <c r="J78" s="1459"/>
      <c r="K78" s="1460"/>
    </row>
    <row r="79" spans="1:11">
      <c r="A79" s="523">
        <v>79</v>
      </c>
      <c r="B79" s="1467">
        <v>51</v>
      </c>
      <c r="C79" s="1347" t="s">
        <v>7755</v>
      </c>
      <c r="D79" s="1457"/>
      <c r="E79" s="1457"/>
      <c r="F79" s="1457"/>
      <c r="G79" s="1457"/>
      <c r="H79" s="1457"/>
      <c r="I79" s="1457"/>
      <c r="J79" s="1457"/>
      <c r="K79" s="1458"/>
    </row>
    <row r="80" spans="1:11">
      <c r="A80" s="523">
        <v>80</v>
      </c>
      <c r="B80" s="1467">
        <v>52</v>
      </c>
      <c r="C80" s="1346" t="s">
        <v>7756</v>
      </c>
      <c r="D80" s="1459"/>
      <c r="E80" s="1459"/>
      <c r="F80" s="1459"/>
      <c r="G80" s="1459"/>
      <c r="H80" s="1459"/>
      <c r="I80" s="1459"/>
      <c r="J80" s="1459"/>
      <c r="K80" s="1460"/>
    </row>
    <row r="81" spans="1:18">
      <c r="A81" s="523">
        <v>81</v>
      </c>
      <c r="B81" s="1467">
        <v>53</v>
      </c>
      <c r="C81" s="1350" t="str">
        <f>IF(PDs!E177="","",PDs!E177)</f>
        <v/>
      </c>
      <c r="D81" s="1463"/>
      <c r="E81" s="1463"/>
      <c r="F81" s="1463"/>
      <c r="G81" s="1463"/>
      <c r="H81" s="1463"/>
      <c r="I81" s="1463"/>
      <c r="J81" s="1463"/>
      <c r="K81" s="1464"/>
    </row>
    <row r="82" spans="1:18">
      <c r="A82" s="523">
        <v>82</v>
      </c>
      <c r="B82" s="1467">
        <v>54</v>
      </c>
      <c r="C82" s="1346" t="str">
        <f>IF(PDs!E178="","",PDs!E178)</f>
        <v/>
      </c>
      <c r="D82" s="1459"/>
      <c r="E82" s="1459"/>
      <c r="F82" s="1459"/>
      <c r="G82" s="1459"/>
      <c r="H82" s="1459"/>
      <c r="I82" s="1459"/>
      <c r="J82" s="1459"/>
      <c r="K82" s="1460"/>
    </row>
    <row r="83" spans="1:18">
      <c r="A83" s="523">
        <v>83</v>
      </c>
      <c r="B83" s="1467">
        <v>55</v>
      </c>
      <c r="C83" s="1347" t="str">
        <f>IF(PDs!E179="","",PDs!E179)</f>
        <v/>
      </c>
      <c r="D83" s="1457"/>
      <c r="E83" s="1457"/>
      <c r="F83" s="1457"/>
      <c r="G83" s="1457"/>
      <c r="H83" s="1457"/>
      <c r="I83" s="1457"/>
      <c r="J83" s="1457"/>
      <c r="K83" s="1458"/>
    </row>
    <row r="84" spans="1:18">
      <c r="A84" s="523">
        <v>84</v>
      </c>
      <c r="B84" s="1467">
        <v>56</v>
      </c>
      <c r="C84" s="1346" t="str">
        <f>IF(PDs!E180="","",PDs!E180)</f>
        <v/>
      </c>
      <c r="D84" s="1459"/>
      <c r="E84" s="1459"/>
      <c r="F84" s="1459"/>
      <c r="G84" s="1459"/>
      <c r="H84" s="1459"/>
      <c r="I84" s="1459"/>
      <c r="J84" s="1459"/>
      <c r="K84" s="1460"/>
    </row>
    <row r="85" spans="1:18">
      <c r="A85" s="523">
        <v>85</v>
      </c>
      <c r="B85" s="1467">
        <v>57</v>
      </c>
      <c r="C85" s="1347" t="str">
        <f>IF(PDs!E181="","",PDs!E181)</f>
        <v/>
      </c>
      <c r="D85" s="1457"/>
      <c r="E85" s="1457"/>
      <c r="F85" s="1457"/>
      <c r="G85" s="1457"/>
      <c r="H85" s="1457"/>
      <c r="I85" s="1457"/>
      <c r="J85" s="1457"/>
      <c r="K85" s="1458"/>
    </row>
    <row r="86" spans="1:18" ht="13.5" thickBot="1">
      <c r="A86" s="523">
        <v>86</v>
      </c>
      <c r="B86" s="1467">
        <v>58</v>
      </c>
      <c r="C86" s="1550" t="str">
        <f>IF(PDs!E182="","",PDs!E182)</f>
        <v/>
      </c>
      <c r="D86" s="1551"/>
      <c r="E86" s="1551"/>
      <c r="F86" s="1551"/>
      <c r="G86" s="1551"/>
      <c r="H86" s="1551"/>
      <c r="I86" s="1551"/>
      <c r="J86" s="1551"/>
      <c r="K86" s="1552"/>
    </row>
    <row r="89" spans="1:18" ht="15.75">
      <c r="C89" s="5504" t="s">
        <v>3057</v>
      </c>
      <c r="D89" s="5505"/>
      <c r="E89" s="5505"/>
      <c r="F89" s="5505"/>
      <c r="G89" s="556" t="s">
        <v>3058</v>
      </c>
      <c r="H89" s="557"/>
      <c r="I89" s="558"/>
      <c r="J89" s="558"/>
      <c r="K89" s="558"/>
      <c r="L89" s="558"/>
      <c r="M89" s="558"/>
      <c r="N89" s="558"/>
      <c r="O89" s="558"/>
      <c r="P89" s="558"/>
      <c r="Q89" s="558"/>
      <c r="R89" s="5492" t="s">
        <v>3059</v>
      </c>
    </row>
    <row r="90" spans="1:18" ht="13.5" thickBot="1">
      <c r="C90" s="5494" t="s">
        <v>3060</v>
      </c>
      <c r="D90" s="5494"/>
      <c r="E90" s="5494"/>
      <c r="F90" s="560" t="s">
        <v>2637</v>
      </c>
      <c r="G90" s="559" t="s">
        <v>3061</v>
      </c>
      <c r="H90" s="560" t="s">
        <v>3062</v>
      </c>
      <c r="I90" s="536"/>
      <c r="J90" s="536"/>
      <c r="K90" s="536"/>
      <c r="L90" s="5495" t="s">
        <v>1861</v>
      </c>
      <c r="M90" s="5495"/>
      <c r="N90" s="5495"/>
      <c r="O90" s="5495"/>
      <c r="P90" s="5495"/>
      <c r="Q90" s="5495"/>
      <c r="R90" s="5493"/>
    </row>
    <row r="91" spans="1:18">
      <c r="B91" s="561">
        <f>H91</f>
        <v>0</v>
      </c>
      <c r="C91" s="1805" t="s">
        <v>3063</v>
      </c>
      <c r="D91" s="1805"/>
      <c r="E91" s="1805"/>
      <c r="F91" s="1806"/>
      <c r="G91" s="1807"/>
      <c r="H91" s="1807"/>
      <c r="I91" s="1807"/>
      <c r="J91" s="1807"/>
      <c r="K91" s="1807"/>
      <c r="L91" s="1808"/>
      <c r="M91" s="1807"/>
      <c r="N91" s="1807"/>
      <c r="O91" s="1807"/>
      <c r="P91" s="1807"/>
      <c r="Q91" s="1807"/>
      <c r="R91" s="1809"/>
    </row>
    <row r="92" spans="1:18">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96" t="s">
        <v>3065</v>
      </c>
      <c r="M92" s="5497"/>
      <c r="N92" s="5497"/>
      <c r="O92" s="5497"/>
      <c r="P92" s="5497"/>
      <c r="Q92" s="5497"/>
      <c r="R92" s="1810" t="s">
        <v>1766</v>
      </c>
    </row>
    <row r="93" spans="1:18">
      <c r="B93" s="564">
        <f t="shared" si="0"/>
        <v>0</v>
      </c>
      <c r="C93" s="562" t="s">
        <v>3066</v>
      </c>
      <c r="D93" s="562"/>
      <c r="E93" s="562"/>
      <c r="F93" s="563">
        <f>COUNTIF(Sheele!$C$20:$F$29,C93)</f>
        <v>0</v>
      </c>
      <c r="G93" s="1793">
        <v>1</v>
      </c>
      <c r="H93" s="1793">
        <f>IF(OR($F93=0,$G93=0),0,MAX($H$91:H92)+1)</f>
        <v>0</v>
      </c>
      <c r="I93" s="1793" t="s">
        <v>1766</v>
      </c>
      <c r="J93" s="1793" t="s">
        <v>1766</v>
      </c>
      <c r="K93" s="1793" t="s">
        <v>1766</v>
      </c>
      <c r="L93" s="5496" t="s">
        <v>3067</v>
      </c>
      <c r="M93" s="5497"/>
      <c r="N93" s="5497"/>
      <c r="O93" s="5497"/>
      <c r="P93" s="5497"/>
      <c r="Q93" s="5497"/>
      <c r="R93" s="1810" t="s">
        <v>1766</v>
      </c>
    </row>
    <row r="94" spans="1:18">
      <c r="B94" s="564">
        <f t="shared" si="0"/>
        <v>0</v>
      </c>
      <c r="C94" s="562" t="s">
        <v>3068</v>
      </c>
      <c r="D94" s="562"/>
      <c r="E94" s="562"/>
      <c r="F94" s="563">
        <f>COUNTIF(Sheele!$C$20:$F$29,C94)</f>
        <v>0</v>
      </c>
      <c r="G94" s="1793">
        <v>1</v>
      </c>
      <c r="H94" s="1793">
        <f>IF(OR($F94=0,$G94=0),0,MAX($H$91:H93)+1)</f>
        <v>0</v>
      </c>
      <c r="I94" s="1793" t="s">
        <v>1766</v>
      </c>
      <c r="J94" s="1795" t="s">
        <v>1766</v>
      </c>
      <c r="K94" s="1793" t="s">
        <v>1766</v>
      </c>
      <c r="L94" s="5496" t="s">
        <v>3069</v>
      </c>
      <c r="M94" s="5497"/>
      <c r="N94" s="5497"/>
      <c r="O94" s="5497"/>
      <c r="P94" s="5497"/>
      <c r="Q94" s="5497"/>
      <c r="R94" s="1810" t="s">
        <v>1766</v>
      </c>
    </row>
    <row r="95" spans="1:18">
      <c r="B95" s="564">
        <f t="shared" si="0"/>
        <v>0</v>
      </c>
      <c r="C95" s="562" t="s">
        <v>3070</v>
      </c>
      <c r="D95" s="562"/>
      <c r="E95" s="562"/>
      <c r="F95" s="563">
        <f>COUNTIF(Sheele!$C$20:$F$29,C95)</f>
        <v>0</v>
      </c>
      <c r="G95" s="1793">
        <v>1</v>
      </c>
      <c r="H95" s="1793">
        <f>IF(OR($F95=0,$G95=0),0,MAX($H$91:H94)+1)</f>
        <v>0</v>
      </c>
      <c r="I95" s="1793" t="s">
        <v>1766</v>
      </c>
      <c r="J95" s="1795" t="s">
        <v>1766</v>
      </c>
      <c r="K95" s="1793" t="s">
        <v>1766</v>
      </c>
      <c r="L95" s="5496" t="s">
        <v>3071</v>
      </c>
      <c r="M95" s="5497"/>
      <c r="N95" s="5497"/>
      <c r="O95" s="5497"/>
      <c r="P95" s="5497"/>
      <c r="Q95" s="5497"/>
      <c r="R95" s="1810" t="s">
        <v>1766</v>
      </c>
    </row>
    <row r="96" spans="1:18">
      <c r="B96" s="564">
        <f t="shared" si="0"/>
        <v>0</v>
      </c>
      <c r="C96" s="562" t="s">
        <v>3072</v>
      </c>
      <c r="D96" s="562"/>
      <c r="E96" s="562"/>
      <c r="F96" s="563">
        <f>COUNTIF(Sheele!$C$20:$F$29,C96)</f>
        <v>0</v>
      </c>
      <c r="G96" s="1793">
        <v>1</v>
      </c>
      <c r="H96" s="1793">
        <f>IF(OR($F96=0,$G96=0),0,MAX($H$91:H95)+1)</f>
        <v>0</v>
      </c>
      <c r="I96" s="1793" t="s">
        <v>1766</v>
      </c>
      <c r="J96" s="1793" t="s">
        <v>1766</v>
      </c>
      <c r="K96" s="1793" t="s">
        <v>1766</v>
      </c>
      <c r="L96" s="5503" t="s">
        <v>3073</v>
      </c>
      <c r="M96" s="5497"/>
      <c r="N96" s="5497"/>
      <c r="O96" s="5497"/>
      <c r="P96" s="5497"/>
      <c r="Q96" s="5497"/>
      <c r="R96" s="1810" t="s">
        <v>1766</v>
      </c>
    </row>
    <row r="97" spans="2:18">
      <c r="B97" s="564">
        <f t="shared" si="0"/>
        <v>0</v>
      </c>
      <c r="C97" s="562" t="s">
        <v>3074</v>
      </c>
      <c r="D97" s="562"/>
      <c r="E97" s="562"/>
      <c r="F97" s="563"/>
      <c r="G97" s="1793"/>
      <c r="H97" s="1793"/>
      <c r="I97" s="1793" t="s">
        <v>1766</v>
      </c>
      <c r="J97" s="1795" t="s">
        <v>1766</v>
      </c>
      <c r="K97" s="1793" t="s">
        <v>1766</v>
      </c>
      <c r="L97" s="5496"/>
      <c r="M97" s="5497"/>
      <c r="N97" s="5497"/>
      <c r="O97" s="5497"/>
      <c r="P97" s="5497"/>
      <c r="Q97" s="5497"/>
      <c r="R97" s="1811"/>
    </row>
    <row r="98" spans="2:18">
      <c r="B98" s="564">
        <f t="shared" si="0"/>
        <v>0</v>
      </c>
      <c r="C98" s="562" t="s">
        <v>3075</v>
      </c>
      <c r="D98" s="562"/>
      <c r="E98" s="562"/>
      <c r="F98" s="563">
        <f>COUNTIF(Sheele!$C$20:$F$29,C98)</f>
        <v>0</v>
      </c>
      <c r="G98" s="1793"/>
      <c r="H98" s="1793">
        <f>IF(OR($F98=0,$G98=0),0,MAX($H$91:H97)+1)</f>
        <v>0</v>
      </c>
      <c r="I98" s="1793" t="s">
        <v>1766</v>
      </c>
      <c r="J98" s="1793" t="s">
        <v>1766</v>
      </c>
      <c r="K98" s="1793" t="s">
        <v>1766</v>
      </c>
      <c r="L98" s="5496" t="s">
        <v>3076</v>
      </c>
      <c r="M98" s="5497"/>
      <c r="N98" s="5497"/>
      <c r="O98" s="5497"/>
      <c r="P98" s="5497"/>
      <c r="Q98" s="5497"/>
      <c r="R98" s="1811"/>
    </row>
    <row r="99" spans="2:18">
      <c r="B99" s="564">
        <f t="shared" si="0"/>
        <v>0</v>
      </c>
      <c r="C99" s="562" t="s">
        <v>3077</v>
      </c>
      <c r="D99" s="562"/>
      <c r="E99" s="562"/>
      <c r="F99" s="563">
        <f>COUNTIF(Sheele!$C$20:$F$29,C99)</f>
        <v>0</v>
      </c>
      <c r="G99" s="1793"/>
      <c r="H99" s="1793">
        <f>IF(OR($F99=0,$G99=0),0,MAX($H$91:H98)+1)</f>
        <v>0</v>
      </c>
      <c r="I99" s="1793" t="s">
        <v>1766</v>
      </c>
      <c r="J99" s="1793" t="s">
        <v>1766</v>
      </c>
      <c r="K99" s="1793" t="s">
        <v>1766</v>
      </c>
      <c r="L99" s="5496" t="s">
        <v>3078</v>
      </c>
      <c r="M99" s="5497"/>
      <c r="N99" s="5497"/>
      <c r="O99" s="5497"/>
      <c r="P99" s="5497"/>
      <c r="Q99" s="5497"/>
      <c r="R99" s="1811"/>
    </row>
    <row r="100" spans="2:18">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96" t="s">
        <v>3080</v>
      </c>
      <c r="M100" s="5497"/>
      <c r="N100" s="5497"/>
      <c r="O100" s="5497"/>
      <c r="P100" s="5497"/>
      <c r="Q100" s="5497"/>
      <c r="R100" s="1811"/>
    </row>
    <row r="101" spans="2:18">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503" t="s">
        <v>3082</v>
      </c>
      <c r="M101" s="5497"/>
      <c r="N101" s="5497"/>
      <c r="O101" s="5497"/>
      <c r="P101" s="5497"/>
      <c r="Q101" s="5497"/>
      <c r="R101" s="1811"/>
    </row>
    <row r="102" spans="2:18">
      <c r="B102" s="564">
        <f t="shared" si="0"/>
        <v>0</v>
      </c>
      <c r="C102" s="562" t="s">
        <v>3083</v>
      </c>
      <c r="D102" s="562"/>
      <c r="E102" s="562"/>
      <c r="F102" s="563"/>
      <c r="G102" s="1793"/>
      <c r="H102" s="1793"/>
      <c r="I102" s="1793" t="s">
        <v>1766</v>
      </c>
      <c r="J102" s="1793" t="s">
        <v>1766</v>
      </c>
      <c r="K102" s="1793" t="s">
        <v>1766</v>
      </c>
      <c r="L102" s="5496"/>
      <c r="M102" s="5497"/>
      <c r="N102" s="5497"/>
      <c r="O102" s="5497"/>
      <c r="P102" s="5497"/>
      <c r="Q102" s="5497"/>
      <c r="R102" s="1811"/>
    </row>
    <row r="103" spans="2:18">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503" t="s">
        <v>3085</v>
      </c>
      <c r="M103" s="5497"/>
      <c r="N103" s="5497"/>
      <c r="O103" s="5497"/>
      <c r="P103" s="5497"/>
      <c r="Q103" s="5497"/>
      <c r="R103" s="1810" t="s">
        <v>1766</v>
      </c>
    </row>
    <row r="104" spans="2:18">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503" t="s">
        <v>3087</v>
      </c>
      <c r="M104" s="5497"/>
      <c r="N104" s="5497"/>
      <c r="O104" s="5497"/>
      <c r="P104" s="5497"/>
      <c r="Q104" s="5497"/>
      <c r="R104" s="1810" t="s">
        <v>1766</v>
      </c>
    </row>
    <row r="105" spans="2:18">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503" t="s">
        <v>3089</v>
      </c>
      <c r="M105" s="5497"/>
      <c r="N105" s="5497"/>
      <c r="O105" s="5497"/>
      <c r="P105" s="5497"/>
      <c r="Q105" s="5497"/>
      <c r="R105" s="1810" t="s">
        <v>1766</v>
      </c>
    </row>
    <row r="106" spans="2:18">
      <c r="B106" s="564">
        <f t="shared" si="0"/>
        <v>0</v>
      </c>
      <c r="C106" s="562" t="s">
        <v>3090</v>
      </c>
      <c r="D106" s="562"/>
      <c r="E106" s="562"/>
      <c r="F106" s="563"/>
      <c r="G106" s="1793"/>
      <c r="H106" s="1793"/>
      <c r="I106" s="1793" t="s">
        <v>1766</v>
      </c>
      <c r="J106" s="1793" t="s">
        <v>1766</v>
      </c>
      <c r="K106" s="1793" t="s">
        <v>1766</v>
      </c>
      <c r="L106" s="5496"/>
      <c r="M106" s="5497"/>
      <c r="N106" s="5497"/>
      <c r="O106" s="5497"/>
      <c r="P106" s="5497"/>
      <c r="Q106" s="5497"/>
      <c r="R106" s="1811"/>
    </row>
    <row r="107" spans="2:18">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96" t="s">
        <v>3092</v>
      </c>
      <c r="M107" s="5497"/>
      <c r="N107" s="5497"/>
      <c r="O107" s="5497"/>
      <c r="P107" s="5497"/>
      <c r="Q107" s="5497"/>
      <c r="R107" s="1810" t="s">
        <v>1766</v>
      </c>
    </row>
    <row r="108" spans="2:18">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503" t="s">
        <v>3094</v>
      </c>
      <c r="M108" s="5497"/>
      <c r="N108" s="5497"/>
      <c r="O108" s="5497"/>
      <c r="P108" s="5497"/>
      <c r="Q108" s="5497"/>
      <c r="R108" s="1810" t="s">
        <v>1766</v>
      </c>
    </row>
    <row r="109" spans="2:18" ht="13.5" thickBot="1">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509" t="s">
        <v>3096</v>
      </c>
      <c r="M109" s="5510"/>
      <c r="N109" s="5510"/>
      <c r="O109" s="5510"/>
      <c r="P109" s="5510"/>
      <c r="Q109" s="5510"/>
      <c r="R109" s="1810" t="s">
        <v>1766</v>
      </c>
    </row>
    <row r="110" spans="2:18" ht="13.5" thickBot="1">
      <c r="B110" s="564">
        <f>G110</f>
        <v>0</v>
      </c>
      <c r="C110" s="5506" t="s">
        <v>3097</v>
      </c>
      <c r="D110" s="5507"/>
      <c r="E110" s="5507"/>
      <c r="F110" s="566" t="s">
        <v>3098</v>
      </c>
      <c r="G110" s="567"/>
      <c r="H110" s="568">
        <f>COUNTIF(H91:H109,"&gt;0")</f>
        <v>0</v>
      </c>
      <c r="I110" s="578"/>
      <c r="J110" s="1812"/>
      <c r="K110" s="1812"/>
      <c r="L110" s="1812"/>
      <c r="M110" s="578"/>
      <c r="N110" s="1812"/>
      <c r="O110" s="1812"/>
      <c r="P110" s="1812"/>
      <c r="Q110" s="578"/>
      <c r="R110" s="1813"/>
    </row>
    <row r="111" spans="2:18">
      <c r="B111" s="564">
        <f t="shared" si="0"/>
        <v>0</v>
      </c>
      <c r="C111" s="1802" t="s">
        <v>3004</v>
      </c>
      <c r="D111" s="569"/>
      <c r="E111" s="569"/>
      <c r="F111" s="570"/>
      <c r="G111" s="571"/>
      <c r="H111" s="572"/>
      <c r="I111" s="573" t="s">
        <v>3099</v>
      </c>
      <c r="J111" s="574" t="s">
        <v>3100</v>
      </c>
      <c r="K111" s="575" t="s">
        <v>1882</v>
      </c>
      <c r="L111" s="5508" t="s">
        <v>1861</v>
      </c>
      <c r="M111" s="5508"/>
      <c r="N111" s="5508"/>
      <c r="O111" s="5508"/>
      <c r="P111" s="5508"/>
      <c r="Q111" s="5508"/>
      <c r="R111" s="1814"/>
    </row>
    <row r="112" spans="2:18">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497" t="s">
        <v>3102</v>
      </c>
      <c r="M112" s="5497"/>
      <c r="N112" s="5497"/>
      <c r="O112" s="5497"/>
      <c r="P112" s="5497"/>
      <c r="Q112" s="5497"/>
      <c r="R112" s="1810" t="s">
        <v>1766</v>
      </c>
    </row>
    <row r="113" spans="2:18">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497" t="s">
        <v>3104</v>
      </c>
      <c r="M113" s="5497"/>
      <c r="N113" s="5497"/>
      <c r="O113" s="5497"/>
      <c r="P113" s="5497"/>
      <c r="Q113" s="5497"/>
      <c r="R113" s="1810" t="s">
        <v>1766</v>
      </c>
    </row>
    <row r="114" spans="2:18">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97" t="s">
        <v>3106</v>
      </c>
      <c r="M114" s="5497"/>
      <c r="N114" s="5497"/>
      <c r="O114" s="5497"/>
      <c r="P114" s="5497"/>
      <c r="Q114" s="5497"/>
      <c r="R114" s="1810" t="s">
        <v>1766</v>
      </c>
    </row>
    <row r="115" spans="2:18">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497" t="s">
        <v>3108</v>
      </c>
      <c r="M115" s="5497"/>
      <c r="N115" s="5497"/>
      <c r="O115" s="5497"/>
      <c r="P115" s="5497"/>
      <c r="Q115" s="5497"/>
      <c r="R115" s="1810" t="s">
        <v>1766</v>
      </c>
    </row>
    <row r="116" spans="2:18">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97" t="s">
        <v>3109</v>
      </c>
      <c r="M116" s="5497"/>
      <c r="N116" s="5497"/>
      <c r="O116" s="5497"/>
      <c r="P116" s="5497"/>
      <c r="Q116" s="5497"/>
      <c r="R116" s="1810" t="s">
        <v>1766</v>
      </c>
    </row>
    <row r="117" spans="2:18">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97" t="s">
        <v>3111</v>
      </c>
      <c r="M117" s="5497"/>
      <c r="N117" s="5497"/>
      <c r="O117" s="5497"/>
      <c r="P117" s="5497"/>
      <c r="Q117" s="5497"/>
      <c r="R117" s="1810" t="s">
        <v>1766</v>
      </c>
    </row>
    <row r="118" spans="2:18">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511" t="str">
        <f>"+2 FUE al alcance y +"&amp;Sheele!H15&amp;" al daño de proyectiles de quien esté en contacto con ella."</f>
        <v>+2 FUE al alcance y +10 al daño de proyectiles de quien esté en contacto con ella.</v>
      </c>
      <c r="M118" s="5497"/>
      <c r="N118" s="5497"/>
      <c r="O118" s="5497"/>
      <c r="P118" s="5497"/>
      <c r="Q118" s="5497"/>
      <c r="R118" s="1810" t="s">
        <v>1690</v>
      </c>
    </row>
    <row r="119" spans="2:18">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511" t="s">
        <v>3114</v>
      </c>
      <c r="M119" s="5497"/>
      <c r="N119" s="5497"/>
      <c r="O119" s="5497"/>
      <c r="P119" s="5497"/>
      <c r="Q119" s="5497"/>
      <c r="R119" s="1810" t="s">
        <v>1766</v>
      </c>
    </row>
    <row r="120" spans="2:18">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97" t="str">
        <f>"Aquel en contacto RF "&amp;Sheele!N21*2+Sheele!H15&amp;" o daño igual al nivel de fracaso. Inmune a ataques físicos"</f>
        <v>Aquel en contacto RF 70 o daño igual al nivel de fracaso. Inmune a ataques físicos</v>
      </c>
      <c r="M120" s="5497"/>
      <c r="N120" s="5497"/>
      <c r="O120" s="5497"/>
      <c r="P120" s="5497"/>
      <c r="Q120" s="5497"/>
      <c r="R120" s="1810" t="s">
        <v>1766</v>
      </c>
    </row>
    <row r="121" spans="2:18">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512" t="s">
        <v>3118</v>
      </c>
      <c r="M121" s="5510"/>
      <c r="N121" s="5510"/>
      <c r="O121" s="5510"/>
      <c r="P121" s="5510"/>
      <c r="Q121" s="5510"/>
      <c r="R121" s="1810" t="s">
        <v>1766</v>
      </c>
    </row>
    <row r="122" spans="2:18">
      <c r="B122" s="564">
        <f t="shared" si="0"/>
        <v>0</v>
      </c>
      <c r="C122" s="1802" t="s">
        <v>3009</v>
      </c>
      <c r="D122" s="578"/>
      <c r="E122" s="578"/>
      <c r="F122" s="570"/>
      <c r="G122" s="575"/>
      <c r="H122" s="574"/>
      <c r="I122" s="579" t="s">
        <v>3099</v>
      </c>
      <c r="J122" s="572" t="s">
        <v>3100</v>
      </c>
      <c r="K122" s="571" t="s">
        <v>1882</v>
      </c>
      <c r="L122" s="5508" t="s">
        <v>1861</v>
      </c>
      <c r="M122" s="5508"/>
      <c r="N122" s="5508"/>
      <c r="O122" s="5508"/>
      <c r="P122" s="5508"/>
      <c r="Q122" s="5508"/>
      <c r="R122" s="1813"/>
    </row>
    <row r="123" spans="2:18">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497" t="s">
        <v>3121</v>
      </c>
      <c r="M123" s="5497"/>
      <c r="N123" s="5497"/>
      <c r="O123" s="5497"/>
      <c r="P123" s="5497"/>
      <c r="Q123" s="5497"/>
      <c r="R123" s="1810" t="s">
        <v>1766</v>
      </c>
    </row>
    <row r="124" spans="2:18">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497" t="str">
        <f>"Ataque CON, Área "&amp;Sheele!N21&amp;"m. Aquellos en contacto son inmunes. Impacto FUE "&amp;Sheele!G15</f>
        <v>Ataque CON, Área 30m. Aquellos en contacto son inmunes. Impacto FUE 9</v>
      </c>
      <c r="M124" s="5497"/>
      <c r="N124" s="5497"/>
      <c r="O124" s="5497"/>
      <c r="P124" s="5497"/>
      <c r="Q124" s="5497"/>
      <c r="R124" s="1810" t="s">
        <v>1766</v>
      </c>
    </row>
    <row r="125" spans="2:18">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97" t="s">
        <v>3124</v>
      </c>
      <c r="M125" s="5497"/>
      <c r="N125" s="5497"/>
      <c r="O125" s="5497"/>
      <c r="P125" s="5497"/>
      <c r="Q125" s="5497"/>
      <c r="R125" s="1810" t="s">
        <v>1766</v>
      </c>
    </row>
    <row r="126" spans="2:18">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97" t="str">
        <f>"Ataque automático 50m. RM o RF "&amp;Sheele!N21*2+Sheele!H15&amp;", -5 por cada TA en FRI. Parálisis total si &gt; 40"</f>
        <v>Ataque automático 50m. RM o RF 70, -5 por cada TA en FRI. Parálisis total si &gt; 40</v>
      </c>
      <c r="M126" s="5497"/>
      <c r="N126" s="5497"/>
      <c r="O126" s="5497"/>
      <c r="P126" s="5497"/>
      <c r="Q126" s="5497"/>
      <c r="R126" s="1810" t="s">
        <v>1766</v>
      </c>
    </row>
    <row r="127" spans="2:18">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497" t="s">
        <v>3127</v>
      </c>
      <c r="M127" s="5497"/>
      <c r="N127" s="5497"/>
      <c r="O127" s="5497"/>
      <c r="P127" s="5497"/>
      <c r="Q127" s="5497"/>
      <c r="R127" s="1810" t="s">
        <v>1766</v>
      </c>
    </row>
    <row r="128" spans="2:18">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97" t="s">
        <v>3129</v>
      </c>
      <c r="M128" s="5497"/>
      <c r="N128" s="5497"/>
      <c r="O128" s="5497"/>
      <c r="P128" s="5497"/>
      <c r="Q128" s="5497"/>
      <c r="R128" s="1810" t="s">
        <v>1766</v>
      </c>
    </row>
    <row r="129" spans="2:19">
      <c r="B129" s="564">
        <f t="shared" si="0"/>
        <v>0</v>
      </c>
      <c r="C129" s="576" t="s">
        <v>3130</v>
      </c>
      <c r="D129" s="576"/>
      <c r="E129" s="576"/>
      <c r="F129" s="563">
        <f>COUNTIF(Sheele!$G$20:$J$29,C129)</f>
        <v>0</v>
      </c>
      <c r="G129" s="1793">
        <v>1</v>
      </c>
      <c r="H129" s="1793">
        <f>IF(OR($F129=0,$G129=0),0,MAX($H$111:H128)+1)</f>
        <v>0</v>
      </c>
      <c r="I129" s="1792"/>
      <c r="J129" s="1793" t="s">
        <v>1766</v>
      </c>
      <c r="K129" s="1796" t="s">
        <v>1766</v>
      </c>
      <c r="L129" s="5497" t="s">
        <v>3131</v>
      </c>
      <c r="M129" s="5497"/>
      <c r="N129" s="5497"/>
      <c r="O129" s="5497"/>
      <c r="P129" s="5497"/>
      <c r="Q129" s="5497"/>
      <c r="R129" s="1810" t="s">
        <v>1690</v>
      </c>
    </row>
    <row r="130" spans="2:19">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511" t="s">
        <v>3114</v>
      </c>
      <c r="M130" s="5497"/>
      <c r="N130" s="5497"/>
      <c r="O130" s="5497"/>
      <c r="P130" s="5497"/>
      <c r="Q130" s="5497"/>
      <c r="R130" s="1810" t="s">
        <v>1766</v>
      </c>
    </row>
    <row r="131" spans="2:19">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97" t="s">
        <v>3133</v>
      </c>
      <c r="M131" s="5497"/>
      <c r="N131" s="5497"/>
      <c r="O131" s="5497"/>
      <c r="P131" s="5497"/>
      <c r="Q131" s="5497"/>
      <c r="R131" s="1810" t="s">
        <v>1766</v>
      </c>
      <c r="S131" s="582"/>
    </row>
    <row r="132" spans="2:19">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510" t="s">
        <v>3134</v>
      </c>
      <c r="M132" s="5510"/>
      <c r="N132" s="5510"/>
      <c r="O132" s="5510"/>
      <c r="P132" s="5510"/>
      <c r="Q132" s="5510"/>
      <c r="R132" s="1810" t="s">
        <v>1766</v>
      </c>
      <c r="S132" s="582"/>
    </row>
    <row r="133" spans="2:19">
      <c r="B133" s="564">
        <f t="shared" si="0"/>
        <v>0</v>
      </c>
      <c r="C133" s="1802" t="s">
        <v>3014</v>
      </c>
      <c r="D133" s="578"/>
      <c r="E133" s="578"/>
      <c r="F133" s="570"/>
      <c r="G133" s="575"/>
      <c r="H133" s="574"/>
      <c r="I133" s="579" t="s">
        <v>3099</v>
      </c>
      <c r="J133" s="572" t="s">
        <v>3100</v>
      </c>
      <c r="K133" s="571" t="s">
        <v>1882</v>
      </c>
      <c r="L133" s="5508" t="s">
        <v>1861</v>
      </c>
      <c r="M133" s="5508"/>
      <c r="N133" s="5508"/>
      <c r="O133" s="5508"/>
      <c r="P133" s="5508"/>
      <c r="Q133" s="5508"/>
      <c r="R133" s="1813"/>
      <c r="S133" s="582"/>
    </row>
    <row r="134" spans="2:19">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497" t="s">
        <v>3136</v>
      </c>
      <c r="M134" s="5497"/>
      <c r="N134" s="5497"/>
      <c r="O134" s="5497"/>
      <c r="P134" s="5497"/>
      <c r="Q134" s="5497"/>
      <c r="R134" s="1810" t="s">
        <v>1766</v>
      </c>
      <c r="S134" s="582"/>
    </row>
    <row r="135" spans="2:19">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97" t="s">
        <v>3138</v>
      </c>
      <c r="M135" s="5497"/>
      <c r="N135" s="5497"/>
      <c r="O135" s="5497"/>
      <c r="P135" s="5497"/>
      <c r="Q135" s="5497"/>
      <c r="R135" s="1810" t="s">
        <v>1766</v>
      </c>
      <c r="S135" s="582"/>
    </row>
    <row r="136" spans="2:19">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97" t="s">
        <v>3140</v>
      </c>
      <c r="M136" s="5497"/>
      <c r="N136" s="5497"/>
      <c r="O136" s="5497"/>
      <c r="P136" s="5497"/>
      <c r="Q136" s="5497"/>
      <c r="R136" s="1810" t="s">
        <v>1766</v>
      </c>
      <c r="S136" s="582"/>
    </row>
    <row r="137" spans="2:19">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497" t="str">
        <f>"Area CAL "&amp;Sheele!G16&amp;"m. Cada aatque sucesivo dobla el área y +10 daño"</f>
        <v>Area CAL 8m. Cada aatque sucesivo dobla el área y +10 daño</v>
      </c>
      <c r="M137" s="5497"/>
      <c r="N137" s="5497"/>
      <c r="O137" s="5497"/>
      <c r="P137" s="5497"/>
      <c r="Q137" s="5497"/>
      <c r="R137" s="1810" t="s">
        <v>1766</v>
      </c>
      <c r="S137" s="582"/>
    </row>
    <row r="138" spans="2:19">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497" t="str">
        <f>"La Sheele controla el fuego de hasta "&amp;Sheele!G15&amp;" intensidades. Puede atacar con él."</f>
        <v>La Sheele controla el fuego de hasta 9 intensidades. Puede atacar con él.</v>
      </c>
      <c r="M138" s="5497"/>
      <c r="N138" s="5497"/>
      <c r="O138" s="5497"/>
      <c r="P138" s="5497"/>
      <c r="Q138" s="5497"/>
      <c r="R138" s="1810" t="s">
        <v>1766</v>
      </c>
      <c r="S138" s="582"/>
    </row>
    <row r="139" spans="2:19">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511" t="s">
        <v>3114</v>
      </c>
      <c r="M139" s="5497"/>
      <c r="N139" s="5497"/>
      <c r="O139" s="5497"/>
      <c r="P139" s="5497"/>
      <c r="Q139" s="5497"/>
      <c r="R139" s="1810" t="s">
        <v>1766</v>
      </c>
      <c r="S139" s="582"/>
    </row>
    <row r="140" spans="2:19">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97" t="str">
        <f>"Aquel en contacto puede usar CAL como crítico secundario en sus armas, y éstas tienen +"&amp;Sheele!H15&amp;" daño."</f>
        <v>Aquel en contacto puede usar CAL como crítico secundario en sus armas, y éstas tienen +10 daño.</v>
      </c>
      <c r="M140" s="5497"/>
      <c r="N140" s="5497"/>
      <c r="O140" s="5497"/>
      <c r="P140" s="5497"/>
      <c r="Q140" s="5497"/>
      <c r="R140" s="1810" t="s">
        <v>1690</v>
      </c>
      <c r="S140" s="582"/>
    </row>
    <row r="141" spans="2:19">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97" t="str">
        <f>"A voluntad, solo vulnerable a energía o frío. En contacto RF "&amp;Sheele!N21*2+Sheele!H15&amp;" o daño = nivel fracaso."</f>
        <v>A voluntad, solo vulnerable a energía o frío. En contacto RF 70 o daño = nivel fracaso.</v>
      </c>
      <c r="M141" s="5497"/>
      <c r="N141" s="5497"/>
      <c r="O141" s="5497"/>
      <c r="P141" s="5497"/>
      <c r="Q141" s="5497"/>
      <c r="R141" s="1810" t="s">
        <v>1766</v>
      </c>
      <c r="S141" s="582"/>
    </row>
    <row r="142" spans="2:19">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511" t="s">
        <v>3147</v>
      </c>
      <c r="M142" s="5497"/>
      <c r="N142" s="5497"/>
      <c r="O142" s="5497"/>
      <c r="P142" s="5497"/>
      <c r="Q142" s="5497"/>
      <c r="R142" s="1810" t="s">
        <v>1690</v>
      </c>
      <c r="S142" s="582"/>
    </row>
    <row r="143" spans="2:19">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512" t="s">
        <v>3149</v>
      </c>
      <c r="M143" s="5510"/>
      <c r="N143" s="5510"/>
      <c r="O143" s="5510"/>
      <c r="P143" s="5510"/>
      <c r="Q143" s="5510"/>
      <c r="R143" s="1810" t="s">
        <v>1766</v>
      </c>
      <c r="S143" s="582"/>
    </row>
    <row r="144" spans="2:19">
      <c r="B144" s="564">
        <f t="shared" si="0"/>
        <v>0</v>
      </c>
      <c r="C144" s="1802" t="s">
        <v>3018</v>
      </c>
      <c r="D144" s="578"/>
      <c r="E144" s="578"/>
      <c r="F144" s="570"/>
      <c r="G144" s="575"/>
      <c r="H144" s="574"/>
      <c r="I144" s="579" t="s">
        <v>3099</v>
      </c>
      <c r="J144" s="572" t="s">
        <v>3100</v>
      </c>
      <c r="K144" s="571" t="s">
        <v>1882</v>
      </c>
      <c r="L144" s="5508" t="s">
        <v>1861</v>
      </c>
      <c r="M144" s="5508"/>
      <c r="N144" s="5508"/>
      <c r="O144" s="5508"/>
      <c r="P144" s="5508"/>
      <c r="Q144" s="5508"/>
      <c r="R144" s="1813"/>
      <c r="S144" s="582"/>
    </row>
    <row r="145" spans="2:19">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497" t="s">
        <v>3151</v>
      </c>
      <c r="M145" s="5497"/>
      <c r="N145" s="5497"/>
      <c r="O145" s="5497"/>
      <c r="P145" s="5497"/>
      <c r="Q145" s="5497"/>
      <c r="R145" s="1810" t="s">
        <v>1766</v>
      </c>
      <c r="S145" s="582"/>
    </row>
    <row r="146" spans="2:19">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97" t="str">
        <f>"Ataque automático  25m. RM "&amp;Sheele!N21*2+Sheele!H15&amp;" o -50 turno y x0.5 movimiento"</f>
        <v>Ataque automático  25m. RM 70 o -50 turno y x0.5 movimiento</v>
      </c>
      <c r="M146" s="5497"/>
      <c r="N146" s="5497"/>
      <c r="O146" s="5497"/>
      <c r="P146" s="5497"/>
      <c r="Q146" s="5497"/>
      <c r="R146" s="1810" t="s">
        <v>1766</v>
      </c>
      <c r="S146" s="582"/>
    </row>
    <row r="147" spans="2:19">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97" t="s">
        <v>3154</v>
      </c>
      <c r="M147" s="5497"/>
      <c r="N147" s="5497"/>
      <c r="O147" s="5497"/>
      <c r="P147" s="5497"/>
      <c r="Q147" s="5497"/>
      <c r="R147" s="1810" t="s">
        <v>1766</v>
      </c>
      <c r="S147" s="582"/>
    </row>
    <row r="148" spans="2:19">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97" t="str">
        <f>"Area "&amp;Sheele!N21*2&amp;"m. Construcciones e individuos sobre el suelo control de AGI "&amp;Sheele!E12*2&amp;" o derribados"</f>
        <v>Area 60m. Construcciones e individuos sobre el suelo control de AGI 4 o derribados</v>
      </c>
      <c r="M148" s="5497"/>
      <c r="N148" s="5497"/>
      <c r="O148" s="5497"/>
      <c r="P148" s="5497"/>
      <c r="Q148" s="5497"/>
      <c r="R148" s="1810" t="s">
        <v>1766</v>
      </c>
      <c r="S148" s="582"/>
    </row>
    <row r="149" spans="2:19">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511" t="s">
        <v>3157</v>
      </c>
      <c r="M149" s="5497"/>
      <c r="N149" s="5497"/>
      <c r="O149" s="5497"/>
      <c r="P149" s="5497"/>
      <c r="Q149" s="5497"/>
      <c r="R149" s="1810" t="s">
        <v>1766</v>
      </c>
      <c r="S149" s="582"/>
    </row>
    <row r="150" spans="2:19">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97" t="s">
        <v>3159</v>
      </c>
      <c r="M150" s="5497"/>
      <c r="N150" s="5497"/>
      <c r="O150" s="5497"/>
      <c r="P150" s="5497"/>
      <c r="Q150" s="5497"/>
      <c r="R150" s="1810" t="s">
        <v>1690</v>
      </c>
      <c r="S150" s="582"/>
    </row>
    <row r="151" spans="2:19">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497" t="str">
        <f>"Ataque 100m. De lograr daño, Control FUE "&amp;Sheele!E12+Sheele!E15+Sheele!E16&amp;" -1 por TA CON. 10 daño/fallo (50 a acumulación)"</f>
        <v>Ataque 100m. De lograr daño, Control FUE 19 -1 por TA CON. 10 daño/fallo (50 a acumulación)</v>
      </c>
      <c r="M151" s="5497"/>
      <c r="N151" s="5497"/>
      <c r="O151" s="5497"/>
      <c r="P151" s="5497"/>
      <c r="Q151" s="5497"/>
      <c r="R151" s="1810" t="s">
        <v>1766</v>
      </c>
      <c r="S151" s="582"/>
    </row>
    <row r="152" spans="2:19">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511" t="s">
        <v>3114</v>
      </c>
      <c r="M152" s="5497"/>
      <c r="N152" s="5497"/>
      <c r="O152" s="5497"/>
      <c r="P152" s="5497"/>
      <c r="Q152" s="5497"/>
      <c r="R152" s="1810" t="s">
        <v>1766</v>
      </c>
      <c r="S152" s="582"/>
    </row>
    <row r="153" spans="2:19">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97" t="str">
        <f>"Movimiento subterráneo de Tipo "&amp;Sheele!L31</f>
        <v>Movimiento subterráneo de Tipo 5</v>
      </c>
      <c r="M153" s="5497"/>
      <c r="N153" s="5497"/>
      <c r="O153" s="5497"/>
      <c r="P153" s="5497"/>
      <c r="Q153" s="5497"/>
      <c r="R153" s="1810" t="s">
        <v>1766</v>
      </c>
      <c r="S153" s="582"/>
    </row>
    <row r="154" spans="2:19">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510" t="s">
        <v>3163</v>
      </c>
      <c r="M154" s="5510"/>
      <c r="N154" s="5510"/>
      <c r="O154" s="5510"/>
      <c r="P154" s="5510"/>
      <c r="Q154" s="5510"/>
      <c r="R154" s="1810" t="s">
        <v>1690</v>
      </c>
      <c r="S154" s="582"/>
    </row>
    <row r="155" spans="2:19">
      <c r="B155" s="564">
        <f t="shared" si="0"/>
        <v>0</v>
      </c>
      <c r="C155" s="1802" t="s">
        <v>3022</v>
      </c>
      <c r="D155" s="578"/>
      <c r="E155" s="578"/>
      <c r="F155" s="570"/>
      <c r="G155" s="575"/>
      <c r="H155" s="574"/>
      <c r="I155" s="579" t="s">
        <v>3099</v>
      </c>
      <c r="J155" s="572" t="s">
        <v>3100</v>
      </c>
      <c r="K155" s="571" t="s">
        <v>1882</v>
      </c>
      <c r="L155" s="5508" t="s">
        <v>1861</v>
      </c>
      <c r="M155" s="5508"/>
      <c r="N155" s="5508"/>
      <c r="O155" s="5508"/>
      <c r="P155" s="5508"/>
      <c r="Q155" s="5508"/>
      <c r="R155" s="1813"/>
    </row>
    <row r="156" spans="2:19" ht="15.75" customHeight="1">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497" t="str">
        <f>"Crea "&amp;Sheele!G15&amp;" proyectiles durante máximo "&amp;Sheele!G16&amp;" asaltos. Máximo "&amp;ROUNDDOWN(Sheele!G11/2,0)&amp;" ataques/ turno. Ataca en ENE."</f>
        <v>Crea 9 proyectiles durante máximo 8 asaltos. Máximo 3 ataques/ turno. Ataca en ENE.</v>
      </c>
      <c r="M156" s="5497"/>
      <c r="N156" s="5497"/>
      <c r="O156" s="5497"/>
      <c r="P156" s="5497"/>
      <c r="Q156" s="5497"/>
      <c r="R156" s="1810" t="s">
        <v>1766</v>
      </c>
    </row>
    <row r="157" spans="2:19" ht="12.75" customHeight="1">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497" t="str">
        <f>"Ataque ENE. +15 Proy cada asalto que lo prepare, máximo "&amp;Sheele!G15&amp;" asaltos."</f>
        <v>Ataque ENE. +15 Proy cada asalto que lo prepare, máximo 9 asaltos.</v>
      </c>
      <c r="M157" s="5497"/>
      <c r="N157" s="5497"/>
      <c r="O157" s="5497"/>
      <c r="P157" s="5497"/>
      <c r="Q157" s="5497"/>
      <c r="R157" s="1810" t="s">
        <v>1766</v>
      </c>
    </row>
    <row r="158" spans="2:19">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97" t="str">
        <f>"5 asaltos. +"&amp;Sheele!H15*2&amp;" a toda acción y al ACT transferible. Después, -50 ata (10/ asalto)"</f>
        <v>5 asaltos. +20 a toda acción y al ACT transferible. Después, -50 ata (10/ asalto)</v>
      </c>
      <c r="M158" s="5497"/>
      <c r="N158" s="5497"/>
      <c r="O158" s="5497"/>
      <c r="P158" s="5497"/>
      <c r="Q158" s="5497"/>
      <c r="R158" s="1810" t="s">
        <v>1766</v>
      </c>
    </row>
    <row r="159" spans="2:19">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97" t="str">
        <f>"Cura "&amp;Sheele!N21&amp;" PV o elimina penalizadores por el mismo valor. 1 uso/ persona/ día."</f>
        <v>Cura 30 PV o elimina penalizadores por el mismo valor. 1 uso/ persona/ día.</v>
      </c>
      <c r="M159" s="5497"/>
      <c r="N159" s="5497"/>
      <c r="O159" s="5497"/>
      <c r="P159" s="5497"/>
      <c r="Q159" s="5497"/>
      <c r="R159" s="1810" t="s">
        <v>1766</v>
      </c>
    </row>
    <row r="160" spans="2:19">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97" t="s">
        <v>3168</v>
      </c>
      <c r="M160" s="5497"/>
      <c r="N160" s="5497"/>
      <c r="O160" s="5497"/>
      <c r="P160" s="5497"/>
      <c r="Q160" s="5497"/>
      <c r="R160" s="1810" t="s">
        <v>1766</v>
      </c>
    </row>
    <row r="161" spans="2:18">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511" t="s">
        <v>3169</v>
      </c>
      <c r="M161" s="5497"/>
      <c r="N161" s="5497"/>
      <c r="O161" s="5497"/>
      <c r="P161" s="5497"/>
      <c r="Q161" s="5497"/>
      <c r="R161" s="1810" t="s">
        <v>1766</v>
      </c>
    </row>
    <row r="162" spans="2:18">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511" t="s">
        <v>3171</v>
      </c>
      <c r="M162" s="5497"/>
      <c r="N162" s="5497"/>
      <c r="O162" s="5497"/>
      <c r="P162" s="5497"/>
      <c r="Q162" s="5497"/>
      <c r="R162" s="1810" t="s">
        <v>1690</v>
      </c>
    </row>
    <row r="163" spans="2:18">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511" t="s">
        <v>3114</v>
      </c>
      <c r="M163" s="5497"/>
      <c r="N163" s="5497"/>
      <c r="O163" s="5497"/>
      <c r="P163" s="5497"/>
      <c r="Q163" s="5497"/>
      <c r="R163" s="1810" t="s">
        <v>1766</v>
      </c>
    </row>
    <row r="164" spans="2:18">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97" t="str">
        <f>"A voluntad. inmune a los ataques físicos. Puede cegar 1 turno por cada 10 de fallo en RM "&amp;Sheele!N21*2+Sheele!H15</f>
        <v>A voluntad. inmune a los ataques físicos. Puede cegar 1 turno por cada 10 de fallo en RM 70</v>
      </c>
      <c r="M164" s="5497"/>
      <c r="N164" s="5497"/>
      <c r="O164" s="5497"/>
      <c r="P164" s="5497"/>
      <c r="Q164" s="5497"/>
      <c r="R164" s="1810" t="s">
        <v>1766</v>
      </c>
    </row>
    <row r="165" spans="2:18">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512" t="s">
        <v>3174</v>
      </c>
      <c r="M165" s="5510"/>
      <c r="N165" s="5510"/>
      <c r="O165" s="5510"/>
      <c r="P165" s="5510"/>
      <c r="Q165" s="5510"/>
      <c r="R165" s="1810" t="s">
        <v>1766</v>
      </c>
    </row>
    <row r="166" spans="2:18">
      <c r="B166" s="1801">
        <f t="shared" si="1"/>
        <v>0</v>
      </c>
      <c r="C166" s="1802" t="s">
        <v>3026</v>
      </c>
      <c r="D166" s="578"/>
      <c r="E166" s="578"/>
      <c r="F166" s="570"/>
      <c r="G166" s="575"/>
      <c r="H166" s="574"/>
      <c r="I166" s="579" t="s">
        <v>3099</v>
      </c>
      <c r="J166" s="572" t="s">
        <v>3100</v>
      </c>
      <c r="K166" s="571" t="s">
        <v>1882</v>
      </c>
      <c r="L166" s="5508" t="s">
        <v>1861</v>
      </c>
      <c r="M166" s="5508"/>
      <c r="N166" s="5508"/>
      <c r="O166" s="5508"/>
      <c r="P166" s="5508"/>
      <c r="Q166" s="5508"/>
      <c r="R166" s="1813"/>
    </row>
    <row r="167" spans="2:18">
      <c r="B167" s="1801">
        <f t="shared" si="1"/>
        <v>0</v>
      </c>
      <c r="C167" s="576" t="s">
        <v>3175</v>
      </c>
      <c r="D167" s="576"/>
      <c r="E167" s="576"/>
      <c r="F167" s="563">
        <f>COUNTIF(Sheele!$G$20:$J$29,C167)</f>
        <v>0</v>
      </c>
      <c r="G167" s="1793"/>
      <c r="H167" s="1793">
        <f>IF(OR($F167=0,$G167=0),0,MAX($H$111:H166)+1)</f>
        <v>0</v>
      </c>
      <c r="I167" s="1792"/>
      <c r="J167" s="1793"/>
      <c r="K167" s="1796"/>
      <c r="L167" s="5513" t="s">
        <v>3176</v>
      </c>
      <c r="M167" s="5514"/>
      <c r="N167" s="5514"/>
      <c r="O167" s="5514"/>
      <c r="P167" s="5514"/>
      <c r="Q167" s="5514"/>
      <c r="R167" s="1810" t="s">
        <v>1766</v>
      </c>
    </row>
    <row r="168" spans="2:18">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497" t="s">
        <v>3178</v>
      </c>
      <c r="M168" s="5497"/>
      <c r="N168" s="5497"/>
      <c r="O168" s="5497"/>
      <c r="P168" s="5497"/>
      <c r="Q168" s="5497"/>
      <c r="R168" s="1810" t="s">
        <v>1766</v>
      </c>
    </row>
    <row r="169" spans="2:18">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497" t="str">
        <f>"Defensa. RM "&amp;Sheele!N21*2+Sheele!H15&amp;" (Pres·2+ POD) o -50 a toda acción que se recupera a 10/asalto"</f>
        <v>Defensa. RM 70 (Pres·2+ POD) o -50 a toda acción que se recupera a 10/asalto</v>
      </c>
      <c r="M169" s="5497"/>
      <c r="N169" s="5497"/>
      <c r="O169" s="5497"/>
      <c r="P169" s="5497"/>
      <c r="Q169" s="5497"/>
      <c r="R169" s="1810" t="s">
        <v>1766</v>
      </c>
    </row>
    <row r="170" spans="2:18">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97" t="s">
        <v>3181</v>
      </c>
      <c r="M170" s="5497"/>
      <c r="N170" s="5497"/>
      <c r="O170" s="5497"/>
      <c r="P170" s="5497"/>
      <c r="Q170" s="5497"/>
      <c r="R170" s="1810" t="s">
        <v>1766</v>
      </c>
    </row>
    <row r="171" spans="2:18">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97" t="str">
        <f>"Un blanco a 50m. RM "&amp;Sheele!N21*2&amp;" (Pres·2) o sufre -"&amp;Sheele!H15*2&amp;" (POD·2) a toda acción."</f>
        <v>Un blanco a 50m. RM 60 (Pres·2) o sufre -20 (POD·2) a toda acción.</v>
      </c>
      <c r="M171" s="5497"/>
      <c r="N171" s="5497"/>
      <c r="O171" s="5497"/>
      <c r="P171" s="5497"/>
      <c r="Q171" s="5497"/>
      <c r="R171" s="1810" t="s">
        <v>1766</v>
      </c>
    </row>
    <row r="172" spans="2:18">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97" t="str">
        <f>"5 asaltos. +"&amp;Sheele!H15*2&amp;" (POD·2) ATA y al ACT trasferible. Al finalizar, -50 ATA (-10/asalto)"</f>
        <v>5 asaltos. +20 (POD·2) ATA y al ACT trasferible. Al finalizar, -50 ATA (-10/asalto)</v>
      </c>
      <c r="M172" s="5497"/>
      <c r="N172" s="5497"/>
      <c r="O172" s="5497"/>
      <c r="P172" s="5497"/>
      <c r="Q172" s="5497"/>
      <c r="R172" s="1810" t="s">
        <v>1766</v>
      </c>
    </row>
    <row r="173" spans="2:18">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97" t="str">
        <f>"Objetivo durmiendo. RM "&amp;Sheele!N21*2+Sheele!H15&amp;" (Pres·2+ POD) o malos sueños. En la Vigilia es más potente"</f>
        <v>Objetivo durmiendo. RM 70 (Pres·2+ POD) o malos sueños. En la Vigilia es más potente</v>
      </c>
      <c r="M173" s="5497"/>
      <c r="N173" s="5497"/>
      <c r="O173" s="5497"/>
      <c r="P173" s="5497"/>
      <c r="Q173" s="5497"/>
      <c r="R173" s="1810" t="s">
        <v>1766</v>
      </c>
    </row>
    <row r="174" spans="2:18">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97" t="s">
        <v>3186</v>
      </c>
      <c r="M174" s="5497"/>
      <c r="N174" s="5497"/>
      <c r="O174" s="5497"/>
      <c r="P174" s="5497"/>
      <c r="Q174" s="5497"/>
      <c r="R174" s="1810" t="s">
        <v>1690</v>
      </c>
    </row>
    <row r="175" spans="2:18">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511" t="s">
        <v>3114</v>
      </c>
      <c r="M175" s="5497"/>
      <c r="N175" s="5497"/>
      <c r="O175" s="5497"/>
      <c r="P175" s="5497"/>
      <c r="Q175" s="5497"/>
      <c r="R175" s="1810" t="s">
        <v>1766</v>
      </c>
    </row>
    <row r="176" spans="2:18">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510" t="str">
        <f>"Puede atacar y defender usando su proyección. Daño base "&amp;Sheele!N21+Sheele!H12</f>
        <v>Puede atacar y defender usando su proyección. Daño base 10</v>
      </c>
      <c r="M176" s="5510"/>
      <c r="N176" s="5510"/>
      <c r="O176" s="5510"/>
      <c r="P176" s="5510"/>
      <c r="Q176" s="5510"/>
      <c r="R176" s="1810"/>
    </row>
    <row r="177" spans="2:18">
      <c r="B177" s="564">
        <f t="shared" si="1"/>
        <v>0</v>
      </c>
      <c r="C177" s="1802" t="s">
        <v>3031</v>
      </c>
      <c r="D177" s="578"/>
      <c r="E177" s="578"/>
      <c r="F177" s="570"/>
      <c r="G177" s="575"/>
      <c r="H177" s="574"/>
      <c r="I177" s="579" t="s">
        <v>3099</v>
      </c>
      <c r="J177" s="572" t="s">
        <v>3100</v>
      </c>
      <c r="K177" s="571" t="s">
        <v>1882</v>
      </c>
      <c r="L177" s="5508" t="s">
        <v>1861</v>
      </c>
      <c r="M177" s="5508"/>
      <c r="N177" s="5508"/>
      <c r="O177" s="5508"/>
      <c r="P177" s="5508"/>
      <c r="Q177" s="5508"/>
      <c r="R177" s="1813"/>
    </row>
    <row r="178" spans="2:18">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497" t="str">
        <f>"Ataque de presa de FUE "&amp;Sheele!G15&amp;". Se puede mantener pagando el coste de zeon."</f>
        <v>Ataque de presa de FUE 9. Se puede mantener pagando el coste de zeon.</v>
      </c>
      <c r="M178" s="5497"/>
      <c r="N178" s="5497"/>
      <c r="O178" s="5497"/>
      <c r="P178" s="5497"/>
      <c r="Q178" s="5497"/>
      <c r="R178" s="1810" t="s">
        <v>1766</v>
      </c>
    </row>
    <row r="179" spans="2:18">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497" t="str">
        <f>"Escudo de aguante "&amp;10*Sheele!N21&amp;", que dura máximo "&amp;Sheele!G16&amp;" asaltos."</f>
        <v>Escudo de aguante 300, que dura máximo 8 asaltos.</v>
      </c>
      <c r="M179" s="5497"/>
      <c r="N179" s="5497"/>
      <c r="O179" s="5497"/>
      <c r="P179" s="5497"/>
      <c r="Q179" s="5497"/>
      <c r="R179" s="1810" t="s">
        <v>1766</v>
      </c>
    </row>
    <row r="180" spans="2:18">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97" t="s">
        <v>3192</v>
      </c>
      <c r="M180" s="5497"/>
      <c r="N180" s="5497"/>
      <c r="O180" s="5497"/>
      <c r="P180" s="5497"/>
      <c r="Q180" s="5497"/>
      <c r="R180" s="1810" t="s">
        <v>1766</v>
      </c>
    </row>
    <row r="181" spans="2:18" ht="12.75" customHeight="1">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97" t="str">
        <f>"Cura "&amp;Sheele!N21*2&amp;" PV. 1 uso/ persona/ día."</f>
        <v>Cura 60 PV. 1 uso/ persona/ día.</v>
      </c>
      <c r="M181" s="5497"/>
      <c r="N181" s="5497"/>
      <c r="O181" s="5497"/>
      <c r="P181" s="5497"/>
      <c r="Q181" s="5497"/>
      <c r="R181" s="1810" t="s">
        <v>1766</v>
      </c>
    </row>
    <row r="182" spans="2:18" ht="13.5" customHeight="1">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497" t="s">
        <v>3194</v>
      </c>
      <c r="M182" s="5497"/>
      <c r="N182" s="5497"/>
      <c r="O182" s="5497"/>
      <c r="P182" s="5497"/>
      <c r="Q182" s="5497"/>
      <c r="R182" s="1810" t="s">
        <v>1766</v>
      </c>
    </row>
    <row r="183" spans="2:18">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511" t="s">
        <v>3196</v>
      </c>
      <c r="M183" s="5497"/>
      <c r="N183" s="5497"/>
      <c r="O183" s="5497"/>
      <c r="P183" s="5497"/>
      <c r="Q183" s="5497"/>
      <c r="R183" s="1810" t="s">
        <v>1690</v>
      </c>
    </row>
    <row r="184" spans="2:18">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97" t="s">
        <v>3198</v>
      </c>
      <c r="M184" s="5497"/>
      <c r="N184" s="5497"/>
      <c r="O184" s="5497"/>
      <c r="P184" s="5497"/>
      <c r="Q184" s="5497"/>
      <c r="R184" s="1810" t="s">
        <v>1690</v>
      </c>
    </row>
    <row r="185" spans="2:18">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511" t="s">
        <v>3114</v>
      </c>
      <c r="M185" s="5497"/>
      <c r="N185" s="5497"/>
      <c r="O185" s="5497"/>
      <c r="P185" s="5497"/>
      <c r="Q185" s="5497"/>
      <c r="R185" s="1810" t="s">
        <v>1766</v>
      </c>
    </row>
    <row r="186" spans="2:18">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97" t="s">
        <v>3200</v>
      </c>
      <c r="M186" s="5497"/>
      <c r="N186" s="5497"/>
      <c r="O186" s="5497"/>
      <c r="P186" s="5497"/>
      <c r="Q186" s="5497"/>
      <c r="R186" s="1810" t="s">
        <v>1766</v>
      </c>
    </row>
    <row r="187" spans="2:18">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512" t="s">
        <v>3202</v>
      </c>
      <c r="M187" s="5510"/>
      <c r="N187" s="5510"/>
      <c r="O187" s="5510"/>
      <c r="P187" s="5510"/>
      <c r="Q187" s="5510"/>
      <c r="R187" s="1810" t="s">
        <v>1766</v>
      </c>
    </row>
    <row r="188" spans="2:18">
      <c r="B188" s="564">
        <f t="shared" si="1"/>
        <v>0</v>
      </c>
      <c r="C188" s="1802" t="s">
        <v>3035</v>
      </c>
      <c r="D188" s="578"/>
      <c r="E188" s="578"/>
      <c r="F188" s="570"/>
      <c r="G188" s="575"/>
      <c r="H188" s="574"/>
      <c r="I188" s="579" t="s">
        <v>3099</v>
      </c>
      <c r="J188" s="572" t="s">
        <v>3100</v>
      </c>
      <c r="K188" s="571" t="s">
        <v>1882</v>
      </c>
      <c r="L188" s="5508" t="s">
        <v>1861</v>
      </c>
      <c r="M188" s="5508"/>
      <c r="N188" s="5508"/>
      <c r="O188" s="5508"/>
      <c r="P188" s="5508"/>
      <c r="Q188" s="5508"/>
      <c r="R188" s="1813"/>
    </row>
    <row r="189" spans="2:18">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497" t="s">
        <v>3204</v>
      </c>
      <c r="M189" s="5497"/>
      <c r="N189" s="5497"/>
      <c r="O189" s="5497"/>
      <c r="P189" s="5497"/>
      <c r="Q189" s="5497"/>
      <c r="R189" s="1810" t="s">
        <v>1766</v>
      </c>
    </row>
    <row r="190" spans="2:18">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97" t="s">
        <v>3206</v>
      </c>
      <c r="M190" s="5497"/>
      <c r="N190" s="5497"/>
      <c r="O190" s="5497"/>
      <c r="P190" s="5497"/>
      <c r="Q190" s="5497"/>
      <c r="R190" s="1810" t="s">
        <v>1766</v>
      </c>
    </row>
    <row r="191" spans="2:18">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97" t="s">
        <v>3208</v>
      </c>
      <c r="M191" s="5497"/>
      <c r="N191" s="5497"/>
      <c r="O191" s="5497"/>
      <c r="P191" s="5497"/>
      <c r="Q191" s="5497"/>
      <c r="R191" s="1810" t="s">
        <v>1766</v>
      </c>
    </row>
    <row r="192" spans="2:18">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97" t="str">
        <f>"Area automática 25m. RM "&amp;Sheele!N21*2+Sheele!H15&amp;" o -[fracaso] a hab. perceptivas y -0.5*[fracaso] ata."</f>
        <v>Area automática 25m. RM 70 o -[fracaso] a hab. perceptivas y -0.5*[fracaso] ata.</v>
      </c>
      <c r="M192" s="5497"/>
      <c r="N192" s="5497"/>
      <c r="O192" s="5497"/>
      <c r="P192" s="5497"/>
      <c r="Q192" s="5497"/>
      <c r="R192" s="1810" t="s">
        <v>1766</v>
      </c>
    </row>
    <row r="193" spans="2:18">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97" t="s">
        <v>3211</v>
      </c>
      <c r="M193" s="5497"/>
      <c r="N193" s="5497"/>
      <c r="O193" s="5497"/>
      <c r="P193" s="5497"/>
      <c r="Q193" s="5497"/>
      <c r="R193" s="1810" t="s">
        <v>1766</v>
      </c>
    </row>
    <row r="194" spans="2:18">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511" t="s">
        <v>3213</v>
      </c>
      <c r="M194" s="5497"/>
      <c r="N194" s="5497"/>
      <c r="O194" s="5497"/>
      <c r="P194" s="5497"/>
      <c r="Q194" s="5497"/>
      <c r="R194" s="1810" t="s">
        <v>1690</v>
      </c>
    </row>
    <row r="195" spans="2:18">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97" t="str">
        <f>"Defensa. Crea "&amp;Sheele!G15&amp;" copias. Se desvanece 1/ turno y 1/ defensa. Area las destruye todas."</f>
        <v>Defensa. Crea 9 copias. Se desvanece 1/ turno y 1/ defensa. Area las destruye todas.</v>
      </c>
      <c r="M195" s="5497"/>
      <c r="N195" s="5497"/>
      <c r="O195" s="5497"/>
      <c r="P195" s="5497"/>
      <c r="Q195" s="5497"/>
      <c r="R195" s="1810" t="s">
        <v>1766</v>
      </c>
    </row>
    <row r="196" spans="2:18">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97" t="s">
        <v>3216</v>
      </c>
      <c r="M196" s="5497"/>
      <c r="N196" s="5497"/>
      <c r="O196" s="5497"/>
      <c r="P196" s="5497"/>
      <c r="Q196" s="5497"/>
      <c r="R196" s="1810"/>
    </row>
    <row r="197" spans="2:18">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511" t="s">
        <v>3114</v>
      </c>
      <c r="M197" s="5497"/>
      <c r="N197" s="5497"/>
      <c r="O197" s="5497"/>
      <c r="P197" s="5497"/>
      <c r="Q197" s="5497"/>
      <c r="R197" s="1810" t="s">
        <v>1766</v>
      </c>
    </row>
    <row r="198" spans="2:18" ht="13.5" thickBot="1">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525" t="str">
        <f>"Solo vulnerable a destrucción de sortilegios. Grado Base, valor zeonico "&amp;Sheele!P29</f>
        <v>Solo vulnerable a destrucción de sortilegios. Grado Base, valor zeonico 60</v>
      </c>
      <c r="M198" s="5525"/>
      <c r="N198" s="5525"/>
      <c r="O198" s="5525"/>
      <c r="P198" s="5525"/>
      <c r="Q198" s="5525"/>
      <c r="R198" s="1816"/>
    </row>
    <row r="199" spans="2:18" ht="13.5" thickBot="1">
      <c r="B199" s="585">
        <f t="shared" si="1"/>
        <v>0</v>
      </c>
      <c r="F199" s="1803" t="s">
        <v>3219</v>
      </c>
      <c r="G199" s="1804"/>
      <c r="H199" s="549">
        <f>COUNTIF(H112:H198,"&gt;0")</f>
        <v>0</v>
      </c>
    </row>
    <row r="200" spans="2:18" ht="13.5" thickBot="1"/>
    <row r="201" spans="2:18">
      <c r="B201" s="5537" t="s">
        <v>3220</v>
      </c>
      <c r="C201" s="5538"/>
      <c r="D201" s="5538"/>
      <c r="E201" s="5538"/>
      <c r="F201" s="5538"/>
      <c r="G201" s="5538"/>
      <c r="H201" s="5538"/>
      <c r="I201" s="5538"/>
      <c r="J201" s="5538"/>
      <c r="K201" s="5538"/>
      <c r="L201" s="5538"/>
      <c r="M201" s="5539"/>
    </row>
    <row r="202" spans="2:18">
      <c r="B202" s="5540"/>
      <c r="C202" s="5541"/>
      <c r="D202" s="5541"/>
      <c r="E202" s="5541"/>
      <c r="F202" s="5541"/>
      <c r="G202" s="5541"/>
      <c r="H202" s="5541"/>
      <c r="I202" s="5541"/>
      <c r="J202" s="5541"/>
      <c r="K202" s="5541"/>
      <c r="L202" s="5541"/>
      <c r="M202" s="5542"/>
    </row>
    <row r="203" spans="2:18">
      <c r="B203" s="1338"/>
      <c r="C203" s="1253">
        <v>1</v>
      </c>
      <c r="D203" s="1253">
        <v>2</v>
      </c>
      <c r="E203" s="1253">
        <v>3</v>
      </c>
      <c r="F203" s="1253">
        <v>4</v>
      </c>
      <c r="G203" s="1253">
        <v>5</v>
      </c>
      <c r="H203" s="1253">
        <v>6</v>
      </c>
      <c r="I203" s="1253">
        <v>7</v>
      </c>
      <c r="J203" s="1253">
        <v>8</v>
      </c>
      <c r="K203" s="1335" t="s">
        <v>7697</v>
      </c>
      <c r="L203" s="5519" t="s">
        <v>3221</v>
      </c>
      <c r="M203" s="5520"/>
    </row>
    <row r="204" spans="2:18">
      <c r="B204" s="1334"/>
      <c r="C204" s="5517" t="s">
        <v>1922</v>
      </c>
      <c r="D204" s="5518"/>
      <c r="E204" s="1337" t="str">
        <f t="array" ref="E204:H204">TRANSPOSE(C205:D208)</f>
        <v>Vuelo Místico 10</v>
      </c>
      <c r="F204" s="1337" t="str">
        <v>Movimiento Defensivo</v>
      </c>
      <c r="G204" s="1337" t="str">
        <v xml:space="preserve"> </v>
      </c>
      <c r="H204" s="1337" t="str">
        <v xml:space="preserve"> </v>
      </c>
      <c r="I204" s="1336"/>
      <c r="J204" s="1333"/>
      <c r="K204" s="1328"/>
      <c r="L204" s="5521"/>
      <c r="M204" s="5522"/>
    </row>
    <row r="205" spans="2:18">
      <c r="B205" s="580"/>
      <c r="C205" s="5515" t="s">
        <v>3222</v>
      </c>
      <c r="D205" s="5516"/>
      <c r="E205" s="5527" t="s">
        <v>3223</v>
      </c>
      <c r="F205" s="5527"/>
      <c r="G205" s="5527"/>
      <c r="H205" s="5527"/>
      <c r="I205" s="5527"/>
      <c r="J205" s="5527"/>
      <c r="K205" s="563" t="s">
        <v>1766</v>
      </c>
      <c r="L205" s="5523">
        <v>10</v>
      </c>
      <c r="M205" s="5524"/>
    </row>
    <row r="206" spans="2:18">
      <c r="B206" s="580"/>
      <c r="C206" s="5515" t="s">
        <v>3224</v>
      </c>
      <c r="D206" s="5516"/>
      <c r="E206" s="5527" t="s">
        <v>3225</v>
      </c>
      <c r="F206" s="5528"/>
      <c r="G206" s="5528"/>
      <c r="H206" s="5528"/>
      <c r="I206" s="5528"/>
      <c r="J206" s="5528"/>
      <c r="K206" s="563" t="s">
        <v>1766</v>
      </c>
      <c r="L206" s="5523"/>
      <c r="M206" s="5524"/>
    </row>
    <row r="207" spans="2:18">
      <c r="B207" s="528"/>
      <c r="C207" s="5496" t="s">
        <v>3226</v>
      </c>
      <c r="D207" s="5526"/>
      <c r="E207" s="5527"/>
      <c r="F207" s="5528"/>
      <c r="G207" s="5528"/>
      <c r="H207" s="5528"/>
      <c r="I207" s="5528"/>
      <c r="J207" s="5528"/>
      <c r="K207" s="563"/>
      <c r="L207" s="5496"/>
      <c r="M207" s="5531"/>
    </row>
    <row r="208" spans="2:18">
      <c r="B208" s="528"/>
      <c r="C208" s="5496" t="s">
        <v>3226</v>
      </c>
      <c r="D208" s="5526"/>
      <c r="E208" s="5527"/>
      <c r="F208" s="5528"/>
      <c r="G208" s="5528"/>
      <c r="H208" s="5528"/>
      <c r="I208" s="5528"/>
      <c r="J208" s="5528"/>
      <c r="K208" s="563"/>
      <c r="L208" s="5496"/>
      <c r="M208" s="5531"/>
    </row>
    <row r="209" spans="2:13">
      <c r="B209" s="1334"/>
      <c r="C209" s="5517" t="s">
        <v>1925</v>
      </c>
      <c r="D209" s="5518"/>
      <c r="E209" s="1337" t="str">
        <f t="array" ref="E209:H209">TRANSPOSE(C210:D213)</f>
        <v>Vuelo Místico 4</v>
      </c>
      <c r="F209" s="1337" t="str">
        <v>Movimiento Acuático</v>
      </c>
      <c r="G209" s="1337" t="str">
        <v>Respiración Acuática</v>
      </c>
      <c r="H209" s="1337" t="str">
        <v>Resistencia Física</v>
      </c>
      <c r="I209" s="1332"/>
      <c r="J209" s="1333"/>
      <c r="K209" s="1331"/>
      <c r="L209" s="5529"/>
      <c r="M209" s="5530"/>
    </row>
    <row r="210" spans="2:13">
      <c r="B210" s="580"/>
      <c r="C210" s="5515" t="s">
        <v>3227</v>
      </c>
      <c r="D210" s="5516"/>
      <c r="E210" s="5527" t="s">
        <v>3228</v>
      </c>
      <c r="F210" s="5527"/>
      <c r="G210" s="5527"/>
      <c r="H210" s="5527"/>
      <c r="I210" s="5527"/>
      <c r="J210" s="5527"/>
      <c r="K210" s="563" t="s">
        <v>1766</v>
      </c>
      <c r="L210" s="5523">
        <v>4</v>
      </c>
      <c r="M210" s="5524"/>
    </row>
    <row r="211" spans="2:13">
      <c r="B211" s="580"/>
      <c r="C211" s="5515" t="s">
        <v>3229</v>
      </c>
      <c r="D211" s="5516"/>
      <c r="E211" s="5527" t="s">
        <v>3230</v>
      </c>
      <c r="F211" s="5528"/>
      <c r="G211" s="5528"/>
      <c r="H211" s="5528"/>
      <c r="I211" s="5528"/>
      <c r="J211" s="5528"/>
      <c r="K211" s="563" t="s">
        <v>1766</v>
      </c>
      <c r="L211" s="5523"/>
      <c r="M211" s="5524"/>
    </row>
    <row r="212" spans="2:13">
      <c r="B212" s="528"/>
      <c r="C212" s="5496" t="s">
        <v>3231</v>
      </c>
      <c r="D212" s="5526"/>
      <c r="E212" s="5527" t="s">
        <v>3232</v>
      </c>
      <c r="F212" s="5528"/>
      <c r="G212" s="5528"/>
      <c r="H212" s="5528"/>
      <c r="I212" s="5528"/>
      <c r="J212" s="5528"/>
      <c r="K212" s="563" t="s">
        <v>1766</v>
      </c>
      <c r="L212" s="5523"/>
      <c r="M212" s="5524"/>
    </row>
    <row r="213" spans="2:13">
      <c r="B213" s="528"/>
      <c r="C213" s="5496" t="s">
        <v>3233</v>
      </c>
      <c r="D213" s="5526"/>
      <c r="E213" s="5527" t="s">
        <v>3234</v>
      </c>
      <c r="F213" s="5528"/>
      <c r="G213" s="5528"/>
      <c r="H213" s="5528"/>
      <c r="I213" s="5528"/>
      <c r="J213" s="5528"/>
      <c r="K213" s="563" t="s">
        <v>1766</v>
      </c>
      <c r="L213" s="5523"/>
      <c r="M213" s="5524"/>
    </row>
    <row r="214" spans="2:13">
      <c r="B214" s="1334"/>
      <c r="C214" s="5517" t="s">
        <v>1929</v>
      </c>
      <c r="D214" s="5518"/>
      <c r="E214" s="1337" t="str">
        <f t="array" ref="E214:H214">TRANSPOSE(C215:D218)</f>
        <v>Vuelo Místico 6</v>
      </c>
      <c r="F214" s="1337" t="str">
        <v>Control de Llamas</v>
      </c>
      <c r="G214" s="1337" t="str">
        <v xml:space="preserve"> </v>
      </c>
      <c r="H214" s="1337" t="str">
        <v xml:space="preserve"> </v>
      </c>
      <c r="I214" s="1332"/>
      <c r="J214" s="1333"/>
      <c r="K214" s="1331"/>
      <c r="L214" s="5529"/>
      <c r="M214" s="5530"/>
    </row>
    <row r="215" spans="2:13">
      <c r="B215" s="580"/>
      <c r="C215" s="5515" t="s">
        <v>3235</v>
      </c>
      <c r="D215" s="5516"/>
      <c r="E215" s="5527" t="s">
        <v>3236</v>
      </c>
      <c r="F215" s="5527"/>
      <c r="G215" s="5527"/>
      <c r="H215" s="5527"/>
      <c r="I215" s="5527"/>
      <c r="J215" s="5527"/>
      <c r="K215" s="563" t="s">
        <v>1766</v>
      </c>
      <c r="L215" s="5523">
        <v>6</v>
      </c>
      <c r="M215" s="5524"/>
    </row>
    <row r="216" spans="2:13">
      <c r="B216" s="580"/>
      <c r="C216" s="5515" t="s">
        <v>3237</v>
      </c>
      <c r="D216" s="5516"/>
      <c r="E216" s="5527" t="str">
        <f>"Controlar llamas de intensidades no superiores a "&amp;Sheele!G15/2&amp;". Puede atacar con ellas."</f>
        <v>Controlar llamas de intensidades no superiores a 4,5. Puede atacar con ellas.</v>
      </c>
      <c r="F216" s="5528"/>
      <c r="G216" s="5528"/>
      <c r="H216" s="5528"/>
      <c r="I216" s="5528"/>
      <c r="J216" s="5528"/>
      <c r="K216" s="563" t="s">
        <v>1766</v>
      </c>
      <c r="L216" s="5523"/>
      <c r="M216" s="5524"/>
    </row>
    <row r="217" spans="2:13">
      <c r="B217" s="528"/>
      <c r="C217" s="5496" t="s">
        <v>3226</v>
      </c>
      <c r="D217" s="5526"/>
      <c r="E217" s="5527"/>
      <c r="F217" s="5528"/>
      <c r="G217" s="5528"/>
      <c r="H217" s="5528"/>
      <c r="I217" s="5528"/>
      <c r="J217" s="5528"/>
      <c r="K217" s="563"/>
      <c r="L217" s="5496"/>
      <c r="M217" s="5531"/>
    </row>
    <row r="218" spans="2:13">
      <c r="B218" s="528"/>
      <c r="C218" s="5496" t="s">
        <v>3226</v>
      </c>
      <c r="D218" s="5526"/>
      <c r="E218" s="5527"/>
      <c r="F218" s="5528"/>
      <c r="G218" s="5528"/>
      <c r="H218" s="5528"/>
      <c r="I218" s="5528"/>
      <c r="J218" s="5528"/>
      <c r="K218" s="563"/>
      <c r="L218" s="5496"/>
      <c r="M218" s="5531"/>
    </row>
    <row r="219" spans="2:13">
      <c r="B219" s="1334"/>
      <c r="C219" s="5517" t="s">
        <v>2024</v>
      </c>
      <c r="D219" s="5518"/>
      <c r="E219" s="1337" t="str">
        <f t="array" ref="E219:H219">TRANSPOSE(C220:D223)</f>
        <v>Vuelo Místico 4</v>
      </c>
      <c r="F219" s="1337" t="str">
        <v>Resistencia</v>
      </c>
      <c r="G219" s="1337" t="str">
        <v xml:space="preserve"> </v>
      </c>
      <c r="H219" s="1337" t="str">
        <v xml:space="preserve"> </v>
      </c>
      <c r="I219" s="1332"/>
      <c r="J219" s="1333"/>
      <c r="K219" s="1331"/>
      <c r="L219" s="5529"/>
      <c r="M219" s="5530"/>
    </row>
    <row r="220" spans="2:13">
      <c r="B220" s="580"/>
      <c r="C220" s="5515" t="s">
        <v>3227</v>
      </c>
      <c r="D220" s="5516"/>
      <c r="E220" s="5527" t="s">
        <v>3228</v>
      </c>
      <c r="F220" s="5527"/>
      <c r="G220" s="5527"/>
      <c r="H220" s="5527"/>
      <c r="I220" s="5527"/>
      <c r="J220" s="5527"/>
      <c r="K220" s="563" t="s">
        <v>1766</v>
      </c>
      <c r="L220" s="5523">
        <v>4</v>
      </c>
      <c r="M220" s="5524"/>
    </row>
    <row r="221" spans="2:13">
      <c r="B221" s="580"/>
      <c r="C221" s="5515" t="s">
        <v>3173</v>
      </c>
      <c r="D221" s="5516"/>
      <c r="E221" s="5527" t="s">
        <v>3238</v>
      </c>
      <c r="F221" s="5528"/>
      <c r="G221" s="5528"/>
      <c r="H221" s="5528"/>
      <c r="I221" s="5528"/>
      <c r="J221" s="5528"/>
      <c r="K221" s="563" t="s">
        <v>1766</v>
      </c>
      <c r="L221" s="5523"/>
      <c r="M221" s="5524"/>
    </row>
    <row r="222" spans="2:13">
      <c r="B222" s="528"/>
      <c r="C222" s="5496" t="s">
        <v>3226</v>
      </c>
      <c r="D222" s="5526"/>
      <c r="E222" s="5527"/>
      <c r="F222" s="5528"/>
      <c r="G222" s="5528"/>
      <c r="H222" s="5528"/>
      <c r="I222" s="5528"/>
      <c r="J222" s="5528"/>
      <c r="K222" s="563"/>
      <c r="L222" s="5496"/>
      <c r="M222" s="5531"/>
    </row>
    <row r="223" spans="2:13">
      <c r="B223" s="528"/>
      <c r="C223" s="5496" t="s">
        <v>3226</v>
      </c>
      <c r="D223" s="5526"/>
      <c r="E223" s="5527"/>
      <c r="F223" s="5528"/>
      <c r="G223" s="5528"/>
      <c r="H223" s="5528"/>
      <c r="I223" s="5528"/>
      <c r="J223" s="5528"/>
      <c r="K223" s="563"/>
      <c r="L223" s="5496"/>
      <c r="M223" s="5531"/>
    </row>
    <row r="224" spans="2:13">
      <c r="B224" s="1334"/>
      <c r="C224" s="5517" t="s">
        <v>2019</v>
      </c>
      <c r="D224" s="5518"/>
      <c r="E224" s="1337" t="str">
        <f t="array" ref="E224:H224">TRANSPOSE(C225:D228)</f>
        <v>Vuelo  Místico 6</v>
      </c>
      <c r="F224" s="1337" t="str">
        <v>Visión de Luz</v>
      </c>
      <c r="G224" s="1337" t="str">
        <v>Luminosa</v>
      </c>
      <c r="H224" s="1337" t="str">
        <v xml:space="preserve"> </v>
      </c>
      <c r="I224" s="1332"/>
      <c r="J224" s="1333"/>
      <c r="K224" s="1331"/>
      <c r="L224" s="5529"/>
      <c r="M224" s="5530"/>
    </row>
    <row r="225" spans="2:13">
      <c r="B225" s="580"/>
      <c r="C225" s="5515" t="s">
        <v>3239</v>
      </c>
      <c r="D225" s="5516"/>
      <c r="E225" s="5527" t="s">
        <v>3236</v>
      </c>
      <c r="F225" s="5527"/>
      <c r="G225" s="5527"/>
      <c r="H225" s="5527"/>
      <c r="I225" s="5527"/>
      <c r="J225" s="5527"/>
      <c r="K225" s="563" t="s">
        <v>1766</v>
      </c>
      <c r="L225" s="5523">
        <v>6</v>
      </c>
      <c r="M225" s="5524"/>
    </row>
    <row r="226" spans="2:13">
      <c r="B226" s="580"/>
      <c r="C226" s="5515" t="s">
        <v>3240</v>
      </c>
      <c r="D226" s="5516"/>
      <c r="E226" s="5527" t="s">
        <v>3241</v>
      </c>
      <c r="F226" s="5528"/>
      <c r="G226" s="5528"/>
      <c r="H226" s="5528"/>
      <c r="I226" s="5528"/>
      <c r="J226" s="5528"/>
      <c r="K226" s="563" t="s">
        <v>1766</v>
      </c>
      <c r="L226" s="5523"/>
      <c r="M226" s="5524"/>
    </row>
    <row r="227" spans="2:13">
      <c r="B227" s="528"/>
      <c r="C227" s="5496" t="s">
        <v>3242</v>
      </c>
      <c r="D227" s="5526"/>
      <c r="E227" s="5527" t="s">
        <v>3243</v>
      </c>
      <c r="F227" s="5528"/>
      <c r="G227" s="5528"/>
      <c r="H227" s="5528"/>
      <c r="I227" s="5528"/>
      <c r="J227" s="5528"/>
      <c r="K227" s="563" t="s">
        <v>1766</v>
      </c>
      <c r="L227" s="5523"/>
      <c r="M227" s="5524"/>
    </row>
    <row r="228" spans="2:13">
      <c r="B228" s="528"/>
      <c r="C228" s="5496" t="s">
        <v>3226</v>
      </c>
      <c r="D228" s="5526"/>
      <c r="E228" s="5527"/>
      <c r="F228" s="5528"/>
      <c r="G228" s="5528"/>
      <c r="H228" s="5528"/>
      <c r="I228" s="5528"/>
      <c r="J228" s="5528"/>
      <c r="K228" s="563"/>
      <c r="L228" s="5496"/>
      <c r="M228" s="5531"/>
    </row>
    <row r="229" spans="2:13">
      <c r="B229" s="1334"/>
      <c r="C229" s="5517" t="s">
        <v>2020</v>
      </c>
      <c r="D229" s="5518"/>
      <c r="E229" s="1337" t="str">
        <f t="array" ref="E229:H229">TRANSPOSE(C230:D233)</f>
        <v>Vuelo Místico 8</v>
      </c>
      <c r="F229" s="1337" t="str">
        <v>Visión oscura</v>
      </c>
      <c r="G229" s="1337" t="str">
        <v>Invisible en la Sombra</v>
      </c>
      <c r="H229" s="1337" t="str">
        <v xml:space="preserve"> </v>
      </c>
      <c r="I229" s="1332"/>
      <c r="J229" s="1333"/>
      <c r="K229" s="1331"/>
      <c r="L229" s="5529"/>
      <c r="M229" s="5530"/>
    </row>
    <row r="230" spans="2:13">
      <c r="B230" s="580"/>
      <c r="C230" s="5515" t="s">
        <v>3244</v>
      </c>
      <c r="D230" s="5516"/>
      <c r="E230" s="5527" t="s">
        <v>3245</v>
      </c>
      <c r="F230" s="5527"/>
      <c r="G230" s="5527"/>
      <c r="H230" s="5527"/>
      <c r="I230" s="5527"/>
      <c r="J230" s="5527"/>
      <c r="K230" s="563" t="s">
        <v>1766</v>
      </c>
      <c r="L230" s="5523">
        <v>8</v>
      </c>
      <c r="M230" s="5524"/>
    </row>
    <row r="231" spans="2:13">
      <c r="B231" s="580"/>
      <c r="C231" s="5515" t="s">
        <v>3246</v>
      </c>
      <c r="D231" s="5516"/>
      <c r="E231" s="5527" t="s">
        <v>3247</v>
      </c>
      <c r="F231" s="5528"/>
      <c r="G231" s="5528"/>
      <c r="H231" s="5528"/>
      <c r="I231" s="5528"/>
      <c r="J231" s="5528"/>
      <c r="K231" s="563" t="s">
        <v>1766</v>
      </c>
      <c r="L231" s="5523"/>
      <c r="M231" s="5524"/>
    </row>
    <row r="232" spans="2:13">
      <c r="B232" s="528"/>
      <c r="C232" s="5496" t="s">
        <v>3248</v>
      </c>
      <c r="D232" s="5526"/>
      <c r="E232" s="5527" t="s">
        <v>3249</v>
      </c>
      <c r="F232" s="5528"/>
      <c r="G232" s="5528"/>
      <c r="H232" s="5528"/>
      <c r="I232" s="5528"/>
      <c r="J232" s="5528"/>
      <c r="K232" s="563" t="s">
        <v>1766</v>
      </c>
      <c r="L232" s="5523"/>
      <c r="M232" s="5524"/>
    </row>
    <row r="233" spans="2:13">
      <c r="B233" s="528"/>
      <c r="C233" s="5496" t="s">
        <v>3226</v>
      </c>
      <c r="D233" s="5526"/>
      <c r="E233" s="5527"/>
      <c r="F233" s="5528"/>
      <c r="G233" s="5528"/>
      <c r="H233" s="5528"/>
      <c r="I233" s="5528"/>
      <c r="J233" s="5528"/>
      <c r="K233" s="563"/>
      <c r="L233" s="5496"/>
      <c r="M233" s="5531"/>
    </row>
    <row r="234" spans="2:13">
      <c r="B234" s="1334"/>
      <c r="C234" s="5517" t="s">
        <v>3030</v>
      </c>
      <c r="D234" s="5518"/>
      <c r="E234" s="1337" t="str">
        <f t="array" ref="E234:H234">TRANSPOSE(C235:D238)</f>
        <v>Vuelo Místico 6</v>
      </c>
      <c r="F234" s="1337" t="str">
        <v>Naturaleza Sanadora</v>
      </c>
      <c r="G234" s="1337" t="str">
        <v xml:space="preserve"> </v>
      </c>
      <c r="H234" s="1337" t="str">
        <v xml:space="preserve"> </v>
      </c>
      <c r="I234" s="1332"/>
      <c r="J234" s="1333"/>
      <c r="K234" s="1331"/>
      <c r="L234" s="5529"/>
      <c r="M234" s="5530"/>
    </row>
    <row r="235" spans="2:13">
      <c r="B235" s="580"/>
      <c r="C235" s="5515" t="s">
        <v>3235</v>
      </c>
      <c r="D235" s="5516"/>
      <c r="E235" s="5527" t="s">
        <v>3236</v>
      </c>
      <c r="F235" s="5527"/>
      <c r="G235" s="5527"/>
      <c r="H235" s="5527"/>
      <c r="I235" s="5527"/>
      <c r="J235" s="5527"/>
      <c r="K235" s="563" t="s">
        <v>1766</v>
      </c>
      <c r="L235" s="5523">
        <v>6</v>
      </c>
      <c r="M235" s="5524"/>
    </row>
    <row r="236" spans="2:13">
      <c r="B236" s="580"/>
      <c r="C236" s="5515" t="s">
        <v>3250</v>
      </c>
      <c r="D236" s="5516"/>
      <c r="E236" s="5527" t="s">
        <v>3251</v>
      </c>
      <c r="F236" s="5528"/>
      <c r="G236" s="5528"/>
      <c r="H236" s="5528"/>
      <c r="I236" s="5528"/>
      <c r="J236" s="5528"/>
      <c r="K236" s="563" t="s">
        <v>1766</v>
      </c>
      <c r="L236" s="5523"/>
      <c r="M236" s="5524"/>
    </row>
    <row r="237" spans="2:13">
      <c r="B237" s="528"/>
      <c r="C237" s="5496" t="s">
        <v>3226</v>
      </c>
      <c r="D237" s="5526"/>
      <c r="E237" s="5527"/>
      <c r="F237" s="5528"/>
      <c r="G237" s="5528"/>
      <c r="H237" s="5528"/>
      <c r="I237" s="5528"/>
      <c r="J237" s="5528"/>
      <c r="K237" s="563"/>
      <c r="L237" s="5496"/>
      <c r="M237" s="5531"/>
    </row>
    <row r="238" spans="2:13">
      <c r="B238" s="528"/>
      <c r="C238" s="5496" t="s">
        <v>3226</v>
      </c>
      <c r="D238" s="5526"/>
      <c r="E238" s="5527"/>
      <c r="F238" s="5528"/>
      <c r="G238" s="5528"/>
      <c r="H238" s="5528"/>
      <c r="I238" s="5528"/>
      <c r="J238" s="5528"/>
      <c r="K238" s="563"/>
      <c r="L238" s="5496"/>
      <c r="M238" s="5531"/>
    </row>
    <row r="239" spans="2:13">
      <c r="B239" s="1334"/>
      <c r="C239" s="5517" t="s">
        <v>2031</v>
      </c>
      <c r="D239" s="5518"/>
      <c r="E239" s="1337" t="str">
        <f t="array" ref="E239:H239">TRANSPOSE(C240:D243)</f>
        <v>Vuelo Místico 6</v>
      </c>
      <c r="F239" s="1337" t="str">
        <v>La que Todo lo Ve</v>
      </c>
      <c r="G239" s="1337" t="str">
        <v>Destellos de Ilusión</v>
      </c>
      <c r="H239" s="1337" t="str">
        <v xml:space="preserve"> </v>
      </c>
      <c r="I239" s="1332"/>
      <c r="J239" s="1333"/>
      <c r="K239" s="1331"/>
      <c r="L239" s="5529"/>
      <c r="M239" s="5530"/>
    </row>
    <row r="240" spans="2:13">
      <c r="B240" s="580"/>
      <c r="C240" s="5515" t="s">
        <v>3235</v>
      </c>
      <c r="D240" s="5516"/>
      <c r="E240" s="5527" t="s">
        <v>3236</v>
      </c>
      <c r="F240" s="5527"/>
      <c r="G240" s="5527"/>
      <c r="H240" s="5527"/>
      <c r="I240" s="5527"/>
      <c r="J240" s="5527"/>
      <c r="K240" s="563" t="s">
        <v>1766</v>
      </c>
      <c r="L240" s="5523">
        <v>6</v>
      </c>
      <c r="M240" s="5524"/>
    </row>
    <row r="241" spans="2:13">
      <c r="B241" s="580"/>
      <c r="C241" s="5515" t="s">
        <v>3252</v>
      </c>
      <c r="D241" s="5516"/>
      <c r="E241" s="5527" t="s">
        <v>3253</v>
      </c>
      <c r="F241" s="5528"/>
      <c r="G241" s="5528"/>
      <c r="H241" s="5528"/>
      <c r="I241" s="5528"/>
      <c r="J241" s="5528"/>
      <c r="K241" s="563" t="s">
        <v>1766</v>
      </c>
      <c r="L241" s="5523"/>
      <c r="M241" s="5524"/>
    </row>
    <row r="242" spans="2:13">
      <c r="B242" s="528"/>
      <c r="C242" s="5496" t="s">
        <v>3254</v>
      </c>
      <c r="D242" s="5526"/>
      <c r="E242" s="5527" t="s">
        <v>3255</v>
      </c>
      <c r="F242" s="5528"/>
      <c r="G242" s="5528"/>
      <c r="H242" s="5528"/>
      <c r="I242" s="5528"/>
      <c r="J242" s="5528"/>
      <c r="K242" s="563" t="s">
        <v>1766</v>
      </c>
      <c r="L242" s="5523"/>
      <c r="M242" s="5524"/>
    </row>
    <row r="243" spans="2:13" ht="13.5" thickBot="1">
      <c r="B243" s="1329"/>
      <c r="C243" s="5534" t="s">
        <v>3226</v>
      </c>
      <c r="D243" s="5535"/>
      <c r="E243" s="5532"/>
      <c r="F243" s="5533"/>
      <c r="G243" s="5533"/>
      <c r="H243" s="5533"/>
      <c r="I243" s="5533"/>
      <c r="J243" s="5533"/>
      <c r="K243" s="1330"/>
      <c r="L243" s="5534"/>
      <c r="M243" s="553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31" zoomScaleNormal="100" workbookViewId="0">
      <selection activeCell="AG27" sqref="AG27"/>
    </sheetView>
  </sheetViews>
  <sheetFormatPr defaultColWidth="11.42578125" defaultRowHeight="12.75"/>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c r="A1" s="1997">
        <v>1</v>
      </c>
    </row>
    <row r="2" spans="1:62" ht="12.75" customHeight="1" thickBot="1">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7">
        <v>3</v>
      </c>
      <c r="B3" s="1063"/>
      <c r="C3" s="2247" t="s">
        <v>7136</v>
      </c>
      <c r="D3" s="2248"/>
      <c r="E3" s="2248"/>
      <c r="F3" s="2248"/>
      <c r="G3" s="2248"/>
      <c r="H3" s="2248"/>
      <c r="I3" s="2248"/>
      <c r="J3" s="2248"/>
      <c r="K3" s="2248"/>
      <c r="L3" s="2248"/>
      <c r="M3" s="2248"/>
      <c r="N3" s="2248"/>
      <c r="O3" s="2248"/>
      <c r="P3" s="2248"/>
      <c r="Q3" s="2248"/>
      <c r="R3" s="2249"/>
      <c r="S3" s="1064"/>
      <c r="T3" s="1064"/>
      <c r="U3" s="5543" t="s">
        <v>8796</v>
      </c>
      <c r="V3" s="5543"/>
      <c r="W3" s="5543"/>
      <c r="X3" s="5543"/>
      <c r="Y3" s="5543"/>
      <c r="Z3" s="5543"/>
      <c r="AA3" s="5543"/>
      <c r="AB3" s="5543"/>
      <c r="AC3" s="5543"/>
      <c r="AD3" s="5543"/>
      <c r="AE3" s="5543"/>
      <c r="AF3" s="5543"/>
      <c r="AG3" s="5543"/>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7">
        <v>4</v>
      </c>
      <c r="B4" s="1063"/>
      <c r="C4" s="2250"/>
      <c r="D4" s="2251"/>
      <c r="E4" s="2251"/>
      <c r="F4" s="2251"/>
      <c r="G4" s="2251"/>
      <c r="H4" s="2251"/>
      <c r="I4" s="2251"/>
      <c r="J4" s="2251"/>
      <c r="K4" s="2251"/>
      <c r="L4" s="2251"/>
      <c r="M4" s="2251"/>
      <c r="N4" s="2251"/>
      <c r="O4" s="2251"/>
      <c r="P4" s="2251"/>
      <c r="Q4" s="2251"/>
      <c r="R4" s="2252"/>
      <c r="S4" s="1069"/>
      <c r="T4" s="1069"/>
      <c r="U4" s="5543"/>
      <c r="V4" s="5543"/>
      <c r="W4" s="5543"/>
      <c r="X4" s="5543"/>
      <c r="Y4" s="5543"/>
      <c r="Z4" s="5543"/>
      <c r="AA4" s="5543"/>
      <c r="AB4" s="5543"/>
      <c r="AC4" s="5543"/>
      <c r="AD4" s="5543"/>
      <c r="AE4" s="5543"/>
      <c r="AF4" s="5543"/>
      <c r="AG4" s="5543"/>
      <c r="AO4" s="5484"/>
      <c r="AP4" s="5484"/>
      <c r="AQ4" s="1069"/>
      <c r="AR4" s="5484"/>
      <c r="AS4" s="5484"/>
      <c r="AT4" s="1069"/>
      <c r="AU4" s="5484"/>
      <c r="AV4" s="5484"/>
      <c r="AW4" s="1069"/>
      <c r="AX4" s="5484"/>
      <c r="AY4" s="5484"/>
      <c r="AZ4" s="1069"/>
      <c r="BA4" s="5484"/>
      <c r="BB4" s="5484"/>
      <c r="BC4" s="1069"/>
      <c r="BD4" s="5484"/>
      <c r="BE4" s="5484"/>
      <c r="BF4" s="1069"/>
      <c r="BG4" s="1059"/>
      <c r="BH4" s="1059"/>
      <c r="BI4" s="1059"/>
      <c r="BJ4" s="1059"/>
    </row>
    <row r="5" spans="1:62" ht="12.75" customHeight="1">
      <c r="A5" s="1997">
        <v>5</v>
      </c>
      <c r="B5" s="5545"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45" t="s">
        <v>8551</v>
      </c>
      <c r="T5" s="1074"/>
      <c r="U5" s="689"/>
      <c r="V5" s="689">
        <v>1</v>
      </c>
      <c r="W5" s="689">
        <v>2</v>
      </c>
      <c r="X5" s="689">
        <v>3</v>
      </c>
      <c r="Y5" s="689">
        <v>4</v>
      </c>
      <c r="Z5" s="689">
        <v>5</v>
      </c>
      <c r="AA5" s="689">
        <v>6</v>
      </c>
      <c r="AB5" s="689">
        <v>7</v>
      </c>
      <c r="AC5" s="689">
        <v>8</v>
      </c>
      <c r="AD5" s="1067">
        <v>9</v>
      </c>
      <c r="AE5" s="1067">
        <v>10</v>
      </c>
      <c r="AF5" s="1067"/>
      <c r="AG5" s="5544" t="s">
        <v>8798</v>
      </c>
      <c r="AO5" s="5491"/>
      <c r="AP5" s="5491"/>
      <c r="AQ5" s="1074"/>
      <c r="AR5" s="5491"/>
      <c r="AS5" s="5491"/>
      <c r="AT5" s="1074"/>
      <c r="AU5" s="5491"/>
      <c r="AV5" s="5491"/>
      <c r="AW5" s="1074"/>
      <c r="AX5" s="5491"/>
      <c r="AY5" s="5491"/>
      <c r="AZ5" s="1074"/>
      <c r="BA5" s="5491"/>
      <c r="BB5" s="5491"/>
      <c r="BC5" s="1074"/>
      <c r="BD5" s="5491"/>
      <c r="BE5" s="5491"/>
      <c r="BF5" s="1074"/>
      <c r="BG5" s="1059"/>
      <c r="BH5" s="1059"/>
      <c r="BI5" s="1059"/>
      <c r="BJ5" s="1059"/>
    </row>
    <row r="6" spans="1:62" ht="12.75" customHeight="1" thickBot="1">
      <c r="A6" s="1997">
        <v>6</v>
      </c>
      <c r="B6" s="5546"/>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546"/>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544"/>
      <c r="AH6" s="2323" t="s">
        <v>8056</v>
      </c>
    </row>
    <row r="7" spans="1:62" ht="12.75" customHeight="1">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c r="A146" s="1997">
        <v>146</v>
      </c>
      <c r="AH146" s="2322"/>
    </row>
    <row r="147" spans="1:35" ht="12.75" customHeight="1">
      <c r="A147" s="1997">
        <v>147</v>
      </c>
      <c r="AH147" s="2322"/>
    </row>
    <row r="148" spans="1:35" ht="12.75" customHeight="1">
      <c r="A148" s="1997">
        <v>148</v>
      </c>
      <c r="C148" s="5547" t="s">
        <v>8779</v>
      </c>
      <c r="D148" s="5548"/>
      <c r="G148" s="5547" t="s">
        <v>8779</v>
      </c>
      <c r="H148" s="5548"/>
    </row>
    <row r="149" spans="1:35" ht="12.75" customHeight="1" thickBot="1">
      <c r="A149" s="1997">
        <v>149</v>
      </c>
      <c r="C149" s="5549" t="e">
        <f>Poderes_Psi_Disponibles</f>
        <v>#VALUE!</v>
      </c>
      <c r="D149" s="5549"/>
      <c r="G149" s="5549" t="str">
        <f>'Tablas psiquica'!$H$153:INDEX('Tablas psiquica'!$H$153:$H$291,SUMPRODUCT(--('Tablas psiquica'!$H$153:$H$291&lt;&gt;"")))</f>
        <v>&gt; PODERES MATRICIALES</v>
      </c>
      <c r="H149" s="5549"/>
    </row>
    <row r="150" spans="1:35" ht="12.75" customHeight="1" thickBot="1">
      <c r="A150" s="1997">
        <v>150</v>
      </c>
      <c r="C150" s="4464" t="s">
        <v>8538</v>
      </c>
      <c r="D150" s="4466"/>
      <c r="G150" s="4464" t="s">
        <v>8777</v>
      </c>
      <c r="H150" s="4466"/>
    </row>
    <row r="151" spans="1:35" ht="12.75" customHeight="1">
      <c r="A151" s="1997">
        <v>151</v>
      </c>
      <c r="C151" s="4467"/>
      <c r="D151" s="4469"/>
      <c r="F151" s="5545" t="s">
        <v>8778</v>
      </c>
      <c r="G151" s="4467"/>
      <c r="H151" s="4469"/>
    </row>
    <row r="152" spans="1:35" ht="12.75" customHeight="1" thickBot="1">
      <c r="A152" s="1997">
        <v>152</v>
      </c>
      <c r="C152" s="4467"/>
      <c r="D152" s="4469"/>
      <c r="F152" s="5546"/>
      <c r="G152" s="4467"/>
      <c r="H152" s="4469"/>
    </row>
    <row r="153" spans="1:35" ht="12.75" customHeight="1">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c r="D292" s="1999" t="s">
        <v>8539</v>
      </c>
    </row>
    <row r="293" spans="1:8">
      <c r="D293" s="199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708" zoomScale="85" zoomScaleNormal="85" workbookViewId="0">
      <selection activeCell="A689" sqref="A689"/>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c r="X1" s="667" t="s">
        <v>3290</v>
      </c>
      <c r="Z1" s="668" t="s">
        <v>3291</v>
      </c>
      <c r="AB1" s="5550" t="s">
        <v>3292</v>
      </c>
      <c r="AC1" s="5550"/>
      <c r="AD1" s="5550"/>
      <c r="AE1" s="5550"/>
      <c r="AF1" s="5550"/>
      <c r="AG1" s="5550"/>
      <c r="AH1" s="5550"/>
      <c r="AI1" s="5550"/>
      <c r="AJ1" s="5550"/>
      <c r="AK1" s="5550"/>
      <c r="AM1" s="720"/>
      <c r="AN1" s="720"/>
      <c r="AO1" s="1265"/>
      <c r="AP1" s="1265"/>
      <c r="AQ1" s="720"/>
      <c r="AR1" s="720"/>
      <c r="AS1" s="720"/>
      <c r="AT1" s="720"/>
      <c r="AU1" s="720"/>
      <c r="AV1" s="720"/>
    </row>
    <row r="2" spans="1:48" ht="12.75" customHeight="1">
      <c r="A2" s="670" t="s">
        <v>3294</v>
      </c>
      <c r="B2" s="671"/>
      <c r="C2" s="672" t="s">
        <v>3295</v>
      </c>
      <c r="E2" s="5554" t="s">
        <v>3296</v>
      </c>
      <c r="F2" s="5555"/>
      <c r="G2" s="673"/>
      <c r="H2" s="5554" t="s">
        <v>639</v>
      </c>
      <c r="I2" s="5556"/>
      <c r="J2" s="5555"/>
      <c r="L2" s="5554" t="s">
        <v>3297</v>
      </c>
      <c r="M2" s="5556"/>
      <c r="N2" s="5555"/>
      <c r="P2" s="5557" t="s">
        <v>3298</v>
      </c>
      <c r="Q2" s="5558"/>
      <c r="R2" s="5558"/>
      <c r="S2" s="5559"/>
      <c r="U2" s="5560" t="s">
        <v>3299</v>
      </c>
      <c r="V2" s="5561"/>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62" t="s">
        <v>1811</v>
      </c>
      <c r="R3" s="5562"/>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63" t="s">
        <v>3337</v>
      </c>
      <c r="AK4" s="5551" t="s">
        <v>3293</v>
      </c>
      <c r="AM4" s="720"/>
      <c r="AN4" s="720"/>
      <c r="AO4" s="1265"/>
      <c r="AP4" s="1265"/>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64"/>
      <c r="AK5" s="5552"/>
      <c r="AL5" s="1297"/>
      <c r="AM5" s="720"/>
      <c r="AN5" s="720"/>
      <c r="AO5" s="1265"/>
      <c r="AP5" s="1265"/>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Maniobras de Combate y Apuntar Reales -10 (Mant.)</v>
      </c>
      <c r="AI6" s="1353" t="str">
        <f>'Creación de Técnicas'!DW34</f>
        <v/>
      </c>
      <c r="AJ6" s="1354" t="str">
        <f>'Creación de Técnicas'!DX34</f>
        <v xml:space="preserve">Aire </v>
      </c>
      <c r="AK6" s="1231">
        <v>8</v>
      </c>
      <c r="AO6" s="1265"/>
      <c r="AP6" s="1265"/>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c r="A11" s="757" t="s">
        <v>3331</v>
      </c>
      <c r="B11" s="758" t="s">
        <v>1789</v>
      </c>
      <c r="C11" s="758" t="s">
        <v>1790</v>
      </c>
      <c r="D11" s="758" t="s">
        <v>1811</v>
      </c>
      <c r="E11" s="758" t="s">
        <v>3332</v>
      </c>
      <c r="F11" s="758" t="s">
        <v>3333</v>
      </c>
      <c r="G11" s="758" t="s">
        <v>3334</v>
      </c>
      <c r="H11" s="758" t="s">
        <v>3302</v>
      </c>
      <c r="I11" s="2125" t="s">
        <v>1708</v>
      </c>
      <c r="J11" s="2125" t="s">
        <v>1679</v>
      </c>
      <c r="K11" s="2125" t="s">
        <v>3335</v>
      </c>
      <c r="L11" s="5553" t="s">
        <v>3336</v>
      </c>
      <c r="M11" s="5553"/>
      <c r="N11" s="5553"/>
      <c r="O11" s="5553"/>
      <c r="P11" s="5553"/>
      <c r="Q11" s="5553"/>
      <c r="R11" s="5553"/>
      <c r="S11" s="5553"/>
      <c r="T11" s="5553" t="s">
        <v>3337</v>
      </c>
      <c r="U11" s="5553"/>
      <c r="V11" s="5553"/>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5">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5">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5">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5">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5">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5">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5">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5">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5">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5">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5">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5">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5">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5">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5">
      <c r="A559" s="832" t="s">
        <v>10235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c r="Y559" s="665" t="str">
        <f>"Estado añadido: "&amp;X559</f>
        <v>Estado añadido: Ceguera</v>
      </c>
    </row>
    <row r="560" spans="1:25">
      <c r="A560" s="832" t="s">
        <v>10236</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c r="Y560" s="665" t="str">
        <f t="shared" ref="Y560:Y583" si="1">"Estado añadido: "&amp;X560</f>
        <v>Estado añadido: Coma</v>
      </c>
    </row>
    <row r="561" spans="1:25">
      <c r="A561" s="832" t="s">
        <v>10237</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c r="Y561" s="665" t="str">
        <f t="shared" si="1"/>
        <v>Estado añadido: Control</v>
      </c>
    </row>
    <row r="562" spans="1:25">
      <c r="A562" s="832" t="s">
        <v>10238</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c r="Y562" s="665" t="str">
        <f t="shared" si="1"/>
        <v>Estado añadido: Daño</v>
      </c>
    </row>
    <row r="563" spans="1:25">
      <c r="A563" s="832" t="s">
        <v>10239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c r="Y563" s="665" t="str">
        <f t="shared" si="1"/>
        <v>Estado añadido: Doble Daño</v>
      </c>
    </row>
    <row r="564" spans="1:25">
      <c r="A564" s="832" t="s">
        <v>10240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c r="Y564" s="665" t="str">
        <f t="shared" si="1"/>
        <v>Estado añadido: Dolor</v>
      </c>
    </row>
    <row r="565" spans="1:25">
      <c r="A565" s="832" t="s">
        <v>10241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c r="Y565" s="665" t="str">
        <f t="shared" si="1"/>
        <v>Estado añadido: Dolor Extremo</v>
      </c>
    </row>
    <row r="566" spans="1:25">
      <c r="A566" s="832" t="s">
        <v>10242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c r="Y566" s="665" t="str">
        <f t="shared" si="1"/>
        <v>Estado añadido: Drenaje de Vida</v>
      </c>
    </row>
    <row r="567" spans="1:25">
      <c r="A567" s="832" t="s">
        <v>10243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c r="Y567" s="665" t="str">
        <f t="shared" si="1"/>
        <v>Estado añadido: Drenaje de Ki</v>
      </c>
    </row>
    <row r="568" spans="1:25">
      <c r="A568" s="832" t="s">
        <v>10244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c r="Y568" s="665" t="str">
        <f t="shared" si="1"/>
        <v>Estado añadido: Fascinación</v>
      </c>
    </row>
    <row r="569" spans="1:25">
      <c r="A569" s="832" t="s">
        <v>10245</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c r="Y569" s="665" t="str">
        <f t="shared" si="1"/>
        <v>Estado añadido: Ilusión</v>
      </c>
    </row>
    <row r="570" spans="1:25">
      <c r="A570" s="832" t="s">
        <v>10246</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c r="Y570" s="665" t="str">
        <f t="shared" si="1"/>
        <v>Estado añadido: Ilusión Fantasmal</v>
      </c>
    </row>
    <row r="571" spans="1:25">
      <c r="A571" s="832" t="s">
        <v>10247</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c r="Y571" s="665" t="str">
        <f t="shared" si="1"/>
        <v>Estado añadido: Ilusión Mayor</v>
      </c>
    </row>
    <row r="572" spans="1:25">
      <c r="A572" s="832" t="s">
        <v>10248</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c r="Y572" s="665" t="str">
        <f t="shared" si="1"/>
        <v>Estado añadido: Inconsciencia</v>
      </c>
    </row>
    <row r="573" spans="1:25">
      <c r="A573" s="832" t="s">
        <v>10249</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c r="Y573" s="665" t="str">
        <f t="shared" si="1"/>
        <v>Estado añadido: Miedo</v>
      </c>
    </row>
    <row r="574" spans="1:25">
      <c r="A574" s="832" t="s">
        <v>10250</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c r="Y574" s="665" t="str">
        <f t="shared" si="1"/>
        <v>Estado añadido: Muerte</v>
      </c>
    </row>
    <row r="575" spans="1:25">
      <c r="A575" s="832" t="s">
        <v>10251</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c r="Y575" s="665" t="str">
        <f t="shared" si="1"/>
        <v>Estado añadido: Paralización Parcial</v>
      </c>
    </row>
    <row r="576" spans="1:25">
      <c r="A576" s="832" t="s">
        <v>10252</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c r="Y576" s="665" t="str">
        <f t="shared" si="1"/>
        <v>Estado añadido: Paralización Total</v>
      </c>
    </row>
    <row r="577" spans="1:25">
      <c r="A577" s="832" t="s">
        <v>10253</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c r="Y577" s="665" t="str">
        <f t="shared" si="1"/>
        <v>Estado añadido: Penalizador a la Acción Mayor</v>
      </c>
    </row>
    <row r="578" spans="1:25">
      <c r="A578" s="832" t="s">
        <v>10254</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c r="Y578" s="665" t="str">
        <f t="shared" si="1"/>
        <v>Estado añadido: Penalizador a la Acción Menor</v>
      </c>
    </row>
    <row r="579" spans="1:25">
      <c r="A579" s="832" t="s">
        <v>10255</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c r="Y579" s="665" t="str">
        <f t="shared" si="1"/>
        <v>Estado añadido: Reducción de Características</v>
      </c>
    </row>
    <row r="580" spans="1:25">
      <c r="A580" s="832" t="s">
        <v>10256</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c r="Y580" s="665" t="str">
        <f t="shared" si="1"/>
        <v>Estado añadido: Reducción de una Característica</v>
      </c>
    </row>
    <row r="581" spans="1:25">
      <c r="A581" s="832" t="s">
        <v>10257</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c r="Y581" s="665" t="str">
        <f t="shared" si="1"/>
        <v>Estado añadido: Reducción de RF</v>
      </c>
    </row>
    <row r="582" spans="1:25">
      <c r="A582" s="832" t="s">
        <v>10258</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c r="Y582" s="665" t="str">
        <f t="shared" si="1"/>
        <v>Estado añadido: Reducción de RP</v>
      </c>
    </row>
    <row r="583" spans="1:25">
      <c r="A583" s="832" t="s">
        <v>10259</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c r="Y583" s="665" t="str">
        <f t="shared" si="1"/>
        <v>Estado añadido: Terror</v>
      </c>
    </row>
    <row r="584" spans="1:25">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5">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5">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5">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5">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5">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5">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5">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5">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703"/>
      <c r="D3" s="4704"/>
      <c r="E3" s="4704"/>
      <c r="F3" s="4704"/>
      <c r="G3" s="4704"/>
      <c r="H3" s="4704"/>
      <c r="I3" s="1112"/>
      <c r="J3" s="1112"/>
      <c r="K3" s="1112"/>
      <c r="L3" s="1112"/>
      <c r="M3" s="1112"/>
      <c r="N3" s="1112"/>
      <c r="O3" s="1112"/>
      <c r="P3" s="1112"/>
      <c r="Q3" s="1113"/>
      <c r="R3" s="1114"/>
      <c r="S3" s="1108"/>
      <c r="T3" s="1108"/>
      <c r="U3" s="520"/>
      <c r="V3" s="4703"/>
      <c r="W3" s="4704"/>
      <c r="X3" s="4704"/>
      <c r="Y3" s="4704"/>
      <c r="Z3" s="4704"/>
      <c r="AA3" s="4704"/>
      <c r="AB3" s="2056"/>
      <c r="AC3" s="2056"/>
      <c r="AD3" s="2056"/>
      <c r="AE3" s="2056"/>
      <c r="AF3" s="2056"/>
      <c r="AG3" s="2056"/>
      <c r="AH3" s="2056"/>
      <c r="AI3" s="2056"/>
      <c r="AJ3" s="1113"/>
      <c r="AK3" s="1114"/>
      <c r="AL3" s="1108"/>
      <c r="AM3" s="1108"/>
      <c r="AN3" s="520"/>
      <c r="AO3" s="4703"/>
      <c r="AP3" s="4704"/>
      <c r="AQ3" s="4704"/>
      <c r="AR3" s="4704"/>
      <c r="AS3" s="4704"/>
      <c r="AT3" s="4704"/>
      <c r="AU3" s="1112"/>
      <c r="AV3" s="1112"/>
      <c r="AW3" s="1112"/>
      <c r="AX3" s="1112"/>
      <c r="AY3" s="1112"/>
      <c r="AZ3" s="1112"/>
      <c r="BA3" s="1112"/>
      <c r="BB3" s="1112"/>
      <c r="BC3" s="1113"/>
      <c r="BD3" s="1114"/>
      <c r="BE3" s="1108"/>
    </row>
    <row r="4" spans="1:57" ht="12" customHeight="1">
      <c r="A4" s="1108"/>
      <c r="B4" s="520"/>
      <c r="C4" s="4705"/>
      <c r="D4" s="4706"/>
      <c r="E4" s="4706"/>
      <c r="F4" s="4706"/>
      <c r="G4" s="4706"/>
      <c r="H4" s="4706"/>
      <c r="I4" s="1117"/>
      <c r="J4" s="4709" t="s">
        <v>1625</v>
      </c>
      <c r="K4" s="4710"/>
      <c r="L4" s="3224" t="str">
        <f>IF(OR(General!$G$22="",General!$G$22=0),"",General!$G$22)</f>
        <v/>
      </c>
      <c r="M4" s="3224"/>
      <c r="N4" s="3224"/>
      <c r="O4" s="3224"/>
      <c r="P4" s="3224"/>
      <c r="Q4" s="718"/>
      <c r="R4" s="1114"/>
      <c r="S4" s="1108"/>
      <c r="T4" s="1108"/>
      <c r="U4" s="520"/>
      <c r="V4" s="4705"/>
      <c r="W4" s="4706"/>
      <c r="X4" s="4706"/>
      <c r="Y4" s="4706"/>
      <c r="Z4" s="4706"/>
      <c r="AA4" s="4706"/>
      <c r="AB4" s="2057"/>
      <c r="AC4" s="4701" t="s">
        <v>7683</v>
      </c>
      <c r="AD4" s="4702"/>
      <c r="AE4" s="4702"/>
      <c r="AF4" s="4702"/>
      <c r="AG4" s="4702"/>
      <c r="AH4" s="4702"/>
      <c r="AI4" s="4702"/>
      <c r="AJ4" s="718"/>
      <c r="AK4" s="1114"/>
      <c r="AL4" s="1108"/>
      <c r="AM4" s="1108"/>
      <c r="AN4" s="520"/>
      <c r="AO4" s="4705"/>
      <c r="AP4" s="4706"/>
      <c r="AQ4" s="4706"/>
      <c r="AR4" s="4706"/>
      <c r="AS4" s="4706"/>
      <c r="AT4" s="4706"/>
      <c r="AU4" s="1117"/>
      <c r="AV4" s="4701" t="s">
        <v>7683</v>
      </c>
      <c r="AW4" s="4702"/>
      <c r="AX4" s="4702"/>
      <c r="AY4" s="4702"/>
      <c r="AZ4" s="4702"/>
      <c r="BA4" s="4702"/>
      <c r="BB4" s="4702"/>
      <c r="BC4" s="718"/>
      <c r="BD4" s="1114"/>
      <c r="BE4" s="1108"/>
    </row>
    <row r="5" spans="1:57" ht="12" customHeight="1">
      <c r="A5" s="1108"/>
      <c r="B5" s="520"/>
      <c r="C5" s="4705"/>
      <c r="D5" s="4706"/>
      <c r="E5" s="4706"/>
      <c r="F5" s="4706"/>
      <c r="G5" s="4706"/>
      <c r="H5" s="4706"/>
      <c r="I5" s="1117"/>
      <c r="J5" s="4697" t="s">
        <v>1626</v>
      </c>
      <c r="K5" s="4698"/>
      <c r="L5" s="4699" t="str">
        <f>Principal!$L$5</f>
        <v>Guerrero</v>
      </c>
      <c r="M5" s="4700"/>
      <c r="N5" s="4700"/>
      <c r="O5" s="1119" t="s">
        <v>1627</v>
      </c>
      <c r="P5" s="1120" t="str">
        <f>Principal!$P$5</f>
        <v>1 + 2</v>
      </c>
      <c r="Q5" s="1121"/>
      <c r="R5" s="1114"/>
      <c r="S5" s="1108"/>
      <c r="T5" s="1108"/>
      <c r="U5" s="520"/>
      <c r="V5" s="4705"/>
      <c r="W5" s="4706"/>
      <c r="X5" s="4706"/>
      <c r="Y5" s="4706"/>
      <c r="Z5" s="4706"/>
      <c r="AA5" s="4706"/>
      <c r="AB5" s="2057"/>
      <c r="AC5" s="4702"/>
      <c r="AD5" s="4702"/>
      <c r="AE5" s="4702"/>
      <c r="AF5" s="4702"/>
      <c r="AG5" s="4702"/>
      <c r="AH5" s="4702"/>
      <c r="AI5" s="4702"/>
      <c r="AJ5" s="1121"/>
      <c r="AK5" s="1114"/>
      <c r="AL5" s="1108"/>
      <c r="AM5" s="1108"/>
      <c r="AN5" s="520"/>
      <c r="AO5" s="4705"/>
      <c r="AP5" s="4706"/>
      <c r="AQ5" s="4706"/>
      <c r="AR5" s="4706"/>
      <c r="AS5" s="4706"/>
      <c r="AT5" s="4706"/>
      <c r="AU5" s="1117"/>
      <c r="AV5" s="4702"/>
      <c r="AW5" s="4702"/>
      <c r="AX5" s="4702"/>
      <c r="AY5" s="4702"/>
      <c r="AZ5" s="4702"/>
      <c r="BA5" s="4702"/>
      <c r="BB5" s="4702"/>
      <c r="BC5" s="1121"/>
      <c r="BD5" s="1114"/>
      <c r="BE5" s="1108"/>
    </row>
    <row r="6" spans="1:57" ht="12" customHeight="1">
      <c r="A6" s="1108"/>
      <c r="B6" s="520"/>
      <c r="C6" s="4705"/>
      <c r="D6" s="4706"/>
      <c r="E6" s="4706"/>
      <c r="F6" s="4706"/>
      <c r="G6" s="4706"/>
      <c r="H6" s="4706"/>
      <c r="I6" s="1117"/>
      <c r="J6" s="4701" t="s">
        <v>7684</v>
      </c>
      <c r="K6" s="4702"/>
      <c r="L6" s="4702"/>
      <c r="M6" s="4702"/>
      <c r="N6" s="4702"/>
      <c r="O6" s="4702"/>
      <c r="P6" s="4702"/>
      <c r="Q6" s="1121"/>
      <c r="R6" s="1114"/>
      <c r="S6" s="1108"/>
      <c r="T6" s="1108"/>
      <c r="U6" s="520"/>
      <c r="V6" s="4705"/>
      <c r="W6" s="4706"/>
      <c r="X6" s="4706"/>
      <c r="Y6" s="4706"/>
      <c r="Z6" s="4706"/>
      <c r="AA6" s="4706"/>
      <c r="AB6" s="2057"/>
      <c r="AC6" s="5570"/>
      <c r="AD6" s="5571"/>
      <c r="AE6" s="5571"/>
      <c r="AF6" s="5571"/>
      <c r="AG6" s="5571"/>
      <c r="AH6" s="5571"/>
      <c r="AI6" s="5571"/>
      <c r="AJ6" s="1121"/>
      <c r="AK6" s="1114"/>
      <c r="AL6" s="1108"/>
      <c r="AM6" s="1108"/>
      <c r="AN6" s="520"/>
      <c r="AO6" s="4705"/>
      <c r="AP6" s="4706"/>
      <c r="AQ6" s="4706"/>
      <c r="AR6" s="4706"/>
      <c r="AS6" s="4706"/>
      <c r="AT6" s="4706"/>
      <c r="AU6" s="1117"/>
      <c r="AV6" s="5570"/>
      <c r="AW6" s="5571"/>
      <c r="AX6" s="5571"/>
      <c r="AY6" s="5571"/>
      <c r="AZ6" s="5571"/>
      <c r="BA6" s="5571"/>
      <c r="BB6" s="5571"/>
      <c r="BC6" s="1121"/>
      <c r="BD6" s="1114"/>
      <c r="BE6" s="1108"/>
    </row>
    <row r="7" spans="1:57" ht="12" customHeight="1">
      <c r="A7" s="1108"/>
      <c r="B7" s="520"/>
      <c r="C7" s="4705"/>
      <c r="D7" s="4706"/>
      <c r="E7" s="4706"/>
      <c r="F7" s="4706"/>
      <c r="G7" s="4706"/>
      <c r="H7" s="4706"/>
      <c r="I7" s="1117"/>
      <c r="J7" s="4702"/>
      <c r="K7" s="4702"/>
      <c r="L7" s="4702"/>
      <c r="M7" s="4702"/>
      <c r="N7" s="4702"/>
      <c r="O7" s="4702"/>
      <c r="P7" s="4702"/>
      <c r="Q7" s="1121"/>
      <c r="R7" s="1114"/>
      <c r="S7" s="1108"/>
      <c r="T7" s="1108"/>
      <c r="U7" s="520"/>
      <c r="V7" s="4705"/>
      <c r="W7" s="4706"/>
      <c r="X7" s="4706"/>
      <c r="Y7" s="4706"/>
      <c r="Z7" s="4706"/>
      <c r="AA7" s="4706"/>
      <c r="AB7" s="2057"/>
      <c r="AC7" s="5571"/>
      <c r="AD7" s="5571"/>
      <c r="AE7" s="5571"/>
      <c r="AF7" s="5571"/>
      <c r="AG7" s="5571"/>
      <c r="AH7" s="5571"/>
      <c r="AI7" s="5571"/>
      <c r="AJ7" s="1121"/>
      <c r="AK7" s="1114"/>
      <c r="AL7" s="1108"/>
      <c r="AM7" s="1108"/>
      <c r="AN7" s="520"/>
      <c r="AO7" s="4705"/>
      <c r="AP7" s="4706"/>
      <c r="AQ7" s="4706"/>
      <c r="AR7" s="4706"/>
      <c r="AS7" s="4706"/>
      <c r="AT7" s="4706"/>
      <c r="AU7" s="1117"/>
      <c r="AV7" s="5571"/>
      <c r="AW7" s="5571"/>
      <c r="AX7" s="5571"/>
      <c r="AY7" s="5571"/>
      <c r="AZ7" s="5571"/>
      <c r="BA7" s="5571"/>
      <c r="BB7" s="5571"/>
      <c r="BC7" s="1121"/>
      <c r="BD7" s="1114"/>
      <c r="BE7" s="1108"/>
    </row>
    <row r="8" spans="1:57" ht="12" customHeight="1" thickBot="1">
      <c r="A8" s="1108"/>
      <c r="B8" s="520"/>
      <c r="C8" s="4707"/>
      <c r="D8" s="4708"/>
      <c r="E8" s="4708"/>
      <c r="F8" s="4708"/>
      <c r="G8" s="4708"/>
      <c r="H8" s="4708"/>
      <c r="I8" s="1126"/>
      <c r="J8" s="1126"/>
      <c r="K8" s="1126"/>
      <c r="L8" s="1126"/>
      <c r="M8" s="1126"/>
      <c r="N8" s="1126"/>
      <c r="O8" s="1126"/>
      <c r="P8" s="1126"/>
      <c r="Q8" s="1127"/>
      <c r="R8" s="1114"/>
      <c r="S8" s="1108"/>
      <c r="T8" s="1108"/>
      <c r="U8" s="520"/>
      <c r="V8" s="4707"/>
      <c r="W8" s="4708"/>
      <c r="X8" s="4708"/>
      <c r="Y8" s="4708"/>
      <c r="Z8" s="4708"/>
      <c r="AA8" s="4708"/>
      <c r="AB8" s="2059"/>
      <c r="AC8" s="2059"/>
      <c r="AD8" s="2059"/>
      <c r="AE8" s="2059"/>
      <c r="AF8" s="2059"/>
      <c r="AG8" s="2059"/>
      <c r="AH8" s="2059"/>
      <c r="AI8" s="2059"/>
      <c r="AJ8" s="1127"/>
      <c r="AK8" s="1114"/>
      <c r="AL8" s="1108"/>
      <c r="AM8" s="1108"/>
      <c r="AN8" s="520"/>
      <c r="AO8" s="4707"/>
      <c r="AP8" s="4708"/>
      <c r="AQ8" s="4708"/>
      <c r="AR8" s="4708"/>
      <c r="AS8" s="4708"/>
      <c r="AT8" s="4708"/>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565"/>
      <c r="D10" s="5566"/>
      <c r="E10" s="5566"/>
      <c r="F10" s="5566"/>
      <c r="G10" s="5566"/>
      <c r="H10" s="1128" t="s">
        <v>1627</v>
      </c>
      <c r="I10" s="1129" t="str">
        <f>IF(C10=0,"",VLOOKUP(C10,'Tablas Magia'!$D$6:$Z$680,3,FALSE))</f>
        <v/>
      </c>
      <c r="J10" s="5567" t="s">
        <v>7685</v>
      </c>
      <c r="K10" s="5567"/>
      <c r="L10" s="5567"/>
      <c r="M10" s="5568" t="str">
        <f>IF(C10=0,"",VLOOKUP(C10,'Tablas Magia'!$D$6:$Z$680,2,FALSE))</f>
        <v/>
      </c>
      <c r="N10" s="5568"/>
      <c r="O10" s="5568"/>
      <c r="P10" s="5568"/>
      <c r="Q10" s="5569"/>
      <c r="R10" s="1114"/>
      <c r="S10" s="1108"/>
      <c r="T10" s="1108"/>
      <c r="U10" s="520"/>
      <c r="V10" s="5565"/>
      <c r="W10" s="5566"/>
      <c r="X10" s="5566"/>
      <c r="Y10" s="5566"/>
      <c r="Z10" s="5566"/>
      <c r="AA10" s="1128" t="s">
        <v>1627</v>
      </c>
      <c r="AB10" s="1129" t="str">
        <f>IF(V10=0,"",VLOOKUP(V10,'Tablas Magia'!$D$6:$Z$680,3,FALSE))</f>
        <v/>
      </c>
      <c r="AC10" s="5567" t="s">
        <v>7685</v>
      </c>
      <c r="AD10" s="5567"/>
      <c r="AE10" s="5567"/>
      <c r="AF10" s="5568" t="str">
        <f>IF(V10=0,"",VLOOKUP(V10,'Tablas Magia'!$D$6:$Z$680,2,FALSE))</f>
        <v/>
      </c>
      <c r="AG10" s="5568"/>
      <c r="AH10" s="5568"/>
      <c r="AI10" s="5568"/>
      <c r="AJ10" s="5569"/>
      <c r="AK10" s="1114"/>
      <c r="AL10" s="1108"/>
      <c r="AM10" s="1108"/>
      <c r="AN10" s="520"/>
      <c r="AO10" s="5565"/>
      <c r="AP10" s="5566"/>
      <c r="AQ10" s="5566"/>
      <c r="AR10" s="5566"/>
      <c r="AS10" s="5566"/>
      <c r="AT10" s="1128" t="s">
        <v>1627</v>
      </c>
      <c r="AU10" s="1129" t="str">
        <f>IF(AO10=0,"",VLOOKUP(AO10,'Tablas Magia'!$D$6:$Z$680,3,FALSE))</f>
        <v/>
      </c>
      <c r="AV10" s="5567" t="s">
        <v>7685</v>
      </c>
      <c r="AW10" s="5567"/>
      <c r="AX10" s="5567"/>
      <c r="AY10" s="5568" t="str">
        <f>IF(AO10=0,"",VLOOKUP(AO10,'Tablas Magia'!$D$6:$Z$680,2,FALSE))</f>
        <v/>
      </c>
      <c r="AZ10" s="5568"/>
      <c r="BA10" s="5568"/>
      <c r="BB10" s="5568"/>
      <c r="BC10" s="5569"/>
      <c r="BD10" s="1114"/>
      <c r="BE10" s="1108"/>
    </row>
    <row r="11" spans="1:57" ht="12" customHeight="1">
      <c r="A11" s="1108"/>
      <c r="B11" s="520"/>
      <c r="C11" s="5585" t="s">
        <v>7686</v>
      </c>
      <c r="D11" s="5586"/>
      <c r="E11" s="1130" t="s">
        <v>7687</v>
      </c>
      <c r="F11" s="1130" t="s">
        <v>1820</v>
      </c>
      <c r="G11" s="1130" t="s">
        <v>3332</v>
      </c>
      <c r="H11" s="1131" t="s">
        <v>2165</v>
      </c>
      <c r="I11" s="5582" t="str">
        <f>IF(C10=0,"",VLOOKUP(C10,'Tablas Magia'!$D$6:$Z$680,5,FALSE))</f>
        <v/>
      </c>
      <c r="J11" s="5582"/>
      <c r="K11" s="5583" t="s">
        <v>7688</v>
      </c>
      <c r="L11" s="5583"/>
      <c r="M11" s="5582" t="str">
        <f>IF(C10=0,"",VLOOKUP(C10,'Tablas Magia'!$D$6:$Z$680,6,FALSE))</f>
        <v/>
      </c>
      <c r="N11" s="5582"/>
      <c r="O11" s="5584" t="s">
        <v>7689</v>
      </c>
      <c r="P11" s="5584"/>
      <c r="Q11" s="1132" t="str">
        <f>IF(C10=0,"",VLOOKUP(C10,'Tablas Magia'!$D$6:$Z$680,4,FALSE))</f>
        <v/>
      </c>
      <c r="R11" s="1114"/>
      <c r="S11" s="1108"/>
      <c r="T11" s="1108"/>
      <c r="U11" s="520"/>
      <c r="V11" s="5585" t="s">
        <v>7686</v>
      </c>
      <c r="W11" s="5586"/>
      <c r="X11" s="1130" t="s">
        <v>7687</v>
      </c>
      <c r="Y11" s="1130" t="s">
        <v>1820</v>
      </c>
      <c r="Z11" s="1130" t="s">
        <v>3332</v>
      </c>
      <c r="AA11" s="1131" t="s">
        <v>2165</v>
      </c>
      <c r="AB11" s="5582" t="str">
        <f>IF(V10=0,"",VLOOKUP(V10,'Tablas Magia'!$D$6:$Z$680,5,FALSE))</f>
        <v/>
      </c>
      <c r="AC11" s="5582"/>
      <c r="AD11" s="5583" t="s">
        <v>7688</v>
      </c>
      <c r="AE11" s="5583"/>
      <c r="AF11" s="5582" t="str">
        <f>IF(V10=0,"",VLOOKUP(V10,'Tablas Magia'!$D$6:$Z$680,6,FALSE))</f>
        <v/>
      </c>
      <c r="AG11" s="5582"/>
      <c r="AH11" s="5584" t="s">
        <v>7689</v>
      </c>
      <c r="AI11" s="5584"/>
      <c r="AJ11" s="1132" t="str">
        <f>IF(V10=0,"",VLOOKUP(V10,'Tablas Magia'!$D$6:$Z$680,4,FALSE))</f>
        <v/>
      </c>
      <c r="AK11" s="1114"/>
      <c r="AL11" s="1108"/>
      <c r="AM11" s="1108"/>
      <c r="AN11" s="520"/>
      <c r="AO11" s="5585" t="s">
        <v>7686</v>
      </c>
      <c r="AP11" s="5586"/>
      <c r="AQ11" s="1130" t="s">
        <v>7687</v>
      </c>
      <c r="AR11" s="1130" t="s">
        <v>1820</v>
      </c>
      <c r="AS11" s="1130" t="s">
        <v>3332</v>
      </c>
      <c r="AT11" s="1131" t="s">
        <v>2165</v>
      </c>
      <c r="AU11" s="5582" t="str">
        <f>IF(AO10=0,"",VLOOKUP(AO10,'Tablas Magia'!$D$6:$Z$680,5,FALSE))</f>
        <v/>
      </c>
      <c r="AV11" s="5582"/>
      <c r="AW11" s="5583" t="s">
        <v>7688</v>
      </c>
      <c r="AX11" s="5583"/>
      <c r="AY11" s="5582" t="str">
        <f>IF(AO10=0,"",VLOOKUP(AO10,'Tablas Magia'!$D$6:$Z$680,6,FALSE))</f>
        <v/>
      </c>
      <c r="AZ11" s="5582"/>
      <c r="BA11" s="5584" t="s">
        <v>7689</v>
      </c>
      <c r="BB11" s="5584"/>
      <c r="BC11" s="1132" t="str">
        <f>IF(AO10=0,"",VLOOKUP(AO10,'Tablas Magia'!$D$6:$Z$680,4,FALSE))</f>
        <v/>
      </c>
      <c r="BD11" s="1114"/>
      <c r="BE11" s="1108"/>
    </row>
    <row r="12" spans="1:57" ht="12" customHeight="1">
      <c r="A12" s="1108"/>
      <c r="B12" s="520"/>
      <c r="C12" s="5577" t="s">
        <v>1674</v>
      </c>
      <c r="D12" s="5578"/>
      <c r="E12" s="1133" t="str">
        <f>IF(C10=0,"",VLOOKUP(C10,'Tablas Magia'!$D$6:$Z$680,7,FALSE))</f>
        <v/>
      </c>
      <c r="F12" s="1133" t="str">
        <f>IF(C10=0,"",VLOOKUP(C10,'Tablas Magia'!$D$6:$Z$680,11,FALSE))</f>
        <v/>
      </c>
      <c r="G12" s="1134" t="str">
        <f>IF(C10=0,"",VLOOKUP(C10,'Tablas Magia'!$D$6:$Z$680,15,FALSE))</f>
        <v/>
      </c>
      <c r="H12" s="5579" t="str">
        <f>IF(C10=0,"",VLOOKUP(C10,'Tablas Magia'!$D$6:$Z$680,19,FALSE))</f>
        <v/>
      </c>
      <c r="I12" s="5580"/>
      <c r="J12" s="5580"/>
      <c r="K12" s="5580"/>
      <c r="L12" s="5580"/>
      <c r="M12" s="5580"/>
      <c r="N12" s="5580"/>
      <c r="O12" s="5580"/>
      <c r="P12" s="5580"/>
      <c r="Q12" s="5581"/>
      <c r="R12" s="1114"/>
      <c r="S12" s="1108"/>
      <c r="T12" s="1108"/>
      <c r="U12" s="520"/>
      <c r="V12" s="5577" t="s">
        <v>1674</v>
      </c>
      <c r="W12" s="5578"/>
      <c r="X12" s="1133" t="str">
        <f>IF(V10=0,"",VLOOKUP(V10,'Tablas Magia'!$D$6:$Z$680,7,FALSE))</f>
        <v/>
      </c>
      <c r="Y12" s="1133" t="str">
        <f>IF(V10=0,"",VLOOKUP(V10,'Tablas Magia'!$D$6:$Z$680,11,FALSE))</f>
        <v/>
      </c>
      <c r="Z12" s="1134" t="str">
        <f>IF(V10=0,"",VLOOKUP(V10,'Tablas Magia'!$D$6:$Z$680,15,FALSE))</f>
        <v/>
      </c>
      <c r="AA12" s="5579" t="str">
        <f>IF(V10=0,"",VLOOKUP(V10,'Tablas Magia'!$D$6:$Z$680,19,FALSE))</f>
        <v/>
      </c>
      <c r="AB12" s="5580"/>
      <c r="AC12" s="5580"/>
      <c r="AD12" s="5580"/>
      <c r="AE12" s="5580"/>
      <c r="AF12" s="5580"/>
      <c r="AG12" s="5580"/>
      <c r="AH12" s="5580"/>
      <c r="AI12" s="5580"/>
      <c r="AJ12" s="5581"/>
      <c r="AK12" s="1114"/>
      <c r="AL12" s="1108"/>
      <c r="AM12" s="1108"/>
      <c r="AN12" s="520"/>
      <c r="AO12" s="5577" t="s">
        <v>1674</v>
      </c>
      <c r="AP12" s="5578"/>
      <c r="AQ12" s="1133" t="str">
        <f>IF(AO10=0,"",VLOOKUP(AO10,'Tablas Magia'!$D$6:$Z$680,7,FALSE))</f>
        <v/>
      </c>
      <c r="AR12" s="1133" t="str">
        <f>IF(AO10=0,"",VLOOKUP(AO10,'Tablas Magia'!$D$6:$Z$680,11,FALSE))</f>
        <v/>
      </c>
      <c r="AS12" s="1134" t="str">
        <f>IF(AO10=0,"",VLOOKUP(AO10,'Tablas Magia'!$D$6:$Z$680,15,FALSE))</f>
        <v/>
      </c>
      <c r="AT12" s="5579" t="str">
        <f>IF(AO10=0,"",VLOOKUP(AO10,'Tablas Magia'!$D$6:$Z$680,19,FALSE))</f>
        <v/>
      </c>
      <c r="AU12" s="5580"/>
      <c r="AV12" s="5580"/>
      <c r="AW12" s="5580"/>
      <c r="AX12" s="5580"/>
      <c r="AY12" s="5580"/>
      <c r="AZ12" s="5580"/>
      <c r="BA12" s="5580"/>
      <c r="BB12" s="5580"/>
      <c r="BC12" s="5581"/>
      <c r="BD12" s="1114"/>
      <c r="BE12" s="1108"/>
    </row>
    <row r="13" spans="1:57" ht="12" customHeight="1">
      <c r="A13" s="1108"/>
      <c r="B13" s="520"/>
      <c r="C13" s="5572" t="s">
        <v>4570</v>
      </c>
      <c r="D13" s="5573"/>
      <c r="E13" s="1135" t="str">
        <f>IF(C10=0,"",VLOOKUP(C10,'Tablas Magia'!$D$6:$Z$680,8,FALSE))</f>
        <v/>
      </c>
      <c r="F13" s="1135" t="str">
        <f>IF(C10=0,"",VLOOKUP(C10,'Tablas Magia'!$D$6:$Z$680,12,FALSE))</f>
        <v/>
      </c>
      <c r="G13" s="1136" t="str">
        <f>IF(C10=0,"",VLOOKUP(C10,'Tablas Magia'!$D$6:$Z$680,16,FALSE))</f>
        <v/>
      </c>
      <c r="H13" s="5574" t="str">
        <f>IF(C10=0,"",VLOOKUP(C10,'Tablas Magia'!$D$6:$Z$680,20,FALSE))</f>
        <v/>
      </c>
      <c r="I13" s="5575"/>
      <c r="J13" s="5575"/>
      <c r="K13" s="5575"/>
      <c r="L13" s="5575"/>
      <c r="M13" s="5575"/>
      <c r="N13" s="5575"/>
      <c r="O13" s="5575"/>
      <c r="P13" s="5575"/>
      <c r="Q13" s="5576"/>
      <c r="R13" s="1114"/>
      <c r="S13" s="1108"/>
      <c r="T13" s="1108"/>
      <c r="U13" s="520"/>
      <c r="V13" s="5572" t="s">
        <v>4570</v>
      </c>
      <c r="W13" s="5573"/>
      <c r="X13" s="1135" t="str">
        <f>IF(V10=0,"",VLOOKUP(V10,'Tablas Magia'!$D$6:$Z$680,8,FALSE))</f>
        <v/>
      </c>
      <c r="Y13" s="1135" t="str">
        <f>IF(V10=0,"",VLOOKUP(V10,'Tablas Magia'!$D$6:$Z$680,12,FALSE))</f>
        <v/>
      </c>
      <c r="Z13" s="1136" t="str">
        <f>IF(V10=0,"",VLOOKUP(V10,'Tablas Magia'!$D$6:$Z$680,16,FALSE))</f>
        <v/>
      </c>
      <c r="AA13" s="5574" t="str">
        <f>IF(V10=0,"",VLOOKUP(V10,'Tablas Magia'!$D$6:$Z$680,20,FALSE))</f>
        <v/>
      </c>
      <c r="AB13" s="5575"/>
      <c r="AC13" s="5575"/>
      <c r="AD13" s="5575"/>
      <c r="AE13" s="5575"/>
      <c r="AF13" s="5575"/>
      <c r="AG13" s="5575"/>
      <c r="AH13" s="5575"/>
      <c r="AI13" s="5575"/>
      <c r="AJ13" s="5576"/>
      <c r="AK13" s="1114"/>
      <c r="AL13" s="1108"/>
      <c r="AM13" s="1108"/>
      <c r="AN13" s="520"/>
      <c r="AO13" s="5572" t="s">
        <v>4570</v>
      </c>
      <c r="AP13" s="5573"/>
      <c r="AQ13" s="1135" t="str">
        <f>IF(AO10=0,"",VLOOKUP(AO10,'Tablas Magia'!$D$6:$Z$680,8,FALSE))</f>
        <v/>
      </c>
      <c r="AR13" s="1135" t="str">
        <f>IF(AO10=0,"",VLOOKUP(AO10,'Tablas Magia'!$D$6:$Z$680,12,FALSE))</f>
        <v/>
      </c>
      <c r="AS13" s="1136" t="str">
        <f>IF(AO10=0,"",VLOOKUP(AO10,'Tablas Magia'!$D$6:$Z$680,16,FALSE))</f>
        <v/>
      </c>
      <c r="AT13" s="5574" t="str">
        <f>IF(AO10=0,"",VLOOKUP(AO10,'Tablas Magia'!$D$6:$Z$680,20,FALSE))</f>
        <v/>
      </c>
      <c r="AU13" s="5575"/>
      <c r="AV13" s="5575"/>
      <c r="AW13" s="5575"/>
      <c r="AX13" s="5575"/>
      <c r="AY13" s="5575"/>
      <c r="AZ13" s="5575"/>
      <c r="BA13" s="5575"/>
      <c r="BB13" s="5575"/>
      <c r="BC13" s="5576"/>
      <c r="BD13" s="1114"/>
      <c r="BE13" s="1108"/>
    </row>
    <row r="14" spans="1:57" ht="12" customHeight="1">
      <c r="A14" s="1108"/>
      <c r="B14" s="520"/>
      <c r="C14" s="5577" t="s">
        <v>4571</v>
      </c>
      <c r="D14" s="5578"/>
      <c r="E14" s="1133" t="str">
        <f>IF(C10=0,"",VLOOKUP(C10,'Tablas Magia'!$D$6:$Z$680,9,FALSE))</f>
        <v/>
      </c>
      <c r="F14" s="1133" t="str">
        <f>IF(C10=0,"",VLOOKUP(C10,'Tablas Magia'!$D$6:$Z$680,13,FALSE))</f>
        <v/>
      </c>
      <c r="G14" s="1134" t="str">
        <f>IF(C10=0,"",VLOOKUP(C10,'Tablas Magia'!$D$6:$Z$680,17,FALSE))</f>
        <v/>
      </c>
      <c r="H14" s="5579" t="str">
        <f>IF(C10=0,"",VLOOKUP(C10,'Tablas Magia'!$D$6:$Z$680,21,FALSE))</f>
        <v/>
      </c>
      <c r="I14" s="5580"/>
      <c r="J14" s="5580"/>
      <c r="K14" s="5580"/>
      <c r="L14" s="5580"/>
      <c r="M14" s="5580"/>
      <c r="N14" s="5580"/>
      <c r="O14" s="5580"/>
      <c r="P14" s="5580"/>
      <c r="Q14" s="5581"/>
      <c r="R14" s="1114"/>
      <c r="S14" s="1108"/>
      <c r="T14" s="1108"/>
      <c r="U14" s="520"/>
      <c r="V14" s="5577" t="s">
        <v>4571</v>
      </c>
      <c r="W14" s="5578"/>
      <c r="X14" s="1133" t="str">
        <f>IF(V10=0,"",VLOOKUP(V10,'Tablas Magia'!$D$6:$Z$680,9,FALSE))</f>
        <v/>
      </c>
      <c r="Y14" s="1133" t="str">
        <f>IF(V10=0,"",VLOOKUP(V10,'Tablas Magia'!$D$6:$Z$680,13,FALSE))</f>
        <v/>
      </c>
      <c r="Z14" s="1134" t="str">
        <f>IF(V10=0,"",VLOOKUP(V10,'Tablas Magia'!$D$6:$Z$680,17,FALSE))</f>
        <v/>
      </c>
      <c r="AA14" s="5579" t="str">
        <f>IF(V10=0,"",VLOOKUP(V10,'Tablas Magia'!$D$6:$Z$680,21,FALSE))</f>
        <v/>
      </c>
      <c r="AB14" s="5580"/>
      <c r="AC14" s="5580"/>
      <c r="AD14" s="5580"/>
      <c r="AE14" s="5580"/>
      <c r="AF14" s="5580"/>
      <c r="AG14" s="5580"/>
      <c r="AH14" s="5580"/>
      <c r="AI14" s="5580"/>
      <c r="AJ14" s="5581"/>
      <c r="AK14" s="1114"/>
      <c r="AL14" s="1108"/>
      <c r="AM14" s="1108"/>
      <c r="AN14" s="520"/>
      <c r="AO14" s="5577" t="s">
        <v>4571</v>
      </c>
      <c r="AP14" s="5578"/>
      <c r="AQ14" s="1133" t="str">
        <f>IF(AO10=0,"",VLOOKUP(AO10,'Tablas Magia'!$D$6:$Z$680,9,FALSE))</f>
        <v/>
      </c>
      <c r="AR14" s="1133" t="str">
        <f>IF(AO10=0,"",VLOOKUP(AO10,'Tablas Magia'!$D$6:$Z$680,13,FALSE))</f>
        <v/>
      </c>
      <c r="AS14" s="1134" t="str">
        <f>IF(AO10=0,"",VLOOKUP(AO10,'Tablas Magia'!$D$6:$Z$680,17,FALSE))</f>
        <v/>
      </c>
      <c r="AT14" s="5579" t="str">
        <f>IF(AO10=0,"",VLOOKUP(AO10,'Tablas Magia'!$D$6:$Z$680,21,FALSE))</f>
        <v/>
      </c>
      <c r="AU14" s="5580"/>
      <c r="AV14" s="5580"/>
      <c r="AW14" s="5580"/>
      <c r="AX14" s="5580"/>
      <c r="AY14" s="5580"/>
      <c r="AZ14" s="5580"/>
      <c r="BA14" s="5580"/>
      <c r="BB14" s="5580"/>
      <c r="BC14" s="5581"/>
      <c r="BD14" s="1114"/>
      <c r="BE14" s="1108"/>
    </row>
    <row r="15" spans="1:57" ht="12" customHeight="1" thickBot="1">
      <c r="A15" s="1108"/>
      <c r="B15" s="520"/>
      <c r="C15" s="5587" t="s">
        <v>4572</v>
      </c>
      <c r="D15" s="5588"/>
      <c r="E15" s="1137" t="str">
        <f>IF(C10=0,"",VLOOKUP(C10,'Tablas Magia'!$D$6:$Z$680,10,FALSE))</f>
        <v/>
      </c>
      <c r="F15" s="1137" t="str">
        <f>IF(C10=0,"",VLOOKUP(C10,'Tablas Magia'!$D$6:$Z$680,14,FALSE))</f>
        <v/>
      </c>
      <c r="G15" s="1138" t="str">
        <f>IF(C10=0,"",VLOOKUP(C10,'Tablas Magia'!$D$6:$Z$680,18,FALSE))</f>
        <v/>
      </c>
      <c r="H15" s="5589" t="str">
        <f>IF(C10=0,"",VLOOKUP(C10,'Tablas Magia'!$D$6:$Z$680,22,FALSE))</f>
        <v/>
      </c>
      <c r="I15" s="5590"/>
      <c r="J15" s="5590"/>
      <c r="K15" s="5590"/>
      <c r="L15" s="5590"/>
      <c r="M15" s="5590"/>
      <c r="N15" s="5590"/>
      <c r="O15" s="5590"/>
      <c r="P15" s="5590"/>
      <c r="Q15" s="5591"/>
      <c r="R15" s="1114"/>
      <c r="S15" s="1108"/>
      <c r="T15" s="1108"/>
      <c r="U15" s="520"/>
      <c r="V15" s="5587" t="s">
        <v>4572</v>
      </c>
      <c r="W15" s="5588"/>
      <c r="X15" s="1137" t="str">
        <f>IF(V10=0,"",VLOOKUP(V10,'Tablas Magia'!$D$6:$Z$680,10,FALSE))</f>
        <v/>
      </c>
      <c r="Y15" s="1137" t="str">
        <f>IF(V10=0,"",VLOOKUP(V10,'Tablas Magia'!$D$6:$Z$680,14,FALSE))</f>
        <v/>
      </c>
      <c r="Z15" s="1138" t="str">
        <f>IF(V10=0,"",VLOOKUP(V10,'Tablas Magia'!$D$6:$Z$680,18,FALSE))</f>
        <v/>
      </c>
      <c r="AA15" s="5589" t="str">
        <f>IF(V10=0,"",VLOOKUP(V10,'Tablas Magia'!$D$6:$Z$680,22,FALSE))</f>
        <v/>
      </c>
      <c r="AB15" s="5590"/>
      <c r="AC15" s="5590"/>
      <c r="AD15" s="5590"/>
      <c r="AE15" s="5590"/>
      <c r="AF15" s="5590"/>
      <c r="AG15" s="5590"/>
      <c r="AH15" s="5590"/>
      <c r="AI15" s="5590"/>
      <c r="AJ15" s="5591"/>
      <c r="AK15" s="1114"/>
      <c r="AL15" s="1108"/>
      <c r="AM15" s="1108"/>
      <c r="AN15" s="520"/>
      <c r="AO15" s="5587" t="s">
        <v>4572</v>
      </c>
      <c r="AP15" s="5588"/>
      <c r="AQ15" s="1137" t="str">
        <f>IF(AO10=0,"",VLOOKUP(AO10,'Tablas Magia'!$D$6:$Z$680,10,FALSE))</f>
        <v/>
      </c>
      <c r="AR15" s="1137" t="str">
        <f>IF(AO10=0,"",VLOOKUP(AO10,'Tablas Magia'!$D$6:$Z$680,14,FALSE))</f>
        <v/>
      </c>
      <c r="AS15" s="1138" t="str">
        <f>IF(AO10=0,"",VLOOKUP(AO10,'Tablas Magia'!$D$6:$Z$680,18,FALSE))</f>
        <v/>
      </c>
      <c r="AT15" s="5589" t="str">
        <f>IF(AO10=0,"",VLOOKUP(AO10,'Tablas Magia'!$D$6:$Z$680,22,FALSE))</f>
        <v/>
      </c>
      <c r="AU15" s="5590"/>
      <c r="AV15" s="5590"/>
      <c r="AW15" s="5590"/>
      <c r="AX15" s="5590"/>
      <c r="AY15" s="5590"/>
      <c r="AZ15" s="5590"/>
      <c r="BA15" s="5590"/>
      <c r="BB15" s="5590"/>
      <c r="BC15" s="5591"/>
      <c r="BD15" s="1114"/>
      <c r="BE15" s="1108"/>
    </row>
    <row r="16" spans="1:57" ht="12" customHeight="1">
      <c r="A16" s="1108"/>
      <c r="B16" s="520"/>
      <c r="C16" s="5592" t="str">
        <f>IF(C10=0,"",VLOOKUP(C10,'Tablas Magia'!$D$6:$Z$680,23,FALSE))</f>
        <v/>
      </c>
      <c r="D16" s="5593"/>
      <c r="E16" s="5593"/>
      <c r="F16" s="5593"/>
      <c r="G16" s="5593"/>
      <c r="H16" s="5593"/>
      <c r="I16" s="5593"/>
      <c r="J16" s="5593"/>
      <c r="K16" s="5593"/>
      <c r="L16" s="5593"/>
      <c r="M16" s="5593"/>
      <c r="N16" s="5593"/>
      <c r="O16" s="5593"/>
      <c r="P16" s="5593"/>
      <c r="Q16" s="5594"/>
      <c r="R16" s="1114"/>
      <c r="S16" s="1108"/>
      <c r="T16" s="1108"/>
      <c r="U16" s="520"/>
      <c r="V16" s="5592" t="str">
        <f>IF(V10=0,"",VLOOKUP(V10,'Tablas Magia'!$D$6:$Z$680,23,FALSE))</f>
        <v/>
      </c>
      <c r="W16" s="5593"/>
      <c r="X16" s="5593"/>
      <c r="Y16" s="5593"/>
      <c r="Z16" s="5593"/>
      <c r="AA16" s="5593"/>
      <c r="AB16" s="5593"/>
      <c r="AC16" s="5593"/>
      <c r="AD16" s="5593"/>
      <c r="AE16" s="5593"/>
      <c r="AF16" s="5593"/>
      <c r="AG16" s="5593"/>
      <c r="AH16" s="5593"/>
      <c r="AI16" s="5593"/>
      <c r="AJ16" s="5594"/>
      <c r="AK16" s="1114"/>
      <c r="AL16" s="1108"/>
      <c r="AM16" s="1108"/>
      <c r="AN16" s="520"/>
      <c r="AO16" s="5592" t="str">
        <f>IF(AO10=0,"",VLOOKUP(AO10,'Tablas Magia'!$D$6:$Z$680,23,FALSE))</f>
        <v/>
      </c>
      <c r="AP16" s="5593"/>
      <c r="AQ16" s="5593"/>
      <c r="AR16" s="5593"/>
      <c r="AS16" s="5593"/>
      <c r="AT16" s="5593"/>
      <c r="AU16" s="5593"/>
      <c r="AV16" s="5593"/>
      <c r="AW16" s="5593"/>
      <c r="AX16" s="5593"/>
      <c r="AY16" s="5593"/>
      <c r="AZ16" s="5593"/>
      <c r="BA16" s="5593"/>
      <c r="BB16" s="5593"/>
      <c r="BC16" s="5594"/>
      <c r="BD16" s="1114"/>
      <c r="BE16" s="1108"/>
    </row>
    <row r="17" spans="1:57" ht="12" customHeight="1">
      <c r="A17" s="1108"/>
      <c r="B17" s="520"/>
      <c r="C17" s="5595"/>
      <c r="D17" s="5596"/>
      <c r="E17" s="5596"/>
      <c r="F17" s="5596"/>
      <c r="G17" s="5596"/>
      <c r="H17" s="5596"/>
      <c r="I17" s="5596"/>
      <c r="J17" s="5596"/>
      <c r="K17" s="5596"/>
      <c r="L17" s="5596"/>
      <c r="M17" s="5596"/>
      <c r="N17" s="5596"/>
      <c r="O17" s="5596"/>
      <c r="P17" s="5596"/>
      <c r="Q17" s="5597"/>
      <c r="R17" s="1114"/>
      <c r="S17" s="1108"/>
      <c r="T17" s="1108"/>
      <c r="U17" s="520"/>
      <c r="V17" s="5595"/>
      <c r="W17" s="5596"/>
      <c r="X17" s="5596"/>
      <c r="Y17" s="5596"/>
      <c r="Z17" s="5596"/>
      <c r="AA17" s="5596"/>
      <c r="AB17" s="5596"/>
      <c r="AC17" s="5596"/>
      <c r="AD17" s="5596"/>
      <c r="AE17" s="5596"/>
      <c r="AF17" s="5596"/>
      <c r="AG17" s="5596"/>
      <c r="AH17" s="5596"/>
      <c r="AI17" s="5596"/>
      <c r="AJ17" s="5597"/>
      <c r="AK17" s="1114"/>
      <c r="AL17" s="1108"/>
      <c r="AM17" s="1108"/>
      <c r="AN17" s="520"/>
      <c r="AO17" s="5595"/>
      <c r="AP17" s="5596"/>
      <c r="AQ17" s="5596"/>
      <c r="AR17" s="5596"/>
      <c r="AS17" s="5596"/>
      <c r="AT17" s="5596"/>
      <c r="AU17" s="5596"/>
      <c r="AV17" s="5596"/>
      <c r="AW17" s="5596"/>
      <c r="AX17" s="5596"/>
      <c r="AY17" s="5596"/>
      <c r="AZ17" s="5596"/>
      <c r="BA17" s="5596"/>
      <c r="BB17" s="5596"/>
      <c r="BC17" s="5597"/>
      <c r="BD17" s="1114"/>
      <c r="BE17" s="1108"/>
    </row>
    <row r="18" spans="1:57" ht="12" customHeight="1">
      <c r="A18" s="1108"/>
      <c r="B18" s="520"/>
      <c r="C18" s="5595"/>
      <c r="D18" s="5596"/>
      <c r="E18" s="5596"/>
      <c r="F18" s="5596"/>
      <c r="G18" s="5596"/>
      <c r="H18" s="5596"/>
      <c r="I18" s="5596"/>
      <c r="J18" s="5596"/>
      <c r="K18" s="5596"/>
      <c r="L18" s="5596"/>
      <c r="M18" s="5596"/>
      <c r="N18" s="5596"/>
      <c r="O18" s="5596"/>
      <c r="P18" s="5596"/>
      <c r="Q18" s="5597"/>
      <c r="R18" s="1114"/>
      <c r="S18" s="1108"/>
      <c r="T18" s="1108"/>
      <c r="U18" s="520"/>
      <c r="V18" s="5595"/>
      <c r="W18" s="5596"/>
      <c r="X18" s="5596"/>
      <c r="Y18" s="5596"/>
      <c r="Z18" s="5596"/>
      <c r="AA18" s="5596"/>
      <c r="AB18" s="5596"/>
      <c r="AC18" s="5596"/>
      <c r="AD18" s="5596"/>
      <c r="AE18" s="5596"/>
      <c r="AF18" s="5596"/>
      <c r="AG18" s="5596"/>
      <c r="AH18" s="5596"/>
      <c r="AI18" s="5596"/>
      <c r="AJ18" s="5597"/>
      <c r="AK18" s="1114"/>
      <c r="AL18" s="1108"/>
      <c r="AM18" s="1108"/>
      <c r="AN18" s="520"/>
      <c r="AO18" s="5595"/>
      <c r="AP18" s="5596"/>
      <c r="AQ18" s="5596"/>
      <c r="AR18" s="5596"/>
      <c r="AS18" s="5596"/>
      <c r="AT18" s="5596"/>
      <c r="AU18" s="5596"/>
      <c r="AV18" s="5596"/>
      <c r="AW18" s="5596"/>
      <c r="AX18" s="5596"/>
      <c r="AY18" s="5596"/>
      <c r="AZ18" s="5596"/>
      <c r="BA18" s="5596"/>
      <c r="BB18" s="5596"/>
      <c r="BC18" s="5597"/>
      <c r="BD18" s="1114"/>
      <c r="BE18" s="1108"/>
    </row>
    <row r="19" spans="1:57" ht="12" customHeight="1" thickBot="1">
      <c r="A19" s="1108"/>
      <c r="B19" s="520"/>
      <c r="C19" s="5598"/>
      <c r="D19" s="5599"/>
      <c r="E19" s="5599"/>
      <c r="F19" s="5599"/>
      <c r="G19" s="5599"/>
      <c r="H19" s="5599"/>
      <c r="I19" s="5599"/>
      <c r="J19" s="5599"/>
      <c r="K19" s="5599"/>
      <c r="L19" s="5599"/>
      <c r="M19" s="5599"/>
      <c r="N19" s="5599"/>
      <c r="O19" s="5599"/>
      <c r="P19" s="5599"/>
      <c r="Q19" s="5600"/>
      <c r="R19" s="1114"/>
      <c r="S19" s="1108"/>
      <c r="T19" s="1108"/>
      <c r="U19" s="520"/>
      <c r="V19" s="5598"/>
      <c r="W19" s="5599"/>
      <c r="X19" s="5599"/>
      <c r="Y19" s="5599"/>
      <c r="Z19" s="5599"/>
      <c r="AA19" s="5599"/>
      <c r="AB19" s="5599"/>
      <c r="AC19" s="5599"/>
      <c r="AD19" s="5599"/>
      <c r="AE19" s="5599"/>
      <c r="AF19" s="5599"/>
      <c r="AG19" s="5599"/>
      <c r="AH19" s="5599"/>
      <c r="AI19" s="5599"/>
      <c r="AJ19" s="5600"/>
      <c r="AK19" s="1114"/>
      <c r="AL19" s="1108"/>
      <c r="AM19" s="1108"/>
      <c r="AN19" s="520"/>
      <c r="AO19" s="5598"/>
      <c r="AP19" s="5599"/>
      <c r="AQ19" s="5599"/>
      <c r="AR19" s="5599"/>
      <c r="AS19" s="5599"/>
      <c r="AT19" s="5599"/>
      <c r="AU19" s="5599"/>
      <c r="AV19" s="5599"/>
      <c r="AW19" s="5599"/>
      <c r="AX19" s="5599"/>
      <c r="AY19" s="5599"/>
      <c r="AZ19" s="5599"/>
      <c r="BA19" s="5599"/>
      <c r="BB19" s="5599"/>
      <c r="BC19" s="5600"/>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565"/>
      <c r="D21" s="5566"/>
      <c r="E21" s="5566"/>
      <c r="F21" s="5566"/>
      <c r="G21" s="5566"/>
      <c r="H21" s="1128" t="s">
        <v>1627</v>
      </c>
      <c r="I21" s="1129" t="str">
        <f>IF(C21=0,"",VLOOKUP(C21,'Tablas Magia'!$D$6:$Z$680,3,FALSE))</f>
        <v/>
      </c>
      <c r="J21" s="5567" t="s">
        <v>7685</v>
      </c>
      <c r="K21" s="5567"/>
      <c r="L21" s="5567"/>
      <c r="M21" s="5568" t="str">
        <f>IF(C21=0,"",VLOOKUP(C21,'Tablas Magia'!$D$6:$Z$680,2,FALSE))</f>
        <v/>
      </c>
      <c r="N21" s="5568"/>
      <c r="O21" s="5568"/>
      <c r="P21" s="5568"/>
      <c r="Q21" s="5569"/>
      <c r="R21" s="1114"/>
      <c r="S21" s="1108"/>
      <c r="T21" s="1108"/>
      <c r="U21" s="520"/>
      <c r="V21" s="5565"/>
      <c r="W21" s="5566"/>
      <c r="X21" s="5566"/>
      <c r="Y21" s="5566"/>
      <c r="Z21" s="5566"/>
      <c r="AA21" s="1128" t="s">
        <v>1627</v>
      </c>
      <c r="AB21" s="1129" t="str">
        <f>IF(V21=0,"",VLOOKUP(V21,'Tablas Magia'!$D$6:$Z$680,3,FALSE))</f>
        <v/>
      </c>
      <c r="AC21" s="5567" t="s">
        <v>7685</v>
      </c>
      <c r="AD21" s="5567"/>
      <c r="AE21" s="5567"/>
      <c r="AF21" s="5568" t="str">
        <f>IF(V21=0,"",VLOOKUP(V21,'Tablas Magia'!$D$6:$Z$680,2,FALSE))</f>
        <v/>
      </c>
      <c r="AG21" s="5568"/>
      <c r="AH21" s="5568"/>
      <c r="AI21" s="5568"/>
      <c r="AJ21" s="5569"/>
      <c r="AK21" s="1114"/>
      <c r="AL21" s="1108"/>
      <c r="AM21" s="1108"/>
      <c r="AN21" s="520"/>
      <c r="AO21" s="5565"/>
      <c r="AP21" s="5566"/>
      <c r="AQ21" s="5566"/>
      <c r="AR21" s="5566"/>
      <c r="AS21" s="5566"/>
      <c r="AT21" s="1128" t="s">
        <v>1627</v>
      </c>
      <c r="AU21" s="1129" t="str">
        <f>IF(AO21=0,"",VLOOKUP(AO21,'Tablas Magia'!$D$6:$Z$680,3,FALSE))</f>
        <v/>
      </c>
      <c r="AV21" s="5567" t="s">
        <v>7685</v>
      </c>
      <c r="AW21" s="5567"/>
      <c r="AX21" s="5567"/>
      <c r="AY21" s="5568" t="str">
        <f>IF(AO21=0,"",VLOOKUP(AO21,'Tablas Magia'!$D$6:$Z$680,2,FALSE))</f>
        <v/>
      </c>
      <c r="AZ21" s="5568"/>
      <c r="BA21" s="5568"/>
      <c r="BB21" s="5568"/>
      <c r="BC21" s="5569"/>
      <c r="BD21" s="1114"/>
      <c r="BE21" s="1108"/>
    </row>
    <row r="22" spans="1:57" ht="12" customHeight="1">
      <c r="A22" s="1108"/>
      <c r="B22" s="520"/>
      <c r="C22" s="5585" t="s">
        <v>7686</v>
      </c>
      <c r="D22" s="5586"/>
      <c r="E22" s="1130" t="s">
        <v>7687</v>
      </c>
      <c r="F22" s="1130" t="s">
        <v>1820</v>
      </c>
      <c r="G22" s="1130" t="s">
        <v>3332</v>
      </c>
      <c r="H22" s="1131" t="s">
        <v>2165</v>
      </c>
      <c r="I22" s="5582" t="str">
        <f>IF(C21=0,"",VLOOKUP(C21,'Tablas Magia'!$D$6:$Z$680,5,FALSE))</f>
        <v/>
      </c>
      <c r="J22" s="5582"/>
      <c r="K22" s="5583" t="s">
        <v>7688</v>
      </c>
      <c r="L22" s="5583"/>
      <c r="M22" s="5582" t="str">
        <f>IF(C21=0,"",VLOOKUP(C21,'Tablas Magia'!$D$6:$Z$680,6,FALSE))</f>
        <v/>
      </c>
      <c r="N22" s="5582"/>
      <c r="O22" s="5584" t="s">
        <v>7689</v>
      </c>
      <c r="P22" s="5584"/>
      <c r="Q22" s="1132" t="str">
        <f>IF(C21=0,"",VLOOKUP(C21,'Tablas Magia'!$D$6:$Z$680,4,FALSE))</f>
        <v/>
      </c>
      <c r="R22" s="1114"/>
      <c r="S22" s="1108"/>
      <c r="T22" s="1108"/>
      <c r="U22" s="520"/>
      <c r="V22" s="5585" t="s">
        <v>7686</v>
      </c>
      <c r="W22" s="5586"/>
      <c r="X22" s="1130" t="s">
        <v>7687</v>
      </c>
      <c r="Y22" s="1130" t="s">
        <v>1820</v>
      </c>
      <c r="Z22" s="1130" t="s">
        <v>3332</v>
      </c>
      <c r="AA22" s="1131" t="s">
        <v>2165</v>
      </c>
      <c r="AB22" s="5582" t="str">
        <f>IF(V21=0,"",VLOOKUP(V21,'Tablas Magia'!$D$6:$Z$680,5,FALSE))</f>
        <v/>
      </c>
      <c r="AC22" s="5582"/>
      <c r="AD22" s="5583" t="s">
        <v>7688</v>
      </c>
      <c r="AE22" s="5583"/>
      <c r="AF22" s="5582" t="str">
        <f>IF(V21=0,"",VLOOKUP(V21,'Tablas Magia'!$D$6:$Z$680,6,FALSE))</f>
        <v/>
      </c>
      <c r="AG22" s="5582"/>
      <c r="AH22" s="5584" t="s">
        <v>7689</v>
      </c>
      <c r="AI22" s="5584"/>
      <c r="AJ22" s="1132" t="str">
        <f>IF(V21=0,"",VLOOKUP(V21,'Tablas Magia'!$D$6:$Z$680,4,FALSE))</f>
        <v/>
      </c>
      <c r="AK22" s="1114"/>
      <c r="AL22" s="1108"/>
      <c r="AM22" s="1108"/>
      <c r="AN22" s="520"/>
      <c r="AO22" s="5585" t="s">
        <v>7686</v>
      </c>
      <c r="AP22" s="5586"/>
      <c r="AQ22" s="1130" t="s">
        <v>7687</v>
      </c>
      <c r="AR22" s="1130" t="s">
        <v>1820</v>
      </c>
      <c r="AS22" s="1130" t="s">
        <v>3332</v>
      </c>
      <c r="AT22" s="1131" t="s">
        <v>2165</v>
      </c>
      <c r="AU22" s="5582" t="str">
        <f>IF(AO21=0,"",VLOOKUP(AO21,'Tablas Magia'!$D$6:$Z$680,5,FALSE))</f>
        <v/>
      </c>
      <c r="AV22" s="5582"/>
      <c r="AW22" s="5583" t="s">
        <v>7688</v>
      </c>
      <c r="AX22" s="5583"/>
      <c r="AY22" s="5582" t="str">
        <f>IF(AO21=0,"",VLOOKUP(AO21,'Tablas Magia'!$D$6:$Z$680,6,FALSE))</f>
        <v/>
      </c>
      <c r="AZ22" s="5582"/>
      <c r="BA22" s="5584" t="s">
        <v>7689</v>
      </c>
      <c r="BB22" s="5584"/>
      <c r="BC22" s="1132" t="str">
        <f>IF(AO21=0,"",VLOOKUP(AO21,'Tablas Magia'!$D$6:$Z$680,4,FALSE))</f>
        <v/>
      </c>
      <c r="BD22" s="1114"/>
      <c r="BE22" s="1108"/>
    </row>
    <row r="23" spans="1:57" ht="12" customHeight="1">
      <c r="A23" s="1108"/>
      <c r="B23" s="520"/>
      <c r="C23" s="5577" t="s">
        <v>1674</v>
      </c>
      <c r="D23" s="5578"/>
      <c r="E23" s="1133" t="str">
        <f>IF(C21=0,"",VLOOKUP(C21,'Tablas Magia'!$D$6:$Z$680,7,FALSE))</f>
        <v/>
      </c>
      <c r="F23" s="1133" t="str">
        <f>IF(C21=0,"",VLOOKUP(C21,'Tablas Magia'!$D$6:$Z$680,11,FALSE))</f>
        <v/>
      </c>
      <c r="G23" s="1134" t="str">
        <f>IF(C21=0,"",VLOOKUP(C21,'Tablas Magia'!$D$6:$Z$680,15,FALSE))</f>
        <v/>
      </c>
      <c r="H23" s="5579" t="str">
        <f>IF(C21=0,"",VLOOKUP(C21,'Tablas Magia'!$D$6:$Z$680,19,FALSE))</f>
        <v/>
      </c>
      <c r="I23" s="5580"/>
      <c r="J23" s="5580"/>
      <c r="K23" s="5580"/>
      <c r="L23" s="5580"/>
      <c r="M23" s="5580"/>
      <c r="N23" s="5580"/>
      <c r="O23" s="5580"/>
      <c r="P23" s="5580"/>
      <c r="Q23" s="5581"/>
      <c r="R23" s="1114"/>
      <c r="S23" s="1108"/>
      <c r="T23" s="1108"/>
      <c r="U23" s="520"/>
      <c r="V23" s="5577" t="s">
        <v>1674</v>
      </c>
      <c r="W23" s="5578"/>
      <c r="X23" s="1133" t="str">
        <f>IF(V21=0,"",VLOOKUP(V21,'Tablas Magia'!$D$6:$Z$680,7,FALSE))</f>
        <v/>
      </c>
      <c r="Y23" s="1133" t="str">
        <f>IF(V21=0,"",VLOOKUP(V21,'Tablas Magia'!$D$6:$Z$680,11,FALSE))</f>
        <v/>
      </c>
      <c r="Z23" s="1134" t="str">
        <f>IF(V21=0,"",VLOOKUP(V21,'Tablas Magia'!$D$6:$Z$680,15,FALSE))</f>
        <v/>
      </c>
      <c r="AA23" s="5579" t="str">
        <f>IF(V21=0,"",VLOOKUP(V21,'Tablas Magia'!$D$6:$Z$680,19,FALSE))</f>
        <v/>
      </c>
      <c r="AB23" s="5580"/>
      <c r="AC23" s="5580"/>
      <c r="AD23" s="5580"/>
      <c r="AE23" s="5580"/>
      <c r="AF23" s="5580"/>
      <c r="AG23" s="5580"/>
      <c r="AH23" s="5580"/>
      <c r="AI23" s="5580"/>
      <c r="AJ23" s="5581"/>
      <c r="AK23" s="1114"/>
      <c r="AL23" s="1108"/>
      <c r="AM23" s="1108"/>
      <c r="AN23" s="520"/>
      <c r="AO23" s="5577" t="s">
        <v>1674</v>
      </c>
      <c r="AP23" s="5578"/>
      <c r="AQ23" s="1133" t="str">
        <f>IF(AO21=0,"",VLOOKUP(AO21,'Tablas Magia'!$D$6:$Z$680,7,FALSE))</f>
        <v/>
      </c>
      <c r="AR23" s="1133" t="str">
        <f>IF(AO21=0,"",VLOOKUP(AO21,'Tablas Magia'!$D$6:$Z$680,11,FALSE))</f>
        <v/>
      </c>
      <c r="AS23" s="1134" t="str">
        <f>IF(AO21=0,"",VLOOKUP(AO21,'Tablas Magia'!$D$6:$Z$680,15,FALSE))</f>
        <v/>
      </c>
      <c r="AT23" s="5579" t="str">
        <f>IF(AO21=0,"",VLOOKUP(AO21,'Tablas Magia'!$D$6:$Z$680,19,FALSE))</f>
        <v/>
      </c>
      <c r="AU23" s="5580"/>
      <c r="AV23" s="5580"/>
      <c r="AW23" s="5580"/>
      <c r="AX23" s="5580"/>
      <c r="AY23" s="5580"/>
      <c r="AZ23" s="5580"/>
      <c r="BA23" s="5580"/>
      <c r="BB23" s="5580"/>
      <c r="BC23" s="5581"/>
      <c r="BD23" s="1114"/>
      <c r="BE23" s="1108"/>
    </row>
    <row r="24" spans="1:57" ht="12" customHeight="1">
      <c r="A24" s="1108"/>
      <c r="B24" s="520"/>
      <c r="C24" s="5572" t="s">
        <v>4570</v>
      </c>
      <c r="D24" s="5573"/>
      <c r="E24" s="1135" t="str">
        <f>IF(C21=0,"",VLOOKUP(C21,'Tablas Magia'!$D$6:$Z$680,8,FALSE))</f>
        <v/>
      </c>
      <c r="F24" s="1135" t="str">
        <f>IF(C21=0,"",VLOOKUP(C21,'Tablas Magia'!$D$6:$Z$680,12,FALSE))</f>
        <v/>
      </c>
      <c r="G24" s="1136" t="str">
        <f>IF(C21=0,"",VLOOKUP(C21,'Tablas Magia'!$D$6:$Z$680,16,FALSE))</f>
        <v/>
      </c>
      <c r="H24" s="5574" t="str">
        <f>IF(C21=0,"",VLOOKUP(C21,'Tablas Magia'!$D$6:$Z$680,20,FALSE))</f>
        <v/>
      </c>
      <c r="I24" s="5575"/>
      <c r="J24" s="5575"/>
      <c r="K24" s="5575"/>
      <c r="L24" s="5575"/>
      <c r="M24" s="5575"/>
      <c r="N24" s="5575"/>
      <c r="O24" s="5575"/>
      <c r="P24" s="5575"/>
      <c r="Q24" s="5576"/>
      <c r="R24" s="1114"/>
      <c r="S24" s="1108"/>
      <c r="T24" s="1108"/>
      <c r="U24" s="520"/>
      <c r="V24" s="5572" t="s">
        <v>4570</v>
      </c>
      <c r="W24" s="5573"/>
      <c r="X24" s="1135" t="str">
        <f>IF(V21=0,"",VLOOKUP(V21,'Tablas Magia'!$D$6:$Z$680,8,FALSE))</f>
        <v/>
      </c>
      <c r="Y24" s="1135" t="str">
        <f>IF(V21=0,"",VLOOKUP(V21,'Tablas Magia'!$D$6:$Z$680,12,FALSE))</f>
        <v/>
      </c>
      <c r="Z24" s="1136" t="str">
        <f>IF(V21=0,"",VLOOKUP(V21,'Tablas Magia'!$D$6:$Z$680,16,FALSE))</f>
        <v/>
      </c>
      <c r="AA24" s="5574" t="str">
        <f>IF(V21=0,"",VLOOKUP(V21,'Tablas Magia'!$D$6:$Z$680,20,FALSE))</f>
        <v/>
      </c>
      <c r="AB24" s="5575"/>
      <c r="AC24" s="5575"/>
      <c r="AD24" s="5575"/>
      <c r="AE24" s="5575"/>
      <c r="AF24" s="5575"/>
      <c r="AG24" s="5575"/>
      <c r="AH24" s="5575"/>
      <c r="AI24" s="5575"/>
      <c r="AJ24" s="5576"/>
      <c r="AK24" s="1114"/>
      <c r="AL24" s="1108"/>
      <c r="AM24" s="1108"/>
      <c r="AN24" s="520"/>
      <c r="AO24" s="5572" t="s">
        <v>4570</v>
      </c>
      <c r="AP24" s="5573"/>
      <c r="AQ24" s="1135" t="str">
        <f>IF(AO21=0,"",VLOOKUP(AO21,'Tablas Magia'!$D$6:$Z$680,8,FALSE))</f>
        <v/>
      </c>
      <c r="AR24" s="1135" t="str">
        <f>IF(AO21=0,"",VLOOKUP(AO21,'Tablas Magia'!$D$6:$Z$680,12,FALSE))</f>
        <v/>
      </c>
      <c r="AS24" s="1136" t="str">
        <f>IF(AO21=0,"",VLOOKUP(AO21,'Tablas Magia'!$D$6:$Z$680,16,FALSE))</f>
        <v/>
      </c>
      <c r="AT24" s="5574" t="str">
        <f>IF(AO21=0,"",VLOOKUP(AO21,'Tablas Magia'!$D$6:$Z$680,20,FALSE))</f>
        <v/>
      </c>
      <c r="AU24" s="5575"/>
      <c r="AV24" s="5575"/>
      <c r="AW24" s="5575"/>
      <c r="AX24" s="5575"/>
      <c r="AY24" s="5575"/>
      <c r="AZ24" s="5575"/>
      <c r="BA24" s="5575"/>
      <c r="BB24" s="5575"/>
      <c r="BC24" s="5576"/>
      <c r="BD24" s="1114"/>
      <c r="BE24" s="1108"/>
    </row>
    <row r="25" spans="1:57" ht="12" customHeight="1">
      <c r="A25" s="1108"/>
      <c r="B25" s="520"/>
      <c r="C25" s="5577" t="s">
        <v>4571</v>
      </c>
      <c r="D25" s="5578"/>
      <c r="E25" s="1133" t="str">
        <f>IF(C21=0,"",VLOOKUP(C21,'Tablas Magia'!$D$6:$Z$680,9,FALSE))</f>
        <v/>
      </c>
      <c r="F25" s="1133" t="str">
        <f>IF(C21=0,"",VLOOKUP(C21,'Tablas Magia'!$D$6:$Z$680,13,FALSE))</f>
        <v/>
      </c>
      <c r="G25" s="1134" t="str">
        <f>IF(C21=0,"",VLOOKUP(C21,'Tablas Magia'!$D$6:$Z$680,17,FALSE))</f>
        <v/>
      </c>
      <c r="H25" s="5579" t="str">
        <f>IF(C21=0,"",VLOOKUP(C21,'Tablas Magia'!$D$6:$Z$680,21,FALSE))</f>
        <v/>
      </c>
      <c r="I25" s="5580"/>
      <c r="J25" s="5580"/>
      <c r="K25" s="5580"/>
      <c r="L25" s="5580"/>
      <c r="M25" s="5580"/>
      <c r="N25" s="5580"/>
      <c r="O25" s="5580"/>
      <c r="P25" s="5580"/>
      <c r="Q25" s="5581"/>
      <c r="R25" s="1114"/>
      <c r="S25" s="1108"/>
      <c r="T25" s="1108"/>
      <c r="U25" s="520"/>
      <c r="V25" s="5577" t="s">
        <v>4571</v>
      </c>
      <c r="W25" s="5578"/>
      <c r="X25" s="1133" t="str">
        <f>IF(V21=0,"",VLOOKUP(V21,'Tablas Magia'!$D$6:$Z$680,9,FALSE))</f>
        <v/>
      </c>
      <c r="Y25" s="1133" t="str">
        <f>IF(V21=0,"",VLOOKUP(V21,'Tablas Magia'!$D$6:$Z$680,13,FALSE))</f>
        <v/>
      </c>
      <c r="Z25" s="1134" t="str">
        <f>IF(V21=0,"",VLOOKUP(V21,'Tablas Magia'!$D$6:$Z$680,17,FALSE))</f>
        <v/>
      </c>
      <c r="AA25" s="5579" t="str">
        <f>IF(V21=0,"",VLOOKUP(V21,'Tablas Magia'!$D$6:$Z$680,21,FALSE))</f>
        <v/>
      </c>
      <c r="AB25" s="5580"/>
      <c r="AC25" s="5580"/>
      <c r="AD25" s="5580"/>
      <c r="AE25" s="5580"/>
      <c r="AF25" s="5580"/>
      <c r="AG25" s="5580"/>
      <c r="AH25" s="5580"/>
      <c r="AI25" s="5580"/>
      <c r="AJ25" s="5581"/>
      <c r="AK25" s="1114"/>
      <c r="AL25" s="1108"/>
      <c r="AM25" s="1108"/>
      <c r="AN25" s="520"/>
      <c r="AO25" s="5577" t="s">
        <v>4571</v>
      </c>
      <c r="AP25" s="5578"/>
      <c r="AQ25" s="1133" t="str">
        <f>IF(AO21=0,"",VLOOKUP(AO21,'Tablas Magia'!$D$6:$Z$680,9,FALSE))</f>
        <v/>
      </c>
      <c r="AR25" s="1133" t="str">
        <f>IF(AO21=0,"",VLOOKUP(AO21,'Tablas Magia'!$D$6:$Z$680,13,FALSE))</f>
        <v/>
      </c>
      <c r="AS25" s="1134" t="str">
        <f>IF(AO21=0,"",VLOOKUP(AO21,'Tablas Magia'!$D$6:$Z$680,17,FALSE))</f>
        <v/>
      </c>
      <c r="AT25" s="5579" t="str">
        <f>IF(AO21=0,"",VLOOKUP(AO21,'Tablas Magia'!$D$6:$Z$680,21,FALSE))</f>
        <v/>
      </c>
      <c r="AU25" s="5580"/>
      <c r="AV25" s="5580"/>
      <c r="AW25" s="5580"/>
      <c r="AX25" s="5580"/>
      <c r="AY25" s="5580"/>
      <c r="AZ25" s="5580"/>
      <c r="BA25" s="5580"/>
      <c r="BB25" s="5580"/>
      <c r="BC25" s="5581"/>
      <c r="BD25" s="1114"/>
      <c r="BE25" s="1108"/>
    </row>
    <row r="26" spans="1:57" ht="12" customHeight="1" thickBot="1">
      <c r="A26" s="1108"/>
      <c r="B26" s="520"/>
      <c r="C26" s="5587" t="s">
        <v>4572</v>
      </c>
      <c r="D26" s="5588"/>
      <c r="E26" s="1137" t="str">
        <f>IF(C21=0,"",VLOOKUP(C21,'Tablas Magia'!$D$6:$Z$680,10,FALSE))</f>
        <v/>
      </c>
      <c r="F26" s="1137" t="str">
        <f>IF(C21=0,"",VLOOKUP(C21,'Tablas Magia'!$D$6:$Z$680,14,FALSE))</f>
        <v/>
      </c>
      <c r="G26" s="1138" t="str">
        <f>IF(C21=0,"",VLOOKUP(C21,'Tablas Magia'!$D$6:$Z$680,18,FALSE))</f>
        <v/>
      </c>
      <c r="H26" s="5589" t="str">
        <f>IF(C21=0,"",VLOOKUP(C21,'Tablas Magia'!$D$6:$Z$680,22,FALSE))</f>
        <v/>
      </c>
      <c r="I26" s="5590"/>
      <c r="J26" s="5590"/>
      <c r="K26" s="5590"/>
      <c r="L26" s="5590"/>
      <c r="M26" s="5590"/>
      <c r="N26" s="5590"/>
      <c r="O26" s="5590"/>
      <c r="P26" s="5590"/>
      <c r="Q26" s="5591"/>
      <c r="R26" s="1114"/>
      <c r="S26" s="1108"/>
      <c r="T26" s="1108"/>
      <c r="U26" s="520"/>
      <c r="V26" s="5587" t="s">
        <v>4572</v>
      </c>
      <c r="W26" s="5588"/>
      <c r="X26" s="1137" t="str">
        <f>IF(V21=0,"",VLOOKUP(V21,'Tablas Magia'!$D$6:$Z$680,10,FALSE))</f>
        <v/>
      </c>
      <c r="Y26" s="1137" t="str">
        <f>IF(V21=0,"",VLOOKUP(V21,'Tablas Magia'!$D$6:$Z$680,14,FALSE))</f>
        <v/>
      </c>
      <c r="Z26" s="1138" t="str">
        <f>IF(V21=0,"",VLOOKUP(V21,'Tablas Magia'!$D$6:$Z$680,18,FALSE))</f>
        <v/>
      </c>
      <c r="AA26" s="5589" t="str">
        <f>IF(V21=0,"",VLOOKUP(V21,'Tablas Magia'!$D$6:$Z$680,22,FALSE))</f>
        <v/>
      </c>
      <c r="AB26" s="5590"/>
      <c r="AC26" s="5590"/>
      <c r="AD26" s="5590"/>
      <c r="AE26" s="5590"/>
      <c r="AF26" s="5590"/>
      <c r="AG26" s="5590"/>
      <c r="AH26" s="5590"/>
      <c r="AI26" s="5590"/>
      <c r="AJ26" s="5591"/>
      <c r="AK26" s="1114"/>
      <c r="AL26" s="1108"/>
      <c r="AM26" s="1108"/>
      <c r="AN26" s="520"/>
      <c r="AO26" s="5587" t="s">
        <v>4572</v>
      </c>
      <c r="AP26" s="5588"/>
      <c r="AQ26" s="1137" t="str">
        <f>IF(AO21=0,"",VLOOKUP(AO21,'Tablas Magia'!$D$6:$Z$680,10,FALSE))</f>
        <v/>
      </c>
      <c r="AR26" s="1137" t="str">
        <f>IF(AO21=0,"",VLOOKUP(AO21,'Tablas Magia'!$D$6:$Z$680,14,FALSE))</f>
        <v/>
      </c>
      <c r="AS26" s="1138" t="str">
        <f>IF(AO21=0,"",VLOOKUP(AO21,'Tablas Magia'!$D$6:$Z$680,18,FALSE))</f>
        <v/>
      </c>
      <c r="AT26" s="5589" t="str">
        <f>IF(AO21=0,"",VLOOKUP(AO21,'Tablas Magia'!$D$6:$Z$680,22,FALSE))</f>
        <v/>
      </c>
      <c r="AU26" s="5590"/>
      <c r="AV26" s="5590"/>
      <c r="AW26" s="5590"/>
      <c r="AX26" s="5590"/>
      <c r="AY26" s="5590"/>
      <c r="AZ26" s="5590"/>
      <c r="BA26" s="5590"/>
      <c r="BB26" s="5590"/>
      <c r="BC26" s="5591"/>
      <c r="BD26" s="1114"/>
      <c r="BE26" s="1108"/>
    </row>
    <row r="27" spans="1:57" ht="12" customHeight="1">
      <c r="A27" s="1108"/>
      <c r="B27" s="520"/>
      <c r="C27" s="5592" t="str">
        <f>IF(C21=0,"",VLOOKUP(C21,'Tablas Magia'!$D$6:$Z$680,23,FALSE))</f>
        <v/>
      </c>
      <c r="D27" s="5593"/>
      <c r="E27" s="5593"/>
      <c r="F27" s="5593"/>
      <c r="G27" s="5593"/>
      <c r="H27" s="5593"/>
      <c r="I27" s="5593"/>
      <c r="J27" s="5593"/>
      <c r="K27" s="5593"/>
      <c r="L27" s="5593"/>
      <c r="M27" s="5593"/>
      <c r="N27" s="5593"/>
      <c r="O27" s="5593"/>
      <c r="P27" s="5593"/>
      <c r="Q27" s="5594"/>
      <c r="R27" s="1114"/>
      <c r="S27" s="1108"/>
      <c r="T27" s="1108"/>
      <c r="U27" s="520"/>
      <c r="V27" s="5592" t="str">
        <f>IF(V21=0,"",VLOOKUP(V21,'Tablas Magia'!$D$6:$Z$680,23,FALSE))</f>
        <v/>
      </c>
      <c r="W27" s="5593"/>
      <c r="X27" s="5593"/>
      <c r="Y27" s="5593"/>
      <c r="Z27" s="5593"/>
      <c r="AA27" s="5593"/>
      <c r="AB27" s="5593"/>
      <c r="AC27" s="5593"/>
      <c r="AD27" s="5593"/>
      <c r="AE27" s="5593"/>
      <c r="AF27" s="5593"/>
      <c r="AG27" s="5593"/>
      <c r="AH27" s="5593"/>
      <c r="AI27" s="5593"/>
      <c r="AJ27" s="5594"/>
      <c r="AK27" s="1114"/>
      <c r="AL27" s="1108"/>
      <c r="AM27" s="1108"/>
      <c r="AN27" s="520"/>
      <c r="AO27" s="5592" t="str">
        <f>IF(AO21=0,"",VLOOKUP(AO21,'Tablas Magia'!$D$6:$Z$680,23,FALSE))</f>
        <v/>
      </c>
      <c r="AP27" s="5593"/>
      <c r="AQ27" s="5593"/>
      <c r="AR27" s="5593"/>
      <c r="AS27" s="5593"/>
      <c r="AT27" s="5593"/>
      <c r="AU27" s="5593"/>
      <c r="AV27" s="5593"/>
      <c r="AW27" s="5593"/>
      <c r="AX27" s="5593"/>
      <c r="AY27" s="5593"/>
      <c r="AZ27" s="5593"/>
      <c r="BA27" s="5593"/>
      <c r="BB27" s="5593"/>
      <c r="BC27" s="5594"/>
      <c r="BD27" s="1114"/>
      <c r="BE27" s="1108"/>
    </row>
    <row r="28" spans="1:57" ht="12" customHeight="1">
      <c r="A28" s="1108"/>
      <c r="B28" s="520"/>
      <c r="C28" s="5595"/>
      <c r="D28" s="5596"/>
      <c r="E28" s="5596"/>
      <c r="F28" s="5596"/>
      <c r="G28" s="5596"/>
      <c r="H28" s="5596"/>
      <c r="I28" s="5596"/>
      <c r="J28" s="5596"/>
      <c r="K28" s="5596"/>
      <c r="L28" s="5596"/>
      <c r="M28" s="5596"/>
      <c r="N28" s="5596"/>
      <c r="O28" s="5596"/>
      <c r="P28" s="5596"/>
      <c r="Q28" s="5597"/>
      <c r="R28" s="1114"/>
      <c r="S28" s="1108"/>
      <c r="T28" s="1108"/>
      <c r="U28" s="520"/>
      <c r="V28" s="5595"/>
      <c r="W28" s="5596"/>
      <c r="X28" s="5596"/>
      <c r="Y28" s="5596"/>
      <c r="Z28" s="5596"/>
      <c r="AA28" s="5596"/>
      <c r="AB28" s="5596"/>
      <c r="AC28" s="5596"/>
      <c r="AD28" s="5596"/>
      <c r="AE28" s="5596"/>
      <c r="AF28" s="5596"/>
      <c r="AG28" s="5596"/>
      <c r="AH28" s="5596"/>
      <c r="AI28" s="5596"/>
      <c r="AJ28" s="5597"/>
      <c r="AK28" s="1114"/>
      <c r="AL28" s="1108"/>
      <c r="AM28" s="1108"/>
      <c r="AN28" s="520"/>
      <c r="AO28" s="5595"/>
      <c r="AP28" s="5596"/>
      <c r="AQ28" s="5596"/>
      <c r="AR28" s="5596"/>
      <c r="AS28" s="5596"/>
      <c r="AT28" s="5596"/>
      <c r="AU28" s="5596"/>
      <c r="AV28" s="5596"/>
      <c r="AW28" s="5596"/>
      <c r="AX28" s="5596"/>
      <c r="AY28" s="5596"/>
      <c r="AZ28" s="5596"/>
      <c r="BA28" s="5596"/>
      <c r="BB28" s="5596"/>
      <c r="BC28" s="5597"/>
      <c r="BD28" s="1114"/>
      <c r="BE28" s="1108"/>
    </row>
    <row r="29" spans="1:57" ht="12" customHeight="1">
      <c r="A29" s="1108"/>
      <c r="B29" s="520"/>
      <c r="C29" s="5595"/>
      <c r="D29" s="5596"/>
      <c r="E29" s="5596"/>
      <c r="F29" s="5596"/>
      <c r="G29" s="5596"/>
      <c r="H29" s="5596"/>
      <c r="I29" s="5596"/>
      <c r="J29" s="5596"/>
      <c r="K29" s="5596"/>
      <c r="L29" s="5596"/>
      <c r="M29" s="5596"/>
      <c r="N29" s="5596"/>
      <c r="O29" s="5596"/>
      <c r="P29" s="5596"/>
      <c r="Q29" s="5597"/>
      <c r="R29" s="1114"/>
      <c r="S29" s="1108"/>
      <c r="T29" s="1108"/>
      <c r="U29" s="520"/>
      <c r="V29" s="5595"/>
      <c r="W29" s="5596"/>
      <c r="X29" s="5596"/>
      <c r="Y29" s="5596"/>
      <c r="Z29" s="5596"/>
      <c r="AA29" s="5596"/>
      <c r="AB29" s="5596"/>
      <c r="AC29" s="5596"/>
      <c r="AD29" s="5596"/>
      <c r="AE29" s="5596"/>
      <c r="AF29" s="5596"/>
      <c r="AG29" s="5596"/>
      <c r="AH29" s="5596"/>
      <c r="AI29" s="5596"/>
      <c r="AJ29" s="5597"/>
      <c r="AK29" s="1114"/>
      <c r="AL29" s="1108"/>
      <c r="AM29" s="1108"/>
      <c r="AN29" s="520"/>
      <c r="AO29" s="5595"/>
      <c r="AP29" s="5596"/>
      <c r="AQ29" s="5596"/>
      <c r="AR29" s="5596"/>
      <c r="AS29" s="5596"/>
      <c r="AT29" s="5596"/>
      <c r="AU29" s="5596"/>
      <c r="AV29" s="5596"/>
      <c r="AW29" s="5596"/>
      <c r="AX29" s="5596"/>
      <c r="AY29" s="5596"/>
      <c r="AZ29" s="5596"/>
      <c r="BA29" s="5596"/>
      <c r="BB29" s="5596"/>
      <c r="BC29" s="5597"/>
      <c r="BD29" s="1114"/>
      <c r="BE29" s="1108"/>
    </row>
    <row r="30" spans="1:57" ht="12" customHeight="1" thickBot="1">
      <c r="A30" s="1108"/>
      <c r="B30" s="520"/>
      <c r="C30" s="5598"/>
      <c r="D30" s="5599"/>
      <c r="E30" s="5599"/>
      <c r="F30" s="5599"/>
      <c r="G30" s="5599"/>
      <c r="H30" s="5599"/>
      <c r="I30" s="5599"/>
      <c r="J30" s="5599"/>
      <c r="K30" s="5599"/>
      <c r="L30" s="5599"/>
      <c r="M30" s="5599"/>
      <c r="N30" s="5599"/>
      <c r="O30" s="5599"/>
      <c r="P30" s="5599"/>
      <c r="Q30" s="5600"/>
      <c r="R30" s="1114"/>
      <c r="S30" s="1108"/>
      <c r="T30" s="1108"/>
      <c r="U30" s="520"/>
      <c r="V30" s="5598"/>
      <c r="W30" s="5599"/>
      <c r="X30" s="5599"/>
      <c r="Y30" s="5599"/>
      <c r="Z30" s="5599"/>
      <c r="AA30" s="5599"/>
      <c r="AB30" s="5599"/>
      <c r="AC30" s="5599"/>
      <c r="AD30" s="5599"/>
      <c r="AE30" s="5599"/>
      <c r="AF30" s="5599"/>
      <c r="AG30" s="5599"/>
      <c r="AH30" s="5599"/>
      <c r="AI30" s="5599"/>
      <c r="AJ30" s="5600"/>
      <c r="AK30" s="1114"/>
      <c r="AL30" s="1108"/>
      <c r="AM30" s="1108"/>
      <c r="AN30" s="520"/>
      <c r="AO30" s="5598"/>
      <c r="AP30" s="5599"/>
      <c r="AQ30" s="5599"/>
      <c r="AR30" s="5599"/>
      <c r="AS30" s="5599"/>
      <c r="AT30" s="5599"/>
      <c r="AU30" s="5599"/>
      <c r="AV30" s="5599"/>
      <c r="AW30" s="5599"/>
      <c r="AX30" s="5599"/>
      <c r="AY30" s="5599"/>
      <c r="AZ30" s="5599"/>
      <c r="BA30" s="5599"/>
      <c r="BB30" s="5599"/>
      <c r="BC30" s="5600"/>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565"/>
      <c r="D32" s="5566"/>
      <c r="E32" s="5566"/>
      <c r="F32" s="5566"/>
      <c r="G32" s="5566"/>
      <c r="H32" s="1128" t="s">
        <v>1627</v>
      </c>
      <c r="I32" s="1129" t="str">
        <f>IF(C32=0,"",VLOOKUP(C32,'Tablas Magia'!$D$6:$Z$680,3,FALSE))</f>
        <v/>
      </c>
      <c r="J32" s="5567" t="s">
        <v>7685</v>
      </c>
      <c r="K32" s="5567"/>
      <c r="L32" s="5567"/>
      <c r="M32" s="5568" t="str">
        <f>IF(C32=0,"",VLOOKUP(C32,'Tablas Magia'!$D$6:$Z$680,2,FALSE))</f>
        <v/>
      </c>
      <c r="N32" s="5568"/>
      <c r="O32" s="5568"/>
      <c r="P32" s="5568"/>
      <c r="Q32" s="5569"/>
      <c r="R32" s="1114"/>
      <c r="S32" s="1108"/>
      <c r="T32" s="1108"/>
      <c r="U32" s="520"/>
      <c r="V32" s="5565"/>
      <c r="W32" s="5566"/>
      <c r="X32" s="5566"/>
      <c r="Y32" s="5566"/>
      <c r="Z32" s="5566"/>
      <c r="AA32" s="1128" t="s">
        <v>1627</v>
      </c>
      <c r="AB32" s="1129" t="str">
        <f>IF(V32=0,"",VLOOKUP(V32,'Tablas Magia'!$D$6:$Z$680,3,FALSE))</f>
        <v/>
      </c>
      <c r="AC32" s="5567" t="s">
        <v>7685</v>
      </c>
      <c r="AD32" s="5567"/>
      <c r="AE32" s="5567"/>
      <c r="AF32" s="5568" t="str">
        <f>IF(V32=0,"",VLOOKUP(V32,'Tablas Magia'!$D$6:$Z$680,2,FALSE))</f>
        <v/>
      </c>
      <c r="AG32" s="5568"/>
      <c r="AH32" s="5568"/>
      <c r="AI32" s="5568"/>
      <c r="AJ32" s="5569"/>
      <c r="AK32" s="1114"/>
      <c r="AL32" s="1108"/>
      <c r="AM32" s="1108"/>
      <c r="AN32" s="520"/>
      <c r="AO32" s="5565"/>
      <c r="AP32" s="5566"/>
      <c r="AQ32" s="5566"/>
      <c r="AR32" s="5566"/>
      <c r="AS32" s="5566"/>
      <c r="AT32" s="1128" t="s">
        <v>1627</v>
      </c>
      <c r="AU32" s="1129" t="str">
        <f>IF(AO32=0,"",VLOOKUP(AO32,'Tablas Magia'!$D$6:$Z$680,3,FALSE))</f>
        <v/>
      </c>
      <c r="AV32" s="5567" t="s">
        <v>7685</v>
      </c>
      <c r="AW32" s="5567"/>
      <c r="AX32" s="5567"/>
      <c r="AY32" s="5568" t="str">
        <f>IF(AO32=0,"",VLOOKUP(AO32,'Tablas Magia'!$D$6:$Z$680,2,FALSE))</f>
        <v/>
      </c>
      <c r="AZ32" s="5568"/>
      <c r="BA32" s="5568"/>
      <c r="BB32" s="5568"/>
      <c r="BC32" s="5569"/>
      <c r="BD32" s="1114"/>
      <c r="BE32" s="1108"/>
    </row>
    <row r="33" spans="1:57" ht="12" customHeight="1">
      <c r="A33" s="1108"/>
      <c r="B33" s="520"/>
      <c r="C33" s="5585" t="s">
        <v>7686</v>
      </c>
      <c r="D33" s="5586"/>
      <c r="E33" s="1130" t="s">
        <v>7687</v>
      </c>
      <c r="F33" s="1130" t="s">
        <v>1820</v>
      </c>
      <c r="G33" s="1130" t="s">
        <v>3332</v>
      </c>
      <c r="H33" s="1131" t="s">
        <v>2165</v>
      </c>
      <c r="I33" s="5582" t="str">
        <f>IF(C32=0,"",VLOOKUP(C32,'Tablas Magia'!$D$6:$Z$680,5,FALSE))</f>
        <v/>
      </c>
      <c r="J33" s="5582"/>
      <c r="K33" s="5583" t="s">
        <v>7688</v>
      </c>
      <c r="L33" s="5583"/>
      <c r="M33" s="5582" t="str">
        <f>IF(C32=0,"",VLOOKUP(C32,'Tablas Magia'!$D$6:$Z$680,6,FALSE))</f>
        <v/>
      </c>
      <c r="N33" s="5582"/>
      <c r="O33" s="5584" t="s">
        <v>7689</v>
      </c>
      <c r="P33" s="5584"/>
      <c r="Q33" s="1132" t="str">
        <f>IF(C32=0,"",VLOOKUP(C32,'Tablas Magia'!$D$6:$Z$680,4,FALSE))</f>
        <v/>
      </c>
      <c r="R33" s="1114"/>
      <c r="S33" s="1108"/>
      <c r="T33" s="1108"/>
      <c r="U33" s="520"/>
      <c r="V33" s="5585" t="s">
        <v>7686</v>
      </c>
      <c r="W33" s="5586"/>
      <c r="X33" s="1130" t="s">
        <v>7687</v>
      </c>
      <c r="Y33" s="1130" t="s">
        <v>1820</v>
      </c>
      <c r="Z33" s="1130" t="s">
        <v>3332</v>
      </c>
      <c r="AA33" s="1131" t="s">
        <v>2165</v>
      </c>
      <c r="AB33" s="5582" t="str">
        <f>IF(V32=0,"",VLOOKUP(V32,'Tablas Magia'!$D$6:$Z$680,5,FALSE))</f>
        <v/>
      </c>
      <c r="AC33" s="5582"/>
      <c r="AD33" s="5583" t="s">
        <v>7688</v>
      </c>
      <c r="AE33" s="5583"/>
      <c r="AF33" s="5582" t="str">
        <f>IF(V32=0,"",VLOOKUP(V32,'Tablas Magia'!$D$6:$Z$680,6,FALSE))</f>
        <v/>
      </c>
      <c r="AG33" s="5582"/>
      <c r="AH33" s="5584" t="s">
        <v>7689</v>
      </c>
      <c r="AI33" s="5584"/>
      <c r="AJ33" s="1132" t="str">
        <f>IF(V32=0,"",VLOOKUP(V32,'Tablas Magia'!$D$6:$Z$680,4,FALSE))</f>
        <v/>
      </c>
      <c r="AK33" s="1114"/>
      <c r="AL33" s="1108"/>
      <c r="AM33" s="1108"/>
      <c r="AN33" s="520"/>
      <c r="AO33" s="5585" t="s">
        <v>7686</v>
      </c>
      <c r="AP33" s="5586"/>
      <c r="AQ33" s="1130" t="s">
        <v>7687</v>
      </c>
      <c r="AR33" s="1130" t="s">
        <v>1820</v>
      </c>
      <c r="AS33" s="1130" t="s">
        <v>3332</v>
      </c>
      <c r="AT33" s="1131" t="s">
        <v>2165</v>
      </c>
      <c r="AU33" s="5582" t="str">
        <f>IF(AO32=0,"",VLOOKUP(AO32,'Tablas Magia'!$D$6:$Z$680,5,FALSE))</f>
        <v/>
      </c>
      <c r="AV33" s="5582"/>
      <c r="AW33" s="5583" t="s">
        <v>7688</v>
      </c>
      <c r="AX33" s="5583"/>
      <c r="AY33" s="5582" t="str">
        <f>IF(AO32=0,"",VLOOKUP(AO32,'Tablas Magia'!$D$6:$Z$680,6,FALSE))</f>
        <v/>
      </c>
      <c r="AZ33" s="5582"/>
      <c r="BA33" s="5584" t="s">
        <v>7689</v>
      </c>
      <c r="BB33" s="5584"/>
      <c r="BC33" s="1132" t="str">
        <f>IF(AO32=0,"",VLOOKUP(AO32,'Tablas Magia'!$D$6:$Z$680,4,FALSE))</f>
        <v/>
      </c>
      <c r="BD33" s="1114"/>
      <c r="BE33" s="1108"/>
    </row>
    <row r="34" spans="1:57" ht="12" customHeight="1">
      <c r="A34" s="1108"/>
      <c r="B34" s="520"/>
      <c r="C34" s="5577" t="s">
        <v>1674</v>
      </c>
      <c r="D34" s="5578"/>
      <c r="E34" s="1133" t="str">
        <f>IF(C32=0,"",VLOOKUP(C32,'Tablas Magia'!$D$6:$Z$680,7,FALSE))</f>
        <v/>
      </c>
      <c r="F34" s="1133" t="str">
        <f>IF(C32=0,"",VLOOKUP(C32,'Tablas Magia'!$D$6:$Z$680,11,FALSE))</f>
        <v/>
      </c>
      <c r="G34" s="1134" t="str">
        <f>IF(C32=0,"",VLOOKUP(C32,'Tablas Magia'!$D$6:$Z$680,15,FALSE))</f>
        <v/>
      </c>
      <c r="H34" s="5579" t="str">
        <f>IF(C32=0,"",VLOOKUP(C32,'Tablas Magia'!$D$6:$Z$680,19,FALSE))</f>
        <v/>
      </c>
      <c r="I34" s="5580"/>
      <c r="J34" s="5580"/>
      <c r="K34" s="5580"/>
      <c r="L34" s="5580"/>
      <c r="M34" s="5580"/>
      <c r="N34" s="5580"/>
      <c r="O34" s="5580"/>
      <c r="P34" s="5580"/>
      <c r="Q34" s="5581"/>
      <c r="R34" s="1114"/>
      <c r="S34" s="1108"/>
      <c r="T34" s="1108"/>
      <c r="U34" s="520"/>
      <c r="V34" s="5577" t="s">
        <v>1674</v>
      </c>
      <c r="W34" s="5578"/>
      <c r="X34" s="1133" t="str">
        <f>IF(V32=0,"",VLOOKUP(V32,'Tablas Magia'!$D$6:$Z$680,7,FALSE))</f>
        <v/>
      </c>
      <c r="Y34" s="1133" t="str">
        <f>IF(V32=0,"",VLOOKUP(V32,'Tablas Magia'!$D$6:$Z$680,11,FALSE))</f>
        <v/>
      </c>
      <c r="Z34" s="1134" t="str">
        <f>IF(V32=0,"",VLOOKUP(V32,'Tablas Magia'!$D$6:$Z$680,15,FALSE))</f>
        <v/>
      </c>
      <c r="AA34" s="5579" t="str">
        <f>IF(V32=0,"",VLOOKUP(V32,'Tablas Magia'!$D$6:$Z$680,19,FALSE))</f>
        <v/>
      </c>
      <c r="AB34" s="5580"/>
      <c r="AC34" s="5580"/>
      <c r="AD34" s="5580"/>
      <c r="AE34" s="5580"/>
      <c r="AF34" s="5580"/>
      <c r="AG34" s="5580"/>
      <c r="AH34" s="5580"/>
      <c r="AI34" s="5580"/>
      <c r="AJ34" s="5581"/>
      <c r="AK34" s="1114"/>
      <c r="AL34" s="1108"/>
      <c r="AM34" s="1108"/>
      <c r="AN34" s="520"/>
      <c r="AO34" s="5577" t="s">
        <v>1674</v>
      </c>
      <c r="AP34" s="5578"/>
      <c r="AQ34" s="1133" t="str">
        <f>IF(AO32=0,"",VLOOKUP(AO32,'Tablas Magia'!$D$6:$Z$680,7,FALSE))</f>
        <v/>
      </c>
      <c r="AR34" s="1133" t="str">
        <f>IF(AO32=0,"",VLOOKUP(AO32,'Tablas Magia'!$D$6:$Z$680,11,FALSE))</f>
        <v/>
      </c>
      <c r="AS34" s="1134" t="str">
        <f>IF(AO32=0,"",VLOOKUP(AO32,'Tablas Magia'!$D$6:$Z$680,15,FALSE))</f>
        <v/>
      </c>
      <c r="AT34" s="5579" t="str">
        <f>IF(AO32=0,"",VLOOKUP(AO32,'Tablas Magia'!$D$6:$Z$680,19,FALSE))</f>
        <v/>
      </c>
      <c r="AU34" s="5580"/>
      <c r="AV34" s="5580"/>
      <c r="AW34" s="5580"/>
      <c r="AX34" s="5580"/>
      <c r="AY34" s="5580"/>
      <c r="AZ34" s="5580"/>
      <c r="BA34" s="5580"/>
      <c r="BB34" s="5580"/>
      <c r="BC34" s="5581"/>
      <c r="BD34" s="1114"/>
      <c r="BE34" s="1108"/>
    </row>
    <row r="35" spans="1:57" ht="12" customHeight="1">
      <c r="A35" s="1108"/>
      <c r="B35" s="520"/>
      <c r="C35" s="5572" t="s">
        <v>4570</v>
      </c>
      <c r="D35" s="5573"/>
      <c r="E35" s="1135" t="str">
        <f>IF(C32=0,"",VLOOKUP(C32,'Tablas Magia'!$D$6:$Z$680,8,FALSE))</f>
        <v/>
      </c>
      <c r="F35" s="1135" t="str">
        <f>IF(C32=0,"",VLOOKUP(C32,'Tablas Magia'!$D$6:$Z$680,12,FALSE))</f>
        <v/>
      </c>
      <c r="G35" s="1136" t="str">
        <f>IF(C32=0,"",VLOOKUP(C32,'Tablas Magia'!$D$6:$Z$680,16,FALSE))</f>
        <v/>
      </c>
      <c r="H35" s="5574" t="str">
        <f>IF(C32=0,"",VLOOKUP(C32,'Tablas Magia'!$D$6:$Z$680,20,FALSE))</f>
        <v/>
      </c>
      <c r="I35" s="5575"/>
      <c r="J35" s="5575"/>
      <c r="K35" s="5575"/>
      <c r="L35" s="5575"/>
      <c r="M35" s="5575"/>
      <c r="N35" s="5575"/>
      <c r="O35" s="5575"/>
      <c r="P35" s="5575"/>
      <c r="Q35" s="5576"/>
      <c r="R35" s="1114"/>
      <c r="S35" s="1108"/>
      <c r="T35" s="1108"/>
      <c r="U35" s="520"/>
      <c r="V35" s="5572" t="s">
        <v>4570</v>
      </c>
      <c r="W35" s="5573"/>
      <c r="X35" s="1135" t="str">
        <f>IF(V32=0,"",VLOOKUP(V32,'Tablas Magia'!$D$6:$Z$680,8,FALSE))</f>
        <v/>
      </c>
      <c r="Y35" s="1135" t="str">
        <f>IF(V32=0,"",VLOOKUP(V32,'Tablas Magia'!$D$6:$Z$680,12,FALSE))</f>
        <v/>
      </c>
      <c r="Z35" s="1136" t="str">
        <f>IF(V32=0,"",VLOOKUP(V32,'Tablas Magia'!$D$6:$Z$680,16,FALSE))</f>
        <v/>
      </c>
      <c r="AA35" s="5574" t="str">
        <f>IF(V32=0,"",VLOOKUP(V32,'Tablas Magia'!$D$6:$Z$680,20,FALSE))</f>
        <v/>
      </c>
      <c r="AB35" s="5575"/>
      <c r="AC35" s="5575"/>
      <c r="AD35" s="5575"/>
      <c r="AE35" s="5575"/>
      <c r="AF35" s="5575"/>
      <c r="AG35" s="5575"/>
      <c r="AH35" s="5575"/>
      <c r="AI35" s="5575"/>
      <c r="AJ35" s="5576"/>
      <c r="AK35" s="1114"/>
      <c r="AL35" s="1108"/>
      <c r="AM35" s="1108"/>
      <c r="AN35" s="520"/>
      <c r="AO35" s="5572" t="s">
        <v>4570</v>
      </c>
      <c r="AP35" s="5573"/>
      <c r="AQ35" s="1135" t="str">
        <f>IF(AO32=0,"",VLOOKUP(AO32,'Tablas Magia'!$D$6:$Z$680,8,FALSE))</f>
        <v/>
      </c>
      <c r="AR35" s="1135" t="str">
        <f>IF(AO32=0,"",VLOOKUP(AO32,'Tablas Magia'!$D$6:$Z$680,12,FALSE))</f>
        <v/>
      </c>
      <c r="AS35" s="1136" t="str">
        <f>IF(AO32=0,"",VLOOKUP(AO32,'Tablas Magia'!$D$6:$Z$680,16,FALSE))</f>
        <v/>
      </c>
      <c r="AT35" s="5574" t="str">
        <f>IF(AO32=0,"",VLOOKUP(AO32,'Tablas Magia'!$D$6:$Z$680,20,FALSE))</f>
        <v/>
      </c>
      <c r="AU35" s="5575"/>
      <c r="AV35" s="5575"/>
      <c r="AW35" s="5575"/>
      <c r="AX35" s="5575"/>
      <c r="AY35" s="5575"/>
      <c r="AZ35" s="5575"/>
      <c r="BA35" s="5575"/>
      <c r="BB35" s="5575"/>
      <c r="BC35" s="5576"/>
      <c r="BD35" s="1114"/>
      <c r="BE35" s="1108"/>
    </row>
    <row r="36" spans="1:57" ht="12" customHeight="1">
      <c r="A36" s="1108"/>
      <c r="B36" s="520"/>
      <c r="C36" s="5577" t="s">
        <v>4571</v>
      </c>
      <c r="D36" s="5578"/>
      <c r="E36" s="1133" t="str">
        <f>IF(C32=0,"",VLOOKUP(C32,'Tablas Magia'!$D$6:$Z$680,9,FALSE))</f>
        <v/>
      </c>
      <c r="F36" s="1133" t="str">
        <f>IF(C32=0,"",VLOOKUP(C32,'Tablas Magia'!$D$6:$Z$680,13,FALSE))</f>
        <v/>
      </c>
      <c r="G36" s="1134" t="str">
        <f>IF(C32=0,"",VLOOKUP(C32,'Tablas Magia'!$D$6:$Z$680,17,FALSE))</f>
        <v/>
      </c>
      <c r="H36" s="5579" t="str">
        <f>IF(C32=0,"",VLOOKUP(C32,'Tablas Magia'!$D$6:$Z$680,21,FALSE))</f>
        <v/>
      </c>
      <c r="I36" s="5580"/>
      <c r="J36" s="5580"/>
      <c r="K36" s="5580"/>
      <c r="L36" s="5580"/>
      <c r="M36" s="5580"/>
      <c r="N36" s="5580"/>
      <c r="O36" s="5580"/>
      <c r="P36" s="5580"/>
      <c r="Q36" s="5581"/>
      <c r="R36" s="1114"/>
      <c r="S36" s="1108"/>
      <c r="T36" s="1108"/>
      <c r="U36" s="520"/>
      <c r="V36" s="5577" t="s">
        <v>4571</v>
      </c>
      <c r="W36" s="5578"/>
      <c r="X36" s="1133" t="str">
        <f>IF(V32=0,"",VLOOKUP(V32,'Tablas Magia'!$D$6:$Z$680,9,FALSE))</f>
        <v/>
      </c>
      <c r="Y36" s="1133" t="str">
        <f>IF(V32=0,"",VLOOKUP(V32,'Tablas Magia'!$D$6:$Z$680,13,FALSE))</f>
        <v/>
      </c>
      <c r="Z36" s="1134" t="str">
        <f>IF(V32=0,"",VLOOKUP(V32,'Tablas Magia'!$D$6:$Z$680,17,FALSE))</f>
        <v/>
      </c>
      <c r="AA36" s="5579" t="str">
        <f>IF(V32=0,"",VLOOKUP(V32,'Tablas Magia'!$D$6:$Z$680,21,FALSE))</f>
        <v/>
      </c>
      <c r="AB36" s="5580"/>
      <c r="AC36" s="5580"/>
      <c r="AD36" s="5580"/>
      <c r="AE36" s="5580"/>
      <c r="AF36" s="5580"/>
      <c r="AG36" s="5580"/>
      <c r="AH36" s="5580"/>
      <c r="AI36" s="5580"/>
      <c r="AJ36" s="5581"/>
      <c r="AK36" s="1114"/>
      <c r="AL36" s="1108"/>
      <c r="AM36" s="1108"/>
      <c r="AN36" s="520"/>
      <c r="AO36" s="5577" t="s">
        <v>4571</v>
      </c>
      <c r="AP36" s="5578"/>
      <c r="AQ36" s="1133" t="str">
        <f>IF(AO32=0,"",VLOOKUP(AO32,'Tablas Magia'!$D$6:$Z$680,9,FALSE))</f>
        <v/>
      </c>
      <c r="AR36" s="1133" t="str">
        <f>IF(AO32=0,"",VLOOKUP(AO32,'Tablas Magia'!$D$6:$Z$680,13,FALSE))</f>
        <v/>
      </c>
      <c r="AS36" s="1134" t="str">
        <f>IF(AO32=0,"",VLOOKUP(AO32,'Tablas Magia'!$D$6:$Z$680,17,FALSE))</f>
        <v/>
      </c>
      <c r="AT36" s="5579" t="str">
        <f>IF(AO32=0,"",VLOOKUP(AO32,'Tablas Magia'!$D$6:$Z$680,21,FALSE))</f>
        <v/>
      </c>
      <c r="AU36" s="5580"/>
      <c r="AV36" s="5580"/>
      <c r="AW36" s="5580"/>
      <c r="AX36" s="5580"/>
      <c r="AY36" s="5580"/>
      <c r="AZ36" s="5580"/>
      <c r="BA36" s="5580"/>
      <c r="BB36" s="5580"/>
      <c r="BC36" s="5581"/>
      <c r="BD36" s="1114"/>
      <c r="BE36" s="1108"/>
    </row>
    <row r="37" spans="1:57" ht="12" customHeight="1" thickBot="1">
      <c r="A37" s="1108"/>
      <c r="B37" s="520"/>
      <c r="C37" s="5587" t="s">
        <v>4572</v>
      </c>
      <c r="D37" s="5588"/>
      <c r="E37" s="1137" t="str">
        <f>IF(C32=0,"",VLOOKUP(C32,'Tablas Magia'!$D$6:$Z$680,10,FALSE))</f>
        <v/>
      </c>
      <c r="F37" s="1137" t="str">
        <f>IF(C32=0,"",VLOOKUP(C32,'Tablas Magia'!$D$6:$Z$680,14,FALSE))</f>
        <v/>
      </c>
      <c r="G37" s="1138" t="str">
        <f>IF(C32=0,"",VLOOKUP(C32,'Tablas Magia'!$D$6:$Z$680,18,FALSE))</f>
        <v/>
      </c>
      <c r="H37" s="5589" t="str">
        <f>IF(C32=0,"",VLOOKUP(C32,'Tablas Magia'!$D$6:$Z$680,22,FALSE))</f>
        <v/>
      </c>
      <c r="I37" s="5590"/>
      <c r="J37" s="5590"/>
      <c r="K37" s="5590"/>
      <c r="L37" s="5590"/>
      <c r="M37" s="5590"/>
      <c r="N37" s="5590"/>
      <c r="O37" s="5590"/>
      <c r="P37" s="5590"/>
      <c r="Q37" s="5591"/>
      <c r="R37" s="1114"/>
      <c r="S37" s="1108"/>
      <c r="T37" s="1108"/>
      <c r="U37" s="520"/>
      <c r="V37" s="5587" t="s">
        <v>4572</v>
      </c>
      <c r="W37" s="5588"/>
      <c r="X37" s="1137" t="str">
        <f>IF(V32=0,"",VLOOKUP(V32,'Tablas Magia'!$D$6:$Z$680,10,FALSE))</f>
        <v/>
      </c>
      <c r="Y37" s="1137" t="str">
        <f>IF(V32=0,"",VLOOKUP(V32,'Tablas Magia'!$D$6:$Z$680,14,FALSE))</f>
        <v/>
      </c>
      <c r="Z37" s="1138" t="str">
        <f>IF(V32=0,"",VLOOKUP(V32,'Tablas Magia'!$D$6:$Z$680,18,FALSE))</f>
        <v/>
      </c>
      <c r="AA37" s="5589" t="str">
        <f>IF(V32=0,"",VLOOKUP(V32,'Tablas Magia'!$D$6:$Z$680,22,FALSE))</f>
        <v/>
      </c>
      <c r="AB37" s="5590"/>
      <c r="AC37" s="5590"/>
      <c r="AD37" s="5590"/>
      <c r="AE37" s="5590"/>
      <c r="AF37" s="5590"/>
      <c r="AG37" s="5590"/>
      <c r="AH37" s="5590"/>
      <c r="AI37" s="5590"/>
      <c r="AJ37" s="5591"/>
      <c r="AK37" s="1114"/>
      <c r="AL37" s="1108"/>
      <c r="AM37" s="1108"/>
      <c r="AN37" s="520"/>
      <c r="AO37" s="5587" t="s">
        <v>4572</v>
      </c>
      <c r="AP37" s="5588"/>
      <c r="AQ37" s="1137" t="str">
        <f>IF(AO32=0,"",VLOOKUP(AO32,'Tablas Magia'!$D$6:$Z$680,10,FALSE))</f>
        <v/>
      </c>
      <c r="AR37" s="1137" t="str">
        <f>IF(AO32=0,"",VLOOKUP(AO32,'Tablas Magia'!$D$6:$Z$680,14,FALSE))</f>
        <v/>
      </c>
      <c r="AS37" s="1138" t="str">
        <f>IF(AO32=0,"",VLOOKUP(AO32,'Tablas Magia'!$D$6:$Z$680,18,FALSE))</f>
        <v/>
      </c>
      <c r="AT37" s="5589" t="str">
        <f>IF(AO32=0,"",VLOOKUP(AO32,'Tablas Magia'!$D$6:$Z$680,22,FALSE))</f>
        <v/>
      </c>
      <c r="AU37" s="5590"/>
      <c r="AV37" s="5590"/>
      <c r="AW37" s="5590"/>
      <c r="AX37" s="5590"/>
      <c r="AY37" s="5590"/>
      <c r="AZ37" s="5590"/>
      <c r="BA37" s="5590"/>
      <c r="BB37" s="5590"/>
      <c r="BC37" s="5591"/>
      <c r="BD37" s="1114"/>
      <c r="BE37" s="1108"/>
    </row>
    <row r="38" spans="1:57" ht="12" customHeight="1">
      <c r="A38" s="1108"/>
      <c r="B38" s="520"/>
      <c r="C38" s="5592" t="str">
        <f>IF(C32=0,"",VLOOKUP(C32,'Tablas Magia'!$D$6:$Z$680,23,FALSE))</f>
        <v/>
      </c>
      <c r="D38" s="5593"/>
      <c r="E38" s="5593"/>
      <c r="F38" s="5593"/>
      <c r="G38" s="5593"/>
      <c r="H38" s="5593"/>
      <c r="I38" s="5593"/>
      <c r="J38" s="5593"/>
      <c r="K38" s="5593"/>
      <c r="L38" s="5593"/>
      <c r="M38" s="5593"/>
      <c r="N38" s="5593"/>
      <c r="O38" s="5593"/>
      <c r="P38" s="5593"/>
      <c r="Q38" s="5594"/>
      <c r="R38" s="1114"/>
      <c r="S38" s="1108"/>
      <c r="T38" s="1108"/>
      <c r="U38" s="520"/>
      <c r="V38" s="5592" t="str">
        <f>IF(V32=0,"",VLOOKUP(V32,'Tablas Magia'!$D$6:$Z$680,23,FALSE))</f>
        <v/>
      </c>
      <c r="W38" s="5593"/>
      <c r="X38" s="5593"/>
      <c r="Y38" s="5593"/>
      <c r="Z38" s="5593"/>
      <c r="AA38" s="5593"/>
      <c r="AB38" s="5593"/>
      <c r="AC38" s="5593"/>
      <c r="AD38" s="5593"/>
      <c r="AE38" s="5593"/>
      <c r="AF38" s="5593"/>
      <c r="AG38" s="5593"/>
      <c r="AH38" s="5593"/>
      <c r="AI38" s="5593"/>
      <c r="AJ38" s="5594"/>
      <c r="AK38" s="1114"/>
      <c r="AL38" s="1108"/>
      <c r="AM38" s="1108"/>
      <c r="AN38" s="520"/>
      <c r="AO38" s="5592" t="str">
        <f>IF(AO32=0,"",VLOOKUP(AO32,'Tablas Magia'!$D$6:$Z$680,23,FALSE))</f>
        <v/>
      </c>
      <c r="AP38" s="5593"/>
      <c r="AQ38" s="5593"/>
      <c r="AR38" s="5593"/>
      <c r="AS38" s="5593"/>
      <c r="AT38" s="5593"/>
      <c r="AU38" s="5593"/>
      <c r="AV38" s="5593"/>
      <c r="AW38" s="5593"/>
      <c r="AX38" s="5593"/>
      <c r="AY38" s="5593"/>
      <c r="AZ38" s="5593"/>
      <c r="BA38" s="5593"/>
      <c r="BB38" s="5593"/>
      <c r="BC38" s="5594"/>
      <c r="BD38" s="1114"/>
      <c r="BE38" s="1108"/>
    </row>
    <row r="39" spans="1:57" ht="12" customHeight="1">
      <c r="A39" s="1108"/>
      <c r="B39" s="520"/>
      <c r="C39" s="5595"/>
      <c r="D39" s="5596"/>
      <c r="E39" s="5596"/>
      <c r="F39" s="5596"/>
      <c r="G39" s="5596"/>
      <c r="H39" s="5596"/>
      <c r="I39" s="5596"/>
      <c r="J39" s="5596"/>
      <c r="K39" s="5596"/>
      <c r="L39" s="5596"/>
      <c r="M39" s="5596"/>
      <c r="N39" s="5596"/>
      <c r="O39" s="5596"/>
      <c r="P39" s="5596"/>
      <c r="Q39" s="5597"/>
      <c r="R39" s="1114"/>
      <c r="S39" s="1108"/>
      <c r="T39" s="1108"/>
      <c r="U39" s="520"/>
      <c r="V39" s="5595"/>
      <c r="W39" s="5596"/>
      <c r="X39" s="5596"/>
      <c r="Y39" s="5596"/>
      <c r="Z39" s="5596"/>
      <c r="AA39" s="5596"/>
      <c r="AB39" s="5596"/>
      <c r="AC39" s="5596"/>
      <c r="AD39" s="5596"/>
      <c r="AE39" s="5596"/>
      <c r="AF39" s="5596"/>
      <c r="AG39" s="5596"/>
      <c r="AH39" s="5596"/>
      <c r="AI39" s="5596"/>
      <c r="AJ39" s="5597"/>
      <c r="AK39" s="1114"/>
      <c r="AL39" s="1108"/>
      <c r="AM39" s="1108"/>
      <c r="AN39" s="520"/>
      <c r="AO39" s="5595"/>
      <c r="AP39" s="5596"/>
      <c r="AQ39" s="5596"/>
      <c r="AR39" s="5596"/>
      <c r="AS39" s="5596"/>
      <c r="AT39" s="5596"/>
      <c r="AU39" s="5596"/>
      <c r="AV39" s="5596"/>
      <c r="AW39" s="5596"/>
      <c r="AX39" s="5596"/>
      <c r="AY39" s="5596"/>
      <c r="AZ39" s="5596"/>
      <c r="BA39" s="5596"/>
      <c r="BB39" s="5596"/>
      <c r="BC39" s="5597"/>
      <c r="BD39" s="1114"/>
      <c r="BE39" s="1108"/>
    </row>
    <row r="40" spans="1:57" ht="12" customHeight="1">
      <c r="A40" s="1108"/>
      <c r="B40" s="520"/>
      <c r="C40" s="5595"/>
      <c r="D40" s="5596"/>
      <c r="E40" s="5596"/>
      <c r="F40" s="5596"/>
      <c r="G40" s="5596"/>
      <c r="H40" s="5596"/>
      <c r="I40" s="5596"/>
      <c r="J40" s="5596"/>
      <c r="K40" s="5596"/>
      <c r="L40" s="5596"/>
      <c r="M40" s="5596"/>
      <c r="N40" s="5596"/>
      <c r="O40" s="5596"/>
      <c r="P40" s="5596"/>
      <c r="Q40" s="5597"/>
      <c r="R40" s="1114"/>
      <c r="S40" s="1108"/>
      <c r="T40" s="1108"/>
      <c r="U40" s="520"/>
      <c r="V40" s="5595"/>
      <c r="W40" s="5596"/>
      <c r="X40" s="5596"/>
      <c r="Y40" s="5596"/>
      <c r="Z40" s="5596"/>
      <c r="AA40" s="5596"/>
      <c r="AB40" s="5596"/>
      <c r="AC40" s="5596"/>
      <c r="AD40" s="5596"/>
      <c r="AE40" s="5596"/>
      <c r="AF40" s="5596"/>
      <c r="AG40" s="5596"/>
      <c r="AH40" s="5596"/>
      <c r="AI40" s="5596"/>
      <c r="AJ40" s="5597"/>
      <c r="AK40" s="1114"/>
      <c r="AL40" s="1108"/>
      <c r="AM40" s="1108"/>
      <c r="AN40" s="520"/>
      <c r="AO40" s="5595"/>
      <c r="AP40" s="5596"/>
      <c r="AQ40" s="5596"/>
      <c r="AR40" s="5596"/>
      <c r="AS40" s="5596"/>
      <c r="AT40" s="5596"/>
      <c r="AU40" s="5596"/>
      <c r="AV40" s="5596"/>
      <c r="AW40" s="5596"/>
      <c r="AX40" s="5596"/>
      <c r="AY40" s="5596"/>
      <c r="AZ40" s="5596"/>
      <c r="BA40" s="5596"/>
      <c r="BB40" s="5596"/>
      <c r="BC40" s="5597"/>
      <c r="BD40" s="1114"/>
      <c r="BE40" s="1108"/>
    </row>
    <row r="41" spans="1:57" ht="12" customHeight="1" thickBot="1">
      <c r="A41" s="1108"/>
      <c r="B41" s="520"/>
      <c r="C41" s="5598"/>
      <c r="D41" s="5599"/>
      <c r="E41" s="5599"/>
      <c r="F41" s="5599"/>
      <c r="G41" s="5599"/>
      <c r="H41" s="5599"/>
      <c r="I41" s="5599"/>
      <c r="J41" s="5599"/>
      <c r="K41" s="5599"/>
      <c r="L41" s="5599"/>
      <c r="M41" s="5599"/>
      <c r="N41" s="5599"/>
      <c r="O41" s="5599"/>
      <c r="P41" s="5599"/>
      <c r="Q41" s="5600"/>
      <c r="R41" s="1114"/>
      <c r="S41" s="1108"/>
      <c r="T41" s="1108"/>
      <c r="U41" s="520"/>
      <c r="V41" s="5598"/>
      <c r="W41" s="5599"/>
      <c r="X41" s="5599"/>
      <c r="Y41" s="5599"/>
      <c r="Z41" s="5599"/>
      <c r="AA41" s="5599"/>
      <c r="AB41" s="5599"/>
      <c r="AC41" s="5599"/>
      <c r="AD41" s="5599"/>
      <c r="AE41" s="5599"/>
      <c r="AF41" s="5599"/>
      <c r="AG41" s="5599"/>
      <c r="AH41" s="5599"/>
      <c r="AI41" s="5599"/>
      <c r="AJ41" s="5600"/>
      <c r="AK41" s="1114"/>
      <c r="AL41" s="1108"/>
      <c r="AM41" s="1108"/>
      <c r="AN41" s="520"/>
      <c r="AO41" s="5598"/>
      <c r="AP41" s="5599"/>
      <c r="AQ41" s="5599"/>
      <c r="AR41" s="5599"/>
      <c r="AS41" s="5599"/>
      <c r="AT41" s="5599"/>
      <c r="AU41" s="5599"/>
      <c r="AV41" s="5599"/>
      <c r="AW41" s="5599"/>
      <c r="AX41" s="5599"/>
      <c r="AY41" s="5599"/>
      <c r="AZ41" s="5599"/>
      <c r="BA41" s="5599"/>
      <c r="BB41" s="5599"/>
      <c r="BC41" s="5600"/>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565"/>
      <c r="D43" s="5566"/>
      <c r="E43" s="5566"/>
      <c r="F43" s="5566"/>
      <c r="G43" s="5566"/>
      <c r="H43" s="1128" t="s">
        <v>1627</v>
      </c>
      <c r="I43" s="1129" t="str">
        <f>IF(C43=0,"",VLOOKUP(C43,'Tablas Magia'!$D$6:$Z$680,3,FALSE))</f>
        <v/>
      </c>
      <c r="J43" s="5567" t="s">
        <v>7685</v>
      </c>
      <c r="K43" s="5567"/>
      <c r="L43" s="5567"/>
      <c r="M43" s="5568" t="str">
        <f>IF(C43=0,"",VLOOKUP(C43,'Tablas Magia'!$D$6:$Z$680,2,FALSE))</f>
        <v/>
      </c>
      <c r="N43" s="5568"/>
      <c r="O43" s="5568"/>
      <c r="P43" s="5568"/>
      <c r="Q43" s="5569"/>
      <c r="R43" s="1114"/>
      <c r="S43" s="1108"/>
      <c r="T43" s="1108"/>
      <c r="U43" s="520"/>
      <c r="V43" s="5565"/>
      <c r="W43" s="5566"/>
      <c r="X43" s="5566"/>
      <c r="Y43" s="5566"/>
      <c r="Z43" s="5566"/>
      <c r="AA43" s="1128" t="s">
        <v>1627</v>
      </c>
      <c r="AB43" s="1129" t="str">
        <f>IF(V43=0,"",VLOOKUP(V43,'Tablas Magia'!$D$6:$Z$680,3,FALSE))</f>
        <v/>
      </c>
      <c r="AC43" s="5567" t="s">
        <v>7685</v>
      </c>
      <c r="AD43" s="5567"/>
      <c r="AE43" s="5567"/>
      <c r="AF43" s="5568" t="str">
        <f>IF(V43=0,"",VLOOKUP(V43,'Tablas Magia'!$D$6:$Z$680,2,FALSE))</f>
        <v/>
      </c>
      <c r="AG43" s="5568"/>
      <c r="AH43" s="5568"/>
      <c r="AI43" s="5568"/>
      <c r="AJ43" s="5569"/>
      <c r="AK43" s="1114"/>
      <c r="AL43" s="1108"/>
      <c r="AM43" s="1108"/>
      <c r="AN43" s="520"/>
      <c r="AO43" s="5565"/>
      <c r="AP43" s="5566"/>
      <c r="AQ43" s="5566"/>
      <c r="AR43" s="5566"/>
      <c r="AS43" s="5566"/>
      <c r="AT43" s="1128" t="s">
        <v>1627</v>
      </c>
      <c r="AU43" s="1129" t="str">
        <f>IF(AO43=0,"",VLOOKUP(AO43,'Tablas Magia'!$D$6:$Z$680,3,FALSE))</f>
        <v/>
      </c>
      <c r="AV43" s="5567" t="s">
        <v>7685</v>
      </c>
      <c r="AW43" s="5567"/>
      <c r="AX43" s="5567"/>
      <c r="AY43" s="5568" t="str">
        <f>IF(AO43=0,"",VLOOKUP(AO43,'Tablas Magia'!$D$6:$Z$680,2,FALSE))</f>
        <v/>
      </c>
      <c r="AZ43" s="5568"/>
      <c r="BA43" s="5568"/>
      <c r="BB43" s="5568"/>
      <c r="BC43" s="5569"/>
      <c r="BD43" s="1114"/>
      <c r="BE43" s="1108"/>
    </row>
    <row r="44" spans="1:57" ht="12" customHeight="1">
      <c r="A44" s="1108"/>
      <c r="B44" s="520"/>
      <c r="C44" s="5585" t="s">
        <v>7686</v>
      </c>
      <c r="D44" s="5586"/>
      <c r="E44" s="1130" t="s">
        <v>7687</v>
      </c>
      <c r="F44" s="1130" t="s">
        <v>1820</v>
      </c>
      <c r="G44" s="1130" t="s">
        <v>3332</v>
      </c>
      <c r="H44" s="1131" t="s">
        <v>2165</v>
      </c>
      <c r="I44" s="5582" t="str">
        <f>IF(C43=0,"",VLOOKUP(C43,'Tablas Magia'!$D$6:$Z$680,5,FALSE))</f>
        <v/>
      </c>
      <c r="J44" s="5582"/>
      <c r="K44" s="5583" t="s">
        <v>7688</v>
      </c>
      <c r="L44" s="5583"/>
      <c r="M44" s="5582" t="str">
        <f>IF(C43=0,"",VLOOKUP(C43,'Tablas Magia'!$D$6:$Z$680,6,FALSE))</f>
        <v/>
      </c>
      <c r="N44" s="5582"/>
      <c r="O44" s="5584" t="s">
        <v>7689</v>
      </c>
      <c r="P44" s="5584"/>
      <c r="Q44" s="1132" t="str">
        <f>IF(C43=0,"",VLOOKUP(C43,'Tablas Magia'!$D$6:$Z$680,4,FALSE))</f>
        <v/>
      </c>
      <c r="R44" s="1114"/>
      <c r="S44" s="1108"/>
      <c r="T44" s="1108"/>
      <c r="U44" s="520"/>
      <c r="V44" s="5585" t="s">
        <v>7686</v>
      </c>
      <c r="W44" s="5586"/>
      <c r="X44" s="1130" t="s">
        <v>7687</v>
      </c>
      <c r="Y44" s="1130" t="s">
        <v>1820</v>
      </c>
      <c r="Z44" s="1130" t="s">
        <v>3332</v>
      </c>
      <c r="AA44" s="1131" t="s">
        <v>2165</v>
      </c>
      <c r="AB44" s="5582" t="str">
        <f>IF(V43=0,"",VLOOKUP(V43,'Tablas Magia'!$D$6:$Z$680,5,FALSE))</f>
        <v/>
      </c>
      <c r="AC44" s="5582"/>
      <c r="AD44" s="5583" t="s">
        <v>7688</v>
      </c>
      <c r="AE44" s="5583"/>
      <c r="AF44" s="5582" t="str">
        <f>IF(V43=0,"",VLOOKUP(V43,'Tablas Magia'!$D$6:$Z$680,6,FALSE))</f>
        <v/>
      </c>
      <c r="AG44" s="5582"/>
      <c r="AH44" s="5584" t="s">
        <v>7689</v>
      </c>
      <c r="AI44" s="5584"/>
      <c r="AJ44" s="1132" t="str">
        <f>IF(V43=0,"",VLOOKUP(V43,'Tablas Magia'!$D$6:$Z$680,4,FALSE))</f>
        <v/>
      </c>
      <c r="AK44" s="1114"/>
      <c r="AL44" s="1108"/>
      <c r="AM44" s="1108"/>
      <c r="AN44" s="520"/>
      <c r="AO44" s="5585" t="s">
        <v>7686</v>
      </c>
      <c r="AP44" s="5586"/>
      <c r="AQ44" s="1130" t="s">
        <v>7687</v>
      </c>
      <c r="AR44" s="1130" t="s">
        <v>1820</v>
      </c>
      <c r="AS44" s="1130" t="s">
        <v>3332</v>
      </c>
      <c r="AT44" s="1131" t="s">
        <v>2165</v>
      </c>
      <c r="AU44" s="5582" t="str">
        <f>IF(AO43=0,"",VLOOKUP(AO43,'Tablas Magia'!$D$6:$Z$680,5,FALSE))</f>
        <v/>
      </c>
      <c r="AV44" s="5582"/>
      <c r="AW44" s="5583" t="s">
        <v>7688</v>
      </c>
      <c r="AX44" s="5583"/>
      <c r="AY44" s="5582" t="str">
        <f>IF(AO43=0,"",VLOOKUP(AO43,'Tablas Magia'!$D$6:$Z$680,6,FALSE))</f>
        <v/>
      </c>
      <c r="AZ44" s="5582"/>
      <c r="BA44" s="5584" t="s">
        <v>7689</v>
      </c>
      <c r="BB44" s="5584"/>
      <c r="BC44" s="1132" t="str">
        <f>IF(AO43=0,"",VLOOKUP(AO43,'Tablas Magia'!$D$6:$Z$680,4,FALSE))</f>
        <v/>
      </c>
      <c r="BD44" s="1114"/>
      <c r="BE44" s="1108"/>
    </row>
    <row r="45" spans="1:57" ht="12" customHeight="1">
      <c r="A45" s="1108"/>
      <c r="B45" s="520"/>
      <c r="C45" s="5577" t="s">
        <v>1674</v>
      </c>
      <c r="D45" s="5578"/>
      <c r="E45" s="1133" t="str">
        <f>IF(C43=0,"",VLOOKUP(C43,'Tablas Magia'!$D$6:$Z$680,7,FALSE))</f>
        <v/>
      </c>
      <c r="F45" s="1133" t="str">
        <f>IF(C43=0,"",VLOOKUP(C43,'Tablas Magia'!$D$6:$Z$680,11,FALSE))</f>
        <v/>
      </c>
      <c r="G45" s="1134" t="str">
        <f>IF(C43=0,"",VLOOKUP(C43,'Tablas Magia'!$D$6:$Z$680,15,FALSE))</f>
        <v/>
      </c>
      <c r="H45" s="5579" t="str">
        <f>IF(C43=0,"",VLOOKUP(C43,'Tablas Magia'!$D$6:$Z$680,19,FALSE))</f>
        <v/>
      </c>
      <c r="I45" s="5580"/>
      <c r="J45" s="5580"/>
      <c r="K45" s="5580"/>
      <c r="L45" s="5580"/>
      <c r="M45" s="5580"/>
      <c r="N45" s="5580"/>
      <c r="O45" s="5580"/>
      <c r="P45" s="5580"/>
      <c r="Q45" s="5581"/>
      <c r="R45" s="1114"/>
      <c r="S45" s="1108"/>
      <c r="T45" s="1108"/>
      <c r="U45" s="520"/>
      <c r="V45" s="5577" t="s">
        <v>1674</v>
      </c>
      <c r="W45" s="5578"/>
      <c r="X45" s="1133" t="str">
        <f>IF(V43=0,"",VLOOKUP(V43,'Tablas Magia'!$D$6:$Z$680,7,FALSE))</f>
        <v/>
      </c>
      <c r="Y45" s="1133" t="str">
        <f>IF(V43=0,"",VLOOKUP(V43,'Tablas Magia'!$D$6:$Z$680,11,FALSE))</f>
        <v/>
      </c>
      <c r="Z45" s="1134" t="str">
        <f>IF(V43=0,"",VLOOKUP(V43,'Tablas Magia'!$D$6:$Z$680,15,FALSE))</f>
        <v/>
      </c>
      <c r="AA45" s="5579" t="str">
        <f>IF(V43=0,"",VLOOKUP(V43,'Tablas Magia'!$D$6:$Z$680,19,FALSE))</f>
        <v/>
      </c>
      <c r="AB45" s="5580"/>
      <c r="AC45" s="5580"/>
      <c r="AD45" s="5580"/>
      <c r="AE45" s="5580"/>
      <c r="AF45" s="5580"/>
      <c r="AG45" s="5580"/>
      <c r="AH45" s="5580"/>
      <c r="AI45" s="5580"/>
      <c r="AJ45" s="5581"/>
      <c r="AK45" s="1114"/>
      <c r="AL45" s="1108"/>
      <c r="AM45" s="1108"/>
      <c r="AN45" s="520"/>
      <c r="AO45" s="5577" t="s">
        <v>1674</v>
      </c>
      <c r="AP45" s="5578"/>
      <c r="AQ45" s="1133" t="str">
        <f>IF(AO43=0,"",VLOOKUP(AO43,'Tablas Magia'!$D$6:$Z$680,7,FALSE))</f>
        <v/>
      </c>
      <c r="AR45" s="1133" t="str">
        <f>IF(AO43=0,"",VLOOKUP(AO43,'Tablas Magia'!$D$6:$Z$680,11,FALSE))</f>
        <v/>
      </c>
      <c r="AS45" s="1134" t="str">
        <f>IF(AO43=0,"",VLOOKUP(AO43,'Tablas Magia'!$D$6:$Z$680,15,FALSE))</f>
        <v/>
      </c>
      <c r="AT45" s="5579" t="str">
        <f>IF(AO43=0,"",VLOOKUP(AO43,'Tablas Magia'!$D$6:$Z$680,19,FALSE))</f>
        <v/>
      </c>
      <c r="AU45" s="5580"/>
      <c r="AV45" s="5580"/>
      <c r="AW45" s="5580"/>
      <c r="AX45" s="5580"/>
      <c r="AY45" s="5580"/>
      <c r="AZ45" s="5580"/>
      <c r="BA45" s="5580"/>
      <c r="BB45" s="5580"/>
      <c r="BC45" s="5581"/>
      <c r="BD45" s="1114"/>
      <c r="BE45" s="1108"/>
    </row>
    <row r="46" spans="1:57" ht="12" customHeight="1">
      <c r="A46" s="1108"/>
      <c r="B46" s="520"/>
      <c r="C46" s="5572" t="s">
        <v>4570</v>
      </c>
      <c r="D46" s="5573"/>
      <c r="E46" s="1135" t="str">
        <f>IF(C43=0,"",VLOOKUP(C43,'Tablas Magia'!$D$6:$Z$680,8,FALSE))</f>
        <v/>
      </c>
      <c r="F46" s="1135" t="str">
        <f>IF(C43=0,"",VLOOKUP(C43,'Tablas Magia'!$D$6:$Z$680,12,FALSE))</f>
        <v/>
      </c>
      <c r="G46" s="1136" t="str">
        <f>IF(C43=0,"",VLOOKUP(C43,'Tablas Magia'!$D$6:$Z$680,16,FALSE))</f>
        <v/>
      </c>
      <c r="H46" s="5574" t="str">
        <f>IF(C43=0,"",VLOOKUP(C43,'Tablas Magia'!$D$6:$Z$680,20,FALSE))</f>
        <v/>
      </c>
      <c r="I46" s="5575"/>
      <c r="J46" s="5575"/>
      <c r="K46" s="5575"/>
      <c r="L46" s="5575"/>
      <c r="M46" s="5575"/>
      <c r="N46" s="5575"/>
      <c r="O46" s="5575"/>
      <c r="P46" s="5575"/>
      <c r="Q46" s="5576"/>
      <c r="R46" s="1114"/>
      <c r="S46" s="1108"/>
      <c r="T46" s="1108"/>
      <c r="U46" s="520"/>
      <c r="V46" s="5572" t="s">
        <v>4570</v>
      </c>
      <c r="W46" s="5573"/>
      <c r="X46" s="1135" t="str">
        <f>IF(V43=0,"",VLOOKUP(V43,'Tablas Magia'!$D$6:$Z$680,8,FALSE))</f>
        <v/>
      </c>
      <c r="Y46" s="1135" t="str">
        <f>IF(V43=0,"",VLOOKUP(V43,'Tablas Magia'!$D$6:$Z$680,12,FALSE))</f>
        <v/>
      </c>
      <c r="Z46" s="1136" t="str">
        <f>IF(V43=0,"",VLOOKUP(V43,'Tablas Magia'!$D$6:$Z$680,16,FALSE))</f>
        <v/>
      </c>
      <c r="AA46" s="5574" t="str">
        <f>IF(V43=0,"",VLOOKUP(V43,'Tablas Magia'!$D$6:$Z$680,20,FALSE))</f>
        <v/>
      </c>
      <c r="AB46" s="5575"/>
      <c r="AC46" s="5575"/>
      <c r="AD46" s="5575"/>
      <c r="AE46" s="5575"/>
      <c r="AF46" s="5575"/>
      <c r="AG46" s="5575"/>
      <c r="AH46" s="5575"/>
      <c r="AI46" s="5575"/>
      <c r="AJ46" s="5576"/>
      <c r="AK46" s="1114"/>
      <c r="AL46" s="1108"/>
      <c r="AM46" s="1108"/>
      <c r="AN46" s="520"/>
      <c r="AO46" s="5572" t="s">
        <v>4570</v>
      </c>
      <c r="AP46" s="5573"/>
      <c r="AQ46" s="1135" t="str">
        <f>IF(AO43=0,"",VLOOKUP(AO43,'Tablas Magia'!$D$6:$Z$680,8,FALSE))</f>
        <v/>
      </c>
      <c r="AR46" s="1135" t="str">
        <f>IF(AO43=0,"",VLOOKUP(AO43,'Tablas Magia'!$D$6:$Z$680,12,FALSE))</f>
        <v/>
      </c>
      <c r="AS46" s="1136" t="str">
        <f>IF(AO43=0,"",VLOOKUP(AO43,'Tablas Magia'!$D$6:$Z$680,16,FALSE))</f>
        <v/>
      </c>
      <c r="AT46" s="5574" t="str">
        <f>IF(AO43=0,"",VLOOKUP(AO43,'Tablas Magia'!$D$6:$Z$680,20,FALSE))</f>
        <v/>
      </c>
      <c r="AU46" s="5575"/>
      <c r="AV46" s="5575"/>
      <c r="AW46" s="5575"/>
      <c r="AX46" s="5575"/>
      <c r="AY46" s="5575"/>
      <c r="AZ46" s="5575"/>
      <c r="BA46" s="5575"/>
      <c r="BB46" s="5575"/>
      <c r="BC46" s="5576"/>
      <c r="BD46" s="1114"/>
      <c r="BE46" s="1108"/>
    </row>
    <row r="47" spans="1:57" ht="12" customHeight="1">
      <c r="A47" s="1108"/>
      <c r="B47" s="520"/>
      <c r="C47" s="5577" t="s">
        <v>4571</v>
      </c>
      <c r="D47" s="5578"/>
      <c r="E47" s="1133" t="str">
        <f>IF(C43=0,"",VLOOKUP(C43,'Tablas Magia'!$D$6:$Z$680,9,FALSE))</f>
        <v/>
      </c>
      <c r="F47" s="1133" t="str">
        <f>IF(C43=0,"",VLOOKUP(C43,'Tablas Magia'!$D$6:$Z$680,13,FALSE))</f>
        <v/>
      </c>
      <c r="G47" s="1134" t="str">
        <f>IF(C43=0,"",VLOOKUP(C43,'Tablas Magia'!$D$6:$Z$680,17,FALSE))</f>
        <v/>
      </c>
      <c r="H47" s="5579" t="str">
        <f>IF(C43=0,"",VLOOKUP(C43,'Tablas Magia'!$D$6:$Z$680,21,FALSE))</f>
        <v/>
      </c>
      <c r="I47" s="5580"/>
      <c r="J47" s="5580"/>
      <c r="K47" s="5580"/>
      <c r="L47" s="5580"/>
      <c r="M47" s="5580"/>
      <c r="N47" s="5580"/>
      <c r="O47" s="5580"/>
      <c r="P47" s="5580"/>
      <c r="Q47" s="5581"/>
      <c r="R47" s="1114"/>
      <c r="S47" s="1108"/>
      <c r="T47" s="1108"/>
      <c r="U47" s="520"/>
      <c r="V47" s="5577" t="s">
        <v>4571</v>
      </c>
      <c r="W47" s="5578"/>
      <c r="X47" s="1133" t="str">
        <f>IF(V43=0,"",VLOOKUP(V43,'Tablas Magia'!$D$6:$Z$680,9,FALSE))</f>
        <v/>
      </c>
      <c r="Y47" s="1133" t="str">
        <f>IF(V43=0,"",VLOOKUP(V43,'Tablas Magia'!$D$6:$Z$680,13,FALSE))</f>
        <v/>
      </c>
      <c r="Z47" s="1134" t="str">
        <f>IF(V43=0,"",VLOOKUP(V43,'Tablas Magia'!$D$6:$Z$680,17,FALSE))</f>
        <v/>
      </c>
      <c r="AA47" s="5579" t="str">
        <f>IF(V43=0,"",VLOOKUP(V43,'Tablas Magia'!$D$6:$Z$680,21,FALSE))</f>
        <v/>
      </c>
      <c r="AB47" s="5580"/>
      <c r="AC47" s="5580"/>
      <c r="AD47" s="5580"/>
      <c r="AE47" s="5580"/>
      <c r="AF47" s="5580"/>
      <c r="AG47" s="5580"/>
      <c r="AH47" s="5580"/>
      <c r="AI47" s="5580"/>
      <c r="AJ47" s="5581"/>
      <c r="AK47" s="1114"/>
      <c r="AL47" s="1108"/>
      <c r="AM47" s="1108"/>
      <c r="AN47" s="520"/>
      <c r="AO47" s="5577" t="s">
        <v>4571</v>
      </c>
      <c r="AP47" s="5578"/>
      <c r="AQ47" s="1133" t="str">
        <f>IF(AO43=0,"",VLOOKUP(AO43,'Tablas Magia'!$D$6:$Z$680,9,FALSE))</f>
        <v/>
      </c>
      <c r="AR47" s="1133" t="str">
        <f>IF(AO43=0,"",VLOOKUP(AO43,'Tablas Magia'!$D$6:$Z$680,13,FALSE))</f>
        <v/>
      </c>
      <c r="AS47" s="1134" t="str">
        <f>IF(AO43=0,"",VLOOKUP(AO43,'Tablas Magia'!$D$6:$Z$680,17,FALSE))</f>
        <v/>
      </c>
      <c r="AT47" s="5579" t="str">
        <f>IF(AO43=0,"",VLOOKUP(AO43,'Tablas Magia'!$D$6:$Z$680,21,FALSE))</f>
        <v/>
      </c>
      <c r="AU47" s="5580"/>
      <c r="AV47" s="5580"/>
      <c r="AW47" s="5580"/>
      <c r="AX47" s="5580"/>
      <c r="AY47" s="5580"/>
      <c r="AZ47" s="5580"/>
      <c r="BA47" s="5580"/>
      <c r="BB47" s="5580"/>
      <c r="BC47" s="5581"/>
      <c r="BD47" s="1114"/>
      <c r="BE47" s="1108"/>
    </row>
    <row r="48" spans="1:57" ht="12" customHeight="1" thickBot="1">
      <c r="A48" s="1108"/>
      <c r="B48" s="520"/>
      <c r="C48" s="5587" t="s">
        <v>4572</v>
      </c>
      <c r="D48" s="5588"/>
      <c r="E48" s="1137" t="str">
        <f>IF(C43=0,"",VLOOKUP(C43,'Tablas Magia'!$D$6:$Z$680,10,FALSE))</f>
        <v/>
      </c>
      <c r="F48" s="1137" t="str">
        <f>IF(C43=0,"",VLOOKUP(C43,'Tablas Magia'!$D$6:$Z$680,14,FALSE))</f>
        <v/>
      </c>
      <c r="G48" s="1138" t="str">
        <f>IF(C43=0,"",VLOOKUP(C43,'Tablas Magia'!$D$6:$Z$680,18,FALSE))</f>
        <v/>
      </c>
      <c r="H48" s="5589" t="str">
        <f>IF(C43=0,"",VLOOKUP(C43,'Tablas Magia'!$D$6:$Z$680,22,FALSE))</f>
        <v/>
      </c>
      <c r="I48" s="5590"/>
      <c r="J48" s="5590"/>
      <c r="K48" s="5590"/>
      <c r="L48" s="5590"/>
      <c r="M48" s="5590"/>
      <c r="N48" s="5590"/>
      <c r="O48" s="5590"/>
      <c r="P48" s="5590"/>
      <c r="Q48" s="5591"/>
      <c r="R48" s="1114"/>
      <c r="S48" s="1108"/>
      <c r="T48" s="1108"/>
      <c r="U48" s="520"/>
      <c r="V48" s="5587" t="s">
        <v>4572</v>
      </c>
      <c r="W48" s="5588"/>
      <c r="X48" s="1137" t="str">
        <f>IF(V43=0,"",VLOOKUP(V43,'Tablas Magia'!$D$6:$Z$680,10,FALSE))</f>
        <v/>
      </c>
      <c r="Y48" s="1137" t="str">
        <f>IF(V43=0,"",VLOOKUP(V43,'Tablas Magia'!$D$6:$Z$680,14,FALSE))</f>
        <v/>
      </c>
      <c r="Z48" s="1138" t="str">
        <f>IF(V43=0,"",VLOOKUP(V43,'Tablas Magia'!$D$6:$Z$680,18,FALSE))</f>
        <v/>
      </c>
      <c r="AA48" s="5589" t="str">
        <f>IF(V43=0,"",VLOOKUP(V43,'Tablas Magia'!$D$6:$Z$680,22,FALSE))</f>
        <v/>
      </c>
      <c r="AB48" s="5590"/>
      <c r="AC48" s="5590"/>
      <c r="AD48" s="5590"/>
      <c r="AE48" s="5590"/>
      <c r="AF48" s="5590"/>
      <c r="AG48" s="5590"/>
      <c r="AH48" s="5590"/>
      <c r="AI48" s="5590"/>
      <c r="AJ48" s="5591"/>
      <c r="AK48" s="1114"/>
      <c r="AL48" s="1108"/>
      <c r="AM48" s="1108"/>
      <c r="AN48" s="520"/>
      <c r="AO48" s="5587" t="s">
        <v>4572</v>
      </c>
      <c r="AP48" s="5588"/>
      <c r="AQ48" s="1137" t="str">
        <f>IF(AO43=0,"",VLOOKUP(AO43,'Tablas Magia'!$D$6:$Z$680,10,FALSE))</f>
        <v/>
      </c>
      <c r="AR48" s="1137" t="str">
        <f>IF(AO43=0,"",VLOOKUP(AO43,'Tablas Magia'!$D$6:$Z$680,14,FALSE))</f>
        <v/>
      </c>
      <c r="AS48" s="1138" t="str">
        <f>IF(AO43=0,"",VLOOKUP(AO43,'Tablas Magia'!$D$6:$Z$680,18,FALSE))</f>
        <v/>
      </c>
      <c r="AT48" s="5589" t="str">
        <f>IF(AO43=0,"",VLOOKUP(AO43,'Tablas Magia'!$D$6:$Z$680,22,FALSE))</f>
        <v/>
      </c>
      <c r="AU48" s="5590"/>
      <c r="AV48" s="5590"/>
      <c r="AW48" s="5590"/>
      <c r="AX48" s="5590"/>
      <c r="AY48" s="5590"/>
      <c r="AZ48" s="5590"/>
      <c r="BA48" s="5590"/>
      <c r="BB48" s="5590"/>
      <c r="BC48" s="5591"/>
      <c r="BD48" s="1114"/>
      <c r="BE48" s="1108"/>
    </row>
    <row r="49" spans="1:57" ht="12" customHeight="1">
      <c r="A49" s="1108"/>
      <c r="B49" s="520"/>
      <c r="C49" s="5592" t="str">
        <f>IF(C43=0,"",VLOOKUP(C43,'Tablas Magia'!$D$6:$Z$680,23,FALSE))</f>
        <v/>
      </c>
      <c r="D49" s="5593"/>
      <c r="E49" s="5593"/>
      <c r="F49" s="5593"/>
      <c r="G49" s="5593"/>
      <c r="H49" s="5593"/>
      <c r="I49" s="5593"/>
      <c r="J49" s="5593"/>
      <c r="K49" s="5593"/>
      <c r="L49" s="5593"/>
      <c r="M49" s="5593"/>
      <c r="N49" s="5593"/>
      <c r="O49" s="5593"/>
      <c r="P49" s="5593"/>
      <c r="Q49" s="5594"/>
      <c r="R49" s="1114"/>
      <c r="S49" s="1108"/>
      <c r="T49" s="1108"/>
      <c r="U49" s="520"/>
      <c r="V49" s="5592" t="str">
        <f>IF(V43=0,"",VLOOKUP(V43,'Tablas Magia'!$D$6:$Z$680,23,FALSE))</f>
        <v/>
      </c>
      <c r="W49" s="5593"/>
      <c r="X49" s="5593"/>
      <c r="Y49" s="5593"/>
      <c r="Z49" s="5593"/>
      <c r="AA49" s="5593"/>
      <c r="AB49" s="5593"/>
      <c r="AC49" s="5593"/>
      <c r="AD49" s="5593"/>
      <c r="AE49" s="5593"/>
      <c r="AF49" s="5593"/>
      <c r="AG49" s="5593"/>
      <c r="AH49" s="5593"/>
      <c r="AI49" s="5593"/>
      <c r="AJ49" s="5594"/>
      <c r="AK49" s="1114"/>
      <c r="AL49" s="1108"/>
      <c r="AM49" s="1108"/>
      <c r="AN49" s="520"/>
      <c r="AO49" s="5592" t="str">
        <f>IF(AO43=0,"",VLOOKUP(AO43,'Tablas Magia'!$D$6:$Z$680,23,FALSE))</f>
        <v/>
      </c>
      <c r="AP49" s="5593"/>
      <c r="AQ49" s="5593"/>
      <c r="AR49" s="5593"/>
      <c r="AS49" s="5593"/>
      <c r="AT49" s="5593"/>
      <c r="AU49" s="5593"/>
      <c r="AV49" s="5593"/>
      <c r="AW49" s="5593"/>
      <c r="AX49" s="5593"/>
      <c r="AY49" s="5593"/>
      <c r="AZ49" s="5593"/>
      <c r="BA49" s="5593"/>
      <c r="BB49" s="5593"/>
      <c r="BC49" s="5594"/>
      <c r="BD49" s="1114"/>
      <c r="BE49" s="1108"/>
    </row>
    <row r="50" spans="1:57" ht="12" customHeight="1">
      <c r="A50" s="1108"/>
      <c r="B50" s="520"/>
      <c r="C50" s="5595"/>
      <c r="D50" s="5596"/>
      <c r="E50" s="5596"/>
      <c r="F50" s="5596"/>
      <c r="G50" s="5596"/>
      <c r="H50" s="5596"/>
      <c r="I50" s="5596"/>
      <c r="J50" s="5596"/>
      <c r="K50" s="5596"/>
      <c r="L50" s="5596"/>
      <c r="M50" s="5596"/>
      <c r="N50" s="5596"/>
      <c r="O50" s="5596"/>
      <c r="P50" s="5596"/>
      <c r="Q50" s="5597"/>
      <c r="R50" s="1114"/>
      <c r="S50" s="1108"/>
      <c r="T50" s="1108"/>
      <c r="U50" s="520"/>
      <c r="V50" s="5595"/>
      <c r="W50" s="5596"/>
      <c r="X50" s="5596"/>
      <c r="Y50" s="5596"/>
      <c r="Z50" s="5596"/>
      <c r="AA50" s="5596"/>
      <c r="AB50" s="5596"/>
      <c r="AC50" s="5596"/>
      <c r="AD50" s="5596"/>
      <c r="AE50" s="5596"/>
      <c r="AF50" s="5596"/>
      <c r="AG50" s="5596"/>
      <c r="AH50" s="5596"/>
      <c r="AI50" s="5596"/>
      <c r="AJ50" s="5597"/>
      <c r="AK50" s="1114"/>
      <c r="AL50" s="1108"/>
      <c r="AM50" s="1108"/>
      <c r="AN50" s="520"/>
      <c r="AO50" s="5595"/>
      <c r="AP50" s="5596"/>
      <c r="AQ50" s="5596"/>
      <c r="AR50" s="5596"/>
      <c r="AS50" s="5596"/>
      <c r="AT50" s="5596"/>
      <c r="AU50" s="5596"/>
      <c r="AV50" s="5596"/>
      <c r="AW50" s="5596"/>
      <c r="AX50" s="5596"/>
      <c r="AY50" s="5596"/>
      <c r="AZ50" s="5596"/>
      <c r="BA50" s="5596"/>
      <c r="BB50" s="5596"/>
      <c r="BC50" s="5597"/>
      <c r="BD50" s="1114"/>
      <c r="BE50" s="1108"/>
    </row>
    <row r="51" spans="1:57" ht="12" customHeight="1">
      <c r="A51" s="1108"/>
      <c r="B51" s="520"/>
      <c r="C51" s="5595"/>
      <c r="D51" s="5596"/>
      <c r="E51" s="5596"/>
      <c r="F51" s="5596"/>
      <c r="G51" s="5596"/>
      <c r="H51" s="5596"/>
      <c r="I51" s="5596"/>
      <c r="J51" s="5596"/>
      <c r="K51" s="5596"/>
      <c r="L51" s="5596"/>
      <c r="M51" s="5596"/>
      <c r="N51" s="5596"/>
      <c r="O51" s="5596"/>
      <c r="P51" s="5596"/>
      <c r="Q51" s="5597"/>
      <c r="R51" s="1114"/>
      <c r="S51" s="1108"/>
      <c r="T51" s="1108"/>
      <c r="U51" s="520"/>
      <c r="V51" s="5595"/>
      <c r="W51" s="5596"/>
      <c r="X51" s="5596"/>
      <c r="Y51" s="5596"/>
      <c r="Z51" s="5596"/>
      <c r="AA51" s="5596"/>
      <c r="AB51" s="5596"/>
      <c r="AC51" s="5596"/>
      <c r="AD51" s="5596"/>
      <c r="AE51" s="5596"/>
      <c r="AF51" s="5596"/>
      <c r="AG51" s="5596"/>
      <c r="AH51" s="5596"/>
      <c r="AI51" s="5596"/>
      <c r="AJ51" s="5597"/>
      <c r="AK51" s="1114"/>
      <c r="AL51" s="1108"/>
      <c r="AM51" s="1108"/>
      <c r="AN51" s="520"/>
      <c r="AO51" s="5595"/>
      <c r="AP51" s="5596"/>
      <c r="AQ51" s="5596"/>
      <c r="AR51" s="5596"/>
      <c r="AS51" s="5596"/>
      <c r="AT51" s="5596"/>
      <c r="AU51" s="5596"/>
      <c r="AV51" s="5596"/>
      <c r="AW51" s="5596"/>
      <c r="AX51" s="5596"/>
      <c r="AY51" s="5596"/>
      <c r="AZ51" s="5596"/>
      <c r="BA51" s="5596"/>
      <c r="BB51" s="5596"/>
      <c r="BC51" s="5597"/>
      <c r="BD51" s="1114"/>
      <c r="BE51" s="1108"/>
    </row>
    <row r="52" spans="1:57" ht="12" customHeight="1" thickBot="1">
      <c r="A52" s="1108"/>
      <c r="B52" s="520"/>
      <c r="C52" s="5598"/>
      <c r="D52" s="5599"/>
      <c r="E52" s="5599"/>
      <c r="F52" s="5599"/>
      <c r="G52" s="5599"/>
      <c r="H52" s="5599"/>
      <c r="I52" s="5599"/>
      <c r="J52" s="5599"/>
      <c r="K52" s="5599"/>
      <c r="L52" s="5599"/>
      <c r="M52" s="5599"/>
      <c r="N52" s="5599"/>
      <c r="O52" s="5599"/>
      <c r="P52" s="5599"/>
      <c r="Q52" s="5600"/>
      <c r="R52" s="1114"/>
      <c r="S52" s="1108"/>
      <c r="T52" s="1108"/>
      <c r="U52" s="520"/>
      <c r="V52" s="5598"/>
      <c r="W52" s="5599"/>
      <c r="X52" s="5599"/>
      <c r="Y52" s="5599"/>
      <c r="Z52" s="5599"/>
      <c r="AA52" s="5599"/>
      <c r="AB52" s="5599"/>
      <c r="AC52" s="5599"/>
      <c r="AD52" s="5599"/>
      <c r="AE52" s="5599"/>
      <c r="AF52" s="5599"/>
      <c r="AG52" s="5599"/>
      <c r="AH52" s="5599"/>
      <c r="AI52" s="5599"/>
      <c r="AJ52" s="5600"/>
      <c r="AK52" s="1114"/>
      <c r="AL52" s="1108"/>
      <c r="AM52" s="1108"/>
      <c r="AN52" s="520"/>
      <c r="AO52" s="5598"/>
      <c r="AP52" s="5599"/>
      <c r="AQ52" s="5599"/>
      <c r="AR52" s="5599"/>
      <c r="AS52" s="5599"/>
      <c r="AT52" s="5599"/>
      <c r="AU52" s="5599"/>
      <c r="AV52" s="5599"/>
      <c r="AW52" s="5599"/>
      <c r="AX52" s="5599"/>
      <c r="AY52" s="5599"/>
      <c r="AZ52" s="5599"/>
      <c r="BA52" s="5599"/>
      <c r="BB52" s="5599"/>
      <c r="BC52" s="5600"/>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565"/>
      <c r="D54" s="5566"/>
      <c r="E54" s="5566"/>
      <c r="F54" s="5566"/>
      <c r="G54" s="5566"/>
      <c r="H54" s="1128" t="s">
        <v>1627</v>
      </c>
      <c r="I54" s="1129" t="str">
        <f>IF(C54=0,"",VLOOKUP(C54,'Tablas Magia'!$D$6:$Z$680,3,FALSE))</f>
        <v/>
      </c>
      <c r="J54" s="5567" t="s">
        <v>7685</v>
      </c>
      <c r="K54" s="5567"/>
      <c r="L54" s="5567"/>
      <c r="M54" s="5568" t="str">
        <f>IF(C54=0,"",VLOOKUP(C54,'Tablas Magia'!$D$6:$Z$680,2,FALSE))</f>
        <v/>
      </c>
      <c r="N54" s="5568"/>
      <c r="O54" s="5568"/>
      <c r="P54" s="5568"/>
      <c r="Q54" s="5569"/>
      <c r="R54" s="1114"/>
      <c r="S54" s="1108"/>
      <c r="T54" s="1108"/>
      <c r="U54" s="520"/>
      <c r="V54" s="5565"/>
      <c r="W54" s="5566"/>
      <c r="X54" s="5566"/>
      <c r="Y54" s="5566"/>
      <c r="Z54" s="5566"/>
      <c r="AA54" s="1128" t="s">
        <v>1627</v>
      </c>
      <c r="AB54" s="1129" t="str">
        <f>IF(V54=0,"",VLOOKUP(V54,'Tablas Magia'!$D$6:$Z$680,3,FALSE))</f>
        <v/>
      </c>
      <c r="AC54" s="5567" t="s">
        <v>7685</v>
      </c>
      <c r="AD54" s="5567"/>
      <c r="AE54" s="5567"/>
      <c r="AF54" s="5568" t="str">
        <f>IF(V54=0,"",VLOOKUP(V54,'Tablas Magia'!$D$6:$Z$680,2,FALSE))</f>
        <v/>
      </c>
      <c r="AG54" s="5568"/>
      <c r="AH54" s="5568"/>
      <c r="AI54" s="5568"/>
      <c r="AJ54" s="5569"/>
      <c r="AK54" s="1114"/>
      <c r="AL54" s="1108"/>
      <c r="AM54" s="1108"/>
      <c r="AN54" s="520"/>
      <c r="AO54" s="5565"/>
      <c r="AP54" s="5566"/>
      <c r="AQ54" s="5566"/>
      <c r="AR54" s="5566"/>
      <c r="AS54" s="5566"/>
      <c r="AT54" s="1128" t="s">
        <v>1627</v>
      </c>
      <c r="AU54" s="1129" t="str">
        <f>IF(AO54=0,"",VLOOKUP(AO54,'Tablas Magia'!$D$6:$Z$680,3,FALSE))</f>
        <v/>
      </c>
      <c r="AV54" s="5567" t="s">
        <v>7685</v>
      </c>
      <c r="AW54" s="5567"/>
      <c r="AX54" s="5567"/>
      <c r="AY54" s="5568" t="str">
        <f>IF(AO54=0,"",VLOOKUP(AO54,'Tablas Magia'!$D$6:$Z$680,2,FALSE))</f>
        <v/>
      </c>
      <c r="AZ54" s="5568"/>
      <c r="BA54" s="5568"/>
      <c r="BB54" s="5568"/>
      <c r="BC54" s="5569"/>
      <c r="BD54" s="1114"/>
      <c r="BE54" s="1108"/>
    </row>
    <row r="55" spans="1:57" ht="12" customHeight="1">
      <c r="A55" s="1108"/>
      <c r="B55" s="520"/>
      <c r="C55" s="5585" t="s">
        <v>7686</v>
      </c>
      <c r="D55" s="5586"/>
      <c r="E55" s="1130" t="s">
        <v>7687</v>
      </c>
      <c r="F55" s="1130" t="s">
        <v>1820</v>
      </c>
      <c r="G55" s="1130" t="s">
        <v>3332</v>
      </c>
      <c r="H55" s="1131" t="s">
        <v>2165</v>
      </c>
      <c r="I55" s="5582" t="str">
        <f>IF(C54=0,"",VLOOKUP(C54,'Tablas Magia'!$D$6:$Z$680,5,FALSE))</f>
        <v/>
      </c>
      <c r="J55" s="5582"/>
      <c r="K55" s="5583" t="s">
        <v>7688</v>
      </c>
      <c r="L55" s="5583"/>
      <c r="M55" s="5582" t="str">
        <f>IF(C54=0,"",VLOOKUP(C54,'Tablas Magia'!$D$6:$Z$680,6,FALSE))</f>
        <v/>
      </c>
      <c r="N55" s="5582"/>
      <c r="O55" s="5584" t="s">
        <v>7689</v>
      </c>
      <c r="P55" s="5584"/>
      <c r="Q55" s="1132" t="str">
        <f>IF(C54=0,"",VLOOKUP(C54,'Tablas Magia'!$D$6:$Z$680,4,FALSE))</f>
        <v/>
      </c>
      <c r="R55" s="1114"/>
      <c r="S55" s="1108"/>
      <c r="T55" s="1108"/>
      <c r="U55" s="520"/>
      <c r="V55" s="5585" t="s">
        <v>7686</v>
      </c>
      <c r="W55" s="5586"/>
      <c r="X55" s="1130" t="s">
        <v>7687</v>
      </c>
      <c r="Y55" s="1130" t="s">
        <v>1820</v>
      </c>
      <c r="Z55" s="1130" t="s">
        <v>3332</v>
      </c>
      <c r="AA55" s="1131" t="s">
        <v>2165</v>
      </c>
      <c r="AB55" s="5582" t="str">
        <f>IF(V54=0,"",VLOOKUP(V54,'Tablas Magia'!$D$6:$Z$680,5,FALSE))</f>
        <v/>
      </c>
      <c r="AC55" s="5582"/>
      <c r="AD55" s="5583" t="s">
        <v>7688</v>
      </c>
      <c r="AE55" s="5583"/>
      <c r="AF55" s="5582" t="str">
        <f>IF(V54=0,"",VLOOKUP(V54,'Tablas Magia'!$D$6:$Z$680,6,FALSE))</f>
        <v/>
      </c>
      <c r="AG55" s="5582"/>
      <c r="AH55" s="5584" t="s">
        <v>7689</v>
      </c>
      <c r="AI55" s="5584"/>
      <c r="AJ55" s="1132" t="str">
        <f>IF(V54=0,"",VLOOKUP(V54,'Tablas Magia'!$D$6:$Z$680,4,FALSE))</f>
        <v/>
      </c>
      <c r="AK55" s="1114"/>
      <c r="AL55" s="1108"/>
      <c r="AM55" s="1108"/>
      <c r="AN55" s="520"/>
      <c r="AO55" s="5585" t="s">
        <v>7686</v>
      </c>
      <c r="AP55" s="5586"/>
      <c r="AQ55" s="1130" t="s">
        <v>7687</v>
      </c>
      <c r="AR55" s="1130" t="s">
        <v>1820</v>
      </c>
      <c r="AS55" s="1130" t="s">
        <v>3332</v>
      </c>
      <c r="AT55" s="1131" t="s">
        <v>2165</v>
      </c>
      <c r="AU55" s="5582" t="str">
        <f>IF(AO54=0,"",VLOOKUP(AO54,'Tablas Magia'!$D$6:$Z$680,5,FALSE))</f>
        <v/>
      </c>
      <c r="AV55" s="5582"/>
      <c r="AW55" s="5583" t="s">
        <v>7688</v>
      </c>
      <c r="AX55" s="5583"/>
      <c r="AY55" s="5582" t="str">
        <f>IF(AO54=0,"",VLOOKUP(AO54,'Tablas Magia'!$D$6:$Z$680,6,FALSE))</f>
        <v/>
      </c>
      <c r="AZ55" s="5582"/>
      <c r="BA55" s="5584" t="s">
        <v>7689</v>
      </c>
      <c r="BB55" s="5584"/>
      <c r="BC55" s="1132" t="str">
        <f>IF(AO54=0,"",VLOOKUP(AO54,'Tablas Magia'!$D$6:$Z$680,4,FALSE))</f>
        <v/>
      </c>
      <c r="BD55" s="1114"/>
      <c r="BE55" s="1108"/>
    </row>
    <row r="56" spans="1:57" ht="12" customHeight="1">
      <c r="A56" s="1108"/>
      <c r="B56" s="520"/>
      <c r="C56" s="5577" t="s">
        <v>1674</v>
      </c>
      <c r="D56" s="5578"/>
      <c r="E56" s="1133" t="str">
        <f>IF(C54=0,"",VLOOKUP(C54,'Tablas Magia'!$D$6:$Z$680,7,FALSE))</f>
        <v/>
      </c>
      <c r="F56" s="1133" t="str">
        <f>IF(C54=0,"",VLOOKUP(C54,'Tablas Magia'!$D$6:$Z$680,11,FALSE))</f>
        <v/>
      </c>
      <c r="G56" s="1134" t="str">
        <f>IF(C54=0,"",VLOOKUP(C54,'Tablas Magia'!$D$6:$Z$680,15,FALSE))</f>
        <v/>
      </c>
      <c r="H56" s="5579" t="str">
        <f>IF(C54=0,"",VLOOKUP(C54,'Tablas Magia'!$D$6:$Z$680,19,FALSE))</f>
        <v/>
      </c>
      <c r="I56" s="5580"/>
      <c r="J56" s="5580"/>
      <c r="K56" s="5580"/>
      <c r="L56" s="5580"/>
      <c r="M56" s="5580"/>
      <c r="N56" s="5580"/>
      <c r="O56" s="5580"/>
      <c r="P56" s="5580"/>
      <c r="Q56" s="5581"/>
      <c r="R56" s="1114"/>
      <c r="S56" s="1108"/>
      <c r="T56" s="1108"/>
      <c r="U56" s="520"/>
      <c r="V56" s="5577" t="s">
        <v>1674</v>
      </c>
      <c r="W56" s="5578"/>
      <c r="X56" s="1133" t="str">
        <f>IF(V54=0,"",VLOOKUP(V54,'Tablas Magia'!$D$6:$Z$680,7,FALSE))</f>
        <v/>
      </c>
      <c r="Y56" s="1133" t="str">
        <f>IF(V54=0,"",VLOOKUP(V54,'Tablas Magia'!$D$6:$Z$680,11,FALSE))</f>
        <v/>
      </c>
      <c r="Z56" s="1134" t="str">
        <f>IF(V54=0,"",VLOOKUP(V54,'Tablas Magia'!$D$6:$Z$680,15,FALSE))</f>
        <v/>
      </c>
      <c r="AA56" s="5579" t="str">
        <f>IF(V54=0,"",VLOOKUP(V54,'Tablas Magia'!$D$6:$Z$680,19,FALSE))</f>
        <v/>
      </c>
      <c r="AB56" s="5580"/>
      <c r="AC56" s="5580"/>
      <c r="AD56" s="5580"/>
      <c r="AE56" s="5580"/>
      <c r="AF56" s="5580"/>
      <c r="AG56" s="5580"/>
      <c r="AH56" s="5580"/>
      <c r="AI56" s="5580"/>
      <c r="AJ56" s="5581"/>
      <c r="AK56" s="1114"/>
      <c r="AL56" s="1108"/>
      <c r="AM56" s="1108"/>
      <c r="AN56" s="520"/>
      <c r="AO56" s="5577" t="s">
        <v>1674</v>
      </c>
      <c r="AP56" s="5578"/>
      <c r="AQ56" s="1133" t="str">
        <f>IF(AO54=0,"",VLOOKUP(AO54,'Tablas Magia'!$D$6:$Z$680,7,FALSE))</f>
        <v/>
      </c>
      <c r="AR56" s="1133" t="str">
        <f>IF(AO54=0,"",VLOOKUP(AO54,'Tablas Magia'!$D$6:$Z$680,11,FALSE))</f>
        <v/>
      </c>
      <c r="AS56" s="1134" t="str">
        <f>IF(AO54=0,"",VLOOKUP(AO54,'Tablas Magia'!$D$6:$Z$680,15,FALSE))</f>
        <v/>
      </c>
      <c r="AT56" s="5579" t="str">
        <f>IF(AO54=0,"",VLOOKUP(AO54,'Tablas Magia'!$D$6:$Z$680,19,FALSE))</f>
        <v/>
      </c>
      <c r="AU56" s="5580"/>
      <c r="AV56" s="5580"/>
      <c r="AW56" s="5580"/>
      <c r="AX56" s="5580"/>
      <c r="AY56" s="5580"/>
      <c r="AZ56" s="5580"/>
      <c r="BA56" s="5580"/>
      <c r="BB56" s="5580"/>
      <c r="BC56" s="5581"/>
      <c r="BD56" s="1114"/>
      <c r="BE56" s="1108"/>
    </row>
    <row r="57" spans="1:57" ht="12" customHeight="1">
      <c r="A57" s="1108"/>
      <c r="B57" s="520"/>
      <c r="C57" s="5572" t="s">
        <v>4570</v>
      </c>
      <c r="D57" s="5573"/>
      <c r="E57" s="1135" t="str">
        <f>IF(C54=0,"",VLOOKUP(C54,'Tablas Magia'!$D$6:$Z$680,8,FALSE))</f>
        <v/>
      </c>
      <c r="F57" s="1135" t="str">
        <f>IF(C54=0,"",VLOOKUP(C54,'Tablas Magia'!$D$6:$Z$680,12,FALSE))</f>
        <v/>
      </c>
      <c r="G57" s="1136" t="str">
        <f>IF(C54=0,"",VLOOKUP(C54,'Tablas Magia'!$D$6:$Z$680,16,FALSE))</f>
        <v/>
      </c>
      <c r="H57" s="5574" t="str">
        <f>IF(C54=0,"",VLOOKUP(C54,'Tablas Magia'!$D$6:$Z$680,20,FALSE))</f>
        <v/>
      </c>
      <c r="I57" s="5575"/>
      <c r="J57" s="5575"/>
      <c r="K57" s="5575"/>
      <c r="L57" s="5575"/>
      <c r="M57" s="5575"/>
      <c r="N57" s="5575"/>
      <c r="O57" s="5575"/>
      <c r="P57" s="5575"/>
      <c r="Q57" s="5576"/>
      <c r="R57" s="1114"/>
      <c r="S57" s="1108"/>
      <c r="T57" s="1108"/>
      <c r="U57" s="520"/>
      <c r="V57" s="5572" t="s">
        <v>4570</v>
      </c>
      <c r="W57" s="5573"/>
      <c r="X57" s="1135" t="str">
        <f>IF(V54=0,"",VLOOKUP(V54,'Tablas Magia'!$D$6:$Z$680,8,FALSE))</f>
        <v/>
      </c>
      <c r="Y57" s="1135" t="str">
        <f>IF(V54=0,"",VLOOKUP(V54,'Tablas Magia'!$D$6:$Z$680,12,FALSE))</f>
        <v/>
      </c>
      <c r="Z57" s="1136" t="str">
        <f>IF(V54=0,"",VLOOKUP(V54,'Tablas Magia'!$D$6:$Z$680,16,FALSE))</f>
        <v/>
      </c>
      <c r="AA57" s="5574" t="str">
        <f>IF(V54=0,"",VLOOKUP(V54,'Tablas Magia'!$D$6:$Z$680,20,FALSE))</f>
        <v/>
      </c>
      <c r="AB57" s="5575"/>
      <c r="AC57" s="5575"/>
      <c r="AD57" s="5575"/>
      <c r="AE57" s="5575"/>
      <c r="AF57" s="5575"/>
      <c r="AG57" s="5575"/>
      <c r="AH57" s="5575"/>
      <c r="AI57" s="5575"/>
      <c r="AJ57" s="5576"/>
      <c r="AK57" s="1114"/>
      <c r="AL57" s="1108"/>
      <c r="AM57" s="1108"/>
      <c r="AN57" s="520"/>
      <c r="AO57" s="5572" t="s">
        <v>4570</v>
      </c>
      <c r="AP57" s="5573"/>
      <c r="AQ57" s="1135" t="str">
        <f>IF(AO54=0,"",VLOOKUP(AO54,'Tablas Magia'!$D$6:$Z$680,8,FALSE))</f>
        <v/>
      </c>
      <c r="AR57" s="1135" t="str">
        <f>IF(AO54=0,"",VLOOKUP(AO54,'Tablas Magia'!$D$6:$Z$680,12,FALSE))</f>
        <v/>
      </c>
      <c r="AS57" s="1136" t="str">
        <f>IF(AO54=0,"",VLOOKUP(AO54,'Tablas Magia'!$D$6:$Z$680,16,FALSE))</f>
        <v/>
      </c>
      <c r="AT57" s="5574" t="str">
        <f>IF(AO54=0,"",VLOOKUP(AO54,'Tablas Magia'!$D$6:$Z$680,20,FALSE))</f>
        <v/>
      </c>
      <c r="AU57" s="5575"/>
      <c r="AV57" s="5575"/>
      <c r="AW57" s="5575"/>
      <c r="AX57" s="5575"/>
      <c r="AY57" s="5575"/>
      <c r="AZ57" s="5575"/>
      <c r="BA57" s="5575"/>
      <c r="BB57" s="5575"/>
      <c r="BC57" s="5576"/>
      <c r="BD57" s="1114"/>
      <c r="BE57" s="1108"/>
    </row>
    <row r="58" spans="1:57" ht="12" customHeight="1">
      <c r="A58" s="1108"/>
      <c r="B58" s="520"/>
      <c r="C58" s="5577" t="s">
        <v>4571</v>
      </c>
      <c r="D58" s="5578"/>
      <c r="E58" s="1133" t="str">
        <f>IF(C54=0,"",VLOOKUP(C54,'Tablas Magia'!$D$6:$Z$680,9,FALSE))</f>
        <v/>
      </c>
      <c r="F58" s="1133" t="str">
        <f>IF(C54=0,"",VLOOKUP(C54,'Tablas Magia'!$D$6:$Z$680,13,FALSE))</f>
        <v/>
      </c>
      <c r="G58" s="1134" t="str">
        <f>IF(C54=0,"",VLOOKUP(C54,'Tablas Magia'!$D$6:$Z$680,17,FALSE))</f>
        <v/>
      </c>
      <c r="H58" s="5579" t="str">
        <f>IF(C54=0,"",VLOOKUP(C54,'Tablas Magia'!$D$6:$Z$680,21,FALSE))</f>
        <v/>
      </c>
      <c r="I58" s="5580"/>
      <c r="J58" s="5580"/>
      <c r="K58" s="5580"/>
      <c r="L58" s="5580"/>
      <c r="M58" s="5580"/>
      <c r="N58" s="5580"/>
      <c r="O58" s="5580"/>
      <c r="P58" s="5580"/>
      <c r="Q58" s="5581"/>
      <c r="R58" s="1114"/>
      <c r="S58" s="1108"/>
      <c r="T58" s="1108"/>
      <c r="U58" s="520"/>
      <c r="V58" s="5577" t="s">
        <v>4571</v>
      </c>
      <c r="W58" s="5578"/>
      <c r="X58" s="1133" t="str">
        <f>IF(V54=0,"",VLOOKUP(V54,'Tablas Magia'!$D$6:$Z$680,9,FALSE))</f>
        <v/>
      </c>
      <c r="Y58" s="1133" t="str">
        <f>IF(V54=0,"",VLOOKUP(V54,'Tablas Magia'!$D$6:$Z$680,13,FALSE))</f>
        <v/>
      </c>
      <c r="Z58" s="1134" t="str">
        <f>IF(V54=0,"",VLOOKUP(V54,'Tablas Magia'!$D$6:$Z$680,17,FALSE))</f>
        <v/>
      </c>
      <c r="AA58" s="5579" t="str">
        <f>IF(V54=0,"",VLOOKUP(V54,'Tablas Magia'!$D$6:$Z$680,21,FALSE))</f>
        <v/>
      </c>
      <c r="AB58" s="5580"/>
      <c r="AC58" s="5580"/>
      <c r="AD58" s="5580"/>
      <c r="AE58" s="5580"/>
      <c r="AF58" s="5580"/>
      <c r="AG58" s="5580"/>
      <c r="AH58" s="5580"/>
      <c r="AI58" s="5580"/>
      <c r="AJ58" s="5581"/>
      <c r="AK58" s="1114"/>
      <c r="AL58" s="1108"/>
      <c r="AM58" s="1108"/>
      <c r="AN58" s="520"/>
      <c r="AO58" s="5577" t="s">
        <v>4571</v>
      </c>
      <c r="AP58" s="5578"/>
      <c r="AQ58" s="1133" t="str">
        <f>IF(AO54=0,"",VLOOKUP(AO54,'Tablas Magia'!$D$6:$Z$680,9,FALSE))</f>
        <v/>
      </c>
      <c r="AR58" s="1133" t="str">
        <f>IF(AO54=0,"",VLOOKUP(AO54,'Tablas Magia'!$D$6:$Z$680,13,FALSE))</f>
        <v/>
      </c>
      <c r="AS58" s="1134" t="str">
        <f>IF(AO54=0,"",VLOOKUP(AO54,'Tablas Magia'!$D$6:$Z$680,17,FALSE))</f>
        <v/>
      </c>
      <c r="AT58" s="5579" t="str">
        <f>IF(AO54=0,"",VLOOKUP(AO54,'Tablas Magia'!$D$6:$Z$680,21,FALSE))</f>
        <v/>
      </c>
      <c r="AU58" s="5580"/>
      <c r="AV58" s="5580"/>
      <c r="AW58" s="5580"/>
      <c r="AX58" s="5580"/>
      <c r="AY58" s="5580"/>
      <c r="AZ58" s="5580"/>
      <c r="BA58" s="5580"/>
      <c r="BB58" s="5580"/>
      <c r="BC58" s="5581"/>
      <c r="BD58" s="1114"/>
      <c r="BE58" s="1108"/>
    </row>
    <row r="59" spans="1:57" ht="12" customHeight="1" thickBot="1">
      <c r="A59" s="1108"/>
      <c r="B59" s="520"/>
      <c r="C59" s="5587" t="s">
        <v>4572</v>
      </c>
      <c r="D59" s="5588"/>
      <c r="E59" s="1137" t="str">
        <f>IF(C54=0,"",VLOOKUP(C54,'Tablas Magia'!$D$6:$Z$680,10,FALSE))</f>
        <v/>
      </c>
      <c r="F59" s="1137" t="str">
        <f>IF(C54=0,"",VLOOKUP(C54,'Tablas Magia'!$D$6:$Z$680,14,FALSE))</f>
        <v/>
      </c>
      <c r="G59" s="1138" t="str">
        <f>IF(C54=0,"",VLOOKUP(C54,'Tablas Magia'!$D$6:$Z$680,18,FALSE))</f>
        <v/>
      </c>
      <c r="H59" s="5589" t="str">
        <f>IF(C54=0,"",VLOOKUP(C54,'Tablas Magia'!$D$6:$Z$680,22,FALSE))</f>
        <v/>
      </c>
      <c r="I59" s="5590"/>
      <c r="J59" s="5590"/>
      <c r="K59" s="5590"/>
      <c r="L59" s="5590"/>
      <c r="M59" s="5590"/>
      <c r="N59" s="5590"/>
      <c r="O59" s="5590"/>
      <c r="P59" s="5590"/>
      <c r="Q59" s="5591"/>
      <c r="R59" s="1114"/>
      <c r="S59" s="1108"/>
      <c r="T59" s="1108"/>
      <c r="U59" s="520"/>
      <c r="V59" s="5587" t="s">
        <v>4572</v>
      </c>
      <c r="W59" s="5588"/>
      <c r="X59" s="1137" t="str">
        <f>IF(V54=0,"",VLOOKUP(V54,'Tablas Magia'!$D$6:$Z$680,10,FALSE))</f>
        <v/>
      </c>
      <c r="Y59" s="1137" t="str">
        <f>IF(V54=0,"",VLOOKUP(V54,'Tablas Magia'!$D$6:$Z$680,14,FALSE))</f>
        <v/>
      </c>
      <c r="Z59" s="1138" t="str">
        <f>IF(V54=0,"",VLOOKUP(V54,'Tablas Magia'!$D$6:$Z$680,18,FALSE))</f>
        <v/>
      </c>
      <c r="AA59" s="5589" t="str">
        <f>IF(V54=0,"",VLOOKUP(V54,'Tablas Magia'!$D$6:$Z$680,22,FALSE))</f>
        <v/>
      </c>
      <c r="AB59" s="5590"/>
      <c r="AC59" s="5590"/>
      <c r="AD59" s="5590"/>
      <c r="AE59" s="5590"/>
      <c r="AF59" s="5590"/>
      <c r="AG59" s="5590"/>
      <c r="AH59" s="5590"/>
      <c r="AI59" s="5590"/>
      <c r="AJ59" s="5591"/>
      <c r="AK59" s="1114"/>
      <c r="AL59" s="1108"/>
      <c r="AM59" s="1108"/>
      <c r="AN59" s="520"/>
      <c r="AO59" s="5587" t="s">
        <v>4572</v>
      </c>
      <c r="AP59" s="5588"/>
      <c r="AQ59" s="1137" t="str">
        <f>IF(AO54=0,"",VLOOKUP(AO54,'Tablas Magia'!$D$6:$Z$680,10,FALSE))</f>
        <v/>
      </c>
      <c r="AR59" s="1137" t="str">
        <f>IF(AO54=0,"",VLOOKUP(AO54,'Tablas Magia'!$D$6:$Z$680,14,FALSE))</f>
        <v/>
      </c>
      <c r="AS59" s="1138" t="str">
        <f>IF(AO54=0,"",VLOOKUP(AO54,'Tablas Magia'!$D$6:$Z$680,18,FALSE))</f>
        <v/>
      </c>
      <c r="AT59" s="5589" t="str">
        <f>IF(AO54=0,"",VLOOKUP(AO54,'Tablas Magia'!$D$6:$Z$680,22,FALSE))</f>
        <v/>
      </c>
      <c r="AU59" s="5590"/>
      <c r="AV59" s="5590"/>
      <c r="AW59" s="5590"/>
      <c r="AX59" s="5590"/>
      <c r="AY59" s="5590"/>
      <c r="AZ59" s="5590"/>
      <c r="BA59" s="5590"/>
      <c r="BB59" s="5590"/>
      <c r="BC59" s="5591"/>
      <c r="BD59" s="1114"/>
      <c r="BE59" s="1108"/>
    </row>
    <row r="60" spans="1:57" ht="12" customHeight="1">
      <c r="A60" s="1108"/>
      <c r="B60" s="520"/>
      <c r="C60" s="5592" t="str">
        <f>IF(C54=0,"",VLOOKUP(C54,'Tablas Magia'!$D$6:$Z$680,23,FALSE))</f>
        <v/>
      </c>
      <c r="D60" s="5593"/>
      <c r="E60" s="5593"/>
      <c r="F60" s="5593"/>
      <c r="G60" s="5593"/>
      <c r="H60" s="5593"/>
      <c r="I60" s="5593"/>
      <c r="J60" s="5593"/>
      <c r="K60" s="5593"/>
      <c r="L60" s="5593"/>
      <c r="M60" s="5593"/>
      <c r="N60" s="5593"/>
      <c r="O60" s="5593"/>
      <c r="P60" s="5593"/>
      <c r="Q60" s="5594"/>
      <c r="R60" s="1114"/>
      <c r="S60" s="1108"/>
      <c r="T60" s="1108"/>
      <c r="U60" s="520"/>
      <c r="V60" s="5592" t="str">
        <f>IF(V54=0,"",VLOOKUP(V54,'Tablas Magia'!$D$6:$Z$680,23,FALSE))</f>
        <v/>
      </c>
      <c r="W60" s="5593"/>
      <c r="X60" s="5593"/>
      <c r="Y60" s="5593"/>
      <c r="Z60" s="5593"/>
      <c r="AA60" s="5593"/>
      <c r="AB60" s="5593"/>
      <c r="AC60" s="5593"/>
      <c r="AD60" s="5593"/>
      <c r="AE60" s="5593"/>
      <c r="AF60" s="5593"/>
      <c r="AG60" s="5593"/>
      <c r="AH60" s="5593"/>
      <c r="AI60" s="5593"/>
      <c r="AJ60" s="5594"/>
      <c r="AK60" s="1114"/>
      <c r="AL60" s="1108"/>
      <c r="AM60" s="1108"/>
      <c r="AN60" s="520"/>
      <c r="AO60" s="5592" t="str">
        <f>IF(AO54=0,"",VLOOKUP(AO54,'Tablas Magia'!$D$6:$Z$680,23,FALSE))</f>
        <v/>
      </c>
      <c r="AP60" s="5593"/>
      <c r="AQ60" s="5593"/>
      <c r="AR60" s="5593"/>
      <c r="AS60" s="5593"/>
      <c r="AT60" s="5593"/>
      <c r="AU60" s="5593"/>
      <c r="AV60" s="5593"/>
      <c r="AW60" s="5593"/>
      <c r="AX60" s="5593"/>
      <c r="AY60" s="5593"/>
      <c r="AZ60" s="5593"/>
      <c r="BA60" s="5593"/>
      <c r="BB60" s="5593"/>
      <c r="BC60" s="5594"/>
      <c r="BD60" s="1114"/>
      <c r="BE60" s="1108"/>
    </row>
    <row r="61" spans="1:57" ht="12" customHeight="1">
      <c r="A61" s="1108"/>
      <c r="B61" s="520"/>
      <c r="C61" s="5595"/>
      <c r="D61" s="5596"/>
      <c r="E61" s="5596"/>
      <c r="F61" s="5596"/>
      <c r="G61" s="5596"/>
      <c r="H61" s="5596"/>
      <c r="I61" s="5596"/>
      <c r="J61" s="5596"/>
      <c r="K61" s="5596"/>
      <c r="L61" s="5596"/>
      <c r="M61" s="5596"/>
      <c r="N61" s="5596"/>
      <c r="O61" s="5596"/>
      <c r="P61" s="5596"/>
      <c r="Q61" s="5597"/>
      <c r="R61" s="1114"/>
      <c r="S61" s="1108"/>
      <c r="T61" s="1108"/>
      <c r="U61" s="520"/>
      <c r="V61" s="5595"/>
      <c r="W61" s="5596"/>
      <c r="X61" s="5596"/>
      <c r="Y61" s="5596"/>
      <c r="Z61" s="5596"/>
      <c r="AA61" s="5596"/>
      <c r="AB61" s="5596"/>
      <c r="AC61" s="5596"/>
      <c r="AD61" s="5596"/>
      <c r="AE61" s="5596"/>
      <c r="AF61" s="5596"/>
      <c r="AG61" s="5596"/>
      <c r="AH61" s="5596"/>
      <c r="AI61" s="5596"/>
      <c r="AJ61" s="5597"/>
      <c r="AK61" s="1114"/>
      <c r="AL61" s="1108"/>
      <c r="AM61" s="1108"/>
      <c r="AN61" s="520"/>
      <c r="AO61" s="5595"/>
      <c r="AP61" s="5596"/>
      <c r="AQ61" s="5596"/>
      <c r="AR61" s="5596"/>
      <c r="AS61" s="5596"/>
      <c r="AT61" s="5596"/>
      <c r="AU61" s="5596"/>
      <c r="AV61" s="5596"/>
      <c r="AW61" s="5596"/>
      <c r="AX61" s="5596"/>
      <c r="AY61" s="5596"/>
      <c r="AZ61" s="5596"/>
      <c r="BA61" s="5596"/>
      <c r="BB61" s="5596"/>
      <c r="BC61" s="5597"/>
      <c r="BD61" s="1114"/>
      <c r="BE61" s="1108"/>
    </row>
    <row r="62" spans="1:57" ht="12" customHeight="1">
      <c r="A62" s="1108"/>
      <c r="B62" s="520"/>
      <c r="C62" s="5595"/>
      <c r="D62" s="5596"/>
      <c r="E62" s="5596"/>
      <c r="F62" s="5596"/>
      <c r="G62" s="5596"/>
      <c r="H62" s="5596"/>
      <c r="I62" s="5596"/>
      <c r="J62" s="5596"/>
      <c r="K62" s="5596"/>
      <c r="L62" s="5596"/>
      <c r="M62" s="5596"/>
      <c r="N62" s="5596"/>
      <c r="O62" s="5596"/>
      <c r="P62" s="5596"/>
      <c r="Q62" s="5597"/>
      <c r="R62" s="1114"/>
      <c r="S62" s="1108"/>
      <c r="T62" s="1108"/>
      <c r="U62" s="520"/>
      <c r="V62" s="5595"/>
      <c r="W62" s="5596"/>
      <c r="X62" s="5596"/>
      <c r="Y62" s="5596"/>
      <c r="Z62" s="5596"/>
      <c r="AA62" s="5596"/>
      <c r="AB62" s="5596"/>
      <c r="AC62" s="5596"/>
      <c r="AD62" s="5596"/>
      <c r="AE62" s="5596"/>
      <c r="AF62" s="5596"/>
      <c r="AG62" s="5596"/>
      <c r="AH62" s="5596"/>
      <c r="AI62" s="5596"/>
      <c r="AJ62" s="5597"/>
      <c r="AK62" s="1114"/>
      <c r="AL62" s="1108"/>
      <c r="AM62" s="1108"/>
      <c r="AN62" s="520"/>
      <c r="AO62" s="5595"/>
      <c r="AP62" s="5596"/>
      <c r="AQ62" s="5596"/>
      <c r="AR62" s="5596"/>
      <c r="AS62" s="5596"/>
      <c r="AT62" s="5596"/>
      <c r="AU62" s="5596"/>
      <c r="AV62" s="5596"/>
      <c r="AW62" s="5596"/>
      <c r="AX62" s="5596"/>
      <c r="AY62" s="5596"/>
      <c r="AZ62" s="5596"/>
      <c r="BA62" s="5596"/>
      <c r="BB62" s="5596"/>
      <c r="BC62" s="5597"/>
      <c r="BD62" s="1114"/>
      <c r="BE62" s="1108"/>
    </row>
    <row r="63" spans="1:57" ht="12" customHeight="1" thickBot="1">
      <c r="A63" s="1108"/>
      <c r="B63" s="520"/>
      <c r="C63" s="5598"/>
      <c r="D63" s="5599"/>
      <c r="E63" s="5599"/>
      <c r="F63" s="5599"/>
      <c r="G63" s="5599"/>
      <c r="H63" s="5599"/>
      <c r="I63" s="5599"/>
      <c r="J63" s="5599"/>
      <c r="K63" s="5599"/>
      <c r="L63" s="5599"/>
      <c r="M63" s="5599"/>
      <c r="N63" s="5599"/>
      <c r="O63" s="5599"/>
      <c r="P63" s="5599"/>
      <c r="Q63" s="5600"/>
      <c r="R63" s="1114"/>
      <c r="S63" s="1108"/>
      <c r="T63" s="1108"/>
      <c r="U63" s="520"/>
      <c r="V63" s="5598"/>
      <c r="W63" s="5599"/>
      <c r="X63" s="5599"/>
      <c r="Y63" s="5599"/>
      <c r="Z63" s="5599"/>
      <c r="AA63" s="5599"/>
      <c r="AB63" s="5599"/>
      <c r="AC63" s="5599"/>
      <c r="AD63" s="5599"/>
      <c r="AE63" s="5599"/>
      <c r="AF63" s="5599"/>
      <c r="AG63" s="5599"/>
      <c r="AH63" s="5599"/>
      <c r="AI63" s="5599"/>
      <c r="AJ63" s="5600"/>
      <c r="AK63" s="1114"/>
      <c r="AL63" s="1108"/>
      <c r="AM63" s="1108"/>
      <c r="AN63" s="520"/>
      <c r="AO63" s="5598"/>
      <c r="AP63" s="5599"/>
      <c r="AQ63" s="5599"/>
      <c r="AR63" s="5599"/>
      <c r="AS63" s="5599"/>
      <c r="AT63" s="5599"/>
      <c r="AU63" s="5599"/>
      <c r="AV63" s="5599"/>
      <c r="AW63" s="5599"/>
      <c r="AX63" s="5599"/>
      <c r="AY63" s="5599"/>
      <c r="AZ63" s="5599"/>
      <c r="BA63" s="5599"/>
      <c r="BB63" s="5599"/>
      <c r="BC63" s="5600"/>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c r="A4" s="2069"/>
      <c r="B4" s="2074"/>
      <c r="C4" s="2070"/>
      <c r="D4" s="2086" t="s">
        <v>8625</v>
      </c>
      <c r="E4" s="5604" t="s">
        <v>2019</v>
      </c>
      <c r="F4" s="5604"/>
      <c r="G4" s="5604"/>
      <c r="H4" s="5610" t="s">
        <v>8626</v>
      </c>
      <c r="I4" s="5611"/>
      <c r="J4" s="5604"/>
      <c r="K4" s="5604"/>
      <c r="L4" s="5605"/>
      <c r="M4" s="2071"/>
      <c r="N4" s="2071"/>
      <c r="O4" s="2084" t="s">
        <v>8624</v>
      </c>
      <c r="P4" s="2085" t="str">
        <f>B8&amp;"-"&amp;B108</f>
        <v>2-20</v>
      </c>
      <c r="Q4" s="2072"/>
      <c r="R4" s="2073"/>
      <c r="S4" s="2069"/>
      <c r="T4" s="2069"/>
      <c r="U4" s="2074"/>
      <c r="V4" s="2070"/>
      <c r="W4" s="2088" t="s">
        <v>8625</v>
      </c>
      <c r="X4" s="5608" t="str">
        <f>IF($E$4="","",$E$4)</f>
        <v>Luz</v>
      </c>
      <c r="Y4" s="5608"/>
      <c r="Z4" s="5608"/>
      <c r="AA4" s="5606" t="s">
        <v>8626</v>
      </c>
      <c r="AB4" s="5607"/>
      <c r="AC4" s="5608" t="str">
        <f>IF($J$4="","",$J$4)</f>
        <v/>
      </c>
      <c r="AD4" s="5608"/>
      <c r="AE4" s="5609"/>
      <c r="AF4" s="2071"/>
      <c r="AG4" s="2071"/>
      <c r="AH4" s="2084" t="s">
        <v>8624</v>
      </c>
      <c r="AI4" s="2085" t="str">
        <f>U8&amp;"-"&amp;U108</f>
        <v>22-40</v>
      </c>
      <c r="AJ4" s="2072"/>
      <c r="AK4" s="2073"/>
      <c r="AL4" s="2069"/>
      <c r="AM4" s="2069"/>
      <c r="AN4" s="2074"/>
      <c r="AO4" s="2070"/>
      <c r="AP4" s="2088" t="s">
        <v>8625</v>
      </c>
      <c r="AQ4" s="5608" t="str">
        <f>IF($E$4="","",$E$4)</f>
        <v>Luz</v>
      </c>
      <c r="AR4" s="5608"/>
      <c r="AS4" s="5608"/>
      <c r="AT4" s="5606" t="s">
        <v>8626</v>
      </c>
      <c r="AU4" s="5607"/>
      <c r="AV4" s="5608" t="str">
        <f>IF($J$4="","",$J$4)</f>
        <v/>
      </c>
      <c r="AW4" s="5608"/>
      <c r="AX4" s="5609"/>
      <c r="AY4" s="2071"/>
      <c r="AZ4" s="2071"/>
      <c r="BA4" s="2084" t="s">
        <v>8624</v>
      </c>
      <c r="BB4" s="2085" t="str">
        <f>AN8&amp;"-"&amp;AN108</f>
        <v>42-60</v>
      </c>
      <c r="BC4" s="2072"/>
      <c r="BD4" s="2073"/>
      <c r="BE4" s="2069"/>
      <c r="BF4" s="2069"/>
      <c r="BG4" s="2074"/>
      <c r="BH4" s="2070"/>
      <c r="BI4" s="2088" t="s">
        <v>8625</v>
      </c>
      <c r="BJ4" s="5608" t="str">
        <f>IF($E$4="","",$E$4)</f>
        <v>Luz</v>
      </c>
      <c r="BK4" s="5608"/>
      <c r="BL4" s="5608"/>
      <c r="BM4" s="5606" t="s">
        <v>8626</v>
      </c>
      <c r="BN4" s="5607"/>
      <c r="BO4" s="5608" t="str">
        <f>IF($J$4="","",$J$4)</f>
        <v/>
      </c>
      <c r="BP4" s="5608"/>
      <c r="BQ4" s="5609"/>
      <c r="BR4" s="2071"/>
      <c r="BS4" s="2071"/>
      <c r="BT4" s="2084" t="s">
        <v>8624</v>
      </c>
      <c r="BU4" s="2085" t="str">
        <f>BG8&amp;"-"&amp;BG108</f>
        <v>62-80</v>
      </c>
      <c r="BV4" s="2072"/>
      <c r="BW4" s="2073"/>
      <c r="BX4" s="2069"/>
      <c r="BY4" s="2069"/>
      <c r="BZ4" s="2074"/>
      <c r="CA4" s="2070"/>
      <c r="CB4" s="2088" t="s">
        <v>8625</v>
      </c>
      <c r="CC4" s="5608" t="str">
        <f>IF($E$4="","",$E$4)</f>
        <v>Luz</v>
      </c>
      <c r="CD4" s="5608"/>
      <c r="CE4" s="5608"/>
      <c r="CF4" s="5606" t="s">
        <v>8626</v>
      </c>
      <c r="CG4" s="5607"/>
      <c r="CH4" s="5608" t="str">
        <f>IF($J$4="","",$J$4)</f>
        <v/>
      </c>
      <c r="CI4" s="5608"/>
      <c r="CJ4" s="5609"/>
      <c r="CK4" s="2071"/>
      <c r="CL4" s="2071"/>
      <c r="CM4" s="2084" t="s">
        <v>8624</v>
      </c>
      <c r="CN4" s="2089" t="str">
        <f>BZ8&amp;"-"&amp;BZ108</f>
        <v>82-100</v>
      </c>
      <c r="CO4" s="2072"/>
      <c r="CP4" s="2073"/>
      <c r="CQ4" s="2069"/>
    </row>
    <row r="5" spans="1:95" ht="12" customHeight="1" thickBot="1">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c r="A7" s="1108"/>
      <c r="B7" s="2083"/>
      <c r="C7" s="5603" t="str">
        <f>B8&amp;"-"&amp;B52</f>
        <v>2-10</v>
      </c>
      <c r="D7" s="5603"/>
      <c r="E7" s="5603"/>
      <c r="F7" s="5603"/>
      <c r="G7" s="5603"/>
      <c r="H7" s="5603"/>
      <c r="I7" s="5603"/>
      <c r="J7" s="5603"/>
      <c r="K7" s="5603"/>
      <c r="L7" s="5603"/>
      <c r="M7" s="5603"/>
      <c r="N7" s="5603"/>
      <c r="O7" s="5603"/>
      <c r="P7" s="5603"/>
      <c r="Q7" s="5603"/>
      <c r="R7" s="2078"/>
      <c r="S7" s="1108"/>
      <c r="T7" s="1108"/>
      <c r="U7" s="2083"/>
      <c r="V7" s="5603" t="str">
        <f>U8&amp;"-"&amp;U52</f>
        <v>22-30</v>
      </c>
      <c r="W7" s="5603"/>
      <c r="X7" s="5603"/>
      <c r="Y7" s="5603"/>
      <c r="Z7" s="5603"/>
      <c r="AA7" s="5603"/>
      <c r="AB7" s="5603"/>
      <c r="AC7" s="5603"/>
      <c r="AD7" s="5603"/>
      <c r="AE7" s="5603"/>
      <c r="AF7" s="5603"/>
      <c r="AG7" s="5603"/>
      <c r="AH7" s="5603"/>
      <c r="AI7" s="5603"/>
      <c r="AJ7" s="5603"/>
      <c r="AK7" s="2078"/>
      <c r="AL7" s="1108"/>
      <c r="AM7" s="2081"/>
      <c r="AN7" s="2077"/>
      <c r="AO7" s="5603" t="str">
        <f>AN8&amp;"-"&amp;AN52</f>
        <v>42-50</v>
      </c>
      <c r="AP7" s="5603"/>
      <c r="AQ7" s="5603"/>
      <c r="AR7" s="5603"/>
      <c r="AS7" s="5603"/>
      <c r="AT7" s="5603"/>
      <c r="AU7" s="5603"/>
      <c r="AV7" s="5603"/>
      <c r="AW7" s="5603"/>
      <c r="AX7" s="5603"/>
      <c r="AY7" s="5603"/>
      <c r="AZ7" s="5603"/>
      <c r="BA7" s="5603"/>
      <c r="BB7" s="5603"/>
      <c r="BC7" s="5603"/>
      <c r="BD7" s="2078"/>
      <c r="BE7" s="1108"/>
      <c r="BF7" s="1108"/>
      <c r="BG7" s="2077"/>
      <c r="BH7" s="5603" t="str">
        <f>BG8&amp;"-"&amp;BG52</f>
        <v>62-70</v>
      </c>
      <c r="BI7" s="5603"/>
      <c r="BJ7" s="5603"/>
      <c r="BK7" s="5603"/>
      <c r="BL7" s="5603"/>
      <c r="BM7" s="5603"/>
      <c r="BN7" s="5603"/>
      <c r="BO7" s="5603"/>
      <c r="BP7" s="5603"/>
      <c r="BQ7" s="5603"/>
      <c r="BR7" s="5603"/>
      <c r="BS7" s="5603"/>
      <c r="BT7" s="5603"/>
      <c r="BU7" s="5603"/>
      <c r="BV7" s="5603"/>
      <c r="BW7" s="2078"/>
      <c r="BX7" s="1108"/>
      <c r="BY7" s="1108"/>
      <c r="BZ7" s="2077"/>
      <c r="CA7" s="5603" t="str">
        <f>BZ8&amp;"-"&amp;BZ52</f>
        <v>82-90</v>
      </c>
      <c r="CB7" s="5603"/>
      <c r="CC7" s="5603"/>
      <c r="CD7" s="5603"/>
      <c r="CE7" s="5603"/>
      <c r="CF7" s="5603"/>
      <c r="CG7" s="5603"/>
      <c r="CH7" s="5603"/>
      <c r="CI7" s="5603"/>
      <c r="CJ7" s="5603"/>
      <c r="CK7" s="5603"/>
      <c r="CL7" s="5603"/>
      <c r="CM7" s="5603"/>
      <c r="CN7" s="5603"/>
      <c r="CO7" s="5603"/>
      <c r="CP7" s="2078"/>
      <c r="CQ7" s="1108"/>
    </row>
    <row r="8" spans="1:95" ht="12" customHeight="1">
      <c r="A8" s="1108"/>
      <c r="B8" s="2066">
        <v>2</v>
      </c>
      <c r="C8" s="560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02"/>
      <c r="E8" s="5602"/>
      <c r="F8" s="5602"/>
      <c r="G8" s="5602"/>
      <c r="H8" s="1128" t="s">
        <v>1627</v>
      </c>
      <c r="I8" s="1129">
        <f>B8</f>
        <v>2</v>
      </c>
      <c r="J8" s="5567" t="s">
        <v>7685</v>
      </c>
      <c r="K8" s="5567"/>
      <c r="L8" s="5567"/>
      <c r="M8" s="5568" t="str">
        <f>IF(C8=0,"",VLOOKUP(C8,'Tablas Magia'!$D$6:$Z$680,2,FALSE))</f>
        <v>Luz</v>
      </c>
      <c r="N8" s="5568"/>
      <c r="O8" s="5568"/>
      <c r="P8" s="5568"/>
      <c r="Q8" s="5569"/>
      <c r="R8" s="1114"/>
      <c r="S8" s="1108"/>
      <c r="T8" s="1108"/>
      <c r="U8" s="2066">
        <f>B8+20</f>
        <v>22</v>
      </c>
      <c r="V8" s="560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02"/>
      <c r="X8" s="5602"/>
      <c r="Y8" s="5602"/>
      <c r="Z8" s="5602"/>
      <c r="AA8" s="1128" t="s">
        <v>1627</v>
      </c>
      <c r="AB8" s="1129">
        <f>U8</f>
        <v>22</v>
      </c>
      <c r="AC8" s="5567" t="s">
        <v>7685</v>
      </c>
      <c r="AD8" s="5567"/>
      <c r="AE8" s="5567"/>
      <c r="AF8" s="5568" t="str">
        <f>IF(V8=0,"",VLOOKUP(V8,'Tablas Magia'!$D$6:$Z$680,2,FALSE))</f>
        <v>Luz</v>
      </c>
      <c r="AG8" s="5568"/>
      <c r="AH8" s="5568"/>
      <c r="AI8" s="5568"/>
      <c r="AJ8" s="5569"/>
      <c r="AK8" s="1114"/>
      <c r="AL8" s="1108"/>
      <c r="AM8" s="1108"/>
      <c r="AN8" s="2080">
        <f>U8+20</f>
        <v>42</v>
      </c>
      <c r="AO8" s="560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02"/>
      <c r="AQ8" s="5602"/>
      <c r="AR8" s="5602"/>
      <c r="AS8" s="5602"/>
      <c r="AT8" s="1128" t="s">
        <v>1627</v>
      </c>
      <c r="AU8" s="1129">
        <f>AN8</f>
        <v>42</v>
      </c>
      <c r="AV8" s="5567" t="s">
        <v>7685</v>
      </c>
      <c r="AW8" s="5567"/>
      <c r="AX8" s="5567"/>
      <c r="AY8" s="5568" t="str">
        <f>IF(AO8=0,"",VLOOKUP(AO8,'Tablas Magia'!$D$6:$Z$680,2,FALSE))</f>
        <v>Luz</v>
      </c>
      <c r="AZ8" s="5568"/>
      <c r="BA8" s="5568"/>
      <c r="BB8" s="5568"/>
      <c r="BC8" s="5569"/>
      <c r="BD8" s="1114"/>
      <c r="BE8" s="1108"/>
      <c r="BF8" s="1108"/>
      <c r="BG8" s="2080">
        <f>AN8+20</f>
        <v>62</v>
      </c>
      <c r="BH8" s="560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02"/>
      <c r="BJ8" s="5602"/>
      <c r="BK8" s="5602"/>
      <c r="BL8" s="5602"/>
      <c r="BM8" s="1128" t="s">
        <v>1627</v>
      </c>
      <c r="BN8" s="1129">
        <f>BG8</f>
        <v>62</v>
      </c>
      <c r="BO8" s="5567" t="s">
        <v>7685</v>
      </c>
      <c r="BP8" s="5567"/>
      <c r="BQ8" s="5567"/>
      <c r="BR8" s="5568" t="str">
        <f>IF(BH8=0,"",VLOOKUP(BH8,'Tablas Magia'!$D$6:$Z$680,2,FALSE))</f>
        <v>Luz</v>
      </c>
      <c r="BS8" s="5568"/>
      <c r="BT8" s="5568"/>
      <c r="BU8" s="5568"/>
      <c r="BV8" s="5569"/>
      <c r="BW8" s="1114"/>
      <c r="BX8" s="1108"/>
      <c r="BY8" s="1108"/>
      <c r="BZ8" s="2080">
        <f>BG8+20</f>
        <v>82</v>
      </c>
      <c r="CA8" s="560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02"/>
      <c r="CC8" s="5602"/>
      <c r="CD8" s="5602"/>
      <c r="CE8" s="5602"/>
      <c r="CF8" s="1128" t="s">
        <v>1627</v>
      </c>
      <c r="CG8" s="1129">
        <f>BZ8</f>
        <v>82</v>
      </c>
      <c r="CH8" s="5567" t="s">
        <v>7685</v>
      </c>
      <c r="CI8" s="5567"/>
      <c r="CJ8" s="5567"/>
      <c r="CK8" s="5568" t="str">
        <f>IF(CA8=0,"",VLOOKUP(CA8,'Tablas Magia'!$D$6:$Z$680,2,FALSE))</f>
        <v>Luz</v>
      </c>
      <c r="CL8" s="5568"/>
      <c r="CM8" s="5568"/>
      <c r="CN8" s="5568"/>
      <c r="CO8" s="5569"/>
      <c r="CP8" s="1114"/>
      <c r="CQ8" s="1108"/>
    </row>
    <row r="9" spans="1:95" ht="12" customHeight="1">
      <c r="A9" s="1108"/>
      <c r="B9" s="2066"/>
      <c r="C9" s="5585" t="s">
        <v>7686</v>
      </c>
      <c r="D9" s="5586"/>
      <c r="E9" s="1130" t="s">
        <v>7687</v>
      </c>
      <c r="F9" s="1130" t="s">
        <v>1820</v>
      </c>
      <c r="G9" s="1130" t="s">
        <v>3332</v>
      </c>
      <c r="H9" s="1131" t="s">
        <v>2165</v>
      </c>
      <c r="I9" s="5582" t="str">
        <f>IF(C8=0,"",VLOOKUP(C8,'Tablas Magia'!$D$6:$Z$680,5,FALSE))</f>
        <v>Efecto</v>
      </c>
      <c r="J9" s="5582"/>
      <c r="K9" s="5583" t="s">
        <v>7688</v>
      </c>
      <c r="L9" s="5583"/>
      <c r="M9" s="5582" t="str">
        <f>IF(C8=0,"",VLOOKUP(C8,'Tablas Magia'!$D$6:$Z$680,6,FALSE))</f>
        <v>Activa</v>
      </c>
      <c r="N9" s="5582"/>
      <c r="O9" s="5584" t="s">
        <v>7689</v>
      </c>
      <c r="P9" s="5584"/>
      <c r="Q9" s="1132" t="str">
        <f>IF(C8=0,"",VLOOKUP(C8,'Tablas Magia'!$D$6:$Z$680,4,FALSE))</f>
        <v>Si</v>
      </c>
      <c r="R9" s="1114"/>
      <c r="S9" s="1108"/>
      <c r="T9" s="1108"/>
      <c r="U9" s="2066"/>
      <c r="V9" s="5585" t="s">
        <v>7686</v>
      </c>
      <c r="W9" s="5586"/>
      <c r="X9" s="1130" t="s">
        <v>7687</v>
      </c>
      <c r="Y9" s="1130" t="s">
        <v>1820</v>
      </c>
      <c r="Z9" s="1130" t="s">
        <v>3332</v>
      </c>
      <c r="AA9" s="1131" t="s">
        <v>2165</v>
      </c>
      <c r="AB9" s="5582" t="str">
        <f>IF(V8=0,"",VLOOKUP(V8,'Tablas Magia'!$D$6:$Z$680,5,FALSE))</f>
        <v>Ataque</v>
      </c>
      <c r="AC9" s="5582"/>
      <c r="AD9" s="5583" t="s">
        <v>7688</v>
      </c>
      <c r="AE9" s="5583"/>
      <c r="AF9" s="5582" t="str">
        <f>IF(V8=0,"",VLOOKUP(V8,'Tablas Magia'!$D$6:$Z$680,6,FALSE))</f>
        <v>Activa</v>
      </c>
      <c r="AG9" s="5582"/>
      <c r="AH9" s="5584" t="s">
        <v>7689</v>
      </c>
      <c r="AI9" s="5584"/>
      <c r="AJ9" s="1132" t="str">
        <f>IF(V8=0,"",VLOOKUP(V8,'Tablas Magia'!$D$6:$Z$680,4,FALSE))</f>
        <v>No</v>
      </c>
      <c r="AK9" s="1114"/>
      <c r="AL9" s="1108"/>
      <c r="AM9" s="1108"/>
      <c r="AN9" s="2080"/>
      <c r="AO9" s="5585" t="s">
        <v>7686</v>
      </c>
      <c r="AP9" s="5586"/>
      <c r="AQ9" s="1130" t="s">
        <v>7687</v>
      </c>
      <c r="AR9" s="1130" t="s">
        <v>1820</v>
      </c>
      <c r="AS9" s="1130" t="s">
        <v>3332</v>
      </c>
      <c r="AT9" s="1131" t="s">
        <v>2165</v>
      </c>
      <c r="AU9" s="5582" t="str">
        <f>IF(AO8=0,"",VLOOKUP(AO8,'Tablas Magia'!$D$6:$Z$680,5,FALSE))</f>
        <v>Efecto</v>
      </c>
      <c r="AV9" s="5582"/>
      <c r="AW9" s="5583" t="s">
        <v>7688</v>
      </c>
      <c r="AX9" s="5583"/>
      <c r="AY9" s="5582" t="str">
        <f>IF(AO8=0,"",VLOOKUP(AO8,'Tablas Magia'!$D$6:$Z$680,6,FALSE))</f>
        <v>Activa</v>
      </c>
      <c r="AZ9" s="5582"/>
      <c r="BA9" s="5584" t="s">
        <v>7689</v>
      </c>
      <c r="BB9" s="5584"/>
      <c r="BC9" s="1132" t="str">
        <f>IF(AO8=0,"",VLOOKUP(AO8,'Tablas Magia'!$D$6:$Z$680,4,FALSE))</f>
        <v>No</v>
      </c>
      <c r="BD9" s="1114"/>
      <c r="BE9" s="1108"/>
      <c r="BF9" s="1108"/>
      <c r="BG9" s="2080"/>
      <c r="BH9" s="5585" t="s">
        <v>7686</v>
      </c>
      <c r="BI9" s="5586"/>
      <c r="BJ9" s="1130" t="s">
        <v>7687</v>
      </c>
      <c r="BK9" s="1130" t="s">
        <v>1820</v>
      </c>
      <c r="BL9" s="1130" t="s">
        <v>3332</v>
      </c>
      <c r="BM9" s="1131" t="s">
        <v>2165</v>
      </c>
      <c r="BN9" s="5582" t="str">
        <f>IF(BH8=0,"",VLOOKUP(BH8,'Tablas Magia'!$D$6:$Z$680,5,FALSE))</f>
        <v>Auto</v>
      </c>
      <c r="BO9" s="5582"/>
      <c r="BP9" s="5583" t="s">
        <v>7688</v>
      </c>
      <c r="BQ9" s="5583"/>
      <c r="BR9" s="5582" t="str">
        <f>IF(BH8=0,"",VLOOKUP(BH8,'Tablas Magia'!$D$6:$Z$680,6,FALSE))</f>
        <v>Activa</v>
      </c>
      <c r="BS9" s="5582"/>
      <c r="BT9" s="5584" t="s">
        <v>7689</v>
      </c>
      <c r="BU9" s="5584"/>
      <c r="BV9" s="1132" t="str">
        <f>IF(BH8=0,"",VLOOKUP(BH8,'Tablas Magia'!$D$6:$Z$680,4,FALSE))</f>
        <v>Si</v>
      </c>
      <c r="BW9" s="1114"/>
      <c r="BX9" s="1108"/>
      <c r="BY9" s="1108"/>
      <c r="BZ9" s="2080"/>
      <c r="CA9" s="5585" t="s">
        <v>7686</v>
      </c>
      <c r="CB9" s="5586"/>
      <c r="CC9" s="1130" t="s">
        <v>7687</v>
      </c>
      <c r="CD9" s="1130" t="s">
        <v>1820</v>
      </c>
      <c r="CE9" s="1130" t="s">
        <v>3332</v>
      </c>
      <c r="CF9" s="1131" t="s">
        <v>2165</v>
      </c>
      <c r="CG9" s="5582" t="str">
        <f>IF(CA8=0,"",VLOOKUP(CA8,'Tablas Magia'!$D$6:$Z$680,5,FALSE))</f>
        <v>Efecto</v>
      </c>
      <c r="CH9" s="5582"/>
      <c r="CI9" s="5583" t="s">
        <v>7688</v>
      </c>
      <c r="CJ9" s="5583"/>
      <c r="CK9" s="5582" t="str">
        <f>IF(CA8=0,"",VLOOKUP(CA8,'Tablas Magia'!$D$6:$Z$680,6,FALSE))</f>
        <v>Activa</v>
      </c>
      <c r="CL9" s="5582"/>
      <c r="CM9" s="5584" t="s">
        <v>7689</v>
      </c>
      <c r="CN9" s="5584"/>
      <c r="CO9" s="1132" t="str">
        <f>IF(CA8=0,"",VLOOKUP(CA8,'Tablas Magia'!$D$6:$Z$680,4,FALSE))</f>
        <v>Si</v>
      </c>
      <c r="CP9" s="1114"/>
      <c r="CQ9" s="1108"/>
    </row>
    <row r="10" spans="1:95" ht="12" customHeight="1">
      <c r="A10" s="1108"/>
      <c r="B10" s="2066"/>
      <c r="C10" s="5577" t="s">
        <v>1674</v>
      </c>
      <c r="D10" s="5578"/>
      <c r="E10" s="1133">
        <f>IF(C8=0,"",VLOOKUP(C8,'Tablas Magia'!$D$6:$Z$680,7,FALSE))</f>
        <v>5</v>
      </c>
      <c r="F10" s="1133">
        <f>IF(C8=0,"",VLOOKUP(C8,'Tablas Magia'!$D$6:$Z$680,11,FALSE))</f>
        <v>20</v>
      </c>
      <c r="G10" s="1134">
        <f>IF(C8=0,"",VLOOKUP(C8,'Tablas Magia'!$D$6:$Z$680,15,FALSE))</f>
        <v>5</v>
      </c>
      <c r="H10" s="5579" t="str">
        <f>IF(C8=0,"",VLOOKUP(C8,'Tablas Magia'!$D$6:$Z$680,19,FALSE))</f>
        <v>5 metros de zona iluminada</v>
      </c>
      <c r="I10" s="5580"/>
      <c r="J10" s="5580"/>
      <c r="K10" s="5580"/>
      <c r="L10" s="5580"/>
      <c r="M10" s="5580"/>
      <c r="N10" s="5580"/>
      <c r="O10" s="5580"/>
      <c r="P10" s="5580"/>
      <c r="Q10" s="5581"/>
      <c r="R10" s="1114"/>
      <c r="S10" s="1108"/>
      <c r="T10" s="1108"/>
      <c r="U10" s="2066"/>
      <c r="V10" s="5577" t="s">
        <v>1674</v>
      </c>
      <c r="W10" s="5578"/>
      <c r="X10" s="1133">
        <f>IF(V8=0,"",VLOOKUP(V8,'Tablas Magia'!$D$6:$Z$680,7,FALSE))</f>
        <v>6</v>
      </c>
      <c r="Y10" s="1133">
        <f>IF(V8=0,"",VLOOKUP(V8,'Tablas Magia'!$D$6:$Z$680,11,FALSE))</f>
        <v>50</v>
      </c>
      <c r="Z10" s="1134" t="str">
        <f>IF(V8=0,"",VLOOKUP(V8,'Tablas Magia'!$D$6:$Z$680,15,FALSE))</f>
        <v>No</v>
      </c>
      <c r="AA10" s="5579" t="str">
        <f>IF(V8=0,"",VLOOKUP(V8,'Tablas Magia'!$D$6:$Z$680,19,FALSE))</f>
        <v>Daño 60.</v>
      </c>
      <c r="AB10" s="5580"/>
      <c r="AC10" s="5580"/>
      <c r="AD10" s="5580"/>
      <c r="AE10" s="5580"/>
      <c r="AF10" s="5580"/>
      <c r="AG10" s="5580"/>
      <c r="AH10" s="5580"/>
      <c r="AI10" s="5580"/>
      <c r="AJ10" s="5581"/>
      <c r="AK10" s="1114"/>
      <c r="AL10" s="1108"/>
      <c r="AM10" s="1108"/>
      <c r="AN10" s="2080"/>
      <c r="AO10" s="5577" t="s">
        <v>1674</v>
      </c>
      <c r="AP10" s="5578"/>
      <c r="AQ10" s="1133">
        <f>IF(AO8=0,"",VLOOKUP(AO8,'Tablas Magia'!$D$6:$Z$680,7,FALSE))</f>
        <v>7</v>
      </c>
      <c r="AR10" s="1133">
        <f>IF(AO8=0,"",VLOOKUP(AO8,'Tablas Magia'!$D$6:$Z$680,11,FALSE))</f>
        <v>70</v>
      </c>
      <c r="AS10" s="1134" t="str">
        <f>IF(AO8=0,"",VLOOKUP(AO8,'Tablas Magia'!$D$6:$Z$680,15,FALSE))</f>
        <v>No</v>
      </c>
      <c r="AT10" s="5579" t="str">
        <f>IF(AO8=0,"",VLOOKUP(AO8,'Tablas Magia'!$D$6:$Z$680,19,FALSE))</f>
        <v>40 Puntos de Vida.</v>
      </c>
      <c r="AU10" s="5580"/>
      <c r="AV10" s="5580"/>
      <c r="AW10" s="5580"/>
      <c r="AX10" s="5580"/>
      <c r="AY10" s="5580"/>
      <c r="AZ10" s="5580"/>
      <c r="BA10" s="5580"/>
      <c r="BB10" s="5580"/>
      <c r="BC10" s="5581"/>
      <c r="BD10" s="1114"/>
      <c r="BE10" s="1108"/>
      <c r="BF10" s="1108"/>
      <c r="BG10" s="2080"/>
      <c r="BH10" s="5577" t="s">
        <v>1674</v>
      </c>
      <c r="BI10" s="5578"/>
      <c r="BJ10" s="1133">
        <f>IF(BH8=0,"",VLOOKUP(BH8,'Tablas Magia'!$D$6:$Z$680,7,FALSE))</f>
        <v>7</v>
      </c>
      <c r="BK10" s="1133">
        <f>IF(BH8=0,"",VLOOKUP(BH8,'Tablas Magia'!$D$6:$Z$680,11,FALSE))</f>
        <v>140</v>
      </c>
      <c r="BL10" s="1134">
        <f>IF(BH8=0,"",VLOOKUP(BH8,'Tablas Magia'!$D$6:$Z$680,15,FALSE))</f>
        <v>15</v>
      </c>
      <c r="BM10" s="5579" t="str">
        <f>IF(BH8=0,"",VLOOKUP(BH8,'Tablas Magia'!$D$6:$Z$680,19,FALSE))</f>
        <v>RM 120 / radio de 20 metros</v>
      </c>
      <c r="BN10" s="5580"/>
      <c r="BO10" s="5580"/>
      <c r="BP10" s="5580"/>
      <c r="BQ10" s="5580"/>
      <c r="BR10" s="5580"/>
      <c r="BS10" s="5580"/>
      <c r="BT10" s="5580"/>
      <c r="BU10" s="5580"/>
      <c r="BV10" s="5581"/>
      <c r="BW10" s="1114"/>
      <c r="BX10" s="1108"/>
      <c r="BY10" s="1108"/>
      <c r="BZ10" s="2080"/>
      <c r="CA10" s="5577" t="s">
        <v>1674</v>
      </c>
      <c r="CB10" s="5578"/>
      <c r="CC10" s="1133">
        <f>IF(CA8=0,"",VLOOKUP(CA8,'Tablas Magia'!$D$6:$Z$680,7,FALSE))</f>
        <v>10</v>
      </c>
      <c r="CD10" s="1133">
        <f>IF(CA8=0,"",VLOOKUP(CA8,'Tablas Magia'!$D$6:$Z$680,11,FALSE))</f>
        <v>250</v>
      </c>
      <c r="CE10" s="1134">
        <f>IF(CA8=0,"",VLOOKUP(CA8,'Tablas Magia'!$D$6:$Z$680,15,FALSE))</f>
        <v>50</v>
      </c>
      <c r="CF10" s="5579" t="str">
        <f>IF(CA8=0,"",VLOOKUP(CA8,'Tablas Magia'!$D$6:$Z$680,19,FALSE))</f>
        <v>Nivel 1.</v>
      </c>
      <c r="CG10" s="5580"/>
      <c r="CH10" s="5580"/>
      <c r="CI10" s="5580"/>
      <c r="CJ10" s="5580"/>
      <c r="CK10" s="5580"/>
      <c r="CL10" s="5580"/>
      <c r="CM10" s="5580"/>
      <c r="CN10" s="5580"/>
      <c r="CO10" s="5581"/>
      <c r="CP10" s="1114"/>
      <c r="CQ10" s="1108"/>
    </row>
    <row r="11" spans="1:95" ht="12" customHeight="1">
      <c r="A11" s="1108"/>
      <c r="B11" s="2066"/>
      <c r="C11" s="5572" t="s">
        <v>4570</v>
      </c>
      <c r="D11" s="5573"/>
      <c r="E11" s="1135">
        <f>IF(C8=0,"",VLOOKUP(C8,'Tablas Magia'!$D$6:$Z$680,8,FALSE))</f>
        <v>8</v>
      </c>
      <c r="F11" s="1135">
        <f>IF(C8=0,"",VLOOKUP(C8,'Tablas Magia'!$D$6:$Z$680,12,FALSE))</f>
        <v>50</v>
      </c>
      <c r="G11" s="1136">
        <f>IF(C8=0,"",VLOOKUP(C8,'Tablas Magia'!$D$6:$Z$680,16,FALSE))</f>
        <v>5</v>
      </c>
      <c r="H11" s="5574" t="str">
        <f>IF(C8=0,"",VLOOKUP(C8,'Tablas Magia'!$D$6:$Z$680,20,FALSE))</f>
        <v>25 metros de zona iluminada</v>
      </c>
      <c r="I11" s="5575"/>
      <c r="J11" s="5575"/>
      <c r="K11" s="5575"/>
      <c r="L11" s="5575"/>
      <c r="M11" s="5575"/>
      <c r="N11" s="5575"/>
      <c r="O11" s="5575"/>
      <c r="P11" s="5575"/>
      <c r="Q11" s="5576"/>
      <c r="R11" s="1114"/>
      <c r="S11" s="1108"/>
      <c r="T11" s="1108"/>
      <c r="U11" s="2066"/>
      <c r="V11" s="5572" t="s">
        <v>4570</v>
      </c>
      <c r="W11" s="5573"/>
      <c r="X11" s="1135">
        <f>IF(V8=0,"",VLOOKUP(V8,'Tablas Magia'!$D$6:$Z$680,8,FALSE))</f>
        <v>9</v>
      </c>
      <c r="Y11" s="1135">
        <f>IF(V8=0,"",VLOOKUP(V8,'Tablas Magia'!$D$6:$Z$680,12,FALSE))</f>
        <v>90</v>
      </c>
      <c r="Z11" s="1136" t="str">
        <f>IF(V8=0,"",VLOOKUP(V8,'Tablas Magia'!$D$6:$Z$680,16,FALSE))</f>
        <v>No</v>
      </c>
      <c r="AA11" s="5574" t="str">
        <f>IF(V8=0,"",VLOOKUP(V8,'Tablas Magia'!$D$6:$Z$680,20,FALSE))</f>
        <v>Daño 90.</v>
      </c>
      <c r="AB11" s="5575"/>
      <c r="AC11" s="5575"/>
      <c r="AD11" s="5575"/>
      <c r="AE11" s="5575"/>
      <c r="AF11" s="5575"/>
      <c r="AG11" s="5575"/>
      <c r="AH11" s="5575"/>
      <c r="AI11" s="5575"/>
      <c r="AJ11" s="5576"/>
      <c r="AK11" s="1114"/>
      <c r="AL11" s="1108"/>
      <c r="AM11" s="1108"/>
      <c r="AN11" s="2080"/>
      <c r="AO11" s="5572" t="s">
        <v>4570</v>
      </c>
      <c r="AP11" s="5573"/>
      <c r="AQ11" s="1135">
        <f>IF(AO8=0,"",VLOOKUP(AO8,'Tablas Magia'!$D$6:$Z$680,8,FALSE))</f>
        <v>10</v>
      </c>
      <c r="AR11" s="1135">
        <f>IF(AO8=0,"",VLOOKUP(AO8,'Tablas Magia'!$D$6:$Z$680,12,FALSE))</f>
        <v>100</v>
      </c>
      <c r="AS11" s="1136" t="str">
        <f>IF(AO8=0,"",VLOOKUP(AO8,'Tablas Magia'!$D$6:$Z$680,16,FALSE))</f>
        <v>No</v>
      </c>
      <c r="AT11" s="5574" t="str">
        <f>IF(AO8=0,"",VLOOKUP(AO8,'Tablas Magia'!$D$6:$Z$680,20,FALSE))</f>
        <v>80 Puntos de Vida</v>
      </c>
      <c r="AU11" s="5575"/>
      <c r="AV11" s="5575"/>
      <c r="AW11" s="5575"/>
      <c r="AX11" s="5575"/>
      <c r="AY11" s="5575"/>
      <c r="AZ11" s="5575"/>
      <c r="BA11" s="5575"/>
      <c r="BB11" s="5575"/>
      <c r="BC11" s="5576"/>
      <c r="BD11" s="1114"/>
      <c r="BE11" s="1108"/>
      <c r="BF11" s="1108"/>
      <c r="BG11" s="2080"/>
      <c r="BH11" s="5572" t="s">
        <v>4570</v>
      </c>
      <c r="BI11" s="5573"/>
      <c r="BJ11" s="1135">
        <f>IF(BH8=0,"",VLOOKUP(BH8,'Tablas Magia'!$D$6:$Z$680,8,FALSE))</f>
        <v>9</v>
      </c>
      <c r="BK11" s="1135">
        <f>IF(BH8=0,"",VLOOKUP(BH8,'Tablas Magia'!$D$6:$Z$680,12,FALSE))</f>
        <v>180</v>
      </c>
      <c r="BL11" s="1136">
        <f>IF(BH8=0,"",VLOOKUP(BH8,'Tablas Magia'!$D$6:$Z$680,16,FALSE))</f>
        <v>20</v>
      </c>
      <c r="BM11" s="5574" t="str">
        <f>IF(BH8=0,"",VLOOKUP(BH8,'Tablas Magia'!$D$6:$Z$680,20,FALSE))</f>
        <v>RM 140 / radio de 100 metros</v>
      </c>
      <c r="BN11" s="5575"/>
      <c r="BO11" s="5575"/>
      <c r="BP11" s="5575"/>
      <c r="BQ11" s="5575"/>
      <c r="BR11" s="5575"/>
      <c r="BS11" s="5575"/>
      <c r="BT11" s="5575"/>
      <c r="BU11" s="5575"/>
      <c r="BV11" s="5576"/>
      <c r="BW11" s="1114"/>
      <c r="BX11" s="1108"/>
      <c r="BY11" s="1108"/>
      <c r="BZ11" s="2080"/>
      <c r="CA11" s="5572" t="s">
        <v>4570</v>
      </c>
      <c r="CB11" s="5573"/>
      <c r="CC11" s="1135">
        <f>IF(CA8=0,"",VLOOKUP(CA8,'Tablas Magia'!$D$6:$Z$680,8,FALSE))</f>
        <v>12</v>
      </c>
      <c r="CD11" s="1135">
        <f>IF(CA8=0,"",VLOOKUP(CA8,'Tablas Magia'!$D$6:$Z$680,12,FALSE))</f>
        <v>350</v>
      </c>
      <c r="CE11" s="1136">
        <f>IF(CA8=0,"",VLOOKUP(CA8,'Tablas Magia'!$D$6:$Z$680,16,FALSE))</f>
        <v>70</v>
      </c>
      <c r="CF11" s="5574" t="str">
        <f>IF(CA8=0,"",VLOOKUP(CA8,'Tablas Magia'!$D$6:$Z$680,20,FALSE))</f>
        <v>Nivel 3</v>
      </c>
      <c r="CG11" s="5575"/>
      <c r="CH11" s="5575"/>
      <c r="CI11" s="5575"/>
      <c r="CJ11" s="5575"/>
      <c r="CK11" s="5575"/>
      <c r="CL11" s="5575"/>
      <c r="CM11" s="5575"/>
      <c r="CN11" s="5575"/>
      <c r="CO11" s="5576"/>
      <c r="CP11" s="1114"/>
      <c r="CQ11" s="1108"/>
    </row>
    <row r="12" spans="1:95" ht="12" customHeight="1">
      <c r="A12" s="1108"/>
      <c r="B12" s="2066"/>
      <c r="C12" s="5577" t="s">
        <v>4571</v>
      </c>
      <c r="D12" s="5578"/>
      <c r="E12" s="1133">
        <f>IF(C8=0,"",VLOOKUP(C8,'Tablas Magia'!$D$6:$Z$680,9,FALSE))</f>
        <v>10</v>
      </c>
      <c r="F12" s="1133">
        <f>IF(C8=0,"",VLOOKUP(C8,'Tablas Magia'!$D$6:$Z$680,13,FALSE))</f>
        <v>100</v>
      </c>
      <c r="G12" s="1134">
        <f>IF(C8=0,"",VLOOKUP(C8,'Tablas Magia'!$D$6:$Z$680,17,FALSE))</f>
        <v>10</v>
      </c>
      <c r="H12" s="5579" t="str">
        <f>IF(C8=0,"",VLOOKUP(C8,'Tablas Magia'!$D$6:$Z$680,21,FALSE))</f>
        <v>100 metros de zona iluminada</v>
      </c>
      <c r="I12" s="5580"/>
      <c r="J12" s="5580"/>
      <c r="K12" s="5580"/>
      <c r="L12" s="5580"/>
      <c r="M12" s="5580"/>
      <c r="N12" s="5580"/>
      <c r="O12" s="5580"/>
      <c r="P12" s="5580"/>
      <c r="Q12" s="5581"/>
      <c r="R12" s="1114"/>
      <c r="S12" s="1108"/>
      <c r="T12" s="1108"/>
      <c r="U12" s="2066"/>
      <c r="V12" s="5577" t="s">
        <v>4571</v>
      </c>
      <c r="W12" s="5578"/>
      <c r="X12" s="1133">
        <f>IF(V8=0,"",VLOOKUP(V8,'Tablas Magia'!$D$6:$Z$680,9,FALSE))</f>
        <v>12</v>
      </c>
      <c r="Y12" s="1133">
        <f>IF(V8=0,"",VLOOKUP(V8,'Tablas Magia'!$D$6:$Z$680,13,FALSE))</f>
        <v>120</v>
      </c>
      <c r="Z12" s="1134" t="str">
        <f>IF(V8=0,"",VLOOKUP(V8,'Tablas Magia'!$D$6:$Z$680,17,FALSE))</f>
        <v>No</v>
      </c>
      <c r="AA12" s="5579" t="str">
        <f>IF(V8=0,"",VLOOKUP(V8,'Tablas Magia'!$D$6:$Z$680,21,FALSE))</f>
        <v>Daño 120.</v>
      </c>
      <c r="AB12" s="5580"/>
      <c r="AC12" s="5580"/>
      <c r="AD12" s="5580"/>
      <c r="AE12" s="5580"/>
      <c r="AF12" s="5580"/>
      <c r="AG12" s="5580"/>
      <c r="AH12" s="5580"/>
      <c r="AI12" s="5580"/>
      <c r="AJ12" s="5581"/>
      <c r="AK12" s="1114"/>
      <c r="AL12" s="1108"/>
      <c r="AM12" s="1108"/>
      <c r="AN12" s="2080"/>
      <c r="AO12" s="5577" t="s">
        <v>4571</v>
      </c>
      <c r="AP12" s="5578"/>
      <c r="AQ12" s="1133">
        <f>IF(AO8=0,"",VLOOKUP(AO8,'Tablas Magia'!$D$6:$Z$680,9,FALSE))</f>
        <v>13</v>
      </c>
      <c r="AR12" s="1133">
        <f>IF(AO8=0,"",VLOOKUP(AO8,'Tablas Magia'!$D$6:$Z$680,13,FALSE))</f>
        <v>150</v>
      </c>
      <c r="AS12" s="1134" t="str">
        <f>IF(AO8=0,"",VLOOKUP(AO8,'Tablas Magia'!$D$6:$Z$680,17,FALSE))</f>
        <v>No</v>
      </c>
      <c r="AT12" s="5579" t="str">
        <f>IF(AO8=0,"",VLOOKUP(AO8,'Tablas Magia'!$D$6:$Z$680,21,FALSE))</f>
        <v>120 Puntos de Vida</v>
      </c>
      <c r="AU12" s="5580"/>
      <c r="AV12" s="5580"/>
      <c r="AW12" s="5580"/>
      <c r="AX12" s="5580"/>
      <c r="AY12" s="5580"/>
      <c r="AZ12" s="5580"/>
      <c r="BA12" s="5580"/>
      <c r="BB12" s="5580"/>
      <c r="BC12" s="5581"/>
      <c r="BD12" s="1114"/>
      <c r="BE12" s="1108"/>
      <c r="BF12" s="1108"/>
      <c r="BG12" s="2080"/>
      <c r="BH12" s="5577" t="s">
        <v>4571</v>
      </c>
      <c r="BI12" s="5578"/>
      <c r="BJ12" s="1133">
        <f>IF(BH8=0,"",VLOOKUP(BH8,'Tablas Magia'!$D$6:$Z$680,9,FALSE))</f>
        <v>12</v>
      </c>
      <c r="BK12" s="1133">
        <f>IF(BH8=0,"",VLOOKUP(BH8,'Tablas Magia'!$D$6:$Z$680,13,FALSE))</f>
        <v>240</v>
      </c>
      <c r="BL12" s="1134">
        <f>IF(BH8=0,"",VLOOKUP(BH8,'Tablas Magia'!$D$6:$Z$680,17,FALSE))</f>
        <v>25</v>
      </c>
      <c r="BM12" s="5579" t="str">
        <f>IF(BH8=0,"",VLOOKUP(BH8,'Tablas Magia'!$D$6:$Z$680,21,FALSE))</f>
        <v>RM 160 / radio de 250 metros</v>
      </c>
      <c r="BN12" s="5580"/>
      <c r="BO12" s="5580"/>
      <c r="BP12" s="5580"/>
      <c r="BQ12" s="5580"/>
      <c r="BR12" s="5580"/>
      <c r="BS12" s="5580"/>
      <c r="BT12" s="5580"/>
      <c r="BU12" s="5580"/>
      <c r="BV12" s="5581"/>
      <c r="BW12" s="1114"/>
      <c r="BX12" s="1108"/>
      <c r="BY12" s="1108"/>
      <c r="BZ12" s="2080"/>
      <c r="CA12" s="5577" t="s">
        <v>4571</v>
      </c>
      <c r="CB12" s="5578"/>
      <c r="CC12" s="1133">
        <f>IF(CA8=0,"",VLOOKUP(CA8,'Tablas Magia'!$D$6:$Z$680,9,FALSE))</f>
        <v>14</v>
      </c>
      <c r="CD12" s="1133">
        <f>IF(CA8=0,"",VLOOKUP(CA8,'Tablas Magia'!$D$6:$Z$680,13,FALSE))</f>
        <v>500</v>
      </c>
      <c r="CE12" s="1134">
        <f>IF(CA8=0,"",VLOOKUP(CA8,'Tablas Magia'!$D$6:$Z$680,17,FALSE))</f>
        <v>100</v>
      </c>
      <c r="CF12" s="5579" t="str">
        <f>IF(CA8=0,"",VLOOKUP(CA8,'Tablas Magia'!$D$6:$Z$680,21,FALSE))</f>
        <v>Nivel 6.</v>
      </c>
      <c r="CG12" s="5580"/>
      <c r="CH12" s="5580"/>
      <c r="CI12" s="5580"/>
      <c r="CJ12" s="5580"/>
      <c r="CK12" s="5580"/>
      <c r="CL12" s="5580"/>
      <c r="CM12" s="5580"/>
      <c r="CN12" s="5580"/>
      <c r="CO12" s="5581"/>
      <c r="CP12" s="1114"/>
      <c r="CQ12" s="1108"/>
    </row>
    <row r="13" spans="1:95" ht="12" customHeight="1" thickBot="1">
      <c r="A13" s="1108"/>
      <c r="B13" s="2066"/>
      <c r="C13" s="5587" t="s">
        <v>4572</v>
      </c>
      <c r="D13" s="5588"/>
      <c r="E13" s="1137">
        <f>IF(C8=0,"",VLOOKUP(C8,'Tablas Magia'!$D$6:$Z$680,10,FALSE))</f>
        <v>12</v>
      </c>
      <c r="F13" s="1137">
        <f>IF(C8=0,"",VLOOKUP(C8,'Tablas Magia'!$D$6:$Z$680,14,FALSE))</f>
        <v>200</v>
      </c>
      <c r="G13" s="1138">
        <f>IF(C8=0,"",VLOOKUP(C8,'Tablas Magia'!$D$6:$Z$680,18,FALSE))</f>
        <v>15</v>
      </c>
      <c r="H13" s="5589" t="str">
        <f>IF(C8=0,"",VLOOKUP(C8,'Tablas Magia'!$D$6:$Z$680,22,FALSE))</f>
        <v>500 metros de zona iluminada</v>
      </c>
      <c r="I13" s="5590"/>
      <c r="J13" s="5590"/>
      <c r="K13" s="5590"/>
      <c r="L13" s="5590"/>
      <c r="M13" s="5590"/>
      <c r="N13" s="5590"/>
      <c r="O13" s="5590"/>
      <c r="P13" s="5590"/>
      <c r="Q13" s="5591"/>
      <c r="R13" s="1114"/>
      <c r="S13" s="1108"/>
      <c r="T13" s="1108"/>
      <c r="U13" s="2066"/>
      <c r="V13" s="5587" t="s">
        <v>4572</v>
      </c>
      <c r="W13" s="5588"/>
      <c r="X13" s="1137">
        <f>IF(V8=0,"",VLOOKUP(V8,'Tablas Magia'!$D$6:$Z$680,10,FALSE))</f>
        <v>15</v>
      </c>
      <c r="Y13" s="1137">
        <f>IF(V8=0,"",VLOOKUP(V8,'Tablas Magia'!$D$6:$Z$680,14,FALSE))</f>
        <v>150</v>
      </c>
      <c r="Z13" s="1138" t="str">
        <f>IF(V8=0,"",VLOOKUP(V8,'Tablas Magia'!$D$6:$Z$680,18,FALSE))</f>
        <v>No</v>
      </c>
      <c r="AA13" s="5589" t="str">
        <f>IF(V8=0,"",VLOOKUP(V8,'Tablas Magia'!$D$6:$Z$680,22,FALSE))</f>
        <v>Daño 150.</v>
      </c>
      <c r="AB13" s="5590"/>
      <c r="AC13" s="5590"/>
      <c r="AD13" s="5590"/>
      <c r="AE13" s="5590"/>
      <c r="AF13" s="5590"/>
      <c r="AG13" s="5590"/>
      <c r="AH13" s="5590"/>
      <c r="AI13" s="5590"/>
      <c r="AJ13" s="5591"/>
      <c r="AK13" s="1114"/>
      <c r="AL13" s="1108"/>
      <c r="AM13" s="1108"/>
      <c r="AN13" s="2080"/>
      <c r="AO13" s="5587" t="s">
        <v>4572</v>
      </c>
      <c r="AP13" s="5588"/>
      <c r="AQ13" s="1137">
        <f>IF(AO8=0,"",VLOOKUP(AO8,'Tablas Magia'!$D$6:$Z$680,10,FALSE))</f>
        <v>15</v>
      </c>
      <c r="AR13" s="1137">
        <f>IF(AO8=0,"",VLOOKUP(AO8,'Tablas Magia'!$D$6:$Z$680,14,FALSE))</f>
        <v>200</v>
      </c>
      <c r="AS13" s="1138" t="str">
        <f>IF(AO8=0,"",VLOOKUP(AO8,'Tablas Magia'!$D$6:$Z$680,18,FALSE))</f>
        <v>No</v>
      </c>
      <c r="AT13" s="5589" t="str">
        <f>IF(AO8=0,"",VLOOKUP(AO8,'Tablas Magia'!$D$6:$Z$680,22,FALSE))</f>
        <v>250 Puntos de Vida</v>
      </c>
      <c r="AU13" s="5590"/>
      <c r="AV13" s="5590"/>
      <c r="AW13" s="5590"/>
      <c r="AX13" s="5590"/>
      <c r="AY13" s="5590"/>
      <c r="AZ13" s="5590"/>
      <c r="BA13" s="5590"/>
      <c r="BB13" s="5590"/>
      <c r="BC13" s="5591"/>
      <c r="BD13" s="1114"/>
      <c r="BE13" s="1108"/>
      <c r="BF13" s="1108"/>
      <c r="BG13" s="2080"/>
      <c r="BH13" s="5587" t="s">
        <v>4572</v>
      </c>
      <c r="BI13" s="5588"/>
      <c r="BJ13" s="1137">
        <f>IF(BH8=0,"",VLOOKUP(BH8,'Tablas Magia'!$D$6:$Z$680,10,FALSE))</f>
        <v>15</v>
      </c>
      <c r="BK13" s="1137">
        <f>IF(BH8=0,"",VLOOKUP(BH8,'Tablas Magia'!$D$6:$Z$680,14,FALSE))</f>
        <v>300</v>
      </c>
      <c r="BL13" s="1138">
        <f>IF(BH8=0,"",VLOOKUP(BH8,'Tablas Magia'!$D$6:$Z$680,18,FALSE))</f>
        <v>30</v>
      </c>
      <c r="BM13" s="5589" t="str">
        <f>IF(BH8=0,"",VLOOKUP(BH8,'Tablas Magia'!$D$6:$Z$680,22,FALSE))</f>
        <v>RM 180 / radio de 500 metros</v>
      </c>
      <c r="BN13" s="5590"/>
      <c r="BO13" s="5590"/>
      <c r="BP13" s="5590"/>
      <c r="BQ13" s="5590"/>
      <c r="BR13" s="5590"/>
      <c r="BS13" s="5590"/>
      <c r="BT13" s="5590"/>
      <c r="BU13" s="5590"/>
      <c r="BV13" s="5591"/>
      <c r="BW13" s="1114"/>
      <c r="BX13" s="1108"/>
      <c r="BY13" s="1108"/>
      <c r="BZ13" s="2080"/>
      <c r="CA13" s="5587" t="s">
        <v>4572</v>
      </c>
      <c r="CB13" s="5588"/>
      <c r="CC13" s="1137">
        <f>IF(CA8=0,"",VLOOKUP(CA8,'Tablas Magia'!$D$6:$Z$680,10,FALSE))</f>
        <v>16</v>
      </c>
      <c r="CD13" s="1137">
        <f>IF(CA8=0,"",VLOOKUP(CA8,'Tablas Magia'!$D$6:$Z$680,14,FALSE))</f>
        <v>700</v>
      </c>
      <c r="CE13" s="1138">
        <f>IF(CA8=0,"",VLOOKUP(CA8,'Tablas Magia'!$D$6:$Z$680,18,FALSE))</f>
        <v>140</v>
      </c>
      <c r="CF13" s="5589" t="str">
        <f>IF(CA8=0,"",VLOOKUP(CA8,'Tablas Magia'!$D$6:$Z$680,22,FALSE))</f>
        <v>Nivel 10.</v>
      </c>
      <c r="CG13" s="5590"/>
      <c r="CH13" s="5590"/>
      <c r="CI13" s="5590"/>
      <c r="CJ13" s="5590"/>
      <c r="CK13" s="5590"/>
      <c r="CL13" s="5590"/>
      <c r="CM13" s="5590"/>
      <c r="CN13" s="5590"/>
      <c r="CO13" s="5591"/>
      <c r="CP13" s="1114"/>
      <c r="CQ13" s="1108"/>
    </row>
    <row r="14" spans="1:95" ht="12" customHeight="1">
      <c r="A14" s="1108"/>
      <c r="B14" s="2066"/>
      <c r="C14" s="5592" t="str">
        <f>IF(C8=0,"",VLOOKUP(C8,'Tablas Magia'!$D$6:$Z$680,23,FALSE))</f>
        <v>Crea una fuente de luz en un punto u objeto determinado por el hechicero</v>
      </c>
      <c r="D14" s="5593"/>
      <c r="E14" s="5593"/>
      <c r="F14" s="5593"/>
      <c r="G14" s="5593"/>
      <c r="H14" s="5593"/>
      <c r="I14" s="5593"/>
      <c r="J14" s="5593"/>
      <c r="K14" s="5593"/>
      <c r="L14" s="5593"/>
      <c r="M14" s="5593"/>
      <c r="N14" s="5593"/>
      <c r="O14" s="5593"/>
      <c r="P14" s="5593"/>
      <c r="Q14" s="5594"/>
      <c r="R14" s="1114"/>
      <c r="S14" s="1108"/>
      <c r="T14" s="1108"/>
      <c r="U14" s="2066"/>
      <c r="V14" s="5592" t="str">
        <f>IF(V8=0,"",VLOOKUP(V8,'Tablas Magia'!$D$6:$Z$680,23,FALSE))</f>
        <v>Proyecta una descarga de energía mágica basada en luz. El ataque se realiza en la TA de Energía</v>
      </c>
      <c r="W14" s="5593"/>
      <c r="X14" s="5593"/>
      <c r="Y14" s="5593"/>
      <c r="Z14" s="5593"/>
      <c r="AA14" s="5593"/>
      <c r="AB14" s="5593"/>
      <c r="AC14" s="5593"/>
      <c r="AD14" s="5593"/>
      <c r="AE14" s="5593"/>
      <c r="AF14" s="5593"/>
      <c r="AG14" s="5593"/>
      <c r="AH14" s="5593"/>
      <c r="AI14" s="5593"/>
      <c r="AJ14" s="5594"/>
      <c r="AK14" s="1114"/>
      <c r="AL14" s="1108"/>
      <c r="AM14" s="1108"/>
      <c r="AN14" s="2080"/>
      <c r="AO14" s="5592" t="str">
        <f>IF(AO8=0,"",VLOOKUP(AO8,'Tablas Magia'!$D$6:$Z$680,23,FALSE))</f>
        <v>Hace recuperar puntos de vida al sujeto sobre el que se lance. Este conjuro no permite restaurar miembros cercenados o pérdidas permanentes, ni tampoco elimina los penalizadores causados por los críticos</v>
      </c>
      <c r="AP14" s="5593"/>
      <c r="AQ14" s="5593"/>
      <c r="AR14" s="5593"/>
      <c r="AS14" s="5593"/>
      <c r="AT14" s="5593"/>
      <c r="AU14" s="5593"/>
      <c r="AV14" s="5593"/>
      <c r="AW14" s="5593"/>
      <c r="AX14" s="5593"/>
      <c r="AY14" s="5593"/>
      <c r="AZ14" s="5593"/>
      <c r="BA14" s="5593"/>
      <c r="BB14" s="5593"/>
      <c r="BC14" s="5594"/>
      <c r="BD14" s="1114"/>
      <c r="BE14" s="1108"/>
      <c r="BF14" s="1108"/>
      <c r="BG14" s="2080"/>
      <c r="BH14" s="5592"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93"/>
      <c r="BJ14" s="5593"/>
      <c r="BK14" s="5593"/>
      <c r="BL14" s="5593"/>
      <c r="BM14" s="5593"/>
      <c r="BN14" s="5593"/>
      <c r="BO14" s="5593"/>
      <c r="BP14" s="5593"/>
      <c r="BQ14" s="5593"/>
      <c r="BR14" s="5593"/>
      <c r="BS14" s="5593"/>
      <c r="BT14" s="5593"/>
      <c r="BU14" s="5593"/>
      <c r="BV14" s="5594"/>
      <c r="BW14" s="1114"/>
      <c r="BX14" s="1108"/>
      <c r="BY14" s="1108"/>
      <c r="BZ14" s="2080"/>
      <c r="CA14" s="5592"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93"/>
      <c r="CC14" s="5593"/>
      <c r="CD14" s="5593"/>
      <c r="CE14" s="5593"/>
      <c r="CF14" s="5593"/>
      <c r="CG14" s="5593"/>
      <c r="CH14" s="5593"/>
      <c r="CI14" s="5593"/>
      <c r="CJ14" s="5593"/>
      <c r="CK14" s="5593"/>
      <c r="CL14" s="5593"/>
      <c r="CM14" s="5593"/>
      <c r="CN14" s="5593"/>
      <c r="CO14" s="5594"/>
      <c r="CP14" s="1114"/>
      <c r="CQ14" s="1108"/>
    </row>
    <row r="15" spans="1:95" ht="12" customHeight="1">
      <c r="A15" s="1108"/>
      <c r="B15" s="2066"/>
      <c r="C15" s="5595"/>
      <c r="D15" s="5596"/>
      <c r="E15" s="5596"/>
      <c r="F15" s="5596"/>
      <c r="G15" s="5596"/>
      <c r="H15" s="5596"/>
      <c r="I15" s="5596"/>
      <c r="J15" s="5596"/>
      <c r="K15" s="5596"/>
      <c r="L15" s="5596"/>
      <c r="M15" s="5596"/>
      <c r="N15" s="5596"/>
      <c r="O15" s="5596"/>
      <c r="P15" s="5596"/>
      <c r="Q15" s="5597"/>
      <c r="R15" s="1114"/>
      <c r="S15" s="1108"/>
      <c r="T15" s="1108"/>
      <c r="U15" s="2066"/>
      <c r="V15" s="5595"/>
      <c r="W15" s="5596"/>
      <c r="X15" s="5596"/>
      <c r="Y15" s="5596"/>
      <c r="Z15" s="5596"/>
      <c r="AA15" s="5596"/>
      <c r="AB15" s="5596"/>
      <c r="AC15" s="5596"/>
      <c r="AD15" s="5596"/>
      <c r="AE15" s="5596"/>
      <c r="AF15" s="5596"/>
      <c r="AG15" s="5596"/>
      <c r="AH15" s="5596"/>
      <c r="AI15" s="5596"/>
      <c r="AJ15" s="5597"/>
      <c r="AK15" s="1114"/>
      <c r="AL15" s="1108"/>
      <c r="AM15" s="1108"/>
      <c r="AN15" s="2080"/>
      <c r="AO15" s="5595"/>
      <c r="AP15" s="5596"/>
      <c r="AQ15" s="5596"/>
      <c r="AR15" s="5596"/>
      <c r="AS15" s="5596"/>
      <c r="AT15" s="5596"/>
      <c r="AU15" s="5596"/>
      <c r="AV15" s="5596"/>
      <c r="AW15" s="5596"/>
      <c r="AX15" s="5596"/>
      <c r="AY15" s="5596"/>
      <c r="AZ15" s="5596"/>
      <c r="BA15" s="5596"/>
      <c r="BB15" s="5596"/>
      <c r="BC15" s="5597"/>
      <c r="BD15" s="1114"/>
      <c r="BE15" s="1108"/>
      <c r="BF15" s="1108"/>
      <c r="BG15" s="2080"/>
      <c r="BH15" s="5595"/>
      <c r="BI15" s="5596"/>
      <c r="BJ15" s="5596"/>
      <c r="BK15" s="5596"/>
      <c r="BL15" s="5596"/>
      <c r="BM15" s="5596"/>
      <c r="BN15" s="5596"/>
      <c r="BO15" s="5596"/>
      <c r="BP15" s="5596"/>
      <c r="BQ15" s="5596"/>
      <c r="BR15" s="5596"/>
      <c r="BS15" s="5596"/>
      <c r="BT15" s="5596"/>
      <c r="BU15" s="5596"/>
      <c r="BV15" s="5597"/>
      <c r="BW15" s="1114"/>
      <c r="BX15" s="1108"/>
      <c r="BY15" s="1108"/>
      <c r="BZ15" s="2080"/>
      <c r="CA15" s="5595"/>
      <c r="CB15" s="5596"/>
      <c r="CC15" s="5596"/>
      <c r="CD15" s="5596"/>
      <c r="CE15" s="5596"/>
      <c r="CF15" s="5596"/>
      <c r="CG15" s="5596"/>
      <c r="CH15" s="5596"/>
      <c r="CI15" s="5596"/>
      <c r="CJ15" s="5596"/>
      <c r="CK15" s="5596"/>
      <c r="CL15" s="5596"/>
      <c r="CM15" s="5596"/>
      <c r="CN15" s="5596"/>
      <c r="CO15" s="5597"/>
      <c r="CP15" s="1114"/>
      <c r="CQ15" s="1108"/>
    </row>
    <row r="16" spans="1:95" ht="12" customHeight="1">
      <c r="A16" s="1108"/>
      <c r="B16" s="2066"/>
      <c r="C16" s="5595"/>
      <c r="D16" s="5596"/>
      <c r="E16" s="5596"/>
      <c r="F16" s="5596"/>
      <c r="G16" s="5596"/>
      <c r="H16" s="5596"/>
      <c r="I16" s="5596"/>
      <c r="J16" s="5596"/>
      <c r="K16" s="5596"/>
      <c r="L16" s="5596"/>
      <c r="M16" s="5596"/>
      <c r="N16" s="5596"/>
      <c r="O16" s="5596"/>
      <c r="P16" s="5596"/>
      <c r="Q16" s="5597"/>
      <c r="R16" s="1114"/>
      <c r="S16" s="1108"/>
      <c r="T16" s="1108"/>
      <c r="U16" s="2066"/>
      <c r="V16" s="5595"/>
      <c r="W16" s="5596"/>
      <c r="X16" s="5596"/>
      <c r="Y16" s="5596"/>
      <c r="Z16" s="5596"/>
      <c r="AA16" s="5596"/>
      <c r="AB16" s="5596"/>
      <c r="AC16" s="5596"/>
      <c r="AD16" s="5596"/>
      <c r="AE16" s="5596"/>
      <c r="AF16" s="5596"/>
      <c r="AG16" s="5596"/>
      <c r="AH16" s="5596"/>
      <c r="AI16" s="5596"/>
      <c r="AJ16" s="5597"/>
      <c r="AK16" s="1114"/>
      <c r="AL16" s="1108"/>
      <c r="AM16" s="1108"/>
      <c r="AN16" s="2080"/>
      <c r="AO16" s="5595"/>
      <c r="AP16" s="5596"/>
      <c r="AQ16" s="5596"/>
      <c r="AR16" s="5596"/>
      <c r="AS16" s="5596"/>
      <c r="AT16" s="5596"/>
      <c r="AU16" s="5596"/>
      <c r="AV16" s="5596"/>
      <c r="AW16" s="5596"/>
      <c r="AX16" s="5596"/>
      <c r="AY16" s="5596"/>
      <c r="AZ16" s="5596"/>
      <c r="BA16" s="5596"/>
      <c r="BB16" s="5596"/>
      <c r="BC16" s="5597"/>
      <c r="BD16" s="1114"/>
      <c r="BE16" s="1108"/>
      <c r="BF16" s="1108"/>
      <c r="BG16" s="2080"/>
      <c r="BH16" s="5595"/>
      <c r="BI16" s="5596"/>
      <c r="BJ16" s="5596"/>
      <c r="BK16" s="5596"/>
      <c r="BL16" s="5596"/>
      <c r="BM16" s="5596"/>
      <c r="BN16" s="5596"/>
      <c r="BO16" s="5596"/>
      <c r="BP16" s="5596"/>
      <c r="BQ16" s="5596"/>
      <c r="BR16" s="5596"/>
      <c r="BS16" s="5596"/>
      <c r="BT16" s="5596"/>
      <c r="BU16" s="5596"/>
      <c r="BV16" s="5597"/>
      <c r="BW16" s="1114"/>
      <c r="BX16" s="1108"/>
      <c r="BY16" s="1108"/>
      <c r="BZ16" s="2080"/>
      <c r="CA16" s="5595"/>
      <c r="CB16" s="5596"/>
      <c r="CC16" s="5596"/>
      <c r="CD16" s="5596"/>
      <c r="CE16" s="5596"/>
      <c r="CF16" s="5596"/>
      <c r="CG16" s="5596"/>
      <c r="CH16" s="5596"/>
      <c r="CI16" s="5596"/>
      <c r="CJ16" s="5596"/>
      <c r="CK16" s="5596"/>
      <c r="CL16" s="5596"/>
      <c r="CM16" s="5596"/>
      <c r="CN16" s="5596"/>
      <c r="CO16" s="5597"/>
      <c r="CP16" s="1114"/>
      <c r="CQ16" s="1108"/>
    </row>
    <row r="17" spans="1:95" ht="12" customHeight="1" thickBot="1">
      <c r="A17" s="1108"/>
      <c r="B17" s="2066"/>
      <c r="C17" s="5598"/>
      <c r="D17" s="5599"/>
      <c r="E17" s="5599"/>
      <c r="F17" s="5599"/>
      <c r="G17" s="5599"/>
      <c r="H17" s="5599"/>
      <c r="I17" s="5599"/>
      <c r="J17" s="5599"/>
      <c r="K17" s="5599"/>
      <c r="L17" s="5599"/>
      <c r="M17" s="5599"/>
      <c r="N17" s="5599"/>
      <c r="O17" s="5599"/>
      <c r="P17" s="5599"/>
      <c r="Q17" s="5600"/>
      <c r="R17" s="1114"/>
      <c r="S17" s="1108"/>
      <c r="T17" s="1108"/>
      <c r="U17" s="2066"/>
      <c r="V17" s="5598"/>
      <c r="W17" s="5599"/>
      <c r="X17" s="5599"/>
      <c r="Y17" s="5599"/>
      <c r="Z17" s="5599"/>
      <c r="AA17" s="5599"/>
      <c r="AB17" s="5599"/>
      <c r="AC17" s="5599"/>
      <c r="AD17" s="5599"/>
      <c r="AE17" s="5599"/>
      <c r="AF17" s="5599"/>
      <c r="AG17" s="5599"/>
      <c r="AH17" s="5599"/>
      <c r="AI17" s="5599"/>
      <c r="AJ17" s="5600"/>
      <c r="AK17" s="1114"/>
      <c r="AL17" s="1108"/>
      <c r="AM17" s="1108"/>
      <c r="AN17" s="2080"/>
      <c r="AO17" s="5598"/>
      <c r="AP17" s="5599"/>
      <c r="AQ17" s="5599"/>
      <c r="AR17" s="5599"/>
      <c r="AS17" s="5599"/>
      <c r="AT17" s="5599"/>
      <c r="AU17" s="5599"/>
      <c r="AV17" s="5599"/>
      <c r="AW17" s="5599"/>
      <c r="AX17" s="5599"/>
      <c r="AY17" s="5599"/>
      <c r="AZ17" s="5599"/>
      <c r="BA17" s="5599"/>
      <c r="BB17" s="5599"/>
      <c r="BC17" s="5600"/>
      <c r="BD17" s="1114"/>
      <c r="BE17" s="1108"/>
      <c r="BF17" s="1108"/>
      <c r="BG17" s="2080"/>
      <c r="BH17" s="5598"/>
      <c r="BI17" s="5599"/>
      <c r="BJ17" s="5599"/>
      <c r="BK17" s="5599"/>
      <c r="BL17" s="5599"/>
      <c r="BM17" s="5599"/>
      <c r="BN17" s="5599"/>
      <c r="BO17" s="5599"/>
      <c r="BP17" s="5599"/>
      <c r="BQ17" s="5599"/>
      <c r="BR17" s="5599"/>
      <c r="BS17" s="5599"/>
      <c r="BT17" s="5599"/>
      <c r="BU17" s="5599"/>
      <c r="BV17" s="5600"/>
      <c r="BW17" s="1114"/>
      <c r="BX17" s="1108"/>
      <c r="BY17" s="1108"/>
      <c r="BZ17" s="2080"/>
      <c r="CA17" s="5598"/>
      <c r="CB17" s="5599"/>
      <c r="CC17" s="5599"/>
      <c r="CD17" s="5599"/>
      <c r="CE17" s="5599"/>
      <c r="CF17" s="5599"/>
      <c r="CG17" s="5599"/>
      <c r="CH17" s="5599"/>
      <c r="CI17" s="5599"/>
      <c r="CJ17" s="5599"/>
      <c r="CK17" s="5599"/>
      <c r="CL17" s="5599"/>
      <c r="CM17" s="5599"/>
      <c r="CN17" s="5599"/>
      <c r="CO17" s="5600"/>
      <c r="CP17" s="1114"/>
      <c r="CQ17" s="1108"/>
    </row>
    <row r="18" spans="1:95" ht="12" customHeight="1" thickBot="1">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c r="A19" s="1108"/>
      <c r="B19" s="2066">
        <f>B8+2</f>
        <v>4</v>
      </c>
      <c r="C19" s="560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02"/>
      <c r="E19" s="5602"/>
      <c r="F19" s="5602"/>
      <c r="G19" s="5602"/>
      <c r="H19" s="1128" t="s">
        <v>1627</v>
      </c>
      <c r="I19" s="1129">
        <f>B19</f>
        <v>4</v>
      </c>
      <c r="J19" s="5567" t="s">
        <v>7685</v>
      </c>
      <c r="K19" s="5567"/>
      <c r="L19" s="5567"/>
      <c r="M19" s="5568" t="e">
        <f>IF(C19=0,"",VLOOKUP(C19,'Tablas Magia'!$D$6:$Z$680,2,FALSE))</f>
        <v>#N/A</v>
      </c>
      <c r="N19" s="5568"/>
      <c r="O19" s="5568"/>
      <c r="P19" s="5568"/>
      <c r="Q19" s="5569"/>
      <c r="R19" s="1114"/>
      <c r="S19" s="1108"/>
      <c r="T19" s="1108"/>
      <c r="U19" s="2066">
        <f>U8+2</f>
        <v>24</v>
      </c>
      <c r="V19" s="560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02"/>
      <c r="X19" s="5602"/>
      <c r="Y19" s="5602"/>
      <c r="Z19" s="5602"/>
      <c r="AA19" s="1128" t="s">
        <v>1627</v>
      </c>
      <c r="AB19" s="1129">
        <f>U19</f>
        <v>24</v>
      </c>
      <c r="AC19" s="5567" t="s">
        <v>7685</v>
      </c>
      <c r="AD19" s="5567"/>
      <c r="AE19" s="5567"/>
      <c r="AF19" s="5568" t="e">
        <f>IF(V19=0,"",VLOOKUP(V19,'Tablas Magia'!$D$6:$Z$680,2,FALSE))</f>
        <v>#N/A</v>
      </c>
      <c r="AG19" s="5568"/>
      <c r="AH19" s="5568"/>
      <c r="AI19" s="5568"/>
      <c r="AJ19" s="5569"/>
      <c r="AK19" s="1114"/>
      <c r="AL19" s="1108"/>
      <c r="AM19" s="1108"/>
      <c r="AN19" s="2080">
        <f>AN8+2</f>
        <v>44</v>
      </c>
      <c r="AO19" s="560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02"/>
      <c r="AQ19" s="5602"/>
      <c r="AR19" s="5602"/>
      <c r="AS19" s="5602"/>
      <c r="AT19" s="1128" t="s">
        <v>1627</v>
      </c>
      <c r="AU19" s="1129">
        <f>AN19</f>
        <v>44</v>
      </c>
      <c r="AV19" s="5567" t="s">
        <v>7685</v>
      </c>
      <c r="AW19" s="5567"/>
      <c r="AX19" s="5567"/>
      <c r="AY19" s="5568" t="e">
        <f>IF(AO19=0,"",VLOOKUP(AO19,'Tablas Magia'!$D$6:$Z$680,2,FALSE))</f>
        <v>#N/A</v>
      </c>
      <c r="AZ19" s="5568"/>
      <c r="BA19" s="5568"/>
      <c r="BB19" s="5568"/>
      <c r="BC19" s="5569"/>
      <c r="BD19" s="1114"/>
      <c r="BE19" s="1108"/>
      <c r="BF19" s="1108"/>
      <c r="BG19" s="2080">
        <f>BG8+2</f>
        <v>64</v>
      </c>
      <c r="BH19" s="560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02"/>
      <c r="BJ19" s="5602"/>
      <c r="BK19" s="5602"/>
      <c r="BL19" s="5602"/>
      <c r="BM19" s="1128" t="s">
        <v>1627</v>
      </c>
      <c r="BN19" s="1129">
        <f>BG19</f>
        <v>64</v>
      </c>
      <c r="BO19" s="5567" t="s">
        <v>7685</v>
      </c>
      <c r="BP19" s="5567"/>
      <c r="BQ19" s="5567"/>
      <c r="BR19" s="5568" t="e">
        <f>IF(BH19=0,"",VLOOKUP(BH19,'Tablas Magia'!$D$6:$Z$680,2,FALSE))</f>
        <v>#N/A</v>
      </c>
      <c r="BS19" s="5568"/>
      <c r="BT19" s="5568"/>
      <c r="BU19" s="5568"/>
      <c r="BV19" s="5569"/>
      <c r="BW19" s="1114"/>
      <c r="BX19" s="1108"/>
      <c r="BY19" s="1108"/>
      <c r="BZ19" s="2080">
        <f>BZ8+2</f>
        <v>84</v>
      </c>
      <c r="CA19" s="560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02"/>
      <c r="CC19" s="5602"/>
      <c r="CD19" s="5602"/>
      <c r="CE19" s="5602"/>
      <c r="CF19" s="1128" t="s">
        <v>1627</v>
      </c>
      <c r="CG19" s="1129">
        <f>BZ19</f>
        <v>84</v>
      </c>
      <c r="CH19" s="5567" t="s">
        <v>7685</v>
      </c>
      <c r="CI19" s="5567"/>
      <c r="CJ19" s="5567"/>
      <c r="CK19" s="5568" t="e">
        <f>IF(CA19=0,"",VLOOKUP(CA19,'Tablas Magia'!$D$6:$Z$680,2,FALSE))</f>
        <v>#N/A</v>
      </c>
      <c r="CL19" s="5568"/>
      <c r="CM19" s="5568"/>
      <c r="CN19" s="5568"/>
      <c r="CO19" s="5569"/>
      <c r="CP19" s="1114"/>
      <c r="CQ19" s="1108"/>
    </row>
    <row r="20" spans="1:95" ht="12" customHeight="1">
      <c r="A20" s="1108"/>
      <c r="B20" s="2066"/>
      <c r="C20" s="5585" t="s">
        <v>7686</v>
      </c>
      <c r="D20" s="5586"/>
      <c r="E20" s="1130" t="s">
        <v>7687</v>
      </c>
      <c r="F20" s="1130" t="s">
        <v>1820</v>
      </c>
      <c r="G20" s="1130" t="s">
        <v>3332</v>
      </c>
      <c r="H20" s="1131" t="s">
        <v>2165</v>
      </c>
      <c r="I20" s="5582" t="e">
        <f>IF(C19=0,"",VLOOKUP(C19,'Tablas Magia'!$D$6:$Z$680,5,FALSE))</f>
        <v>#N/A</v>
      </c>
      <c r="J20" s="5582"/>
      <c r="K20" s="5583" t="s">
        <v>7688</v>
      </c>
      <c r="L20" s="5583"/>
      <c r="M20" s="5582" t="e">
        <f>IF(C19=0,"",VLOOKUP(C19,'Tablas Magia'!$D$6:$Z$680,6,FALSE))</f>
        <v>#N/A</v>
      </c>
      <c r="N20" s="5582"/>
      <c r="O20" s="5584" t="s">
        <v>7689</v>
      </c>
      <c r="P20" s="5584"/>
      <c r="Q20" s="1132" t="e">
        <f>IF(C19=0,"",VLOOKUP(C19,'Tablas Magia'!$D$6:$Z$680,4,FALSE))</f>
        <v>#N/A</v>
      </c>
      <c r="R20" s="1114"/>
      <c r="S20" s="1108"/>
      <c r="T20" s="1108"/>
      <c r="U20" s="2066"/>
      <c r="V20" s="5585" t="s">
        <v>7686</v>
      </c>
      <c r="W20" s="5586"/>
      <c r="X20" s="1130" t="s">
        <v>7687</v>
      </c>
      <c r="Y20" s="1130" t="s">
        <v>1820</v>
      </c>
      <c r="Z20" s="1130" t="s">
        <v>3332</v>
      </c>
      <c r="AA20" s="1131" t="s">
        <v>2165</v>
      </c>
      <c r="AB20" s="5582" t="e">
        <f>IF(V19=0,"",VLOOKUP(V19,'Tablas Magia'!$D$6:$Z$680,5,FALSE))</f>
        <v>#N/A</v>
      </c>
      <c r="AC20" s="5582"/>
      <c r="AD20" s="5583" t="s">
        <v>7688</v>
      </c>
      <c r="AE20" s="5583"/>
      <c r="AF20" s="5582" t="e">
        <f>IF(V19=0,"",VLOOKUP(V19,'Tablas Magia'!$D$6:$Z$680,6,FALSE))</f>
        <v>#N/A</v>
      </c>
      <c r="AG20" s="5582"/>
      <c r="AH20" s="5584" t="s">
        <v>7689</v>
      </c>
      <c r="AI20" s="5584"/>
      <c r="AJ20" s="1132" t="e">
        <f>IF(V19=0,"",VLOOKUP(V19,'Tablas Magia'!$D$6:$Z$680,4,FALSE))</f>
        <v>#N/A</v>
      </c>
      <c r="AK20" s="1114"/>
      <c r="AL20" s="1108"/>
      <c r="AM20" s="1108"/>
      <c r="AN20" s="2080"/>
      <c r="AO20" s="5585" t="s">
        <v>7686</v>
      </c>
      <c r="AP20" s="5586"/>
      <c r="AQ20" s="1130" t="s">
        <v>7687</v>
      </c>
      <c r="AR20" s="1130" t="s">
        <v>1820</v>
      </c>
      <c r="AS20" s="1130" t="s">
        <v>3332</v>
      </c>
      <c r="AT20" s="1131" t="s">
        <v>2165</v>
      </c>
      <c r="AU20" s="5582" t="e">
        <f>IF(AO19=0,"",VLOOKUP(AO19,'Tablas Magia'!$D$6:$Z$680,5,FALSE))</f>
        <v>#N/A</v>
      </c>
      <c r="AV20" s="5582"/>
      <c r="AW20" s="5583" t="s">
        <v>7688</v>
      </c>
      <c r="AX20" s="5583"/>
      <c r="AY20" s="5582" t="e">
        <f>IF(AO19=0,"",VLOOKUP(AO19,'Tablas Magia'!$D$6:$Z$680,6,FALSE))</f>
        <v>#N/A</v>
      </c>
      <c r="AZ20" s="5582"/>
      <c r="BA20" s="5584" t="s">
        <v>7689</v>
      </c>
      <c r="BB20" s="5584"/>
      <c r="BC20" s="1132" t="e">
        <f>IF(AO19=0,"",VLOOKUP(AO19,'Tablas Magia'!$D$6:$Z$680,4,FALSE))</f>
        <v>#N/A</v>
      </c>
      <c r="BD20" s="1114"/>
      <c r="BE20" s="1108"/>
      <c r="BF20" s="1108"/>
      <c r="BG20" s="2080"/>
      <c r="BH20" s="5585" t="s">
        <v>7686</v>
      </c>
      <c r="BI20" s="5586"/>
      <c r="BJ20" s="1130" t="s">
        <v>7687</v>
      </c>
      <c r="BK20" s="1130" t="s">
        <v>1820</v>
      </c>
      <c r="BL20" s="1130" t="s">
        <v>3332</v>
      </c>
      <c r="BM20" s="1131" t="s">
        <v>2165</v>
      </c>
      <c r="BN20" s="5582" t="e">
        <f>IF(BH19=0,"",VLOOKUP(BH19,'Tablas Magia'!$D$6:$Z$680,5,FALSE))</f>
        <v>#N/A</v>
      </c>
      <c r="BO20" s="5582"/>
      <c r="BP20" s="5583" t="s">
        <v>7688</v>
      </c>
      <c r="BQ20" s="5583"/>
      <c r="BR20" s="5582" t="e">
        <f>IF(BH19=0,"",VLOOKUP(BH19,'Tablas Magia'!$D$6:$Z$680,6,FALSE))</f>
        <v>#N/A</v>
      </c>
      <c r="BS20" s="5582"/>
      <c r="BT20" s="5584" t="s">
        <v>7689</v>
      </c>
      <c r="BU20" s="5584"/>
      <c r="BV20" s="1132" t="e">
        <f>IF(BH19=0,"",VLOOKUP(BH19,'Tablas Magia'!$D$6:$Z$680,4,FALSE))</f>
        <v>#N/A</v>
      </c>
      <c r="BW20" s="1114"/>
      <c r="BX20" s="1108"/>
      <c r="BY20" s="1108"/>
      <c r="BZ20" s="2080"/>
      <c r="CA20" s="5585" t="s">
        <v>7686</v>
      </c>
      <c r="CB20" s="5586"/>
      <c r="CC20" s="1130" t="s">
        <v>7687</v>
      </c>
      <c r="CD20" s="1130" t="s">
        <v>1820</v>
      </c>
      <c r="CE20" s="1130" t="s">
        <v>3332</v>
      </c>
      <c r="CF20" s="1131" t="s">
        <v>2165</v>
      </c>
      <c r="CG20" s="5582" t="e">
        <f>IF(CA19=0,"",VLOOKUP(CA19,'Tablas Magia'!$D$6:$Z$680,5,FALSE))</f>
        <v>#N/A</v>
      </c>
      <c r="CH20" s="5582"/>
      <c r="CI20" s="5583" t="s">
        <v>7688</v>
      </c>
      <c r="CJ20" s="5583"/>
      <c r="CK20" s="5582" t="e">
        <f>IF(CA19=0,"",VLOOKUP(CA19,'Tablas Magia'!$D$6:$Z$680,6,FALSE))</f>
        <v>#N/A</v>
      </c>
      <c r="CL20" s="5582"/>
      <c r="CM20" s="5584" t="s">
        <v>7689</v>
      </c>
      <c r="CN20" s="5584"/>
      <c r="CO20" s="1132" t="e">
        <f>IF(CA19=0,"",VLOOKUP(CA19,'Tablas Magia'!$D$6:$Z$680,4,FALSE))</f>
        <v>#N/A</v>
      </c>
      <c r="CP20" s="1114"/>
      <c r="CQ20" s="1108"/>
    </row>
    <row r="21" spans="1:95" ht="12" customHeight="1">
      <c r="A21" s="1108"/>
      <c r="B21" s="2066"/>
      <c r="C21" s="5577" t="s">
        <v>1674</v>
      </c>
      <c r="D21" s="5578"/>
      <c r="E21" s="1133" t="e">
        <f>IF(C19=0,"",VLOOKUP(C19,'Tablas Magia'!$D$6:$Z$680,7,FALSE))</f>
        <v>#N/A</v>
      </c>
      <c r="F21" s="1133" t="e">
        <f>IF(C19=0,"",VLOOKUP(C19,'Tablas Magia'!$D$6:$Z$680,11,FALSE))</f>
        <v>#N/A</v>
      </c>
      <c r="G21" s="1134" t="e">
        <f>IF(C19=0,"",VLOOKUP(C19,'Tablas Magia'!$D$6:$Z$680,15,FALSE))</f>
        <v>#N/A</v>
      </c>
      <c r="H21" s="5579" t="e">
        <f>IF(C19=0,"",VLOOKUP(C19,'Tablas Magia'!$D$6:$Z$680,19,FALSE))</f>
        <v>#N/A</v>
      </c>
      <c r="I21" s="5580"/>
      <c r="J21" s="5580"/>
      <c r="K21" s="5580"/>
      <c r="L21" s="5580"/>
      <c r="M21" s="5580"/>
      <c r="N21" s="5580"/>
      <c r="O21" s="5580"/>
      <c r="P21" s="5580"/>
      <c r="Q21" s="5581"/>
      <c r="R21" s="1114"/>
      <c r="S21" s="1108"/>
      <c r="T21" s="1108"/>
      <c r="U21" s="2066"/>
      <c r="V21" s="5577" t="s">
        <v>1674</v>
      </c>
      <c r="W21" s="5578"/>
      <c r="X21" s="1133" t="e">
        <f>IF(V19=0,"",VLOOKUP(V19,'Tablas Magia'!$D$6:$Z$680,7,FALSE))</f>
        <v>#N/A</v>
      </c>
      <c r="Y21" s="1133" t="e">
        <f>IF(V19=0,"",VLOOKUP(V19,'Tablas Magia'!$D$6:$Z$680,11,FALSE))</f>
        <v>#N/A</v>
      </c>
      <c r="Z21" s="1134" t="e">
        <f>IF(V19=0,"",VLOOKUP(V19,'Tablas Magia'!$D$6:$Z$680,15,FALSE))</f>
        <v>#N/A</v>
      </c>
      <c r="AA21" s="5579" t="e">
        <f>IF(V19=0,"",VLOOKUP(V19,'Tablas Magia'!$D$6:$Z$680,19,FALSE))</f>
        <v>#N/A</v>
      </c>
      <c r="AB21" s="5580"/>
      <c r="AC21" s="5580"/>
      <c r="AD21" s="5580"/>
      <c r="AE21" s="5580"/>
      <c r="AF21" s="5580"/>
      <c r="AG21" s="5580"/>
      <c r="AH21" s="5580"/>
      <c r="AI21" s="5580"/>
      <c r="AJ21" s="5581"/>
      <c r="AK21" s="1114"/>
      <c r="AL21" s="1108"/>
      <c r="AM21" s="1108"/>
      <c r="AN21" s="2080"/>
      <c r="AO21" s="5577" t="s">
        <v>1674</v>
      </c>
      <c r="AP21" s="5578"/>
      <c r="AQ21" s="1133" t="e">
        <f>IF(AO19=0,"",VLOOKUP(AO19,'Tablas Magia'!$D$6:$Z$680,7,FALSE))</f>
        <v>#N/A</v>
      </c>
      <c r="AR21" s="1133" t="e">
        <f>IF(AO19=0,"",VLOOKUP(AO19,'Tablas Magia'!$D$6:$Z$680,11,FALSE))</f>
        <v>#N/A</v>
      </c>
      <c r="AS21" s="1134" t="e">
        <f>IF(AO19=0,"",VLOOKUP(AO19,'Tablas Magia'!$D$6:$Z$680,15,FALSE))</f>
        <v>#N/A</v>
      </c>
      <c r="AT21" s="5579" t="e">
        <f>IF(AO19=0,"",VLOOKUP(AO19,'Tablas Magia'!$D$6:$Z$680,19,FALSE))</f>
        <v>#N/A</v>
      </c>
      <c r="AU21" s="5580"/>
      <c r="AV21" s="5580"/>
      <c r="AW21" s="5580"/>
      <c r="AX21" s="5580"/>
      <c r="AY21" s="5580"/>
      <c r="AZ21" s="5580"/>
      <c r="BA21" s="5580"/>
      <c r="BB21" s="5580"/>
      <c r="BC21" s="5581"/>
      <c r="BD21" s="1114"/>
      <c r="BE21" s="1108"/>
      <c r="BF21" s="1108"/>
      <c r="BG21" s="2080"/>
      <c r="BH21" s="5577" t="s">
        <v>1674</v>
      </c>
      <c r="BI21" s="5578"/>
      <c r="BJ21" s="1133" t="e">
        <f>IF(BH19=0,"",VLOOKUP(BH19,'Tablas Magia'!$D$6:$Z$680,7,FALSE))</f>
        <v>#N/A</v>
      </c>
      <c r="BK21" s="1133" t="e">
        <f>IF(BH19=0,"",VLOOKUP(BH19,'Tablas Magia'!$D$6:$Z$680,11,FALSE))</f>
        <v>#N/A</v>
      </c>
      <c r="BL21" s="1134" t="e">
        <f>IF(BH19=0,"",VLOOKUP(BH19,'Tablas Magia'!$D$6:$Z$680,15,FALSE))</f>
        <v>#N/A</v>
      </c>
      <c r="BM21" s="5579" t="e">
        <f>IF(BH19=0,"",VLOOKUP(BH19,'Tablas Magia'!$D$6:$Z$680,19,FALSE))</f>
        <v>#N/A</v>
      </c>
      <c r="BN21" s="5580"/>
      <c r="BO21" s="5580"/>
      <c r="BP21" s="5580"/>
      <c r="BQ21" s="5580"/>
      <c r="BR21" s="5580"/>
      <c r="BS21" s="5580"/>
      <c r="BT21" s="5580"/>
      <c r="BU21" s="5580"/>
      <c r="BV21" s="5581"/>
      <c r="BW21" s="1114"/>
      <c r="BX21" s="1108"/>
      <c r="BY21" s="1108"/>
      <c r="BZ21" s="2080"/>
      <c r="CA21" s="5577" t="s">
        <v>1674</v>
      </c>
      <c r="CB21" s="5578"/>
      <c r="CC21" s="1133" t="e">
        <f>IF(CA19=0,"",VLOOKUP(CA19,'Tablas Magia'!$D$6:$Z$680,7,FALSE))</f>
        <v>#N/A</v>
      </c>
      <c r="CD21" s="1133" t="e">
        <f>IF(CA19=0,"",VLOOKUP(CA19,'Tablas Magia'!$D$6:$Z$680,11,FALSE))</f>
        <v>#N/A</v>
      </c>
      <c r="CE21" s="1134" t="e">
        <f>IF(CA19=0,"",VLOOKUP(CA19,'Tablas Magia'!$D$6:$Z$680,15,FALSE))</f>
        <v>#N/A</v>
      </c>
      <c r="CF21" s="5579" t="e">
        <f>IF(CA19=0,"",VLOOKUP(CA19,'Tablas Magia'!$D$6:$Z$680,19,FALSE))</f>
        <v>#N/A</v>
      </c>
      <c r="CG21" s="5580"/>
      <c r="CH21" s="5580"/>
      <c r="CI21" s="5580"/>
      <c r="CJ21" s="5580"/>
      <c r="CK21" s="5580"/>
      <c r="CL21" s="5580"/>
      <c r="CM21" s="5580"/>
      <c r="CN21" s="5580"/>
      <c r="CO21" s="5581"/>
      <c r="CP21" s="1114"/>
      <c r="CQ21" s="1108"/>
    </row>
    <row r="22" spans="1:95" ht="12" customHeight="1">
      <c r="A22" s="1108"/>
      <c r="B22" s="2066"/>
      <c r="C22" s="5572" t="s">
        <v>4570</v>
      </c>
      <c r="D22" s="5573"/>
      <c r="E22" s="1135" t="e">
        <f>IF(C19=0,"",VLOOKUP(C19,'Tablas Magia'!$D$6:$Z$680,8,FALSE))</f>
        <v>#N/A</v>
      </c>
      <c r="F22" s="1135" t="e">
        <f>IF(C19=0,"",VLOOKUP(C19,'Tablas Magia'!$D$6:$Z$680,12,FALSE))</f>
        <v>#N/A</v>
      </c>
      <c r="G22" s="1136" t="e">
        <f>IF(C19=0,"",VLOOKUP(C19,'Tablas Magia'!$D$6:$Z$680,16,FALSE))</f>
        <v>#N/A</v>
      </c>
      <c r="H22" s="5574" t="e">
        <f>IF(C19=0,"",VLOOKUP(C19,'Tablas Magia'!$D$6:$Z$680,20,FALSE))</f>
        <v>#N/A</v>
      </c>
      <c r="I22" s="5575"/>
      <c r="J22" s="5575"/>
      <c r="K22" s="5575"/>
      <c r="L22" s="5575"/>
      <c r="M22" s="5575"/>
      <c r="N22" s="5575"/>
      <c r="O22" s="5575"/>
      <c r="P22" s="5575"/>
      <c r="Q22" s="5576"/>
      <c r="R22" s="1114"/>
      <c r="S22" s="1108"/>
      <c r="T22" s="1108"/>
      <c r="U22" s="2066"/>
      <c r="V22" s="5572" t="s">
        <v>4570</v>
      </c>
      <c r="W22" s="5573"/>
      <c r="X22" s="1135" t="e">
        <f>IF(V19=0,"",VLOOKUP(V19,'Tablas Magia'!$D$6:$Z$680,8,FALSE))</f>
        <v>#N/A</v>
      </c>
      <c r="Y22" s="1135" t="e">
        <f>IF(V19=0,"",VLOOKUP(V19,'Tablas Magia'!$D$6:$Z$680,12,FALSE))</f>
        <v>#N/A</v>
      </c>
      <c r="Z22" s="1136" t="e">
        <f>IF(V19=0,"",VLOOKUP(V19,'Tablas Magia'!$D$6:$Z$680,16,FALSE))</f>
        <v>#N/A</v>
      </c>
      <c r="AA22" s="5574" t="e">
        <f>IF(V19=0,"",VLOOKUP(V19,'Tablas Magia'!$D$6:$Z$680,20,FALSE))</f>
        <v>#N/A</v>
      </c>
      <c r="AB22" s="5575"/>
      <c r="AC22" s="5575"/>
      <c r="AD22" s="5575"/>
      <c r="AE22" s="5575"/>
      <c r="AF22" s="5575"/>
      <c r="AG22" s="5575"/>
      <c r="AH22" s="5575"/>
      <c r="AI22" s="5575"/>
      <c r="AJ22" s="5576"/>
      <c r="AK22" s="1114"/>
      <c r="AL22" s="1108"/>
      <c r="AM22" s="1108"/>
      <c r="AN22" s="2080"/>
      <c r="AO22" s="5572" t="s">
        <v>4570</v>
      </c>
      <c r="AP22" s="5573"/>
      <c r="AQ22" s="1135" t="e">
        <f>IF(AO19=0,"",VLOOKUP(AO19,'Tablas Magia'!$D$6:$Z$680,8,FALSE))</f>
        <v>#N/A</v>
      </c>
      <c r="AR22" s="1135" t="e">
        <f>IF(AO19=0,"",VLOOKUP(AO19,'Tablas Magia'!$D$6:$Z$680,12,FALSE))</f>
        <v>#N/A</v>
      </c>
      <c r="AS22" s="1136" t="e">
        <f>IF(AO19=0,"",VLOOKUP(AO19,'Tablas Magia'!$D$6:$Z$680,16,FALSE))</f>
        <v>#N/A</v>
      </c>
      <c r="AT22" s="5574" t="e">
        <f>IF(AO19=0,"",VLOOKUP(AO19,'Tablas Magia'!$D$6:$Z$680,20,FALSE))</f>
        <v>#N/A</v>
      </c>
      <c r="AU22" s="5575"/>
      <c r="AV22" s="5575"/>
      <c r="AW22" s="5575"/>
      <c r="AX22" s="5575"/>
      <c r="AY22" s="5575"/>
      <c r="AZ22" s="5575"/>
      <c r="BA22" s="5575"/>
      <c r="BB22" s="5575"/>
      <c r="BC22" s="5576"/>
      <c r="BD22" s="1114"/>
      <c r="BE22" s="1108"/>
      <c r="BF22" s="1108"/>
      <c r="BG22" s="2080"/>
      <c r="BH22" s="5572" t="s">
        <v>4570</v>
      </c>
      <c r="BI22" s="5573"/>
      <c r="BJ22" s="1135" t="e">
        <f>IF(BH19=0,"",VLOOKUP(BH19,'Tablas Magia'!$D$6:$Z$680,8,FALSE))</f>
        <v>#N/A</v>
      </c>
      <c r="BK22" s="1135" t="e">
        <f>IF(BH19=0,"",VLOOKUP(BH19,'Tablas Magia'!$D$6:$Z$680,12,FALSE))</f>
        <v>#N/A</v>
      </c>
      <c r="BL22" s="1136" t="e">
        <f>IF(BH19=0,"",VLOOKUP(BH19,'Tablas Magia'!$D$6:$Z$680,16,FALSE))</f>
        <v>#N/A</v>
      </c>
      <c r="BM22" s="5574" t="e">
        <f>IF(BH19=0,"",VLOOKUP(BH19,'Tablas Magia'!$D$6:$Z$680,20,FALSE))</f>
        <v>#N/A</v>
      </c>
      <c r="BN22" s="5575"/>
      <c r="BO22" s="5575"/>
      <c r="BP22" s="5575"/>
      <c r="BQ22" s="5575"/>
      <c r="BR22" s="5575"/>
      <c r="BS22" s="5575"/>
      <c r="BT22" s="5575"/>
      <c r="BU22" s="5575"/>
      <c r="BV22" s="5576"/>
      <c r="BW22" s="1114"/>
      <c r="BX22" s="1108"/>
      <c r="BY22" s="1108"/>
      <c r="BZ22" s="2080"/>
      <c r="CA22" s="5572" t="s">
        <v>4570</v>
      </c>
      <c r="CB22" s="5573"/>
      <c r="CC22" s="1135" t="e">
        <f>IF(CA19=0,"",VLOOKUP(CA19,'Tablas Magia'!$D$6:$Z$680,8,FALSE))</f>
        <v>#N/A</v>
      </c>
      <c r="CD22" s="1135" t="e">
        <f>IF(CA19=0,"",VLOOKUP(CA19,'Tablas Magia'!$D$6:$Z$680,12,FALSE))</f>
        <v>#N/A</v>
      </c>
      <c r="CE22" s="1136" t="e">
        <f>IF(CA19=0,"",VLOOKUP(CA19,'Tablas Magia'!$D$6:$Z$680,16,FALSE))</f>
        <v>#N/A</v>
      </c>
      <c r="CF22" s="5574" t="e">
        <f>IF(CA19=0,"",VLOOKUP(CA19,'Tablas Magia'!$D$6:$Z$680,20,FALSE))</f>
        <v>#N/A</v>
      </c>
      <c r="CG22" s="5575"/>
      <c r="CH22" s="5575"/>
      <c r="CI22" s="5575"/>
      <c r="CJ22" s="5575"/>
      <c r="CK22" s="5575"/>
      <c r="CL22" s="5575"/>
      <c r="CM22" s="5575"/>
      <c r="CN22" s="5575"/>
      <c r="CO22" s="5576"/>
      <c r="CP22" s="1114"/>
      <c r="CQ22" s="1108"/>
    </row>
    <row r="23" spans="1:95" ht="12" customHeight="1">
      <c r="A23" s="1108"/>
      <c r="B23" s="2066"/>
      <c r="C23" s="5577" t="s">
        <v>4571</v>
      </c>
      <c r="D23" s="5578"/>
      <c r="E23" s="1133" t="e">
        <f>IF(C19=0,"",VLOOKUP(C19,'Tablas Magia'!$D$6:$Z$680,9,FALSE))</f>
        <v>#N/A</v>
      </c>
      <c r="F23" s="1133" t="e">
        <f>IF(C19=0,"",VLOOKUP(C19,'Tablas Magia'!$D$6:$Z$680,13,FALSE))</f>
        <v>#N/A</v>
      </c>
      <c r="G23" s="1134" t="e">
        <f>IF(C19=0,"",VLOOKUP(C19,'Tablas Magia'!$D$6:$Z$680,17,FALSE))</f>
        <v>#N/A</v>
      </c>
      <c r="H23" s="5579" t="e">
        <f>IF(C19=0,"",VLOOKUP(C19,'Tablas Magia'!$D$6:$Z$680,21,FALSE))</f>
        <v>#N/A</v>
      </c>
      <c r="I23" s="5580"/>
      <c r="J23" s="5580"/>
      <c r="K23" s="5580"/>
      <c r="L23" s="5580"/>
      <c r="M23" s="5580"/>
      <c r="N23" s="5580"/>
      <c r="O23" s="5580"/>
      <c r="P23" s="5580"/>
      <c r="Q23" s="5581"/>
      <c r="R23" s="1114"/>
      <c r="S23" s="1108"/>
      <c r="T23" s="1108"/>
      <c r="U23" s="2066"/>
      <c r="V23" s="5577" t="s">
        <v>4571</v>
      </c>
      <c r="W23" s="5578"/>
      <c r="X23" s="1133" t="e">
        <f>IF(V19=0,"",VLOOKUP(V19,'Tablas Magia'!$D$6:$Z$680,9,FALSE))</f>
        <v>#N/A</v>
      </c>
      <c r="Y23" s="1133" t="e">
        <f>IF(V19=0,"",VLOOKUP(V19,'Tablas Magia'!$D$6:$Z$680,13,FALSE))</f>
        <v>#N/A</v>
      </c>
      <c r="Z23" s="1134" t="e">
        <f>IF(V19=0,"",VLOOKUP(V19,'Tablas Magia'!$D$6:$Z$680,17,FALSE))</f>
        <v>#N/A</v>
      </c>
      <c r="AA23" s="5579" t="e">
        <f>IF(V19=0,"",VLOOKUP(V19,'Tablas Magia'!$D$6:$Z$680,21,FALSE))</f>
        <v>#N/A</v>
      </c>
      <c r="AB23" s="5580"/>
      <c r="AC23" s="5580"/>
      <c r="AD23" s="5580"/>
      <c r="AE23" s="5580"/>
      <c r="AF23" s="5580"/>
      <c r="AG23" s="5580"/>
      <c r="AH23" s="5580"/>
      <c r="AI23" s="5580"/>
      <c r="AJ23" s="5581"/>
      <c r="AK23" s="1114"/>
      <c r="AL23" s="1108"/>
      <c r="AM23" s="1108"/>
      <c r="AN23" s="2080"/>
      <c r="AO23" s="5577" t="s">
        <v>4571</v>
      </c>
      <c r="AP23" s="5578"/>
      <c r="AQ23" s="1133" t="e">
        <f>IF(AO19=0,"",VLOOKUP(AO19,'Tablas Magia'!$D$6:$Z$680,9,FALSE))</f>
        <v>#N/A</v>
      </c>
      <c r="AR23" s="1133" t="e">
        <f>IF(AO19=0,"",VLOOKUP(AO19,'Tablas Magia'!$D$6:$Z$680,13,FALSE))</f>
        <v>#N/A</v>
      </c>
      <c r="AS23" s="1134" t="e">
        <f>IF(AO19=0,"",VLOOKUP(AO19,'Tablas Magia'!$D$6:$Z$680,17,FALSE))</f>
        <v>#N/A</v>
      </c>
      <c r="AT23" s="5579" t="e">
        <f>IF(AO19=0,"",VLOOKUP(AO19,'Tablas Magia'!$D$6:$Z$680,21,FALSE))</f>
        <v>#N/A</v>
      </c>
      <c r="AU23" s="5580"/>
      <c r="AV23" s="5580"/>
      <c r="AW23" s="5580"/>
      <c r="AX23" s="5580"/>
      <c r="AY23" s="5580"/>
      <c r="AZ23" s="5580"/>
      <c r="BA23" s="5580"/>
      <c r="BB23" s="5580"/>
      <c r="BC23" s="5581"/>
      <c r="BD23" s="1114"/>
      <c r="BE23" s="1108"/>
      <c r="BF23" s="1108"/>
      <c r="BG23" s="2080"/>
      <c r="BH23" s="5577" t="s">
        <v>4571</v>
      </c>
      <c r="BI23" s="5578"/>
      <c r="BJ23" s="1133" t="e">
        <f>IF(BH19=0,"",VLOOKUP(BH19,'Tablas Magia'!$D$6:$Z$680,9,FALSE))</f>
        <v>#N/A</v>
      </c>
      <c r="BK23" s="1133" t="e">
        <f>IF(BH19=0,"",VLOOKUP(BH19,'Tablas Magia'!$D$6:$Z$680,13,FALSE))</f>
        <v>#N/A</v>
      </c>
      <c r="BL23" s="1134" t="e">
        <f>IF(BH19=0,"",VLOOKUP(BH19,'Tablas Magia'!$D$6:$Z$680,17,FALSE))</f>
        <v>#N/A</v>
      </c>
      <c r="BM23" s="5579" t="e">
        <f>IF(BH19=0,"",VLOOKUP(BH19,'Tablas Magia'!$D$6:$Z$680,21,FALSE))</f>
        <v>#N/A</v>
      </c>
      <c r="BN23" s="5580"/>
      <c r="BO23" s="5580"/>
      <c r="BP23" s="5580"/>
      <c r="BQ23" s="5580"/>
      <c r="BR23" s="5580"/>
      <c r="BS23" s="5580"/>
      <c r="BT23" s="5580"/>
      <c r="BU23" s="5580"/>
      <c r="BV23" s="5581"/>
      <c r="BW23" s="1114"/>
      <c r="BX23" s="1108"/>
      <c r="BY23" s="1108"/>
      <c r="BZ23" s="2080"/>
      <c r="CA23" s="5577" t="s">
        <v>4571</v>
      </c>
      <c r="CB23" s="5578"/>
      <c r="CC23" s="1133" t="e">
        <f>IF(CA19=0,"",VLOOKUP(CA19,'Tablas Magia'!$D$6:$Z$680,9,FALSE))</f>
        <v>#N/A</v>
      </c>
      <c r="CD23" s="1133" t="e">
        <f>IF(CA19=0,"",VLOOKUP(CA19,'Tablas Magia'!$D$6:$Z$680,13,FALSE))</f>
        <v>#N/A</v>
      </c>
      <c r="CE23" s="1134" t="e">
        <f>IF(CA19=0,"",VLOOKUP(CA19,'Tablas Magia'!$D$6:$Z$680,17,FALSE))</f>
        <v>#N/A</v>
      </c>
      <c r="CF23" s="5579" t="e">
        <f>IF(CA19=0,"",VLOOKUP(CA19,'Tablas Magia'!$D$6:$Z$680,21,FALSE))</f>
        <v>#N/A</v>
      </c>
      <c r="CG23" s="5580"/>
      <c r="CH23" s="5580"/>
      <c r="CI23" s="5580"/>
      <c r="CJ23" s="5580"/>
      <c r="CK23" s="5580"/>
      <c r="CL23" s="5580"/>
      <c r="CM23" s="5580"/>
      <c r="CN23" s="5580"/>
      <c r="CO23" s="5581"/>
      <c r="CP23" s="1114"/>
      <c r="CQ23" s="1108"/>
    </row>
    <row r="24" spans="1:95" ht="12" customHeight="1" thickBot="1">
      <c r="A24" s="1108"/>
      <c r="B24" s="2066"/>
      <c r="C24" s="5587" t="s">
        <v>4572</v>
      </c>
      <c r="D24" s="5588"/>
      <c r="E24" s="1137" t="e">
        <f>IF(C19=0,"",VLOOKUP(C19,'Tablas Magia'!$D$6:$Z$680,10,FALSE))</f>
        <v>#N/A</v>
      </c>
      <c r="F24" s="1137" t="e">
        <f>IF(C19=0,"",VLOOKUP(C19,'Tablas Magia'!$D$6:$Z$680,14,FALSE))</f>
        <v>#N/A</v>
      </c>
      <c r="G24" s="1138" t="e">
        <f>IF(C19=0,"",VLOOKUP(C19,'Tablas Magia'!$D$6:$Z$680,18,FALSE))</f>
        <v>#N/A</v>
      </c>
      <c r="H24" s="5589" t="e">
        <f>IF(C19=0,"",VLOOKUP(C19,'Tablas Magia'!$D$6:$Z$680,22,FALSE))</f>
        <v>#N/A</v>
      </c>
      <c r="I24" s="5590"/>
      <c r="J24" s="5590"/>
      <c r="K24" s="5590"/>
      <c r="L24" s="5590"/>
      <c r="M24" s="5590"/>
      <c r="N24" s="5590"/>
      <c r="O24" s="5590"/>
      <c r="P24" s="5590"/>
      <c r="Q24" s="5591"/>
      <c r="R24" s="1114"/>
      <c r="S24" s="1108"/>
      <c r="T24" s="1108"/>
      <c r="U24" s="2066"/>
      <c r="V24" s="5587" t="s">
        <v>4572</v>
      </c>
      <c r="W24" s="5588"/>
      <c r="X24" s="1137" t="e">
        <f>IF(V19=0,"",VLOOKUP(V19,'Tablas Magia'!$D$6:$Z$680,10,FALSE))</f>
        <v>#N/A</v>
      </c>
      <c r="Y24" s="1137" t="e">
        <f>IF(V19=0,"",VLOOKUP(V19,'Tablas Magia'!$D$6:$Z$680,14,FALSE))</f>
        <v>#N/A</v>
      </c>
      <c r="Z24" s="1138" t="e">
        <f>IF(V19=0,"",VLOOKUP(V19,'Tablas Magia'!$D$6:$Z$680,18,FALSE))</f>
        <v>#N/A</v>
      </c>
      <c r="AA24" s="5589" t="e">
        <f>IF(V19=0,"",VLOOKUP(V19,'Tablas Magia'!$D$6:$Z$680,22,FALSE))</f>
        <v>#N/A</v>
      </c>
      <c r="AB24" s="5590"/>
      <c r="AC24" s="5590"/>
      <c r="AD24" s="5590"/>
      <c r="AE24" s="5590"/>
      <c r="AF24" s="5590"/>
      <c r="AG24" s="5590"/>
      <c r="AH24" s="5590"/>
      <c r="AI24" s="5590"/>
      <c r="AJ24" s="5591"/>
      <c r="AK24" s="1114"/>
      <c r="AL24" s="1108"/>
      <c r="AM24" s="1108"/>
      <c r="AN24" s="2080"/>
      <c r="AO24" s="5587" t="s">
        <v>4572</v>
      </c>
      <c r="AP24" s="5588"/>
      <c r="AQ24" s="1137" t="e">
        <f>IF(AO19=0,"",VLOOKUP(AO19,'Tablas Magia'!$D$6:$Z$680,10,FALSE))</f>
        <v>#N/A</v>
      </c>
      <c r="AR24" s="1137" t="e">
        <f>IF(AO19=0,"",VLOOKUP(AO19,'Tablas Magia'!$D$6:$Z$680,14,FALSE))</f>
        <v>#N/A</v>
      </c>
      <c r="AS24" s="1138" t="e">
        <f>IF(AO19=0,"",VLOOKUP(AO19,'Tablas Magia'!$D$6:$Z$680,18,FALSE))</f>
        <v>#N/A</v>
      </c>
      <c r="AT24" s="5589" t="e">
        <f>IF(AO19=0,"",VLOOKUP(AO19,'Tablas Magia'!$D$6:$Z$680,22,FALSE))</f>
        <v>#N/A</v>
      </c>
      <c r="AU24" s="5590"/>
      <c r="AV24" s="5590"/>
      <c r="AW24" s="5590"/>
      <c r="AX24" s="5590"/>
      <c r="AY24" s="5590"/>
      <c r="AZ24" s="5590"/>
      <c r="BA24" s="5590"/>
      <c r="BB24" s="5590"/>
      <c r="BC24" s="5591"/>
      <c r="BD24" s="1114"/>
      <c r="BE24" s="1108"/>
      <c r="BF24" s="1108"/>
      <c r="BG24" s="2080"/>
      <c r="BH24" s="5587" t="s">
        <v>4572</v>
      </c>
      <c r="BI24" s="5588"/>
      <c r="BJ24" s="1137" t="e">
        <f>IF(BH19=0,"",VLOOKUP(BH19,'Tablas Magia'!$D$6:$Z$680,10,FALSE))</f>
        <v>#N/A</v>
      </c>
      <c r="BK24" s="1137" t="e">
        <f>IF(BH19=0,"",VLOOKUP(BH19,'Tablas Magia'!$D$6:$Z$680,14,FALSE))</f>
        <v>#N/A</v>
      </c>
      <c r="BL24" s="1138" t="e">
        <f>IF(BH19=0,"",VLOOKUP(BH19,'Tablas Magia'!$D$6:$Z$680,18,FALSE))</f>
        <v>#N/A</v>
      </c>
      <c r="BM24" s="5589" t="e">
        <f>IF(BH19=0,"",VLOOKUP(BH19,'Tablas Magia'!$D$6:$Z$680,22,FALSE))</f>
        <v>#N/A</v>
      </c>
      <c r="BN24" s="5590"/>
      <c r="BO24" s="5590"/>
      <c r="BP24" s="5590"/>
      <c r="BQ24" s="5590"/>
      <c r="BR24" s="5590"/>
      <c r="BS24" s="5590"/>
      <c r="BT24" s="5590"/>
      <c r="BU24" s="5590"/>
      <c r="BV24" s="5591"/>
      <c r="BW24" s="1114"/>
      <c r="BX24" s="1108"/>
      <c r="BY24" s="1108"/>
      <c r="BZ24" s="2080"/>
      <c r="CA24" s="5587" t="s">
        <v>4572</v>
      </c>
      <c r="CB24" s="5588"/>
      <c r="CC24" s="1137" t="e">
        <f>IF(CA19=0,"",VLOOKUP(CA19,'Tablas Magia'!$D$6:$Z$680,10,FALSE))</f>
        <v>#N/A</v>
      </c>
      <c r="CD24" s="1137" t="e">
        <f>IF(CA19=0,"",VLOOKUP(CA19,'Tablas Magia'!$D$6:$Z$680,14,FALSE))</f>
        <v>#N/A</v>
      </c>
      <c r="CE24" s="1138" t="e">
        <f>IF(CA19=0,"",VLOOKUP(CA19,'Tablas Magia'!$D$6:$Z$680,18,FALSE))</f>
        <v>#N/A</v>
      </c>
      <c r="CF24" s="5589" t="e">
        <f>IF(CA19=0,"",VLOOKUP(CA19,'Tablas Magia'!$D$6:$Z$680,22,FALSE))</f>
        <v>#N/A</v>
      </c>
      <c r="CG24" s="5590"/>
      <c r="CH24" s="5590"/>
      <c r="CI24" s="5590"/>
      <c r="CJ24" s="5590"/>
      <c r="CK24" s="5590"/>
      <c r="CL24" s="5590"/>
      <c r="CM24" s="5590"/>
      <c r="CN24" s="5590"/>
      <c r="CO24" s="5591"/>
      <c r="CP24" s="1114"/>
      <c r="CQ24" s="1108"/>
    </row>
    <row r="25" spans="1:95" ht="12" customHeight="1">
      <c r="A25" s="1108"/>
      <c r="B25" s="2066"/>
      <c r="C25" s="5592" t="e">
        <f>IF(C19=0,"",VLOOKUP(C19,'Tablas Magia'!$D$6:$Z$680,23,FALSE))</f>
        <v>#N/A</v>
      </c>
      <c r="D25" s="5593"/>
      <c r="E25" s="5593"/>
      <c r="F25" s="5593"/>
      <c r="G25" s="5593"/>
      <c r="H25" s="5593"/>
      <c r="I25" s="5593"/>
      <c r="J25" s="5593"/>
      <c r="K25" s="5593"/>
      <c r="L25" s="5593"/>
      <c r="M25" s="5593"/>
      <c r="N25" s="5593"/>
      <c r="O25" s="5593"/>
      <c r="P25" s="5593"/>
      <c r="Q25" s="5594"/>
      <c r="R25" s="1114"/>
      <c r="S25" s="1108"/>
      <c r="T25" s="1108"/>
      <c r="U25" s="2066"/>
      <c r="V25" s="5592" t="e">
        <f>IF(V19=0,"",VLOOKUP(V19,'Tablas Magia'!$D$6:$Z$680,23,FALSE))</f>
        <v>#N/A</v>
      </c>
      <c r="W25" s="5593"/>
      <c r="X25" s="5593"/>
      <c r="Y25" s="5593"/>
      <c r="Z25" s="5593"/>
      <c r="AA25" s="5593"/>
      <c r="AB25" s="5593"/>
      <c r="AC25" s="5593"/>
      <c r="AD25" s="5593"/>
      <c r="AE25" s="5593"/>
      <c r="AF25" s="5593"/>
      <c r="AG25" s="5593"/>
      <c r="AH25" s="5593"/>
      <c r="AI25" s="5593"/>
      <c r="AJ25" s="5594"/>
      <c r="AK25" s="1114"/>
      <c r="AL25" s="1108"/>
      <c r="AM25" s="1108"/>
      <c r="AN25" s="2080"/>
      <c r="AO25" s="5592" t="e">
        <f>IF(AO19=0,"",VLOOKUP(AO19,'Tablas Magia'!$D$6:$Z$680,23,FALSE))</f>
        <v>#N/A</v>
      </c>
      <c r="AP25" s="5593"/>
      <c r="AQ25" s="5593"/>
      <c r="AR25" s="5593"/>
      <c r="AS25" s="5593"/>
      <c r="AT25" s="5593"/>
      <c r="AU25" s="5593"/>
      <c r="AV25" s="5593"/>
      <c r="AW25" s="5593"/>
      <c r="AX25" s="5593"/>
      <c r="AY25" s="5593"/>
      <c r="AZ25" s="5593"/>
      <c r="BA25" s="5593"/>
      <c r="BB25" s="5593"/>
      <c r="BC25" s="5594"/>
      <c r="BD25" s="1114"/>
      <c r="BE25" s="1108"/>
      <c r="BF25" s="1108"/>
      <c r="BG25" s="2080"/>
      <c r="BH25" s="5592" t="e">
        <f>IF(BH19=0,"",VLOOKUP(BH19,'Tablas Magia'!$D$6:$Z$680,23,FALSE))</f>
        <v>#N/A</v>
      </c>
      <c r="BI25" s="5593"/>
      <c r="BJ25" s="5593"/>
      <c r="BK25" s="5593"/>
      <c r="BL25" s="5593"/>
      <c r="BM25" s="5593"/>
      <c r="BN25" s="5593"/>
      <c r="BO25" s="5593"/>
      <c r="BP25" s="5593"/>
      <c r="BQ25" s="5593"/>
      <c r="BR25" s="5593"/>
      <c r="BS25" s="5593"/>
      <c r="BT25" s="5593"/>
      <c r="BU25" s="5593"/>
      <c r="BV25" s="5594"/>
      <c r="BW25" s="1114"/>
      <c r="BX25" s="1108"/>
      <c r="BY25" s="1108"/>
      <c r="BZ25" s="2080"/>
      <c r="CA25" s="5592" t="e">
        <f>IF(CA19=0,"",VLOOKUP(CA19,'Tablas Magia'!$D$6:$Z$680,23,FALSE))</f>
        <v>#N/A</v>
      </c>
      <c r="CB25" s="5593"/>
      <c r="CC25" s="5593"/>
      <c r="CD25" s="5593"/>
      <c r="CE25" s="5593"/>
      <c r="CF25" s="5593"/>
      <c r="CG25" s="5593"/>
      <c r="CH25" s="5593"/>
      <c r="CI25" s="5593"/>
      <c r="CJ25" s="5593"/>
      <c r="CK25" s="5593"/>
      <c r="CL25" s="5593"/>
      <c r="CM25" s="5593"/>
      <c r="CN25" s="5593"/>
      <c r="CO25" s="5594"/>
      <c r="CP25" s="1114"/>
      <c r="CQ25" s="1108"/>
    </row>
    <row r="26" spans="1:95" ht="12" customHeight="1">
      <c r="A26" s="1108"/>
      <c r="B26" s="2066"/>
      <c r="C26" s="5595"/>
      <c r="D26" s="5596"/>
      <c r="E26" s="5596"/>
      <c r="F26" s="5596"/>
      <c r="G26" s="5596"/>
      <c r="H26" s="5596"/>
      <c r="I26" s="5596"/>
      <c r="J26" s="5596"/>
      <c r="K26" s="5596"/>
      <c r="L26" s="5596"/>
      <c r="M26" s="5596"/>
      <c r="N26" s="5596"/>
      <c r="O26" s="5596"/>
      <c r="P26" s="5596"/>
      <c r="Q26" s="5597"/>
      <c r="R26" s="1114"/>
      <c r="S26" s="1108"/>
      <c r="T26" s="1108"/>
      <c r="U26" s="2066"/>
      <c r="V26" s="5595"/>
      <c r="W26" s="5596"/>
      <c r="X26" s="5596"/>
      <c r="Y26" s="5596"/>
      <c r="Z26" s="5596"/>
      <c r="AA26" s="5596"/>
      <c r="AB26" s="5596"/>
      <c r="AC26" s="5596"/>
      <c r="AD26" s="5596"/>
      <c r="AE26" s="5596"/>
      <c r="AF26" s="5596"/>
      <c r="AG26" s="5596"/>
      <c r="AH26" s="5596"/>
      <c r="AI26" s="5596"/>
      <c r="AJ26" s="5597"/>
      <c r="AK26" s="1114"/>
      <c r="AL26" s="1108"/>
      <c r="AM26" s="1108"/>
      <c r="AN26" s="2080"/>
      <c r="AO26" s="5595"/>
      <c r="AP26" s="5596"/>
      <c r="AQ26" s="5596"/>
      <c r="AR26" s="5596"/>
      <c r="AS26" s="5596"/>
      <c r="AT26" s="5596"/>
      <c r="AU26" s="5596"/>
      <c r="AV26" s="5596"/>
      <c r="AW26" s="5596"/>
      <c r="AX26" s="5596"/>
      <c r="AY26" s="5596"/>
      <c r="AZ26" s="5596"/>
      <c r="BA26" s="5596"/>
      <c r="BB26" s="5596"/>
      <c r="BC26" s="5597"/>
      <c r="BD26" s="1114"/>
      <c r="BE26" s="1108"/>
      <c r="BF26" s="1108"/>
      <c r="BG26" s="2080"/>
      <c r="BH26" s="5595"/>
      <c r="BI26" s="5596"/>
      <c r="BJ26" s="5596"/>
      <c r="BK26" s="5596"/>
      <c r="BL26" s="5596"/>
      <c r="BM26" s="5596"/>
      <c r="BN26" s="5596"/>
      <c r="BO26" s="5596"/>
      <c r="BP26" s="5596"/>
      <c r="BQ26" s="5596"/>
      <c r="BR26" s="5596"/>
      <c r="BS26" s="5596"/>
      <c r="BT26" s="5596"/>
      <c r="BU26" s="5596"/>
      <c r="BV26" s="5597"/>
      <c r="BW26" s="1114"/>
      <c r="BX26" s="1108"/>
      <c r="BY26" s="1108"/>
      <c r="BZ26" s="2080"/>
      <c r="CA26" s="5595"/>
      <c r="CB26" s="5596"/>
      <c r="CC26" s="5596"/>
      <c r="CD26" s="5596"/>
      <c r="CE26" s="5596"/>
      <c r="CF26" s="5596"/>
      <c r="CG26" s="5596"/>
      <c r="CH26" s="5596"/>
      <c r="CI26" s="5596"/>
      <c r="CJ26" s="5596"/>
      <c r="CK26" s="5596"/>
      <c r="CL26" s="5596"/>
      <c r="CM26" s="5596"/>
      <c r="CN26" s="5596"/>
      <c r="CO26" s="5597"/>
      <c r="CP26" s="1114"/>
      <c r="CQ26" s="1108"/>
    </row>
    <row r="27" spans="1:95" ht="12" customHeight="1">
      <c r="A27" s="1108"/>
      <c r="B27" s="2066"/>
      <c r="C27" s="5595"/>
      <c r="D27" s="5596"/>
      <c r="E27" s="5596"/>
      <c r="F27" s="5596"/>
      <c r="G27" s="5596"/>
      <c r="H27" s="5596"/>
      <c r="I27" s="5596"/>
      <c r="J27" s="5596"/>
      <c r="K27" s="5596"/>
      <c r="L27" s="5596"/>
      <c r="M27" s="5596"/>
      <c r="N27" s="5596"/>
      <c r="O27" s="5596"/>
      <c r="P27" s="5596"/>
      <c r="Q27" s="5597"/>
      <c r="R27" s="1114"/>
      <c r="S27" s="1108"/>
      <c r="T27" s="1108"/>
      <c r="U27" s="2066"/>
      <c r="V27" s="5595"/>
      <c r="W27" s="5596"/>
      <c r="X27" s="5596"/>
      <c r="Y27" s="5596"/>
      <c r="Z27" s="5596"/>
      <c r="AA27" s="5596"/>
      <c r="AB27" s="5596"/>
      <c r="AC27" s="5596"/>
      <c r="AD27" s="5596"/>
      <c r="AE27" s="5596"/>
      <c r="AF27" s="5596"/>
      <c r="AG27" s="5596"/>
      <c r="AH27" s="5596"/>
      <c r="AI27" s="5596"/>
      <c r="AJ27" s="5597"/>
      <c r="AK27" s="1114"/>
      <c r="AL27" s="1108"/>
      <c r="AM27" s="1108"/>
      <c r="AN27" s="2080"/>
      <c r="AO27" s="5595"/>
      <c r="AP27" s="5596"/>
      <c r="AQ27" s="5596"/>
      <c r="AR27" s="5596"/>
      <c r="AS27" s="5596"/>
      <c r="AT27" s="5596"/>
      <c r="AU27" s="5596"/>
      <c r="AV27" s="5596"/>
      <c r="AW27" s="5596"/>
      <c r="AX27" s="5596"/>
      <c r="AY27" s="5596"/>
      <c r="AZ27" s="5596"/>
      <c r="BA27" s="5596"/>
      <c r="BB27" s="5596"/>
      <c r="BC27" s="5597"/>
      <c r="BD27" s="1114"/>
      <c r="BE27" s="1108"/>
      <c r="BF27" s="1108"/>
      <c r="BG27" s="2080"/>
      <c r="BH27" s="5595"/>
      <c r="BI27" s="5596"/>
      <c r="BJ27" s="5596"/>
      <c r="BK27" s="5596"/>
      <c r="BL27" s="5596"/>
      <c r="BM27" s="5596"/>
      <c r="BN27" s="5596"/>
      <c r="BO27" s="5596"/>
      <c r="BP27" s="5596"/>
      <c r="BQ27" s="5596"/>
      <c r="BR27" s="5596"/>
      <c r="BS27" s="5596"/>
      <c r="BT27" s="5596"/>
      <c r="BU27" s="5596"/>
      <c r="BV27" s="5597"/>
      <c r="BW27" s="1114"/>
      <c r="BX27" s="1108"/>
      <c r="BY27" s="1108"/>
      <c r="BZ27" s="2080"/>
      <c r="CA27" s="5595"/>
      <c r="CB27" s="5596"/>
      <c r="CC27" s="5596"/>
      <c r="CD27" s="5596"/>
      <c r="CE27" s="5596"/>
      <c r="CF27" s="5596"/>
      <c r="CG27" s="5596"/>
      <c r="CH27" s="5596"/>
      <c r="CI27" s="5596"/>
      <c r="CJ27" s="5596"/>
      <c r="CK27" s="5596"/>
      <c r="CL27" s="5596"/>
      <c r="CM27" s="5596"/>
      <c r="CN27" s="5596"/>
      <c r="CO27" s="5597"/>
      <c r="CP27" s="1114"/>
      <c r="CQ27" s="1108"/>
    </row>
    <row r="28" spans="1:95" ht="12" customHeight="1" thickBot="1">
      <c r="A28" s="1108"/>
      <c r="B28" s="2066"/>
      <c r="C28" s="5598"/>
      <c r="D28" s="5599"/>
      <c r="E28" s="5599"/>
      <c r="F28" s="5599"/>
      <c r="G28" s="5599"/>
      <c r="H28" s="5599"/>
      <c r="I28" s="5599"/>
      <c r="J28" s="5599"/>
      <c r="K28" s="5599"/>
      <c r="L28" s="5599"/>
      <c r="M28" s="5599"/>
      <c r="N28" s="5599"/>
      <c r="O28" s="5599"/>
      <c r="P28" s="5599"/>
      <c r="Q28" s="5600"/>
      <c r="R28" s="1114"/>
      <c r="S28" s="1108"/>
      <c r="T28" s="1108"/>
      <c r="U28" s="2066"/>
      <c r="V28" s="5598"/>
      <c r="W28" s="5599"/>
      <c r="X28" s="5599"/>
      <c r="Y28" s="5599"/>
      <c r="Z28" s="5599"/>
      <c r="AA28" s="5599"/>
      <c r="AB28" s="5599"/>
      <c r="AC28" s="5599"/>
      <c r="AD28" s="5599"/>
      <c r="AE28" s="5599"/>
      <c r="AF28" s="5599"/>
      <c r="AG28" s="5599"/>
      <c r="AH28" s="5599"/>
      <c r="AI28" s="5599"/>
      <c r="AJ28" s="5600"/>
      <c r="AK28" s="1114"/>
      <c r="AL28" s="1108"/>
      <c r="AM28" s="1108"/>
      <c r="AN28" s="2080"/>
      <c r="AO28" s="5598"/>
      <c r="AP28" s="5599"/>
      <c r="AQ28" s="5599"/>
      <c r="AR28" s="5599"/>
      <c r="AS28" s="5599"/>
      <c r="AT28" s="5599"/>
      <c r="AU28" s="5599"/>
      <c r="AV28" s="5599"/>
      <c r="AW28" s="5599"/>
      <c r="AX28" s="5599"/>
      <c r="AY28" s="5599"/>
      <c r="AZ28" s="5599"/>
      <c r="BA28" s="5599"/>
      <c r="BB28" s="5599"/>
      <c r="BC28" s="5600"/>
      <c r="BD28" s="1114"/>
      <c r="BE28" s="1108"/>
      <c r="BF28" s="1108"/>
      <c r="BG28" s="2080"/>
      <c r="BH28" s="5598"/>
      <c r="BI28" s="5599"/>
      <c r="BJ28" s="5599"/>
      <c r="BK28" s="5599"/>
      <c r="BL28" s="5599"/>
      <c r="BM28" s="5599"/>
      <c r="BN28" s="5599"/>
      <c r="BO28" s="5599"/>
      <c r="BP28" s="5599"/>
      <c r="BQ28" s="5599"/>
      <c r="BR28" s="5599"/>
      <c r="BS28" s="5599"/>
      <c r="BT28" s="5599"/>
      <c r="BU28" s="5599"/>
      <c r="BV28" s="5600"/>
      <c r="BW28" s="1114"/>
      <c r="BX28" s="1108"/>
      <c r="BY28" s="1108"/>
      <c r="BZ28" s="2080"/>
      <c r="CA28" s="5598"/>
      <c r="CB28" s="5599"/>
      <c r="CC28" s="5599"/>
      <c r="CD28" s="5599"/>
      <c r="CE28" s="5599"/>
      <c r="CF28" s="5599"/>
      <c r="CG28" s="5599"/>
      <c r="CH28" s="5599"/>
      <c r="CI28" s="5599"/>
      <c r="CJ28" s="5599"/>
      <c r="CK28" s="5599"/>
      <c r="CL28" s="5599"/>
      <c r="CM28" s="5599"/>
      <c r="CN28" s="5599"/>
      <c r="CO28" s="5600"/>
      <c r="CP28" s="1114"/>
      <c r="CQ28" s="1108"/>
    </row>
    <row r="29" spans="1:95" ht="12" customHeight="1" thickBot="1">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6">
        <f>B19+2</f>
        <v>6</v>
      </c>
      <c r="C30" s="560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02"/>
      <c r="E30" s="5602"/>
      <c r="F30" s="5602"/>
      <c r="G30" s="5602"/>
      <c r="H30" s="1128" t="s">
        <v>1627</v>
      </c>
      <c r="I30" s="1129">
        <f>B30</f>
        <v>6</v>
      </c>
      <c r="J30" s="5567" t="s">
        <v>7685</v>
      </c>
      <c r="K30" s="5567"/>
      <c r="L30" s="5567"/>
      <c r="M30" s="5568" t="str">
        <f>IF(C30=0,"",VLOOKUP(C30,'Tablas Magia'!$D$6:$Z$680,2,FALSE))</f>
        <v>Luz</v>
      </c>
      <c r="N30" s="5568"/>
      <c r="O30" s="5568"/>
      <c r="P30" s="5568"/>
      <c r="Q30" s="5569"/>
      <c r="R30" s="1114"/>
      <c r="S30" s="1108"/>
      <c r="T30" s="1108"/>
      <c r="U30" s="2066">
        <f>U19+2</f>
        <v>26</v>
      </c>
      <c r="V30" s="560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02"/>
      <c r="X30" s="5602"/>
      <c r="Y30" s="5602"/>
      <c r="Z30" s="5602"/>
      <c r="AA30" s="1128" t="s">
        <v>1627</v>
      </c>
      <c r="AB30" s="1129">
        <f>U30</f>
        <v>26</v>
      </c>
      <c r="AC30" s="5567" t="s">
        <v>7685</v>
      </c>
      <c r="AD30" s="5567"/>
      <c r="AE30" s="5567"/>
      <c r="AF30" s="5568" t="str">
        <f>IF(V30=0,"",VLOOKUP(V30,'Tablas Magia'!$D$6:$Z$680,2,FALSE))</f>
        <v>Luz</v>
      </c>
      <c r="AG30" s="5568"/>
      <c r="AH30" s="5568"/>
      <c r="AI30" s="5568"/>
      <c r="AJ30" s="5569"/>
      <c r="AK30" s="1114"/>
      <c r="AL30" s="1108"/>
      <c r="AM30" s="1108"/>
      <c r="AN30" s="2080">
        <f>AN19+2</f>
        <v>46</v>
      </c>
      <c r="AO30" s="560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02"/>
      <c r="AQ30" s="5602"/>
      <c r="AR30" s="5602"/>
      <c r="AS30" s="5602"/>
      <c r="AT30" s="1128" t="s">
        <v>1627</v>
      </c>
      <c r="AU30" s="1129">
        <f>AN30</f>
        <v>46</v>
      </c>
      <c r="AV30" s="5567" t="s">
        <v>7685</v>
      </c>
      <c r="AW30" s="5567"/>
      <c r="AX30" s="5567"/>
      <c r="AY30" s="5568" t="str">
        <f>IF(AO30=0,"",VLOOKUP(AO30,'Tablas Magia'!$D$6:$Z$680,2,FALSE))</f>
        <v>Luz</v>
      </c>
      <c r="AZ30" s="5568"/>
      <c r="BA30" s="5568"/>
      <c r="BB30" s="5568"/>
      <c r="BC30" s="5569"/>
      <c r="BD30" s="1114"/>
      <c r="BE30" s="1108"/>
      <c r="BF30" s="1108"/>
      <c r="BG30" s="2080">
        <f>BG19+2</f>
        <v>66</v>
      </c>
      <c r="BH30" s="560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02"/>
      <c r="BJ30" s="5602"/>
      <c r="BK30" s="5602"/>
      <c r="BL30" s="5602"/>
      <c r="BM30" s="1128" t="s">
        <v>1627</v>
      </c>
      <c r="BN30" s="1129">
        <f>BG30</f>
        <v>66</v>
      </c>
      <c r="BO30" s="5567" t="s">
        <v>7685</v>
      </c>
      <c r="BP30" s="5567"/>
      <c r="BQ30" s="5567"/>
      <c r="BR30" s="5568" t="str">
        <f>IF(BH30=0,"",VLOOKUP(BH30,'Tablas Magia'!$D$6:$Z$680,2,FALSE))</f>
        <v>Luz</v>
      </c>
      <c r="BS30" s="5568"/>
      <c r="BT30" s="5568"/>
      <c r="BU30" s="5568"/>
      <c r="BV30" s="5569"/>
      <c r="BW30" s="1114"/>
      <c r="BX30" s="1108"/>
      <c r="BY30" s="1108"/>
      <c r="BZ30" s="2080">
        <f>BZ19+2</f>
        <v>86</v>
      </c>
      <c r="CA30" s="560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02"/>
      <c r="CC30" s="5602"/>
      <c r="CD30" s="5602"/>
      <c r="CE30" s="5602"/>
      <c r="CF30" s="1128" t="s">
        <v>1627</v>
      </c>
      <c r="CG30" s="1129">
        <f>BZ30</f>
        <v>86</v>
      </c>
      <c r="CH30" s="5567" t="s">
        <v>7685</v>
      </c>
      <c r="CI30" s="5567"/>
      <c r="CJ30" s="5567"/>
      <c r="CK30" s="5568" t="str">
        <f>IF(CA30=0,"",VLOOKUP(CA30,'Tablas Magia'!$D$6:$Z$680,2,FALSE))</f>
        <v>Luz</v>
      </c>
      <c r="CL30" s="5568"/>
      <c r="CM30" s="5568"/>
      <c r="CN30" s="5568"/>
      <c r="CO30" s="5569"/>
      <c r="CP30" s="1114"/>
      <c r="CQ30" s="1108"/>
    </row>
    <row r="31" spans="1:95" ht="12" customHeight="1">
      <c r="A31" s="1108"/>
      <c r="B31" s="2066"/>
      <c r="C31" s="5585" t="s">
        <v>7686</v>
      </c>
      <c r="D31" s="5586"/>
      <c r="E31" s="1130" t="s">
        <v>7687</v>
      </c>
      <c r="F31" s="1130" t="s">
        <v>1820</v>
      </c>
      <c r="G31" s="1130" t="s">
        <v>3332</v>
      </c>
      <c r="H31" s="1131" t="s">
        <v>2165</v>
      </c>
      <c r="I31" s="5582" t="str">
        <f>IF(C30=0,"",VLOOKUP(C30,'Tablas Magia'!$D$6:$Z$680,5,FALSE))</f>
        <v>Anímico</v>
      </c>
      <c r="J31" s="5582"/>
      <c r="K31" s="5583" t="s">
        <v>7688</v>
      </c>
      <c r="L31" s="5583"/>
      <c r="M31" s="5582" t="str">
        <f>IF(C30=0,"",VLOOKUP(C30,'Tablas Magia'!$D$6:$Z$680,6,FALSE))</f>
        <v>Activa</v>
      </c>
      <c r="N31" s="5582"/>
      <c r="O31" s="5584" t="s">
        <v>7689</v>
      </c>
      <c r="P31" s="5584"/>
      <c r="Q31" s="1132" t="str">
        <f>IF(C30=0,"",VLOOKUP(C30,'Tablas Magia'!$D$6:$Z$680,4,FALSE))</f>
        <v>No</v>
      </c>
      <c r="R31" s="1114"/>
      <c r="S31" s="1108"/>
      <c r="T31" s="1108"/>
      <c r="U31" s="2066"/>
      <c r="V31" s="5585" t="s">
        <v>7686</v>
      </c>
      <c r="W31" s="5586"/>
      <c r="X31" s="1130" t="s">
        <v>7687</v>
      </c>
      <c r="Y31" s="1130" t="s">
        <v>1820</v>
      </c>
      <c r="Z31" s="1130" t="s">
        <v>3332</v>
      </c>
      <c r="AA31" s="1131" t="s">
        <v>2165</v>
      </c>
      <c r="AB31" s="5582" t="str">
        <f>IF(V30=0,"",VLOOKUP(V30,'Tablas Magia'!$D$6:$Z$680,5,FALSE))</f>
        <v>Efecto</v>
      </c>
      <c r="AC31" s="5582"/>
      <c r="AD31" s="5583" t="s">
        <v>7688</v>
      </c>
      <c r="AE31" s="5583"/>
      <c r="AF31" s="5582" t="str">
        <f>IF(V30=0,"",VLOOKUP(V30,'Tablas Magia'!$D$6:$Z$680,6,FALSE))</f>
        <v>Activa</v>
      </c>
      <c r="AG31" s="5582"/>
      <c r="AH31" s="5584" t="s">
        <v>7689</v>
      </c>
      <c r="AI31" s="5584"/>
      <c r="AJ31" s="1132" t="str">
        <f>IF(V30=0,"",VLOOKUP(V30,'Tablas Magia'!$D$6:$Z$680,4,FALSE))</f>
        <v>No</v>
      </c>
      <c r="AK31" s="1114"/>
      <c r="AL31" s="1108"/>
      <c r="AM31" s="1108"/>
      <c r="AN31" s="2080"/>
      <c r="AO31" s="5585" t="s">
        <v>7686</v>
      </c>
      <c r="AP31" s="5586"/>
      <c r="AQ31" s="1130" t="s">
        <v>7687</v>
      </c>
      <c r="AR31" s="1130" t="s">
        <v>1820</v>
      </c>
      <c r="AS31" s="1130" t="s">
        <v>3332</v>
      </c>
      <c r="AT31" s="1131" t="s">
        <v>2165</v>
      </c>
      <c r="AU31" s="5582" t="str">
        <f>IF(AO30=0,"",VLOOKUP(AO30,'Tablas Magia'!$D$6:$Z$680,5,FALSE))</f>
        <v>Ataque</v>
      </c>
      <c r="AV31" s="5582"/>
      <c r="AW31" s="5583" t="s">
        <v>7688</v>
      </c>
      <c r="AX31" s="5583"/>
      <c r="AY31" s="5582" t="str">
        <f>IF(AO30=0,"",VLOOKUP(AO30,'Tablas Magia'!$D$6:$Z$680,6,FALSE))</f>
        <v>Activa</v>
      </c>
      <c r="AZ31" s="5582"/>
      <c r="BA31" s="5584" t="s">
        <v>7689</v>
      </c>
      <c r="BB31" s="5584"/>
      <c r="BC31" s="1132" t="str">
        <f>IF(AO30=0,"",VLOOKUP(AO30,'Tablas Magia'!$D$6:$Z$680,4,FALSE))</f>
        <v>No</v>
      </c>
      <c r="BD31" s="1114"/>
      <c r="BE31" s="1108"/>
      <c r="BF31" s="1108"/>
      <c r="BG31" s="2080"/>
      <c r="BH31" s="5585" t="s">
        <v>7686</v>
      </c>
      <c r="BI31" s="5586"/>
      <c r="BJ31" s="1130" t="s">
        <v>7687</v>
      </c>
      <c r="BK31" s="1130" t="s">
        <v>1820</v>
      </c>
      <c r="BL31" s="1130" t="s">
        <v>3332</v>
      </c>
      <c r="BM31" s="1131" t="s">
        <v>2165</v>
      </c>
      <c r="BN31" s="5582" t="str">
        <f>IF(BH30=0,"",VLOOKUP(BH30,'Tablas Magia'!$D$6:$Z$680,5,FALSE))</f>
        <v>Detección</v>
      </c>
      <c r="BO31" s="5582"/>
      <c r="BP31" s="5583" t="s">
        <v>7688</v>
      </c>
      <c r="BQ31" s="5583"/>
      <c r="BR31" s="5582" t="str">
        <f>IF(BH30=0,"",VLOOKUP(BH30,'Tablas Magia'!$D$6:$Z$680,6,FALSE))</f>
        <v>Activa</v>
      </c>
      <c r="BS31" s="5582"/>
      <c r="BT31" s="5584" t="s">
        <v>7689</v>
      </c>
      <c r="BU31" s="5584"/>
      <c r="BV31" s="1132" t="str">
        <f>IF(BH30=0,"",VLOOKUP(BH30,'Tablas Magia'!$D$6:$Z$680,4,FALSE))</f>
        <v>No</v>
      </c>
      <c r="BW31" s="1114"/>
      <c r="BX31" s="1108"/>
      <c r="BY31" s="1108"/>
      <c r="BZ31" s="2080"/>
      <c r="CA31" s="5585" t="s">
        <v>7686</v>
      </c>
      <c r="CB31" s="5586"/>
      <c r="CC31" s="1130" t="s">
        <v>7687</v>
      </c>
      <c r="CD31" s="1130" t="s">
        <v>1820</v>
      </c>
      <c r="CE31" s="1130" t="s">
        <v>3332</v>
      </c>
      <c r="CF31" s="1131" t="s">
        <v>2165</v>
      </c>
      <c r="CG31" s="5582" t="str">
        <f>IF(CA30=0,"",VLOOKUP(CA30,'Tablas Magia'!$D$6:$Z$680,5,FALSE))</f>
        <v>Defensa</v>
      </c>
      <c r="CH31" s="5582"/>
      <c r="CI31" s="5583" t="s">
        <v>7688</v>
      </c>
      <c r="CJ31" s="5583"/>
      <c r="CK31" s="5582" t="str">
        <f>IF(CA30=0,"",VLOOKUP(CA30,'Tablas Magia'!$D$6:$Z$680,6,FALSE))</f>
        <v>Pasiva</v>
      </c>
      <c r="CL31" s="5582"/>
      <c r="CM31" s="5584" t="s">
        <v>7689</v>
      </c>
      <c r="CN31" s="5584"/>
      <c r="CO31" s="1132" t="str">
        <f>IF(CA30=0,"",VLOOKUP(CA30,'Tablas Magia'!$D$6:$Z$680,4,FALSE))</f>
        <v>Si</v>
      </c>
      <c r="CP31" s="1114"/>
      <c r="CQ31" s="1108"/>
    </row>
    <row r="32" spans="1:95" ht="12" customHeight="1">
      <c r="A32" s="1108"/>
      <c r="B32" s="2066"/>
      <c r="C32" s="5577" t="s">
        <v>1674</v>
      </c>
      <c r="D32" s="5578"/>
      <c r="E32" s="1133">
        <f>IF(C30=0,"",VLOOKUP(C30,'Tablas Magia'!$D$6:$Z$680,7,FALSE))</f>
        <v>5</v>
      </c>
      <c r="F32" s="1133">
        <f>IF(C30=0,"",VLOOKUP(C30,'Tablas Magia'!$D$6:$Z$680,11,FALSE))</f>
        <v>40</v>
      </c>
      <c r="G32" s="1134" t="str">
        <f>IF(C30=0,"",VLOOKUP(C30,'Tablas Magia'!$D$6:$Z$680,15,FALSE))</f>
        <v>No</v>
      </c>
      <c r="H32" s="5579" t="str">
        <f>IF(C30=0,"",VLOOKUP(C30,'Tablas Magia'!$D$6:$Z$680,19,FALSE))</f>
        <v>RM o RP 80 / 10 metros de radio</v>
      </c>
      <c r="I32" s="5580"/>
      <c r="J32" s="5580"/>
      <c r="K32" s="5580"/>
      <c r="L32" s="5580"/>
      <c r="M32" s="5580"/>
      <c r="N32" s="5580"/>
      <c r="O32" s="5580"/>
      <c r="P32" s="5580"/>
      <c r="Q32" s="5581"/>
      <c r="R32" s="1114"/>
      <c r="S32" s="1108"/>
      <c r="T32" s="1108"/>
      <c r="U32" s="2066"/>
      <c r="V32" s="5577" t="s">
        <v>1674</v>
      </c>
      <c r="W32" s="5578"/>
      <c r="X32" s="1133">
        <f>IF(V30=0,"",VLOOKUP(V30,'Tablas Magia'!$D$6:$Z$680,7,FALSE))</f>
        <v>6</v>
      </c>
      <c r="Y32" s="1133">
        <f>IF(V30=0,"",VLOOKUP(V30,'Tablas Magia'!$D$6:$Z$680,11,FALSE))</f>
        <v>40</v>
      </c>
      <c r="Z32" s="1134">
        <f>IF(V30=0,"",VLOOKUP(V30,'Tablas Magia'!$D$6:$Z$680,15,FALSE))</f>
        <v>5</v>
      </c>
      <c r="AA32" s="5579" t="str">
        <f>IF(V30=0,"",VLOOKUP(V30,'Tablas Magia'!$D$6:$Z$680,19,FALSE))</f>
        <v>La imagen tiene un tamaño máximo de un metro cuadrados</v>
      </c>
      <c r="AB32" s="5580"/>
      <c r="AC32" s="5580"/>
      <c r="AD32" s="5580"/>
      <c r="AE32" s="5580"/>
      <c r="AF32" s="5580"/>
      <c r="AG32" s="5580"/>
      <c r="AH32" s="5580"/>
      <c r="AI32" s="5580"/>
      <c r="AJ32" s="5581"/>
      <c r="AK32" s="1114"/>
      <c r="AL32" s="1108"/>
      <c r="AM32" s="1108"/>
      <c r="AN32" s="2080"/>
      <c r="AO32" s="5577" t="s">
        <v>1674</v>
      </c>
      <c r="AP32" s="5578"/>
      <c r="AQ32" s="1133">
        <f>IF(AO30=0,"",VLOOKUP(AO30,'Tablas Magia'!$D$6:$Z$680,7,FALSE))</f>
        <v>6</v>
      </c>
      <c r="AR32" s="1133">
        <f>IF(AO30=0,"",VLOOKUP(AO30,'Tablas Magia'!$D$6:$Z$680,11,FALSE))</f>
        <v>120</v>
      </c>
      <c r="AS32" s="1134">
        <f>IF(AO30=0,"",VLOOKUP(AO30,'Tablas Magia'!$D$6:$Z$680,15,FALSE))</f>
        <v>15</v>
      </c>
      <c r="AT32" s="5579" t="str">
        <f>IF(AO30=0,"",VLOOKUP(AO30,'Tablas Magia'!$D$6:$Z$680,19,FALSE))</f>
        <v>Daño Base 100 / Proyección Mágica 150</v>
      </c>
      <c r="AU32" s="5580"/>
      <c r="AV32" s="5580"/>
      <c r="AW32" s="5580"/>
      <c r="AX32" s="5580"/>
      <c r="AY32" s="5580"/>
      <c r="AZ32" s="5580"/>
      <c r="BA32" s="5580"/>
      <c r="BB32" s="5580"/>
      <c r="BC32" s="5581"/>
      <c r="BD32" s="1114"/>
      <c r="BE32" s="1108"/>
      <c r="BF32" s="1108"/>
      <c r="BG32" s="2080"/>
      <c r="BH32" s="5577" t="s">
        <v>1674</v>
      </c>
      <c r="BI32" s="5578"/>
      <c r="BJ32" s="1133">
        <f>IF(BH30=0,"",VLOOKUP(BH30,'Tablas Magia'!$D$6:$Z$680,7,FALSE))</f>
        <v>8</v>
      </c>
      <c r="BK32" s="1133">
        <f>IF(BH30=0,"",VLOOKUP(BH30,'Tablas Magia'!$D$6:$Z$680,11,FALSE))</f>
        <v>160</v>
      </c>
      <c r="BL32" s="1134" t="str">
        <f>IF(BH30=0,"",VLOOKUP(BH30,'Tablas Magia'!$D$6:$Z$680,15,FALSE))</f>
        <v>No</v>
      </c>
      <c r="BM32" s="5579" t="str">
        <f>IF(BH30=0,"",VLOOKUP(BH30,'Tablas Magia'!$D$6:$Z$680,19,FALSE))</f>
        <v>RM 140.</v>
      </c>
      <c r="BN32" s="5580"/>
      <c r="BO32" s="5580"/>
      <c r="BP32" s="5580"/>
      <c r="BQ32" s="5580"/>
      <c r="BR32" s="5580"/>
      <c r="BS32" s="5580"/>
      <c r="BT32" s="5580"/>
      <c r="BU32" s="5580"/>
      <c r="BV32" s="5581"/>
      <c r="BW32" s="1114"/>
      <c r="BX32" s="1108"/>
      <c r="BY32" s="1108"/>
      <c r="BZ32" s="2080"/>
      <c r="CA32" s="5577" t="s">
        <v>1674</v>
      </c>
      <c r="CB32" s="5578"/>
      <c r="CC32" s="1133">
        <f>IF(CA30=0,"",VLOOKUP(CA30,'Tablas Magia'!$D$6:$Z$680,7,FALSE))</f>
        <v>10</v>
      </c>
      <c r="CD32" s="1133">
        <f>IF(CA30=0,"",VLOOKUP(CA30,'Tablas Magia'!$D$6:$Z$680,11,FALSE))</f>
        <v>160</v>
      </c>
      <c r="CE32" s="1134">
        <f>IF(CA30=0,"",VLOOKUP(CA30,'Tablas Magia'!$D$6:$Z$680,15,FALSE))</f>
        <v>20</v>
      </c>
      <c r="CF32" s="5579" t="str">
        <f>IF(CA30=0,"",VLOOKUP(CA30,'Tablas Magia'!$D$6:$Z$680,19,FALSE))</f>
        <v>100 contra choques / Tiene 800 puntos de Resistencia</v>
      </c>
      <c r="CG32" s="5580"/>
      <c r="CH32" s="5580"/>
      <c r="CI32" s="5580"/>
      <c r="CJ32" s="5580"/>
      <c r="CK32" s="5580"/>
      <c r="CL32" s="5580"/>
      <c r="CM32" s="5580"/>
      <c r="CN32" s="5580"/>
      <c r="CO32" s="5581"/>
      <c r="CP32" s="1114"/>
      <c r="CQ32" s="1108"/>
    </row>
    <row r="33" spans="1:95" ht="12" customHeight="1">
      <c r="A33" s="1108"/>
      <c r="B33" s="2066"/>
      <c r="C33" s="5572" t="s">
        <v>4570</v>
      </c>
      <c r="D33" s="5573"/>
      <c r="E33" s="1135">
        <f>IF(C30=0,"",VLOOKUP(C30,'Tablas Magia'!$D$6:$Z$680,8,FALSE))</f>
        <v>8</v>
      </c>
      <c r="F33" s="1135">
        <f>IF(C30=0,"",VLOOKUP(C30,'Tablas Magia'!$D$6:$Z$680,12,FALSE))</f>
        <v>80</v>
      </c>
      <c r="G33" s="1136" t="str">
        <f>IF(C30=0,"",VLOOKUP(C30,'Tablas Magia'!$D$6:$Z$680,16,FALSE))</f>
        <v>No</v>
      </c>
      <c r="H33" s="5574" t="str">
        <f>IF(C30=0,"",VLOOKUP(C30,'Tablas Magia'!$D$6:$Z$680,20,FALSE))</f>
        <v>RM o RP 100 / 25 metros de radio.</v>
      </c>
      <c r="I33" s="5575"/>
      <c r="J33" s="5575"/>
      <c r="K33" s="5575"/>
      <c r="L33" s="5575"/>
      <c r="M33" s="5575"/>
      <c r="N33" s="5575"/>
      <c r="O33" s="5575"/>
      <c r="P33" s="5575"/>
      <c r="Q33" s="5576"/>
      <c r="R33" s="1114"/>
      <c r="S33" s="1108"/>
      <c r="T33" s="1108"/>
      <c r="U33" s="2066"/>
      <c r="V33" s="5572" t="s">
        <v>4570</v>
      </c>
      <c r="W33" s="5573"/>
      <c r="X33" s="1135">
        <f>IF(V30=0,"",VLOOKUP(V30,'Tablas Magia'!$D$6:$Z$680,8,FALSE))</f>
        <v>9</v>
      </c>
      <c r="Y33" s="1135">
        <f>IF(V30=0,"",VLOOKUP(V30,'Tablas Magia'!$D$6:$Z$680,12,FALSE))</f>
        <v>150</v>
      </c>
      <c r="Z33" s="1136">
        <f>IF(V30=0,"",VLOOKUP(V30,'Tablas Magia'!$D$6:$Z$680,16,FALSE))</f>
        <v>20</v>
      </c>
      <c r="AA33" s="5574" t="str">
        <f>IF(V30=0,"",VLOOKUP(V30,'Tablas Magia'!$D$6:$Z$680,20,FALSE))</f>
        <v>La imagen tiene un tamaño máximo de 15 metros cuadrados</v>
      </c>
      <c r="AB33" s="5575"/>
      <c r="AC33" s="5575"/>
      <c r="AD33" s="5575"/>
      <c r="AE33" s="5575"/>
      <c r="AF33" s="5575"/>
      <c r="AG33" s="5575"/>
      <c r="AH33" s="5575"/>
      <c r="AI33" s="5575"/>
      <c r="AJ33" s="5576"/>
      <c r="AK33" s="1114"/>
      <c r="AL33" s="1108"/>
      <c r="AM33" s="1108"/>
      <c r="AN33" s="2080"/>
      <c r="AO33" s="5572" t="s">
        <v>4570</v>
      </c>
      <c r="AP33" s="5573"/>
      <c r="AQ33" s="1135">
        <f>IF(AO30=0,"",VLOOKUP(AO30,'Tablas Magia'!$D$6:$Z$680,8,FALSE))</f>
        <v>9</v>
      </c>
      <c r="AR33" s="1135">
        <f>IF(AO30=0,"",VLOOKUP(AO30,'Tablas Magia'!$D$6:$Z$680,12,FALSE))</f>
        <v>180</v>
      </c>
      <c r="AS33" s="1136">
        <f>IF(AO30=0,"",VLOOKUP(AO30,'Tablas Magia'!$D$6:$Z$680,16,FALSE))</f>
        <v>20</v>
      </c>
      <c r="AT33" s="5574" t="str">
        <f>IF(AO30=0,"",VLOOKUP(AO30,'Tablas Magia'!$D$6:$Z$680,20,FALSE))</f>
        <v>Daño Base de 120 / Proyección Mágica 180</v>
      </c>
      <c r="AU33" s="5575"/>
      <c r="AV33" s="5575"/>
      <c r="AW33" s="5575"/>
      <c r="AX33" s="5575"/>
      <c r="AY33" s="5575"/>
      <c r="AZ33" s="5575"/>
      <c r="BA33" s="5575"/>
      <c r="BB33" s="5575"/>
      <c r="BC33" s="5576"/>
      <c r="BD33" s="1114"/>
      <c r="BE33" s="1108"/>
      <c r="BF33" s="1108"/>
      <c r="BG33" s="2080"/>
      <c r="BH33" s="5572" t="s">
        <v>4570</v>
      </c>
      <c r="BI33" s="5573"/>
      <c r="BJ33" s="1135">
        <f>IF(BH30=0,"",VLOOKUP(BH30,'Tablas Magia'!$D$6:$Z$680,8,FALSE))</f>
        <v>10</v>
      </c>
      <c r="BK33" s="1135">
        <f>IF(BH30=0,"",VLOOKUP(BH30,'Tablas Magia'!$D$6:$Z$680,12,FALSE))</f>
        <v>200</v>
      </c>
      <c r="BL33" s="1136" t="str">
        <f>IF(BH30=0,"",VLOOKUP(BH30,'Tablas Magia'!$D$6:$Z$680,16,FALSE))</f>
        <v>No</v>
      </c>
      <c r="BM33" s="5574" t="str">
        <f>IF(BH30=0,"",VLOOKUP(BH30,'Tablas Magia'!$D$6:$Z$680,20,FALSE))</f>
        <v>RM 180</v>
      </c>
      <c r="BN33" s="5575"/>
      <c r="BO33" s="5575"/>
      <c r="BP33" s="5575"/>
      <c r="BQ33" s="5575"/>
      <c r="BR33" s="5575"/>
      <c r="BS33" s="5575"/>
      <c r="BT33" s="5575"/>
      <c r="BU33" s="5575"/>
      <c r="BV33" s="5576"/>
      <c r="BW33" s="1114"/>
      <c r="BX33" s="1108"/>
      <c r="BY33" s="1108"/>
      <c r="BZ33" s="2080"/>
      <c r="CA33" s="5572" t="s">
        <v>4570</v>
      </c>
      <c r="CB33" s="5573"/>
      <c r="CC33" s="1135">
        <f>IF(CA30=0,"",VLOOKUP(CA30,'Tablas Magia'!$D$6:$Z$680,8,FALSE))</f>
        <v>13</v>
      </c>
      <c r="CD33" s="1135">
        <f>IF(CA30=0,"",VLOOKUP(CA30,'Tablas Magia'!$D$6:$Z$680,12,FALSE))</f>
        <v>250</v>
      </c>
      <c r="CE33" s="1136">
        <f>IF(CA30=0,"",VLOOKUP(CA30,'Tablas Magia'!$D$6:$Z$680,16,FALSE))</f>
        <v>25</v>
      </c>
      <c r="CF33" s="5574" t="str">
        <f>IF(CA30=0,"",VLOOKUP(CA30,'Tablas Magia'!$D$6:$Z$680,20,FALSE))</f>
        <v>120 contra choques / Tiene 1.500 puntos de Resistencia</v>
      </c>
      <c r="CG33" s="5575"/>
      <c r="CH33" s="5575"/>
      <c r="CI33" s="5575"/>
      <c r="CJ33" s="5575"/>
      <c r="CK33" s="5575"/>
      <c r="CL33" s="5575"/>
      <c r="CM33" s="5575"/>
      <c r="CN33" s="5575"/>
      <c r="CO33" s="5576"/>
      <c r="CP33" s="1114"/>
      <c r="CQ33" s="1108"/>
    </row>
    <row r="34" spans="1:95" ht="12" customHeight="1">
      <c r="A34" s="1108"/>
      <c r="B34" s="2066"/>
      <c r="C34" s="5577" t="s">
        <v>4571</v>
      </c>
      <c r="D34" s="5578"/>
      <c r="E34" s="1133">
        <f>IF(C30=0,"",VLOOKUP(C30,'Tablas Magia'!$D$6:$Z$680,9,FALSE))</f>
        <v>11</v>
      </c>
      <c r="F34" s="1133">
        <f>IF(C30=0,"",VLOOKUP(C30,'Tablas Magia'!$D$6:$Z$680,13,FALSE))</f>
        <v>120</v>
      </c>
      <c r="G34" s="1134" t="str">
        <f>IF(C30=0,"",VLOOKUP(C30,'Tablas Magia'!$D$6:$Z$680,17,FALSE))</f>
        <v>No</v>
      </c>
      <c r="H34" s="5579" t="str">
        <f>IF(C30=0,"",VLOOKUP(C30,'Tablas Magia'!$D$6:$Z$680,21,FALSE))</f>
        <v>RM o RP 120 / 50 metros de radio</v>
      </c>
      <c r="I34" s="5580"/>
      <c r="J34" s="5580"/>
      <c r="K34" s="5580"/>
      <c r="L34" s="5580"/>
      <c r="M34" s="5580"/>
      <c r="N34" s="5580"/>
      <c r="O34" s="5580"/>
      <c r="P34" s="5580"/>
      <c r="Q34" s="5581"/>
      <c r="R34" s="1114"/>
      <c r="S34" s="1108"/>
      <c r="T34" s="1108"/>
      <c r="U34" s="2066"/>
      <c r="V34" s="5577" t="s">
        <v>4571</v>
      </c>
      <c r="W34" s="5578"/>
      <c r="X34" s="1133">
        <f>IF(V30=0,"",VLOOKUP(V30,'Tablas Magia'!$D$6:$Z$680,9,FALSE))</f>
        <v>12</v>
      </c>
      <c r="Y34" s="1133">
        <f>IF(V30=0,"",VLOOKUP(V30,'Tablas Magia'!$D$6:$Z$680,13,FALSE))</f>
        <v>250</v>
      </c>
      <c r="Z34" s="1134">
        <f>IF(V30=0,"",VLOOKUP(V30,'Tablas Magia'!$D$6:$Z$680,17,FALSE))</f>
        <v>25</v>
      </c>
      <c r="AA34" s="5579" t="str">
        <f>IF(V30=0,"",VLOOKUP(V30,'Tablas Magia'!$D$6:$Z$680,21,FALSE))</f>
        <v>La imagen tiene un tamaño máximo de 50 metros cuadrados</v>
      </c>
      <c r="AB34" s="5580"/>
      <c r="AC34" s="5580"/>
      <c r="AD34" s="5580"/>
      <c r="AE34" s="5580"/>
      <c r="AF34" s="5580"/>
      <c r="AG34" s="5580"/>
      <c r="AH34" s="5580"/>
      <c r="AI34" s="5580"/>
      <c r="AJ34" s="5581"/>
      <c r="AK34" s="1114"/>
      <c r="AL34" s="1108"/>
      <c r="AM34" s="1108"/>
      <c r="AN34" s="2080"/>
      <c r="AO34" s="5577" t="s">
        <v>4571</v>
      </c>
      <c r="AP34" s="5578"/>
      <c r="AQ34" s="1133">
        <f>IF(AO30=0,"",VLOOKUP(AO30,'Tablas Magia'!$D$6:$Z$680,9,FALSE))</f>
        <v>12</v>
      </c>
      <c r="AR34" s="1133">
        <f>IF(AO30=0,"",VLOOKUP(AO30,'Tablas Magia'!$D$6:$Z$680,13,FALSE))</f>
        <v>240</v>
      </c>
      <c r="AS34" s="1134">
        <f>IF(AO30=0,"",VLOOKUP(AO30,'Tablas Magia'!$D$6:$Z$680,17,FALSE))</f>
        <v>25</v>
      </c>
      <c r="AT34" s="5579" t="str">
        <f>IF(AO30=0,"",VLOOKUP(AO30,'Tablas Magia'!$D$6:$Z$680,21,FALSE))</f>
        <v>Daño Base de 160 / Proyección Mágica 210</v>
      </c>
      <c r="AU34" s="5580"/>
      <c r="AV34" s="5580"/>
      <c r="AW34" s="5580"/>
      <c r="AX34" s="5580"/>
      <c r="AY34" s="5580"/>
      <c r="AZ34" s="5580"/>
      <c r="BA34" s="5580"/>
      <c r="BB34" s="5580"/>
      <c r="BC34" s="5581"/>
      <c r="BD34" s="1114"/>
      <c r="BE34" s="1108"/>
      <c r="BF34" s="1108"/>
      <c r="BG34" s="2080"/>
      <c r="BH34" s="5577" t="s">
        <v>4571</v>
      </c>
      <c r="BI34" s="5578"/>
      <c r="BJ34" s="1133">
        <f>IF(BH30=0,"",VLOOKUP(BH30,'Tablas Magia'!$D$6:$Z$680,9,FALSE))</f>
        <v>13</v>
      </c>
      <c r="BK34" s="1133">
        <f>IF(BH30=0,"",VLOOKUP(BH30,'Tablas Magia'!$D$6:$Z$680,13,FALSE))</f>
        <v>260</v>
      </c>
      <c r="BL34" s="1134" t="str">
        <f>IF(BH30=0,"",VLOOKUP(BH30,'Tablas Magia'!$D$6:$Z$680,17,FALSE))</f>
        <v>No</v>
      </c>
      <c r="BM34" s="5579" t="str">
        <f>IF(BH30=0,"",VLOOKUP(BH30,'Tablas Magia'!$D$6:$Z$680,21,FALSE))</f>
        <v>RM 220.</v>
      </c>
      <c r="BN34" s="5580"/>
      <c r="BO34" s="5580"/>
      <c r="BP34" s="5580"/>
      <c r="BQ34" s="5580"/>
      <c r="BR34" s="5580"/>
      <c r="BS34" s="5580"/>
      <c r="BT34" s="5580"/>
      <c r="BU34" s="5580"/>
      <c r="BV34" s="5581"/>
      <c r="BW34" s="1114"/>
      <c r="BX34" s="1108"/>
      <c r="BY34" s="1108"/>
      <c r="BZ34" s="2080"/>
      <c r="CA34" s="5577" t="s">
        <v>4571</v>
      </c>
      <c r="CB34" s="5578"/>
      <c r="CC34" s="1133">
        <f>IF(CA30=0,"",VLOOKUP(CA30,'Tablas Magia'!$D$6:$Z$680,9,FALSE))</f>
        <v>15</v>
      </c>
      <c r="CD34" s="1133">
        <f>IF(CA30=0,"",VLOOKUP(CA30,'Tablas Magia'!$D$6:$Z$680,13,FALSE))</f>
        <v>300</v>
      </c>
      <c r="CE34" s="1134">
        <f>IF(CA30=0,"",VLOOKUP(CA30,'Tablas Magia'!$D$6:$Z$680,17,FALSE))</f>
        <v>30</v>
      </c>
      <c r="CF34" s="5579" t="str">
        <f>IF(CA30=0,"",VLOOKUP(CA30,'Tablas Magia'!$D$6:$Z$680,21,FALSE))</f>
        <v>140 contra choques / Tiene 3.000 puntos de Resistencia</v>
      </c>
      <c r="CG34" s="5580"/>
      <c r="CH34" s="5580"/>
      <c r="CI34" s="5580"/>
      <c r="CJ34" s="5580"/>
      <c r="CK34" s="5580"/>
      <c r="CL34" s="5580"/>
      <c r="CM34" s="5580"/>
      <c r="CN34" s="5580"/>
      <c r="CO34" s="5581"/>
      <c r="CP34" s="1114"/>
      <c r="CQ34" s="1108"/>
    </row>
    <row r="35" spans="1:95" ht="12" customHeight="1" thickBot="1">
      <c r="A35" s="1108"/>
      <c r="B35" s="2066"/>
      <c r="C35" s="5587" t="s">
        <v>4572</v>
      </c>
      <c r="D35" s="5588"/>
      <c r="E35" s="1137">
        <f>IF(C30=0,"",VLOOKUP(C30,'Tablas Magia'!$D$6:$Z$680,10,FALSE))</f>
        <v>14</v>
      </c>
      <c r="F35" s="1137">
        <f>IF(C30=0,"",VLOOKUP(C30,'Tablas Magia'!$D$6:$Z$680,14,FALSE))</f>
        <v>160</v>
      </c>
      <c r="G35" s="1138" t="str">
        <f>IF(C30=0,"",VLOOKUP(C30,'Tablas Magia'!$D$6:$Z$680,18,FALSE))</f>
        <v>No</v>
      </c>
      <c r="H35" s="5589" t="str">
        <f>IF(C30=0,"",VLOOKUP(C30,'Tablas Magia'!$D$6:$Z$680,22,FALSE))</f>
        <v>RM o RP 150 / 100 metros de radio</v>
      </c>
      <c r="I35" s="5590"/>
      <c r="J35" s="5590"/>
      <c r="K35" s="5590"/>
      <c r="L35" s="5590"/>
      <c r="M35" s="5590"/>
      <c r="N35" s="5590"/>
      <c r="O35" s="5590"/>
      <c r="P35" s="5590"/>
      <c r="Q35" s="5591"/>
      <c r="R35" s="1114"/>
      <c r="S35" s="1108"/>
      <c r="T35" s="1108"/>
      <c r="U35" s="2066"/>
      <c r="V35" s="5587" t="s">
        <v>4572</v>
      </c>
      <c r="W35" s="5588"/>
      <c r="X35" s="1137">
        <f>IF(V30=0,"",VLOOKUP(V30,'Tablas Magia'!$D$6:$Z$680,10,FALSE))</f>
        <v>15</v>
      </c>
      <c r="Y35" s="1137">
        <f>IF(V30=0,"",VLOOKUP(V30,'Tablas Magia'!$D$6:$Z$680,14,FALSE))</f>
        <v>350</v>
      </c>
      <c r="Z35" s="1138">
        <f>IF(V30=0,"",VLOOKUP(V30,'Tablas Magia'!$D$6:$Z$680,18,FALSE))</f>
        <v>30</v>
      </c>
      <c r="AA35" s="5589" t="str">
        <f>IF(V30=0,"",VLOOKUP(V30,'Tablas Magia'!$D$6:$Z$680,22,FALSE))</f>
        <v>máximo 100 metros² y dificultad de Advertir (IMP) y Buscar (ABS).</v>
      </c>
      <c r="AB35" s="5590"/>
      <c r="AC35" s="5590"/>
      <c r="AD35" s="5590"/>
      <c r="AE35" s="5590"/>
      <c r="AF35" s="5590"/>
      <c r="AG35" s="5590"/>
      <c r="AH35" s="5590"/>
      <c r="AI35" s="5590"/>
      <c r="AJ35" s="5591"/>
      <c r="AK35" s="1114"/>
      <c r="AL35" s="1108"/>
      <c r="AM35" s="1108"/>
      <c r="AN35" s="2080"/>
      <c r="AO35" s="5587" t="s">
        <v>4572</v>
      </c>
      <c r="AP35" s="5588"/>
      <c r="AQ35" s="1137">
        <f>IF(AO30=0,"",VLOOKUP(AO30,'Tablas Magia'!$D$6:$Z$680,10,FALSE))</f>
        <v>15</v>
      </c>
      <c r="AR35" s="1137">
        <f>IF(AO30=0,"",VLOOKUP(AO30,'Tablas Magia'!$D$6:$Z$680,14,FALSE))</f>
        <v>300</v>
      </c>
      <c r="AS35" s="1138">
        <f>IF(AO30=0,"",VLOOKUP(AO30,'Tablas Magia'!$D$6:$Z$680,18,FALSE))</f>
        <v>30</v>
      </c>
      <c r="AT35" s="5589" t="str">
        <f>IF(AO30=0,"",VLOOKUP(AO30,'Tablas Magia'!$D$6:$Z$680,22,FALSE))</f>
        <v>Daño Base de 200 / Proyección Mágica 240</v>
      </c>
      <c r="AU35" s="5590"/>
      <c r="AV35" s="5590"/>
      <c r="AW35" s="5590"/>
      <c r="AX35" s="5590"/>
      <c r="AY35" s="5590"/>
      <c r="AZ35" s="5590"/>
      <c r="BA35" s="5590"/>
      <c r="BB35" s="5590"/>
      <c r="BC35" s="5591"/>
      <c r="BD35" s="1114"/>
      <c r="BE35" s="1108"/>
      <c r="BF35" s="1108"/>
      <c r="BG35" s="2080"/>
      <c r="BH35" s="5587" t="s">
        <v>4572</v>
      </c>
      <c r="BI35" s="5588"/>
      <c r="BJ35" s="1137">
        <f>IF(BH30=0,"",VLOOKUP(BH30,'Tablas Magia'!$D$6:$Z$680,10,FALSE))</f>
        <v>16</v>
      </c>
      <c r="BK35" s="1137">
        <f>IF(BH30=0,"",VLOOKUP(BH30,'Tablas Magia'!$D$6:$Z$680,14,FALSE))</f>
        <v>320</v>
      </c>
      <c r="BL35" s="1138" t="str">
        <f>IF(BH30=0,"",VLOOKUP(BH30,'Tablas Magia'!$D$6:$Z$680,18,FALSE))</f>
        <v>No</v>
      </c>
      <c r="BM35" s="5589" t="str">
        <f>IF(BH30=0,"",VLOOKUP(BH30,'Tablas Magia'!$D$6:$Z$680,22,FALSE))</f>
        <v>RM 260.</v>
      </c>
      <c r="BN35" s="5590"/>
      <c r="BO35" s="5590"/>
      <c r="BP35" s="5590"/>
      <c r="BQ35" s="5590"/>
      <c r="BR35" s="5590"/>
      <c r="BS35" s="5590"/>
      <c r="BT35" s="5590"/>
      <c r="BU35" s="5590"/>
      <c r="BV35" s="5591"/>
      <c r="BW35" s="1114"/>
      <c r="BX35" s="1108"/>
      <c r="BY35" s="1108"/>
      <c r="BZ35" s="2080"/>
      <c r="CA35" s="5587" t="s">
        <v>4572</v>
      </c>
      <c r="CB35" s="5588"/>
      <c r="CC35" s="1137">
        <f>IF(CA30=0,"",VLOOKUP(CA30,'Tablas Magia'!$D$6:$Z$680,10,FALSE))</f>
        <v>17</v>
      </c>
      <c r="CD35" s="1137">
        <f>IF(CA30=0,"",VLOOKUP(CA30,'Tablas Magia'!$D$6:$Z$680,14,FALSE))</f>
        <v>400</v>
      </c>
      <c r="CE35" s="1138">
        <f>IF(CA30=0,"",VLOOKUP(CA30,'Tablas Magia'!$D$6:$Z$680,18,FALSE))</f>
        <v>40</v>
      </c>
      <c r="CF35" s="5589" t="str">
        <f>IF(CA30=0,"",VLOOKUP(CA30,'Tablas Magia'!$D$6:$Z$680,22,FALSE))</f>
        <v>180 contra choques / Tiene 6.000 puntos de Resistencia</v>
      </c>
      <c r="CG35" s="5590"/>
      <c r="CH35" s="5590"/>
      <c r="CI35" s="5590"/>
      <c r="CJ35" s="5590"/>
      <c r="CK35" s="5590"/>
      <c r="CL35" s="5590"/>
      <c r="CM35" s="5590"/>
      <c r="CN35" s="5590"/>
      <c r="CO35" s="5591"/>
      <c r="CP35" s="1114"/>
      <c r="CQ35" s="1108"/>
    </row>
    <row r="36" spans="1:95" ht="12" customHeight="1">
      <c r="A36" s="1108"/>
      <c r="B36" s="2066"/>
      <c r="C36" s="5592"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93"/>
      <c r="E36" s="5593"/>
      <c r="F36" s="5593"/>
      <c r="G36" s="5593"/>
      <c r="H36" s="5593"/>
      <c r="I36" s="5593"/>
      <c r="J36" s="5593"/>
      <c r="K36" s="5593"/>
      <c r="L36" s="5593"/>
      <c r="M36" s="5593"/>
      <c r="N36" s="5593"/>
      <c r="O36" s="5593"/>
      <c r="P36" s="5593"/>
      <c r="Q36" s="5594"/>
      <c r="R36" s="1114"/>
      <c r="S36" s="1108"/>
      <c r="T36" s="1108"/>
      <c r="U36" s="2066"/>
      <c r="V36" s="5592"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93"/>
      <c r="X36" s="5593"/>
      <c r="Y36" s="5593"/>
      <c r="Z36" s="5593"/>
      <c r="AA36" s="5593"/>
      <c r="AB36" s="5593"/>
      <c r="AC36" s="5593"/>
      <c r="AD36" s="5593"/>
      <c r="AE36" s="5593"/>
      <c r="AF36" s="5593"/>
      <c r="AG36" s="5593"/>
      <c r="AH36" s="5593"/>
      <c r="AI36" s="5593"/>
      <c r="AJ36" s="5594"/>
      <c r="AK36" s="1114"/>
      <c r="AL36" s="1108"/>
      <c r="AM36" s="1108"/>
      <c r="AN36" s="2080"/>
      <c r="AO36" s="5592"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93"/>
      <c r="AQ36" s="5593"/>
      <c r="AR36" s="5593"/>
      <c r="AS36" s="5593"/>
      <c r="AT36" s="5593"/>
      <c r="AU36" s="5593"/>
      <c r="AV36" s="5593"/>
      <c r="AW36" s="5593"/>
      <c r="AX36" s="5593"/>
      <c r="AY36" s="5593"/>
      <c r="AZ36" s="5593"/>
      <c r="BA36" s="5593"/>
      <c r="BB36" s="5593"/>
      <c r="BC36" s="5594"/>
      <c r="BD36" s="1114"/>
      <c r="BE36" s="1108"/>
      <c r="BF36" s="1108"/>
      <c r="BG36" s="2080"/>
      <c r="BH36" s="5592"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93"/>
      <c r="BJ36" s="5593"/>
      <c r="BK36" s="5593"/>
      <c r="BL36" s="5593"/>
      <c r="BM36" s="5593"/>
      <c r="BN36" s="5593"/>
      <c r="BO36" s="5593"/>
      <c r="BP36" s="5593"/>
      <c r="BQ36" s="5593"/>
      <c r="BR36" s="5593"/>
      <c r="BS36" s="5593"/>
      <c r="BT36" s="5593"/>
      <c r="BU36" s="5593"/>
      <c r="BV36" s="5594"/>
      <c r="BW36" s="1114"/>
      <c r="BX36" s="1108"/>
      <c r="BY36" s="1108"/>
      <c r="BZ36" s="2080"/>
      <c r="CA36" s="5592"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93"/>
      <c r="CC36" s="5593"/>
      <c r="CD36" s="5593"/>
      <c r="CE36" s="5593"/>
      <c r="CF36" s="5593"/>
      <c r="CG36" s="5593"/>
      <c r="CH36" s="5593"/>
      <c r="CI36" s="5593"/>
      <c r="CJ36" s="5593"/>
      <c r="CK36" s="5593"/>
      <c r="CL36" s="5593"/>
      <c r="CM36" s="5593"/>
      <c r="CN36" s="5593"/>
      <c r="CO36" s="5594"/>
      <c r="CP36" s="1114"/>
      <c r="CQ36" s="1108"/>
    </row>
    <row r="37" spans="1:95" ht="12" customHeight="1">
      <c r="A37" s="1108"/>
      <c r="B37" s="2066"/>
      <c r="C37" s="5595"/>
      <c r="D37" s="5596"/>
      <c r="E37" s="5596"/>
      <c r="F37" s="5596"/>
      <c r="G37" s="5596"/>
      <c r="H37" s="5596"/>
      <c r="I37" s="5596"/>
      <c r="J37" s="5596"/>
      <c r="K37" s="5596"/>
      <c r="L37" s="5596"/>
      <c r="M37" s="5596"/>
      <c r="N37" s="5596"/>
      <c r="O37" s="5596"/>
      <c r="P37" s="5596"/>
      <c r="Q37" s="5597"/>
      <c r="R37" s="1114"/>
      <c r="S37" s="1108"/>
      <c r="T37" s="1108"/>
      <c r="U37" s="2066"/>
      <c r="V37" s="5595"/>
      <c r="W37" s="5596"/>
      <c r="X37" s="5596"/>
      <c r="Y37" s="5596"/>
      <c r="Z37" s="5596"/>
      <c r="AA37" s="5596"/>
      <c r="AB37" s="5596"/>
      <c r="AC37" s="5596"/>
      <c r="AD37" s="5596"/>
      <c r="AE37" s="5596"/>
      <c r="AF37" s="5596"/>
      <c r="AG37" s="5596"/>
      <c r="AH37" s="5596"/>
      <c r="AI37" s="5596"/>
      <c r="AJ37" s="5597"/>
      <c r="AK37" s="1114"/>
      <c r="AL37" s="1108"/>
      <c r="AM37" s="1108"/>
      <c r="AN37" s="2080"/>
      <c r="AO37" s="5595"/>
      <c r="AP37" s="5596"/>
      <c r="AQ37" s="5596"/>
      <c r="AR37" s="5596"/>
      <c r="AS37" s="5596"/>
      <c r="AT37" s="5596"/>
      <c r="AU37" s="5596"/>
      <c r="AV37" s="5596"/>
      <c r="AW37" s="5596"/>
      <c r="AX37" s="5596"/>
      <c r="AY37" s="5596"/>
      <c r="AZ37" s="5596"/>
      <c r="BA37" s="5596"/>
      <c r="BB37" s="5596"/>
      <c r="BC37" s="5597"/>
      <c r="BD37" s="1114"/>
      <c r="BE37" s="1108"/>
      <c r="BF37" s="1108"/>
      <c r="BG37" s="2080"/>
      <c r="BH37" s="5595"/>
      <c r="BI37" s="5596"/>
      <c r="BJ37" s="5596"/>
      <c r="BK37" s="5596"/>
      <c r="BL37" s="5596"/>
      <c r="BM37" s="5596"/>
      <c r="BN37" s="5596"/>
      <c r="BO37" s="5596"/>
      <c r="BP37" s="5596"/>
      <c r="BQ37" s="5596"/>
      <c r="BR37" s="5596"/>
      <c r="BS37" s="5596"/>
      <c r="BT37" s="5596"/>
      <c r="BU37" s="5596"/>
      <c r="BV37" s="5597"/>
      <c r="BW37" s="1114"/>
      <c r="BX37" s="1108"/>
      <c r="BY37" s="1108"/>
      <c r="BZ37" s="2080"/>
      <c r="CA37" s="5595"/>
      <c r="CB37" s="5596"/>
      <c r="CC37" s="5596"/>
      <c r="CD37" s="5596"/>
      <c r="CE37" s="5596"/>
      <c r="CF37" s="5596"/>
      <c r="CG37" s="5596"/>
      <c r="CH37" s="5596"/>
      <c r="CI37" s="5596"/>
      <c r="CJ37" s="5596"/>
      <c r="CK37" s="5596"/>
      <c r="CL37" s="5596"/>
      <c r="CM37" s="5596"/>
      <c r="CN37" s="5596"/>
      <c r="CO37" s="5597"/>
      <c r="CP37" s="1114"/>
      <c r="CQ37" s="1108"/>
    </row>
    <row r="38" spans="1:95" ht="12" customHeight="1">
      <c r="A38" s="1108"/>
      <c r="B38" s="2066"/>
      <c r="C38" s="5595"/>
      <c r="D38" s="5596"/>
      <c r="E38" s="5596"/>
      <c r="F38" s="5596"/>
      <c r="G38" s="5596"/>
      <c r="H38" s="5596"/>
      <c r="I38" s="5596"/>
      <c r="J38" s="5596"/>
      <c r="K38" s="5596"/>
      <c r="L38" s="5596"/>
      <c r="M38" s="5596"/>
      <c r="N38" s="5596"/>
      <c r="O38" s="5596"/>
      <c r="P38" s="5596"/>
      <c r="Q38" s="5597"/>
      <c r="R38" s="1114"/>
      <c r="S38" s="1108"/>
      <c r="T38" s="1108"/>
      <c r="U38" s="2066"/>
      <c r="V38" s="5595"/>
      <c r="W38" s="5596"/>
      <c r="X38" s="5596"/>
      <c r="Y38" s="5596"/>
      <c r="Z38" s="5596"/>
      <c r="AA38" s="5596"/>
      <c r="AB38" s="5596"/>
      <c r="AC38" s="5596"/>
      <c r="AD38" s="5596"/>
      <c r="AE38" s="5596"/>
      <c r="AF38" s="5596"/>
      <c r="AG38" s="5596"/>
      <c r="AH38" s="5596"/>
      <c r="AI38" s="5596"/>
      <c r="AJ38" s="5597"/>
      <c r="AK38" s="1114"/>
      <c r="AL38" s="1108"/>
      <c r="AM38" s="1108"/>
      <c r="AN38" s="2080"/>
      <c r="AO38" s="5595"/>
      <c r="AP38" s="5596"/>
      <c r="AQ38" s="5596"/>
      <c r="AR38" s="5596"/>
      <c r="AS38" s="5596"/>
      <c r="AT38" s="5596"/>
      <c r="AU38" s="5596"/>
      <c r="AV38" s="5596"/>
      <c r="AW38" s="5596"/>
      <c r="AX38" s="5596"/>
      <c r="AY38" s="5596"/>
      <c r="AZ38" s="5596"/>
      <c r="BA38" s="5596"/>
      <c r="BB38" s="5596"/>
      <c r="BC38" s="5597"/>
      <c r="BD38" s="1114"/>
      <c r="BE38" s="1108"/>
      <c r="BF38" s="1108"/>
      <c r="BG38" s="2080"/>
      <c r="BH38" s="5595"/>
      <c r="BI38" s="5596"/>
      <c r="BJ38" s="5596"/>
      <c r="BK38" s="5596"/>
      <c r="BL38" s="5596"/>
      <c r="BM38" s="5596"/>
      <c r="BN38" s="5596"/>
      <c r="BO38" s="5596"/>
      <c r="BP38" s="5596"/>
      <c r="BQ38" s="5596"/>
      <c r="BR38" s="5596"/>
      <c r="BS38" s="5596"/>
      <c r="BT38" s="5596"/>
      <c r="BU38" s="5596"/>
      <c r="BV38" s="5597"/>
      <c r="BW38" s="1114"/>
      <c r="BX38" s="1108"/>
      <c r="BY38" s="1108"/>
      <c r="BZ38" s="2080"/>
      <c r="CA38" s="5595"/>
      <c r="CB38" s="5596"/>
      <c r="CC38" s="5596"/>
      <c r="CD38" s="5596"/>
      <c r="CE38" s="5596"/>
      <c r="CF38" s="5596"/>
      <c r="CG38" s="5596"/>
      <c r="CH38" s="5596"/>
      <c r="CI38" s="5596"/>
      <c r="CJ38" s="5596"/>
      <c r="CK38" s="5596"/>
      <c r="CL38" s="5596"/>
      <c r="CM38" s="5596"/>
      <c r="CN38" s="5596"/>
      <c r="CO38" s="5597"/>
      <c r="CP38" s="1114"/>
      <c r="CQ38" s="1108"/>
    </row>
    <row r="39" spans="1:95" ht="12" customHeight="1" thickBot="1">
      <c r="A39" s="1108"/>
      <c r="B39" s="2066"/>
      <c r="C39" s="5598"/>
      <c r="D39" s="5599"/>
      <c r="E39" s="5599"/>
      <c r="F39" s="5599"/>
      <c r="G39" s="5599"/>
      <c r="H39" s="5599"/>
      <c r="I39" s="5599"/>
      <c r="J39" s="5599"/>
      <c r="K39" s="5599"/>
      <c r="L39" s="5599"/>
      <c r="M39" s="5599"/>
      <c r="N39" s="5599"/>
      <c r="O39" s="5599"/>
      <c r="P39" s="5599"/>
      <c r="Q39" s="5600"/>
      <c r="R39" s="1114"/>
      <c r="S39" s="1108"/>
      <c r="T39" s="1108"/>
      <c r="U39" s="2066"/>
      <c r="V39" s="5598"/>
      <c r="W39" s="5599"/>
      <c r="X39" s="5599"/>
      <c r="Y39" s="5599"/>
      <c r="Z39" s="5599"/>
      <c r="AA39" s="5599"/>
      <c r="AB39" s="5599"/>
      <c r="AC39" s="5599"/>
      <c r="AD39" s="5599"/>
      <c r="AE39" s="5599"/>
      <c r="AF39" s="5599"/>
      <c r="AG39" s="5599"/>
      <c r="AH39" s="5599"/>
      <c r="AI39" s="5599"/>
      <c r="AJ39" s="5600"/>
      <c r="AK39" s="1114"/>
      <c r="AL39" s="1108"/>
      <c r="AM39" s="1108"/>
      <c r="AN39" s="2080"/>
      <c r="AO39" s="5598"/>
      <c r="AP39" s="5599"/>
      <c r="AQ39" s="5599"/>
      <c r="AR39" s="5599"/>
      <c r="AS39" s="5599"/>
      <c r="AT39" s="5599"/>
      <c r="AU39" s="5599"/>
      <c r="AV39" s="5599"/>
      <c r="AW39" s="5599"/>
      <c r="AX39" s="5599"/>
      <c r="AY39" s="5599"/>
      <c r="AZ39" s="5599"/>
      <c r="BA39" s="5599"/>
      <c r="BB39" s="5599"/>
      <c r="BC39" s="5600"/>
      <c r="BD39" s="1114"/>
      <c r="BE39" s="1108"/>
      <c r="BF39" s="1108"/>
      <c r="BG39" s="2080"/>
      <c r="BH39" s="5598"/>
      <c r="BI39" s="5599"/>
      <c r="BJ39" s="5599"/>
      <c r="BK39" s="5599"/>
      <c r="BL39" s="5599"/>
      <c r="BM39" s="5599"/>
      <c r="BN39" s="5599"/>
      <c r="BO39" s="5599"/>
      <c r="BP39" s="5599"/>
      <c r="BQ39" s="5599"/>
      <c r="BR39" s="5599"/>
      <c r="BS39" s="5599"/>
      <c r="BT39" s="5599"/>
      <c r="BU39" s="5599"/>
      <c r="BV39" s="5600"/>
      <c r="BW39" s="1114"/>
      <c r="BX39" s="1108"/>
      <c r="BY39" s="1108"/>
      <c r="BZ39" s="2080"/>
      <c r="CA39" s="5598"/>
      <c r="CB39" s="5599"/>
      <c r="CC39" s="5599"/>
      <c r="CD39" s="5599"/>
      <c r="CE39" s="5599"/>
      <c r="CF39" s="5599"/>
      <c r="CG39" s="5599"/>
      <c r="CH39" s="5599"/>
      <c r="CI39" s="5599"/>
      <c r="CJ39" s="5599"/>
      <c r="CK39" s="5599"/>
      <c r="CL39" s="5599"/>
      <c r="CM39" s="5599"/>
      <c r="CN39" s="5599"/>
      <c r="CO39" s="5600"/>
      <c r="CP39" s="1114"/>
      <c r="CQ39" s="1108"/>
    </row>
    <row r="40" spans="1:95" ht="12" customHeight="1" thickBot="1">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6">
        <f>B30+2</f>
        <v>8</v>
      </c>
      <c r="C41" s="560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02"/>
      <c r="E41" s="5602"/>
      <c r="F41" s="5602"/>
      <c r="G41" s="5602"/>
      <c r="H41" s="1128" t="s">
        <v>1627</v>
      </c>
      <c r="I41" s="1129">
        <f>B41</f>
        <v>8</v>
      </c>
      <c r="J41" s="5567" t="s">
        <v>7685</v>
      </c>
      <c r="K41" s="5567"/>
      <c r="L41" s="5567"/>
      <c r="M41" s="5568" t="str">
        <f>IF(C41=0,"",VLOOKUP(C41,'Tablas Magia'!$D$6:$Z$680,2,FALSE))</f>
        <v>Luz</v>
      </c>
      <c r="N41" s="5568"/>
      <c r="O41" s="5568"/>
      <c r="P41" s="5568"/>
      <c r="Q41" s="5569"/>
      <c r="R41" s="1114"/>
      <c r="S41" s="1108"/>
      <c r="T41" s="1108"/>
      <c r="U41" s="2066">
        <f>U30+2</f>
        <v>28</v>
      </c>
      <c r="V41" s="560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02"/>
      <c r="X41" s="5602"/>
      <c r="Y41" s="5602"/>
      <c r="Z41" s="5602"/>
      <c r="AA41" s="1128" t="s">
        <v>1627</v>
      </c>
      <c r="AB41" s="1129">
        <f>U41</f>
        <v>28</v>
      </c>
      <c r="AC41" s="5567" t="s">
        <v>7685</v>
      </c>
      <c r="AD41" s="5567"/>
      <c r="AE41" s="5567"/>
      <c r="AF41" s="5568" t="str">
        <f>IF(V41=0,"",VLOOKUP(V41,'Tablas Magia'!$D$6:$Z$680,2,FALSE))</f>
        <v>Luz</v>
      </c>
      <c r="AG41" s="5568"/>
      <c r="AH41" s="5568"/>
      <c r="AI41" s="5568"/>
      <c r="AJ41" s="5569"/>
      <c r="AK41" s="1114"/>
      <c r="AL41" s="1108"/>
      <c r="AM41" s="1108"/>
      <c r="AN41" s="2080">
        <f>AN30+2</f>
        <v>48</v>
      </c>
      <c r="AO41" s="560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02"/>
      <c r="AQ41" s="5602"/>
      <c r="AR41" s="5602"/>
      <c r="AS41" s="5602"/>
      <c r="AT41" s="1128" t="s">
        <v>1627</v>
      </c>
      <c r="AU41" s="1129">
        <f>AN41</f>
        <v>48</v>
      </c>
      <c r="AV41" s="5567" t="s">
        <v>7685</v>
      </c>
      <c r="AW41" s="5567"/>
      <c r="AX41" s="5567"/>
      <c r="AY41" s="5568" t="str">
        <f>IF(AO41=0,"",VLOOKUP(AO41,'Tablas Magia'!$D$6:$Z$680,2,FALSE))</f>
        <v>Luz</v>
      </c>
      <c r="AZ41" s="5568"/>
      <c r="BA41" s="5568"/>
      <c r="BB41" s="5568"/>
      <c r="BC41" s="5569"/>
      <c r="BD41" s="1114"/>
      <c r="BE41" s="1108"/>
      <c r="BF41" s="1108"/>
      <c r="BG41" s="2080">
        <f>BG30+2</f>
        <v>68</v>
      </c>
      <c r="BH41" s="560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02"/>
      <c r="BJ41" s="5602"/>
      <c r="BK41" s="5602"/>
      <c r="BL41" s="5602"/>
      <c r="BM41" s="1128" t="s">
        <v>1627</v>
      </c>
      <c r="BN41" s="1129">
        <f>BG41</f>
        <v>68</v>
      </c>
      <c r="BO41" s="5567" t="s">
        <v>7685</v>
      </c>
      <c r="BP41" s="5567"/>
      <c r="BQ41" s="5567"/>
      <c r="BR41" s="5568" t="str">
        <f>IF(BH41=0,"",VLOOKUP(BH41,'Tablas Magia'!$D$6:$Z$680,2,FALSE))</f>
        <v>Luz</v>
      </c>
      <c r="BS41" s="5568"/>
      <c r="BT41" s="5568"/>
      <c r="BU41" s="5568"/>
      <c r="BV41" s="5569"/>
      <c r="BW41" s="1114"/>
      <c r="BX41" s="1108"/>
      <c r="BY41" s="1108"/>
      <c r="BZ41" s="2080">
        <f>BZ30+2</f>
        <v>88</v>
      </c>
      <c r="CA41" s="560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02"/>
      <c r="CC41" s="5602"/>
      <c r="CD41" s="5602"/>
      <c r="CE41" s="5602"/>
      <c r="CF41" s="1128" t="s">
        <v>1627</v>
      </c>
      <c r="CG41" s="1129">
        <f>BZ41</f>
        <v>88</v>
      </c>
      <c r="CH41" s="5567" t="s">
        <v>7685</v>
      </c>
      <c r="CI41" s="5567"/>
      <c r="CJ41" s="5567"/>
      <c r="CK41" s="5568" t="str">
        <f>IF(CA41=0,"",VLOOKUP(CA41,'Tablas Magia'!$D$6:$Z$680,2,FALSE))</f>
        <v>Luz</v>
      </c>
      <c r="CL41" s="5568"/>
      <c r="CM41" s="5568"/>
      <c r="CN41" s="5568"/>
      <c r="CO41" s="5569"/>
      <c r="CP41" s="1114"/>
      <c r="CQ41" s="1108"/>
    </row>
    <row r="42" spans="1:95" ht="12" customHeight="1">
      <c r="A42" s="1108"/>
      <c r="B42" s="2066"/>
      <c r="C42" s="5585" t="s">
        <v>7686</v>
      </c>
      <c r="D42" s="5586"/>
      <c r="E42" s="1130" t="s">
        <v>7687</v>
      </c>
      <c r="F42" s="1130" t="s">
        <v>1820</v>
      </c>
      <c r="G42" s="1130" t="s">
        <v>3332</v>
      </c>
      <c r="H42" s="1131" t="s">
        <v>2165</v>
      </c>
      <c r="I42" s="5582" t="str">
        <f>IF(C41=0,"",VLOOKUP(C41,'Tablas Magia'!$D$6:$Z$680,5,FALSE))</f>
        <v>Auto</v>
      </c>
      <c r="J42" s="5582"/>
      <c r="K42" s="5583" t="s">
        <v>7688</v>
      </c>
      <c r="L42" s="5583"/>
      <c r="M42" s="5582" t="str">
        <f>IF(C41=0,"",VLOOKUP(C41,'Tablas Magia'!$D$6:$Z$680,6,FALSE))</f>
        <v>Activa</v>
      </c>
      <c r="N42" s="5582"/>
      <c r="O42" s="5584" t="s">
        <v>7689</v>
      </c>
      <c r="P42" s="5584"/>
      <c r="Q42" s="1132" t="str">
        <f>IF(C41=0,"",VLOOKUP(C41,'Tablas Magia'!$D$6:$Z$680,4,FALSE))</f>
        <v>No</v>
      </c>
      <c r="R42" s="1114"/>
      <c r="S42" s="1108"/>
      <c r="T42" s="1108"/>
      <c r="U42" s="2066"/>
      <c r="V42" s="5585" t="s">
        <v>7686</v>
      </c>
      <c r="W42" s="5586"/>
      <c r="X42" s="1130" t="s">
        <v>7687</v>
      </c>
      <c r="Y42" s="1130" t="s">
        <v>1820</v>
      </c>
      <c r="Z42" s="1130" t="s">
        <v>3332</v>
      </c>
      <c r="AA42" s="1131" t="s">
        <v>2165</v>
      </c>
      <c r="AB42" s="5582" t="str">
        <f>IF(V41=0,"",VLOOKUP(V41,'Tablas Magia'!$D$6:$Z$680,5,FALSE))</f>
        <v>Ataque</v>
      </c>
      <c r="AC42" s="5582"/>
      <c r="AD42" s="5583" t="s">
        <v>7688</v>
      </c>
      <c r="AE42" s="5583"/>
      <c r="AF42" s="5582" t="str">
        <f>IF(V41=0,"",VLOOKUP(V41,'Tablas Magia'!$D$6:$Z$680,6,FALSE))</f>
        <v>Activa</v>
      </c>
      <c r="AG42" s="5582"/>
      <c r="AH42" s="5584" t="s">
        <v>7689</v>
      </c>
      <c r="AI42" s="5584"/>
      <c r="AJ42" s="1132" t="str">
        <f>IF(V41=0,"",VLOOKUP(V41,'Tablas Magia'!$D$6:$Z$680,4,FALSE))</f>
        <v>No</v>
      </c>
      <c r="AK42" s="1114"/>
      <c r="AL42" s="1108"/>
      <c r="AM42" s="1108"/>
      <c r="AN42" s="2080"/>
      <c r="AO42" s="5585" t="s">
        <v>7686</v>
      </c>
      <c r="AP42" s="5586"/>
      <c r="AQ42" s="1130" t="s">
        <v>7687</v>
      </c>
      <c r="AR42" s="1130" t="s">
        <v>1820</v>
      </c>
      <c r="AS42" s="1130" t="s">
        <v>3332</v>
      </c>
      <c r="AT42" s="1131" t="s">
        <v>2165</v>
      </c>
      <c r="AU42" s="5582" t="str">
        <f>IF(AO41=0,"",VLOOKUP(AO41,'Tablas Magia'!$D$6:$Z$680,5,FALSE))</f>
        <v>Detección</v>
      </c>
      <c r="AV42" s="5582"/>
      <c r="AW42" s="5583" t="s">
        <v>7688</v>
      </c>
      <c r="AX42" s="5583"/>
      <c r="AY42" s="5582" t="str">
        <f>IF(AO41=0,"",VLOOKUP(AO41,'Tablas Magia'!$D$6:$Z$680,6,FALSE))</f>
        <v>Activa</v>
      </c>
      <c r="AZ42" s="5582"/>
      <c r="BA42" s="5584" t="s">
        <v>7689</v>
      </c>
      <c r="BB42" s="5584"/>
      <c r="BC42" s="1132" t="str">
        <f>IF(AO41=0,"",VLOOKUP(AO41,'Tablas Magia'!$D$6:$Z$680,4,FALSE))</f>
        <v>Si</v>
      </c>
      <c r="BD42" s="1114"/>
      <c r="BE42" s="1108"/>
      <c r="BF42" s="1108"/>
      <c r="BG42" s="2080"/>
      <c r="BH42" s="5585" t="s">
        <v>7686</v>
      </c>
      <c r="BI42" s="5586"/>
      <c r="BJ42" s="1130" t="s">
        <v>7687</v>
      </c>
      <c r="BK42" s="1130" t="s">
        <v>1820</v>
      </c>
      <c r="BL42" s="1130" t="s">
        <v>3332</v>
      </c>
      <c r="BM42" s="1131" t="s">
        <v>2165</v>
      </c>
      <c r="BN42" s="5582" t="str">
        <f>IF(BH41=0,"",VLOOKUP(BH41,'Tablas Magia'!$D$6:$Z$680,5,FALSE))</f>
        <v>Efecto</v>
      </c>
      <c r="BO42" s="5582"/>
      <c r="BP42" s="5583" t="s">
        <v>7688</v>
      </c>
      <c r="BQ42" s="5583"/>
      <c r="BR42" s="5582" t="str">
        <f>IF(BH41=0,"",VLOOKUP(BH41,'Tablas Magia'!$D$6:$Z$680,6,FALSE))</f>
        <v>Activa</v>
      </c>
      <c r="BS42" s="5582"/>
      <c r="BT42" s="5584" t="s">
        <v>7689</v>
      </c>
      <c r="BU42" s="5584"/>
      <c r="BV42" s="1132" t="str">
        <f>IF(BH41=0,"",VLOOKUP(BH41,'Tablas Magia'!$D$6:$Z$680,4,FALSE))</f>
        <v>No</v>
      </c>
      <c r="BW42" s="1114"/>
      <c r="BX42" s="1108"/>
      <c r="BY42" s="1108"/>
      <c r="BZ42" s="2080"/>
      <c r="CA42" s="5585" t="s">
        <v>7686</v>
      </c>
      <c r="CB42" s="5586"/>
      <c r="CC42" s="1130" t="s">
        <v>7687</v>
      </c>
      <c r="CD42" s="1130" t="s">
        <v>1820</v>
      </c>
      <c r="CE42" s="1130" t="s">
        <v>3332</v>
      </c>
      <c r="CF42" s="1131" t="s">
        <v>2165</v>
      </c>
      <c r="CG42" s="5582" t="str">
        <f>IF(CA41=0,"",VLOOKUP(CA41,'Tablas Magia'!$D$6:$Z$680,5,FALSE))</f>
        <v>Efecto</v>
      </c>
      <c r="CH42" s="5582"/>
      <c r="CI42" s="5583" t="s">
        <v>7688</v>
      </c>
      <c r="CJ42" s="5583"/>
      <c r="CK42" s="5582" t="str">
        <f>IF(CA41=0,"",VLOOKUP(CA41,'Tablas Magia'!$D$6:$Z$680,6,FALSE))</f>
        <v>Activa</v>
      </c>
      <c r="CL42" s="5582"/>
      <c r="CM42" s="5584" t="s">
        <v>7689</v>
      </c>
      <c r="CN42" s="5584"/>
      <c r="CO42" s="1132" t="str">
        <f>IF(CA41=0,"",VLOOKUP(CA41,'Tablas Magia'!$D$6:$Z$680,4,FALSE))</f>
        <v>No</v>
      </c>
      <c r="CP42" s="1114"/>
      <c r="CQ42" s="1108"/>
    </row>
    <row r="43" spans="1:95" ht="12" customHeight="1">
      <c r="A43" s="1108"/>
      <c r="B43" s="2066"/>
      <c r="C43" s="5577" t="s">
        <v>1674</v>
      </c>
      <c r="D43" s="5578"/>
      <c r="E43" s="1133">
        <f>IF(C41=0,"",VLOOKUP(C41,'Tablas Magia'!$D$6:$Z$680,7,FALSE))</f>
        <v>6</v>
      </c>
      <c r="F43" s="1133">
        <f>IF(C41=0,"",VLOOKUP(C41,'Tablas Magia'!$D$6:$Z$680,11,FALSE))</f>
        <v>50</v>
      </c>
      <c r="G43" s="1134" t="str">
        <f>IF(C41=0,"",VLOOKUP(C41,'Tablas Magia'!$D$6:$Z$680,15,FALSE))</f>
        <v>No</v>
      </c>
      <c r="H43" s="5579" t="str">
        <f>IF(C41=0,"",VLOOKUP(C41,'Tablas Magia'!$D$6:$Z$680,19,FALSE))</f>
        <v>10 metros de radio / 140 RF</v>
      </c>
      <c r="I43" s="5580"/>
      <c r="J43" s="5580"/>
      <c r="K43" s="5580"/>
      <c r="L43" s="5580"/>
      <c r="M43" s="5580"/>
      <c r="N43" s="5580"/>
      <c r="O43" s="5580"/>
      <c r="P43" s="5580"/>
      <c r="Q43" s="5581"/>
      <c r="R43" s="1114"/>
      <c r="S43" s="1108"/>
      <c r="T43" s="1108"/>
      <c r="U43" s="2066"/>
      <c r="V43" s="5577" t="s">
        <v>1674</v>
      </c>
      <c r="W43" s="5578"/>
      <c r="X43" s="1133">
        <f>IF(V41=0,"",VLOOKUP(V41,'Tablas Magia'!$D$6:$Z$680,7,FALSE))</f>
        <v>6</v>
      </c>
      <c r="Y43" s="1133">
        <f>IF(V41=0,"",VLOOKUP(V41,'Tablas Magia'!$D$6:$Z$680,11,FALSE))</f>
        <v>60</v>
      </c>
      <c r="Z43" s="1134">
        <f>IF(V41=0,"",VLOOKUP(V41,'Tablas Magia'!$D$6:$Z$680,15,FALSE))</f>
        <v>10</v>
      </c>
      <c r="AA43" s="5579" t="str">
        <f>IF(V41=0,"",VLOOKUP(V41,'Tablas Magia'!$D$6:$Z$680,19,FALSE))</f>
        <v>Disponen de una Fuerza base 8 para los controles</v>
      </c>
      <c r="AB43" s="5580"/>
      <c r="AC43" s="5580"/>
      <c r="AD43" s="5580"/>
      <c r="AE43" s="5580"/>
      <c r="AF43" s="5580"/>
      <c r="AG43" s="5580"/>
      <c r="AH43" s="5580"/>
      <c r="AI43" s="5580"/>
      <c r="AJ43" s="5581"/>
      <c r="AK43" s="1114"/>
      <c r="AL43" s="1108"/>
      <c r="AM43" s="1108"/>
      <c r="AN43" s="2080"/>
      <c r="AO43" s="5577" t="s">
        <v>1674</v>
      </c>
      <c r="AP43" s="5578"/>
      <c r="AQ43" s="1133">
        <f>IF(AO41=0,"",VLOOKUP(AO41,'Tablas Magia'!$D$6:$Z$680,7,FALSE))</f>
        <v>7</v>
      </c>
      <c r="AR43" s="1133">
        <f>IF(AO41=0,"",VLOOKUP(AO41,'Tablas Magia'!$D$6:$Z$680,11,FALSE))</f>
        <v>140</v>
      </c>
      <c r="AS43" s="1134">
        <f>IF(AO41=0,"",VLOOKUP(AO41,'Tablas Magia'!$D$6:$Z$680,15,FALSE))</f>
        <v>10</v>
      </c>
      <c r="AT43" s="5579" t="str">
        <f>IF(AO41=0,"",VLOOKUP(AO41,'Tablas Magia'!$D$6:$Z$680,19,FALSE))</f>
        <v>RM 180 / 20 metros de radio</v>
      </c>
      <c r="AU43" s="5580"/>
      <c r="AV43" s="5580"/>
      <c r="AW43" s="5580"/>
      <c r="AX43" s="5580"/>
      <c r="AY43" s="5580"/>
      <c r="AZ43" s="5580"/>
      <c r="BA43" s="5580"/>
      <c r="BB43" s="5580"/>
      <c r="BC43" s="5581"/>
      <c r="BD43" s="1114"/>
      <c r="BE43" s="1108"/>
      <c r="BF43" s="1108"/>
      <c r="BG43" s="2080"/>
      <c r="BH43" s="5577" t="s">
        <v>1674</v>
      </c>
      <c r="BI43" s="5578"/>
      <c r="BJ43" s="1133">
        <f>IF(BH41=0,"",VLOOKUP(BH41,'Tablas Magia'!$D$6:$Z$680,7,FALSE))</f>
        <v>8</v>
      </c>
      <c r="BK43" s="1133">
        <f>IF(BH41=0,"",VLOOKUP(BH41,'Tablas Magia'!$D$6:$Z$680,11,FALSE))</f>
        <v>150</v>
      </c>
      <c r="BL43" s="1134" t="str">
        <f>IF(BH41=0,"",VLOOKUP(BH41,'Tablas Magia'!$D$6:$Z$680,15,FALSE))</f>
        <v>No</v>
      </c>
      <c r="BM43" s="5579" t="str">
        <f>IF(BH41=0,"",VLOOKUP(BH41,'Tablas Magia'!$D$6:$Z$680,19,FALSE))</f>
        <v>Elimina un -40 a toda acción y restituye 2 puntos de Cansancio</v>
      </c>
      <c r="BN43" s="5580"/>
      <c r="BO43" s="5580"/>
      <c r="BP43" s="5580"/>
      <c r="BQ43" s="5580"/>
      <c r="BR43" s="5580"/>
      <c r="BS43" s="5580"/>
      <c r="BT43" s="5580"/>
      <c r="BU43" s="5580"/>
      <c r="BV43" s="5581"/>
      <c r="BW43" s="1114"/>
      <c r="BX43" s="1108"/>
      <c r="BY43" s="1108"/>
      <c r="BZ43" s="2080"/>
      <c r="CA43" s="5577" t="s">
        <v>1674</v>
      </c>
      <c r="CB43" s="5578"/>
      <c r="CC43" s="1133">
        <f>IF(CA41=0,"",VLOOKUP(CA41,'Tablas Magia'!$D$6:$Z$680,7,FALSE))</f>
        <v>10</v>
      </c>
      <c r="CD43" s="1133">
        <f>IF(CA41=0,"",VLOOKUP(CA41,'Tablas Magia'!$D$6:$Z$680,11,FALSE))</f>
        <v>200</v>
      </c>
      <c r="CE43" s="1134">
        <f>IF(CA41=0,"",VLOOKUP(CA41,'Tablas Magia'!$D$6:$Z$680,15,FALSE))</f>
        <v>40</v>
      </c>
      <c r="CF43" s="5579" t="str">
        <f>IF(CA41=0,"",VLOOKUP(CA41,'Tablas Magia'!$D$6:$Z$680,19,FALSE))</f>
        <v>500 metros de radio / presencia máxima 60.</v>
      </c>
      <c r="CG43" s="5580"/>
      <c r="CH43" s="5580"/>
      <c r="CI43" s="5580"/>
      <c r="CJ43" s="5580"/>
      <c r="CK43" s="5580"/>
      <c r="CL43" s="5580"/>
      <c r="CM43" s="5580"/>
      <c r="CN43" s="5580"/>
      <c r="CO43" s="5581"/>
      <c r="CP43" s="1114"/>
      <c r="CQ43" s="1108"/>
    </row>
    <row r="44" spans="1:95" ht="12" customHeight="1">
      <c r="A44" s="1108"/>
      <c r="B44" s="2066"/>
      <c r="C44" s="5572" t="s">
        <v>4570</v>
      </c>
      <c r="D44" s="5573"/>
      <c r="E44" s="1135">
        <f>IF(C41=0,"",VLOOKUP(C41,'Tablas Magia'!$D$6:$Z$680,8,FALSE))</f>
        <v>9</v>
      </c>
      <c r="F44" s="1135">
        <f>IF(C41=0,"",VLOOKUP(C41,'Tablas Magia'!$D$6:$Z$680,12,FALSE))</f>
        <v>100</v>
      </c>
      <c r="G44" s="1136" t="str">
        <f>IF(C41=0,"",VLOOKUP(C41,'Tablas Magia'!$D$6:$Z$680,16,FALSE))</f>
        <v>No</v>
      </c>
      <c r="H44" s="5574" t="str">
        <f>IF(C41=0,"",VLOOKUP(C41,'Tablas Magia'!$D$6:$Z$680,20,FALSE))</f>
        <v>25 metros de radio / 140 RF.</v>
      </c>
      <c r="I44" s="5575"/>
      <c r="J44" s="5575"/>
      <c r="K44" s="5575"/>
      <c r="L44" s="5575"/>
      <c r="M44" s="5575"/>
      <c r="N44" s="5575"/>
      <c r="O44" s="5575"/>
      <c r="P44" s="5575"/>
      <c r="Q44" s="5576"/>
      <c r="R44" s="1114"/>
      <c r="S44" s="1108"/>
      <c r="T44" s="1108"/>
      <c r="U44" s="2066"/>
      <c r="V44" s="5572" t="s">
        <v>4570</v>
      </c>
      <c r="W44" s="5573"/>
      <c r="X44" s="1135">
        <f>IF(V41=0,"",VLOOKUP(V41,'Tablas Magia'!$D$6:$Z$680,8,FALSE))</f>
        <v>9</v>
      </c>
      <c r="Y44" s="1135">
        <f>IF(V41=0,"",VLOOKUP(V41,'Tablas Magia'!$D$6:$Z$680,12,FALSE))</f>
        <v>100</v>
      </c>
      <c r="Z44" s="1136">
        <f>IF(V41=0,"",VLOOKUP(V41,'Tablas Magia'!$D$6:$Z$680,16,FALSE))</f>
        <v>10</v>
      </c>
      <c r="AA44" s="5574" t="str">
        <f>IF(V41=0,"",VLOOKUP(V41,'Tablas Magia'!$D$6:$Z$680,20,FALSE))</f>
        <v>Disponen de una Fuerza base 12 para los controles</v>
      </c>
      <c r="AB44" s="5575"/>
      <c r="AC44" s="5575"/>
      <c r="AD44" s="5575"/>
      <c r="AE44" s="5575"/>
      <c r="AF44" s="5575"/>
      <c r="AG44" s="5575"/>
      <c r="AH44" s="5575"/>
      <c r="AI44" s="5575"/>
      <c r="AJ44" s="5576"/>
      <c r="AK44" s="1114"/>
      <c r="AL44" s="1108"/>
      <c r="AM44" s="1108"/>
      <c r="AN44" s="2080"/>
      <c r="AO44" s="5572" t="s">
        <v>4570</v>
      </c>
      <c r="AP44" s="5573"/>
      <c r="AQ44" s="1135">
        <f>IF(AO41=0,"",VLOOKUP(AO41,'Tablas Magia'!$D$6:$Z$680,8,FALSE))</f>
        <v>10</v>
      </c>
      <c r="AR44" s="1135">
        <f>IF(AO41=0,"",VLOOKUP(AO41,'Tablas Magia'!$D$6:$Z$680,12,FALSE))</f>
        <v>200</v>
      </c>
      <c r="AS44" s="1136">
        <f>IF(AO41=0,"",VLOOKUP(AO41,'Tablas Magia'!$D$6:$Z$680,16,FALSE))</f>
        <v>10</v>
      </c>
      <c r="AT44" s="5574" t="str">
        <f>IF(AO41=0,"",VLOOKUP(AO41,'Tablas Magia'!$D$6:$Z$680,20,FALSE))</f>
        <v>RM 240 / 80 metros de radio</v>
      </c>
      <c r="AU44" s="5575"/>
      <c r="AV44" s="5575"/>
      <c r="AW44" s="5575"/>
      <c r="AX44" s="5575"/>
      <c r="AY44" s="5575"/>
      <c r="AZ44" s="5575"/>
      <c r="BA44" s="5575"/>
      <c r="BB44" s="5575"/>
      <c r="BC44" s="5576"/>
      <c r="BD44" s="1114"/>
      <c r="BE44" s="1108"/>
      <c r="BF44" s="1108"/>
      <c r="BG44" s="2080"/>
      <c r="BH44" s="5572" t="s">
        <v>4570</v>
      </c>
      <c r="BI44" s="5573"/>
      <c r="BJ44" s="1135">
        <f>IF(BH41=0,"",VLOOKUP(BH41,'Tablas Magia'!$D$6:$Z$680,8,FALSE))</f>
        <v>10</v>
      </c>
      <c r="BK44" s="1135">
        <f>IF(BH41=0,"",VLOOKUP(BH41,'Tablas Magia'!$D$6:$Z$680,12,FALSE))</f>
        <v>200</v>
      </c>
      <c r="BL44" s="1136" t="str">
        <f>IF(BH41=0,"",VLOOKUP(BH41,'Tablas Magia'!$D$6:$Z$680,16,FALSE))</f>
        <v>No</v>
      </c>
      <c r="BM44" s="5574" t="str">
        <f>IF(BH41=0,"",VLOOKUP(BH41,'Tablas Magia'!$D$6:$Z$680,20,FALSE))</f>
        <v>Elimina un -80 a toda acción y restituye 5 puntos de Cansancio</v>
      </c>
      <c r="BN44" s="5575"/>
      <c r="BO44" s="5575"/>
      <c r="BP44" s="5575"/>
      <c r="BQ44" s="5575"/>
      <c r="BR44" s="5575"/>
      <c r="BS44" s="5575"/>
      <c r="BT44" s="5575"/>
      <c r="BU44" s="5575"/>
      <c r="BV44" s="5576"/>
      <c r="BW44" s="1114"/>
      <c r="BX44" s="1108"/>
      <c r="BY44" s="1108"/>
      <c r="BZ44" s="2080"/>
      <c r="CA44" s="5572" t="s">
        <v>4570</v>
      </c>
      <c r="CB44" s="5573"/>
      <c r="CC44" s="1135">
        <f>IF(CA41=0,"",VLOOKUP(CA41,'Tablas Magia'!$D$6:$Z$680,8,FALSE))</f>
        <v>12</v>
      </c>
      <c r="CD44" s="1135">
        <f>IF(CA41=0,"",VLOOKUP(CA41,'Tablas Magia'!$D$6:$Z$680,12,FALSE))</f>
        <v>250</v>
      </c>
      <c r="CE44" s="1136">
        <f>IF(CA41=0,"",VLOOKUP(CA41,'Tablas Magia'!$D$6:$Z$680,16,FALSE))</f>
        <v>50</v>
      </c>
      <c r="CF44" s="5574" t="str">
        <f>IF(CA41=0,"",VLOOKUP(CA41,'Tablas Magia'!$D$6:$Z$680,20,FALSE))</f>
        <v>2 kilómetros de radio / presencia máxima 80</v>
      </c>
      <c r="CG44" s="5575"/>
      <c r="CH44" s="5575"/>
      <c r="CI44" s="5575"/>
      <c r="CJ44" s="5575"/>
      <c r="CK44" s="5575"/>
      <c r="CL44" s="5575"/>
      <c r="CM44" s="5575"/>
      <c r="CN44" s="5575"/>
      <c r="CO44" s="5576"/>
      <c r="CP44" s="1114"/>
      <c r="CQ44" s="1108"/>
    </row>
    <row r="45" spans="1:95" ht="12" customHeight="1">
      <c r="A45" s="1108"/>
      <c r="B45" s="2066"/>
      <c r="C45" s="5577" t="s">
        <v>4571</v>
      </c>
      <c r="D45" s="5578"/>
      <c r="E45" s="1133">
        <f>IF(C41=0,"",VLOOKUP(C41,'Tablas Magia'!$D$6:$Z$680,9,FALSE))</f>
        <v>11</v>
      </c>
      <c r="F45" s="1133">
        <f>IF(C41=0,"",VLOOKUP(C41,'Tablas Magia'!$D$6:$Z$680,13,FALSE))</f>
        <v>150</v>
      </c>
      <c r="G45" s="1134" t="str">
        <f>IF(C41=0,"",VLOOKUP(C41,'Tablas Magia'!$D$6:$Z$680,17,FALSE))</f>
        <v>No</v>
      </c>
      <c r="H45" s="5579" t="str">
        <f>IF(C41=0,"",VLOOKUP(C41,'Tablas Magia'!$D$6:$Z$680,21,FALSE))</f>
        <v>50 metros de radio / 140 RF.</v>
      </c>
      <c r="I45" s="5580"/>
      <c r="J45" s="5580"/>
      <c r="K45" s="5580"/>
      <c r="L45" s="5580"/>
      <c r="M45" s="5580"/>
      <c r="N45" s="5580"/>
      <c r="O45" s="5580"/>
      <c r="P45" s="5580"/>
      <c r="Q45" s="5581"/>
      <c r="R45" s="1114"/>
      <c r="S45" s="1108"/>
      <c r="T45" s="1108"/>
      <c r="U45" s="2066"/>
      <c r="V45" s="5577" t="s">
        <v>4571</v>
      </c>
      <c r="W45" s="5578"/>
      <c r="X45" s="1133">
        <f>IF(V41=0,"",VLOOKUP(V41,'Tablas Magia'!$D$6:$Z$680,9,FALSE))</f>
        <v>12</v>
      </c>
      <c r="Y45" s="1133">
        <f>IF(V41=0,"",VLOOKUP(V41,'Tablas Magia'!$D$6:$Z$680,13,FALSE))</f>
        <v>140</v>
      </c>
      <c r="Z45" s="1134">
        <f>IF(V41=0,"",VLOOKUP(V41,'Tablas Magia'!$D$6:$Z$680,17,FALSE))</f>
        <v>15</v>
      </c>
      <c r="AA45" s="5579" t="str">
        <f>IF(V41=0,"",VLOOKUP(V41,'Tablas Magia'!$D$6:$Z$680,21,FALSE))</f>
        <v>Disponen de una Fuerza base 15 para los controles y tienen Entereza 30</v>
      </c>
      <c r="AB45" s="5580"/>
      <c r="AC45" s="5580"/>
      <c r="AD45" s="5580"/>
      <c r="AE45" s="5580"/>
      <c r="AF45" s="5580"/>
      <c r="AG45" s="5580"/>
      <c r="AH45" s="5580"/>
      <c r="AI45" s="5580"/>
      <c r="AJ45" s="5581"/>
      <c r="AK45" s="1114"/>
      <c r="AL45" s="1108"/>
      <c r="AM45" s="1108"/>
      <c r="AN45" s="2080"/>
      <c r="AO45" s="5577" t="s">
        <v>4571</v>
      </c>
      <c r="AP45" s="5578"/>
      <c r="AQ45" s="1133">
        <f>IF(AO41=0,"",VLOOKUP(AO41,'Tablas Magia'!$D$6:$Z$680,9,FALSE))</f>
        <v>12</v>
      </c>
      <c r="AR45" s="1133">
        <f>IF(AO41=0,"",VLOOKUP(AO41,'Tablas Magia'!$D$6:$Z$680,13,FALSE))</f>
        <v>280</v>
      </c>
      <c r="AS45" s="1134">
        <f>IF(AO41=0,"",VLOOKUP(AO41,'Tablas Magia'!$D$6:$Z$680,17,FALSE))</f>
        <v>15</v>
      </c>
      <c r="AT45" s="5579" t="str">
        <f>IF(AO41=0,"",VLOOKUP(AO41,'Tablas Magia'!$D$6:$Z$680,21,FALSE))</f>
        <v>RM 280 / 150 metros de radio</v>
      </c>
      <c r="AU45" s="5580"/>
      <c r="AV45" s="5580"/>
      <c r="AW45" s="5580"/>
      <c r="AX45" s="5580"/>
      <c r="AY45" s="5580"/>
      <c r="AZ45" s="5580"/>
      <c r="BA45" s="5580"/>
      <c r="BB45" s="5580"/>
      <c r="BC45" s="5581"/>
      <c r="BD45" s="1114"/>
      <c r="BE45" s="1108"/>
      <c r="BF45" s="1108"/>
      <c r="BG45" s="2080"/>
      <c r="BH45" s="5577" t="s">
        <v>4571</v>
      </c>
      <c r="BI45" s="5578"/>
      <c r="BJ45" s="1133">
        <f>IF(BH41=0,"",VLOOKUP(BH41,'Tablas Magia'!$D$6:$Z$680,9,FALSE))</f>
        <v>12</v>
      </c>
      <c r="BK45" s="1133">
        <f>IF(BH41=0,"",VLOOKUP(BH41,'Tablas Magia'!$D$6:$Z$680,13,FALSE))</f>
        <v>250</v>
      </c>
      <c r="BL45" s="1134" t="str">
        <f>IF(BH41=0,"",VLOOKUP(BH41,'Tablas Magia'!$D$6:$Z$680,17,FALSE))</f>
        <v>No</v>
      </c>
      <c r="BM45" s="5579" t="str">
        <f>IF(BH41=0,"",VLOOKUP(BH41,'Tablas Magia'!$D$6:$Z$680,21,FALSE))</f>
        <v>Elimina un -120 a toda acción y restituye 10 puntos de Cansancio</v>
      </c>
      <c r="BN45" s="5580"/>
      <c r="BO45" s="5580"/>
      <c r="BP45" s="5580"/>
      <c r="BQ45" s="5580"/>
      <c r="BR45" s="5580"/>
      <c r="BS45" s="5580"/>
      <c r="BT45" s="5580"/>
      <c r="BU45" s="5580"/>
      <c r="BV45" s="5581"/>
      <c r="BW45" s="1114"/>
      <c r="BX45" s="1108"/>
      <c r="BY45" s="1108"/>
      <c r="BZ45" s="2080"/>
      <c r="CA45" s="5577" t="s">
        <v>4571</v>
      </c>
      <c r="CB45" s="5578"/>
      <c r="CC45" s="1133">
        <f>IF(CA41=0,"",VLOOKUP(CA41,'Tablas Magia'!$D$6:$Z$680,9,FALSE))</f>
        <v>15</v>
      </c>
      <c r="CD45" s="1133">
        <f>IF(CA41=0,"",VLOOKUP(CA41,'Tablas Magia'!$D$6:$Z$680,13,FALSE))</f>
        <v>400</v>
      </c>
      <c r="CE45" s="1134">
        <f>IF(CA41=0,"",VLOOKUP(CA41,'Tablas Magia'!$D$6:$Z$680,17,FALSE))</f>
        <v>60</v>
      </c>
      <c r="CF45" s="5579" t="str">
        <f>IF(CA41=0,"",VLOOKUP(CA41,'Tablas Magia'!$D$6:$Z$680,21,FALSE))</f>
        <v>10 kilómetros de radio / presencia máxima 100</v>
      </c>
      <c r="CG45" s="5580"/>
      <c r="CH45" s="5580"/>
      <c r="CI45" s="5580"/>
      <c r="CJ45" s="5580"/>
      <c r="CK45" s="5580"/>
      <c r="CL45" s="5580"/>
      <c r="CM45" s="5580"/>
      <c r="CN45" s="5580"/>
      <c r="CO45" s="5581"/>
      <c r="CP45" s="1114"/>
      <c r="CQ45" s="1108"/>
    </row>
    <row r="46" spans="1:95" ht="12" customHeight="1" thickBot="1">
      <c r="A46" s="1108"/>
      <c r="B46" s="2066"/>
      <c r="C46" s="5587" t="s">
        <v>4572</v>
      </c>
      <c r="D46" s="5588"/>
      <c r="E46" s="1137">
        <f>IF(C41=0,"",VLOOKUP(C41,'Tablas Magia'!$D$6:$Z$680,10,FALSE))</f>
        <v>14</v>
      </c>
      <c r="F46" s="1137">
        <f>IF(C41=0,"",VLOOKUP(C41,'Tablas Magia'!$D$6:$Z$680,14,FALSE))</f>
        <v>200</v>
      </c>
      <c r="G46" s="1138" t="str">
        <f>IF(C41=0,"",VLOOKUP(C41,'Tablas Magia'!$D$6:$Z$680,18,FALSE))</f>
        <v>No</v>
      </c>
      <c r="H46" s="5589" t="str">
        <f>IF(C41=0,"",VLOOKUP(C41,'Tablas Magia'!$D$6:$Z$680,22,FALSE))</f>
        <v>100 metros de radio / 160 RF</v>
      </c>
      <c r="I46" s="5590"/>
      <c r="J46" s="5590"/>
      <c r="K46" s="5590"/>
      <c r="L46" s="5590"/>
      <c r="M46" s="5590"/>
      <c r="N46" s="5590"/>
      <c r="O46" s="5590"/>
      <c r="P46" s="5590"/>
      <c r="Q46" s="5591"/>
      <c r="R46" s="1114"/>
      <c r="S46" s="1108"/>
      <c r="T46" s="1108"/>
      <c r="U46" s="2066"/>
      <c r="V46" s="5587" t="s">
        <v>4572</v>
      </c>
      <c r="W46" s="5588"/>
      <c r="X46" s="1137">
        <f>IF(V41=0,"",VLOOKUP(V41,'Tablas Magia'!$D$6:$Z$680,10,FALSE))</f>
        <v>15</v>
      </c>
      <c r="Y46" s="1137">
        <f>IF(V41=0,"",VLOOKUP(V41,'Tablas Magia'!$D$6:$Z$680,14,FALSE))</f>
        <v>180</v>
      </c>
      <c r="Z46" s="1138">
        <f>IF(V41=0,"",VLOOKUP(V41,'Tablas Magia'!$D$6:$Z$680,18,FALSE))</f>
        <v>15</v>
      </c>
      <c r="AA46" s="5589" t="str">
        <f>IF(V41=0,"",VLOOKUP(V41,'Tablas Magia'!$D$6:$Z$680,22,FALSE))</f>
        <v>Disponen de una Fuerza base 18 para los controles y tienen Entereza 35</v>
      </c>
      <c r="AB46" s="5590"/>
      <c r="AC46" s="5590"/>
      <c r="AD46" s="5590"/>
      <c r="AE46" s="5590"/>
      <c r="AF46" s="5590"/>
      <c r="AG46" s="5590"/>
      <c r="AH46" s="5590"/>
      <c r="AI46" s="5590"/>
      <c r="AJ46" s="5591"/>
      <c r="AK46" s="1114"/>
      <c r="AL46" s="1108"/>
      <c r="AM46" s="1108"/>
      <c r="AN46" s="2080"/>
      <c r="AO46" s="5587" t="s">
        <v>4572</v>
      </c>
      <c r="AP46" s="5588"/>
      <c r="AQ46" s="1137">
        <f>IF(AO41=0,"",VLOOKUP(AO41,'Tablas Magia'!$D$6:$Z$680,10,FALSE))</f>
        <v>15</v>
      </c>
      <c r="AR46" s="1137">
        <f>IF(AO41=0,"",VLOOKUP(AO41,'Tablas Magia'!$D$6:$Z$680,14,FALSE))</f>
        <v>360</v>
      </c>
      <c r="AS46" s="1138">
        <f>IF(AO41=0,"",VLOOKUP(AO41,'Tablas Magia'!$D$6:$Z$680,18,FALSE))</f>
        <v>15</v>
      </c>
      <c r="AT46" s="5589" t="str">
        <f>IF(AO41=0,"",VLOOKUP(AO41,'Tablas Magia'!$D$6:$Z$680,22,FALSE))</f>
        <v>RM 340 / 250 metros de rad</v>
      </c>
      <c r="AU46" s="5590"/>
      <c r="AV46" s="5590"/>
      <c r="AW46" s="5590"/>
      <c r="AX46" s="5590"/>
      <c r="AY46" s="5590"/>
      <c r="AZ46" s="5590"/>
      <c r="BA46" s="5590"/>
      <c r="BB46" s="5590"/>
      <c r="BC46" s="5591"/>
      <c r="BD46" s="1114"/>
      <c r="BE46" s="1108"/>
      <c r="BF46" s="1108"/>
      <c r="BG46" s="2080"/>
      <c r="BH46" s="5587" t="s">
        <v>4572</v>
      </c>
      <c r="BI46" s="5588"/>
      <c r="BJ46" s="1137">
        <f>IF(BH41=0,"",VLOOKUP(BH41,'Tablas Magia'!$D$6:$Z$680,10,FALSE))</f>
        <v>15</v>
      </c>
      <c r="BK46" s="1137">
        <f>IF(BH41=0,"",VLOOKUP(BH41,'Tablas Magia'!$D$6:$Z$680,14,FALSE))</f>
        <v>300</v>
      </c>
      <c r="BL46" s="1138" t="str">
        <f>IF(BH41=0,"",VLOOKUP(BH41,'Tablas Magia'!$D$6:$Z$680,18,FALSE))</f>
        <v>No</v>
      </c>
      <c r="BM46" s="5589" t="str">
        <f>IF(BH41=0,"",VLOOKUP(BH41,'Tablas Magia'!$D$6:$Z$680,22,FALSE))</f>
        <v>Restituye cualquier penalizador y cantidad de Puntos de Cansancio</v>
      </c>
      <c r="BN46" s="5590"/>
      <c r="BO46" s="5590"/>
      <c r="BP46" s="5590"/>
      <c r="BQ46" s="5590"/>
      <c r="BR46" s="5590"/>
      <c r="BS46" s="5590"/>
      <c r="BT46" s="5590"/>
      <c r="BU46" s="5590"/>
      <c r="BV46" s="5591"/>
      <c r="BW46" s="1114"/>
      <c r="BX46" s="1108"/>
      <c r="BY46" s="1108"/>
      <c r="BZ46" s="2080"/>
      <c r="CA46" s="5587" t="s">
        <v>4572</v>
      </c>
      <c r="CB46" s="5588"/>
      <c r="CC46" s="1137">
        <f>IF(CA41=0,"",VLOOKUP(CA41,'Tablas Magia'!$D$6:$Z$680,10,FALSE))</f>
        <v>18</v>
      </c>
      <c r="CD46" s="1137">
        <f>IF(CA41=0,"",VLOOKUP(CA41,'Tablas Magia'!$D$6:$Z$680,14,FALSE))</f>
        <v>800</v>
      </c>
      <c r="CE46" s="1138">
        <f>IF(CA41=0,"",VLOOKUP(CA41,'Tablas Magia'!$D$6:$Z$680,18,FALSE))</f>
        <v>65</v>
      </c>
      <c r="CF46" s="5589" t="str">
        <f>IF(CA41=0,"",VLOOKUP(CA41,'Tablas Magia'!$D$6:$Z$680,22,FALSE))</f>
        <v>50 kilómetros de radio / presencia máxima 120</v>
      </c>
      <c r="CG46" s="5590"/>
      <c r="CH46" s="5590"/>
      <c r="CI46" s="5590"/>
      <c r="CJ46" s="5590"/>
      <c r="CK46" s="5590"/>
      <c r="CL46" s="5590"/>
      <c r="CM46" s="5590"/>
      <c r="CN46" s="5590"/>
      <c r="CO46" s="5591"/>
      <c r="CP46" s="1114"/>
      <c r="CQ46" s="1108"/>
    </row>
    <row r="47" spans="1:95" ht="12" customHeight="1">
      <c r="A47" s="1108"/>
      <c r="B47" s="2066"/>
      <c r="C47" s="5592"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93"/>
      <c r="E47" s="5593"/>
      <c r="F47" s="5593"/>
      <c r="G47" s="5593"/>
      <c r="H47" s="5593"/>
      <c r="I47" s="5593"/>
      <c r="J47" s="5593"/>
      <c r="K47" s="5593"/>
      <c r="L47" s="5593"/>
      <c r="M47" s="5593"/>
      <c r="N47" s="5593"/>
      <c r="O47" s="5593"/>
      <c r="P47" s="5593"/>
      <c r="Q47" s="5594"/>
      <c r="R47" s="1114"/>
      <c r="S47" s="1108"/>
      <c r="T47" s="1108"/>
      <c r="U47" s="2066"/>
      <c r="V47" s="5592"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93"/>
      <c r="X47" s="5593"/>
      <c r="Y47" s="5593"/>
      <c r="Z47" s="5593"/>
      <c r="AA47" s="5593"/>
      <c r="AB47" s="5593"/>
      <c r="AC47" s="5593"/>
      <c r="AD47" s="5593"/>
      <c r="AE47" s="5593"/>
      <c r="AF47" s="5593"/>
      <c r="AG47" s="5593"/>
      <c r="AH47" s="5593"/>
      <c r="AI47" s="5593"/>
      <c r="AJ47" s="5594"/>
      <c r="AK47" s="1114"/>
      <c r="AL47" s="1108"/>
      <c r="AM47" s="1108"/>
      <c r="AN47" s="2080"/>
      <c r="AO47" s="5592"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93"/>
      <c r="AQ47" s="5593"/>
      <c r="AR47" s="5593"/>
      <c r="AS47" s="5593"/>
      <c r="AT47" s="5593"/>
      <c r="AU47" s="5593"/>
      <c r="AV47" s="5593"/>
      <c r="AW47" s="5593"/>
      <c r="AX47" s="5593"/>
      <c r="AY47" s="5593"/>
      <c r="AZ47" s="5593"/>
      <c r="BA47" s="5593"/>
      <c r="BB47" s="5593"/>
      <c r="BC47" s="5594"/>
      <c r="BD47" s="1114"/>
      <c r="BE47" s="1108"/>
      <c r="BF47" s="1108"/>
      <c r="BG47" s="2080"/>
      <c r="BH47" s="5592"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93"/>
      <c r="BJ47" s="5593"/>
      <c r="BK47" s="5593"/>
      <c r="BL47" s="5593"/>
      <c r="BM47" s="5593"/>
      <c r="BN47" s="5593"/>
      <c r="BO47" s="5593"/>
      <c r="BP47" s="5593"/>
      <c r="BQ47" s="5593"/>
      <c r="BR47" s="5593"/>
      <c r="BS47" s="5593"/>
      <c r="BT47" s="5593"/>
      <c r="BU47" s="5593"/>
      <c r="BV47" s="5594"/>
      <c r="BW47" s="1114"/>
      <c r="BX47" s="1108"/>
      <c r="BY47" s="1108"/>
      <c r="BZ47" s="2080"/>
      <c r="CA47" s="5592"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93"/>
      <c r="CC47" s="5593"/>
      <c r="CD47" s="5593"/>
      <c r="CE47" s="5593"/>
      <c r="CF47" s="5593"/>
      <c r="CG47" s="5593"/>
      <c r="CH47" s="5593"/>
      <c r="CI47" s="5593"/>
      <c r="CJ47" s="5593"/>
      <c r="CK47" s="5593"/>
      <c r="CL47" s="5593"/>
      <c r="CM47" s="5593"/>
      <c r="CN47" s="5593"/>
      <c r="CO47" s="5594"/>
      <c r="CP47" s="1114"/>
      <c r="CQ47" s="1108"/>
    </row>
    <row r="48" spans="1:95" ht="12" customHeight="1">
      <c r="A48" s="1108"/>
      <c r="B48" s="2066"/>
      <c r="C48" s="5595"/>
      <c r="D48" s="5596"/>
      <c r="E48" s="5596"/>
      <c r="F48" s="5596"/>
      <c r="G48" s="5596"/>
      <c r="H48" s="5596"/>
      <c r="I48" s="5596"/>
      <c r="J48" s="5596"/>
      <c r="K48" s="5596"/>
      <c r="L48" s="5596"/>
      <c r="M48" s="5596"/>
      <c r="N48" s="5596"/>
      <c r="O48" s="5596"/>
      <c r="P48" s="5596"/>
      <c r="Q48" s="5597"/>
      <c r="R48" s="1114"/>
      <c r="S48" s="1108"/>
      <c r="T48" s="1108"/>
      <c r="U48" s="2066"/>
      <c r="V48" s="5595"/>
      <c r="W48" s="5596"/>
      <c r="X48" s="5596"/>
      <c r="Y48" s="5596"/>
      <c r="Z48" s="5596"/>
      <c r="AA48" s="5596"/>
      <c r="AB48" s="5596"/>
      <c r="AC48" s="5596"/>
      <c r="AD48" s="5596"/>
      <c r="AE48" s="5596"/>
      <c r="AF48" s="5596"/>
      <c r="AG48" s="5596"/>
      <c r="AH48" s="5596"/>
      <c r="AI48" s="5596"/>
      <c r="AJ48" s="5597"/>
      <c r="AK48" s="1114"/>
      <c r="AL48" s="1108"/>
      <c r="AM48" s="1108"/>
      <c r="AN48" s="2080"/>
      <c r="AO48" s="5595"/>
      <c r="AP48" s="5596"/>
      <c r="AQ48" s="5596"/>
      <c r="AR48" s="5596"/>
      <c r="AS48" s="5596"/>
      <c r="AT48" s="5596"/>
      <c r="AU48" s="5596"/>
      <c r="AV48" s="5596"/>
      <c r="AW48" s="5596"/>
      <c r="AX48" s="5596"/>
      <c r="AY48" s="5596"/>
      <c r="AZ48" s="5596"/>
      <c r="BA48" s="5596"/>
      <c r="BB48" s="5596"/>
      <c r="BC48" s="5597"/>
      <c r="BD48" s="1114"/>
      <c r="BE48" s="1108"/>
      <c r="BF48" s="1108"/>
      <c r="BG48" s="2080"/>
      <c r="BH48" s="5595"/>
      <c r="BI48" s="5596"/>
      <c r="BJ48" s="5596"/>
      <c r="BK48" s="5596"/>
      <c r="BL48" s="5596"/>
      <c r="BM48" s="5596"/>
      <c r="BN48" s="5596"/>
      <c r="BO48" s="5596"/>
      <c r="BP48" s="5596"/>
      <c r="BQ48" s="5596"/>
      <c r="BR48" s="5596"/>
      <c r="BS48" s="5596"/>
      <c r="BT48" s="5596"/>
      <c r="BU48" s="5596"/>
      <c r="BV48" s="5597"/>
      <c r="BW48" s="1114"/>
      <c r="BX48" s="1108"/>
      <c r="BY48" s="1108"/>
      <c r="BZ48" s="2080"/>
      <c r="CA48" s="5595"/>
      <c r="CB48" s="5596"/>
      <c r="CC48" s="5596"/>
      <c r="CD48" s="5596"/>
      <c r="CE48" s="5596"/>
      <c r="CF48" s="5596"/>
      <c r="CG48" s="5596"/>
      <c r="CH48" s="5596"/>
      <c r="CI48" s="5596"/>
      <c r="CJ48" s="5596"/>
      <c r="CK48" s="5596"/>
      <c r="CL48" s="5596"/>
      <c r="CM48" s="5596"/>
      <c r="CN48" s="5596"/>
      <c r="CO48" s="5597"/>
      <c r="CP48" s="1114"/>
      <c r="CQ48" s="1108"/>
    </row>
    <row r="49" spans="1:95" ht="12" customHeight="1">
      <c r="A49" s="1108"/>
      <c r="B49" s="2066"/>
      <c r="C49" s="5595"/>
      <c r="D49" s="5596"/>
      <c r="E49" s="5596"/>
      <c r="F49" s="5596"/>
      <c r="G49" s="5596"/>
      <c r="H49" s="5596"/>
      <c r="I49" s="5596"/>
      <c r="J49" s="5596"/>
      <c r="K49" s="5596"/>
      <c r="L49" s="5596"/>
      <c r="M49" s="5596"/>
      <c r="N49" s="5596"/>
      <c r="O49" s="5596"/>
      <c r="P49" s="5596"/>
      <c r="Q49" s="5597"/>
      <c r="R49" s="1114"/>
      <c r="S49" s="1108"/>
      <c r="T49" s="1108"/>
      <c r="U49" s="2066"/>
      <c r="V49" s="5595"/>
      <c r="W49" s="5596"/>
      <c r="X49" s="5596"/>
      <c r="Y49" s="5596"/>
      <c r="Z49" s="5596"/>
      <c r="AA49" s="5596"/>
      <c r="AB49" s="5596"/>
      <c r="AC49" s="5596"/>
      <c r="AD49" s="5596"/>
      <c r="AE49" s="5596"/>
      <c r="AF49" s="5596"/>
      <c r="AG49" s="5596"/>
      <c r="AH49" s="5596"/>
      <c r="AI49" s="5596"/>
      <c r="AJ49" s="5597"/>
      <c r="AK49" s="1114"/>
      <c r="AL49" s="1108"/>
      <c r="AM49" s="1108"/>
      <c r="AN49" s="2080"/>
      <c r="AO49" s="5595"/>
      <c r="AP49" s="5596"/>
      <c r="AQ49" s="5596"/>
      <c r="AR49" s="5596"/>
      <c r="AS49" s="5596"/>
      <c r="AT49" s="5596"/>
      <c r="AU49" s="5596"/>
      <c r="AV49" s="5596"/>
      <c r="AW49" s="5596"/>
      <c r="AX49" s="5596"/>
      <c r="AY49" s="5596"/>
      <c r="AZ49" s="5596"/>
      <c r="BA49" s="5596"/>
      <c r="BB49" s="5596"/>
      <c r="BC49" s="5597"/>
      <c r="BD49" s="1114"/>
      <c r="BE49" s="1108"/>
      <c r="BF49" s="1108"/>
      <c r="BG49" s="2080"/>
      <c r="BH49" s="5595"/>
      <c r="BI49" s="5596"/>
      <c r="BJ49" s="5596"/>
      <c r="BK49" s="5596"/>
      <c r="BL49" s="5596"/>
      <c r="BM49" s="5596"/>
      <c r="BN49" s="5596"/>
      <c r="BO49" s="5596"/>
      <c r="BP49" s="5596"/>
      <c r="BQ49" s="5596"/>
      <c r="BR49" s="5596"/>
      <c r="BS49" s="5596"/>
      <c r="BT49" s="5596"/>
      <c r="BU49" s="5596"/>
      <c r="BV49" s="5597"/>
      <c r="BW49" s="1114"/>
      <c r="BX49" s="1108"/>
      <c r="BY49" s="1108"/>
      <c r="BZ49" s="2080"/>
      <c r="CA49" s="5595"/>
      <c r="CB49" s="5596"/>
      <c r="CC49" s="5596"/>
      <c r="CD49" s="5596"/>
      <c r="CE49" s="5596"/>
      <c r="CF49" s="5596"/>
      <c r="CG49" s="5596"/>
      <c r="CH49" s="5596"/>
      <c r="CI49" s="5596"/>
      <c r="CJ49" s="5596"/>
      <c r="CK49" s="5596"/>
      <c r="CL49" s="5596"/>
      <c r="CM49" s="5596"/>
      <c r="CN49" s="5596"/>
      <c r="CO49" s="5597"/>
      <c r="CP49" s="1114"/>
      <c r="CQ49" s="1108"/>
    </row>
    <row r="50" spans="1:95" ht="12" customHeight="1" thickBot="1">
      <c r="A50" s="1108"/>
      <c r="B50" s="2066"/>
      <c r="C50" s="5598"/>
      <c r="D50" s="5599"/>
      <c r="E50" s="5599"/>
      <c r="F50" s="5599"/>
      <c r="G50" s="5599"/>
      <c r="H50" s="5599"/>
      <c r="I50" s="5599"/>
      <c r="J50" s="5599"/>
      <c r="K50" s="5599"/>
      <c r="L50" s="5599"/>
      <c r="M50" s="5599"/>
      <c r="N50" s="5599"/>
      <c r="O50" s="5599"/>
      <c r="P50" s="5599"/>
      <c r="Q50" s="5600"/>
      <c r="R50" s="1114"/>
      <c r="S50" s="1108"/>
      <c r="T50" s="1108"/>
      <c r="U50" s="2066"/>
      <c r="V50" s="5598"/>
      <c r="W50" s="5599"/>
      <c r="X50" s="5599"/>
      <c r="Y50" s="5599"/>
      <c r="Z50" s="5599"/>
      <c r="AA50" s="5599"/>
      <c r="AB50" s="5599"/>
      <c r="AC50" s="5599"/>
      <c r="AD50" s="5599"/>
      <c r="AE50" s="5599"/>
      <c r="AF50" s="5599"/>
      <c r="AG50" s="5599"/>
      <c r="AH50" s="5599"/>
      <c r="AI50" s="5599"/>
      <c r="AJ50" s="5600"/>
      <c r="AK50" s="1114"/>
      <c r="AL50" s="1108"/>
      <c r="AM50" s="1108"/>
      <c r="AN50" s="2080"/>
      <c r="AO50" s="5598"/>
      <c r="AP50" s="5599"/>
      <c r="AQ50" s="5599"/>
      <c r="AR50" s="5599"/>
      <c r="AS50" s="5599"/>
      <c r="AT50" s="5599"/>
      <c r="AU50" s="5599"/>
      <c r="AV50" s="5599"/>
      <c r="AW50" s="5599"/>
      <c r="AX50" s="5599"/>
      <c r="AY50" s="5599"/>
      <c r="AZ50" s="5599"/>
      <c r="BA50" s="5599"/>
      <c r="BB50" s="5599"/>
      <c r="BC50" s="5600"/>
      <c r="BD50" s="1114"/>
      <c r="BE50" s="1108"/>
      <c r="BF50" s="1108"/>
      <c r="BG50" s="2080"/>
      <c r="BH50" s="5598"/>
      <c r="BI50" s="5599"/>
      <c r="BJ50" s="5599"/>
      <c r="BK50" s="5599"/>
      <c r="BL50" s="5599"/>
      <c r="BM50" s="5599"/>
      <c r="BN50" s="5599"/>
      <c r="BO50" s="5599"/>
      <c r="BP50" s="5599"/>
      <c r="BQ50" s="5599"/>
      <c r="BR50" s="5599"/>
      <c r="BS50" s="5599"/>
      <c r="BT50" s="5599"/>
      <c r="BU50" s="5599"/>
      <c r="BV50" s="5600"/>
      <c r="BW50" s="1114"/>
      <c r="BX50" s="1108"/>
      <c r="BY50" s="1108"/>
      <c r="BZ50" s="2080"/>
      <c r="CA50" s="5598"/>
      <c r="CB50" s="5599"/>
      <c r="CC50" s="5599"/>
      <c r="CD50" s="5599"/>
      <c r="CE50" s="5599"/>
      <c r="CF50" s="5599"/>
      <c r="CG50" s="5599"/>
      <c r="CH50" s="5599"/>
      <c r="CI50" s="5599"/>
      <c r="CJ50" s="5599"/>
      <c r="CK50" s="5599"/>
      <c r="CL50" s="5599"/>
      <c r="CM50" s="5599"/>
      <c r="CN50" s="5599"/>
      <c r="CO50" s="5600"/>
      <c r="CP50" s="1114"/>
      <c r="CQ50" s="1108"/>
    </row>
    <row r="51" spans="1:95" ht="12" customHeight="1" thickBot="1">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6">
        <f>B41+2</f>
        <v>10</v>
      </c>
      <c r="C52" s="560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02"/>
      <c r="E52" s="5602"/>
      <c r="F52" s="5602"/>
      <c r="G52" s="5602"/>
      <c r="H52" s="1128" t="s">
        <v>1627</v>
      </c>
      <c r="I52" s="1129">
        <f>B52</f>
        <v>10</v>
      </c>
      <c r="J52" s="5567" t="s">
        <v>7685</v>
      </c>
      <c r="K52" s="5567"/>
      <c r="L52" s="5567"/>
      <c r="M52" s="5568" t="str">
        <f>IF(C52=0,"",VLOOKUP(C52,'Tablas Magia'!$D$6:$Z$680,2,FALSE))</f>
        <v>Luz</v>
      </c>
      <c r="N52" s="5568"/>
      <c r="O52" s="5568"/>
      <c r="P52" s="5568"/>
      <c r="Q52" s="5569"/>
      <c r="R52" s="1114"/>
      <c r="S52" s="1108"/>
      <c r="T52" s="1108"/>
      <c r="U52" s="2066">
        <f>U41+2</f>
        <v>30</v>
      </c>
      <c r="V52" s="560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02"/>
      <c r="X52" s="5602"/>
      <c r="Y52" s="5602"/>
      <c r="Z52" s="5602"/>
      <c r="AA52" s="1128" t="s">
        <v>1627</v>
      </c>
      <c r="AB52" s="1129">
        <f>U52</f>
        <v>30</v>
      </c>
      <c r="AC52" s="5567" t="s">
        <v>7685</v>
      </c>
      <c r="AD52" s="5567"/>
      <c r="AE52" s="5567"/>
      <c r="AF52" s="5568" t="str">
        <f>IF(V52=0,"",VLOOKUP(V52,'Tablas Magia'!$D$6:$Z$680,2,FALSE))</f>
        <v>Luz</v>
      </c>
      <c r="AG52" s="5568"/>
      <c r="AH52" s="5568"/>
      <c r="AI52" s="5568"/>
      <c r="AJ52" s="5569"/>
      <c r="AK52" s="1114"/>
      <c r="AL52" s="1108"/>
      <c r="AM52" s="1108"/>
      <c r="AN52" s="2080">
        <f>AN41+2</f>
        <v>50</v>
      </c>
      <c r="AO52" s="560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02"/>
      <c r="AQ52" s="5602"/>
      <c r="AR52" s="5602"/>
      <c r="AS52" s="5602"/>
      <c r="AT52" s="1128" t="s">
        <v>1627</v>
      </c>
      <c r="AU52" s="1129">
        <f>AN52</f>
        <v>50</v>
      </c>
      <c r="AV52" s="5567" t="s">
        <v>7685</v>
      </c>
      <c r="AW52" s="5567"/>
      <c r="AX52" s="5567"/>
      <c r="AY52" s="5568" t="str">
        <f>IF(AO52=0,"",VLOOKUP(AO52,'Tablas Magia'!$D$6:$Z$680,2,FALSE))</f>
        <v>Luz</v>
      </c>
      <c r="AZ52" s="5568"/>
      <c r="BA52" s="5568"/>
      <c r="BB52" s="5568"/>
      <c r="BC52" s="5569"/>
      <c r="BD52" s="1114"/>
      <c r="BE52" s="1108"/>
      <c r="BF52" s="1108"/>
      <c r="BG52" s="2080">
        <f>BG41+2</f>
        <v>70</v>
      </c>
      <c r="BH52" s="560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02"/>
      <c r="BJ52" s="5602"/>
      <c r="BK52" s="5602"/>
      <c r="BL52" s="5602"/>
      <c r="BM52" s="1128" t="s">
        <v>1627</v>
      </c>
      <c r="BN52" s="1129">
        <f>BG52</f>
        <v>70</v>
      </c>
      <c r="BO52" s="5567" t="s">
        <v>7685</v>
      </c>
      <c r="BP52" s="5567"/>
      <c r="BQ52" s="5567"/>
      <c r="BR52" s="5568" t="str">
        <f>IF(BH52=0,"",VLOOKUP(BH52,'Tablas Magia'!$D$6:$Z$680,2,FALSE))</f>
        <v>Luz</v>
      </c>
      <c r="BS52" s="5568"/>
      <c r="BT52" s="5568"/>
      <c r="BU52" s="5568"/>
      <c r="BV52" s="5569"/>
      <c r="BW52" s="1114"/>
      <c r="BX52" s="1108"/>
      <c r="BY52" s="1108"/>
      <c r="BZ52" s="2080">
        <f>BZ41+2</f>
        <v>90</v>
      </c>
      <c r="CA52" s="560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02"/>
      <c r="CC52" s="5602"/>
      <c r="CD52" s="5602"/>
      <c r="CE52" s="5602"/>
      <c r="CF52" s="1128" t="s">
        <v>1627</v>
      </c>
      <c r="CG52" s="1129">
        <f>BZ52</f>
        <v>90</v>
      </c>
      <c r="CH52" s="5567" t="s">
        <v>7685</v>
      </c>
      <c r="CI52" s="5567"/>
      <c r="CJ52" s="5567"/>
      <c r="CK52" s="5568" t="str">
        <f>IF(CA52=0,"",VLOOKUP(CA52,'Tablas Magia'!$D$6:$Z$680,2,FALSE))</f>
        <v>Luz</v>
      </c>
      <c r="CL52" s="5568"/>
      <c r="CM52" s="5568"/>
      <c r="CN52" s="5568"/>
      <c r="CO52" s="5569"/>
      <c r="CP52" s="1114"/>
      <c r="CQ52" s="1108"/>
    </row>
    <row r="53" spans="1:95" ht="12" customHeight="1">
      <c r="A53" s="1108"/>
      <c r="B53" s="2066"/>
      <c r="C53" s="5585" t="s">
        <v>7686</v>
      </c>
      <c r="D53" s="5586"/>
      <c r="E53" s="1130" t="s">
        <v>7687</v>
      </c>
      <c r="F53" s="1130" t="s">
        <v>1820</v>
      </c>
      <c r="G53" s="1130" t="s">
        <v>3332</v>
      </c>
      <c r="H53" s="1131" t="s">
        <v>2165</v>
      </c>
      <c r="I53" s="5582" t="str">
        <f>IF(C52=0,"",VLOOKUP(C52,'Tablas Magia'!$D$6:$Z$680,5,FALSE))</f>
        <v>Defensa</v>
      </c>
      <c r="J53" s="5582"/>
      <c r="K53" s="5583" t="s">
        <v>7688</v>
      </c>
      <c r="L53" s="5583"/>
      <c r="M53" s="5582" t="str">
        <f>IF(C52=0,"",VLOOKUP(C52,'Tablas Magia'!$D$6:$Z$680,6,FALSE))</f>
        <v>Pasiva</v>
      </c>
      <c r="N53" s="5582"/>
      <c r="O53" s="5584" t="s">
        <v>7689</v>
      </c>
      <c r="P53" s="5584"/>
      <c r="Q53" s="1132" t="str">
        <f>IF(C52=0,"",VLOOKUP(C52,'Tablas Magia'!$D$6:$Z$680,4,FALSE))</f>
        <v>No</v>
      </c>
      <c r="R53" s="1114"/>
      <c r="S53" s="1108"/>
      <c r="T53" s="1108"/>
      <c r="U53" s="2066"/>
      <c r="V53" s="5585" t="s">
        <v>7686</v>
      </c>
      <c r="W53" s="5586"/>
      <c r="X53" s="1130" t="s">
        <v>7687</v>
      </c>
      <c r="Y53" s="1130" t="s">
        <v>1820</v>
      </c>
      <c r="Z53" s="1130" t="s">
        <v>3332</v>
      </c>
      <c r="AA53" s="1131" t="s">
        <v>2165</v>
      </c>
      <c r="AB53" s="5582" t="str">
        <f>IF(V52=0,"",VLOOKUP(V52,'Tablas Magia'!$D$6:$Z$680,5,FALSE))</f>
        <v>Efecto</v>
      </c>
      <c r="AC53" s="5582"/>
      <c r="AD53" s="5583" t="s">
        <v>7688</v>
      </c>
      <c r="AE53" s="5583"/>
      <c r="AF53" s="5582" t="str">
        <f>IF(V52=0,"",VLOOKUP(V52,'Tablas Magia'!$D$6:$Z$680,6,FALSE))</f>
        <v>Activa</v>
      </c>
      <c r="AG53" s="5582"/>
      <c r="AH53" s="5584" t="s">
        <v>7689</v>
      </c>
      <c r="AI53" s="5584"/>
      <c r="AJ53" s="1132" t="str">
        <f>IF(V52=0,"",VLOOKUP(V52,'Tablas Magia'!$D$6:$Z$680,4,FALSE))</f>
        <v>No</v>
      </c>
      <c r="AK53" s="1114"/>
      <c r="AL53" s="1108"/>
      <c r="AM53" s="1108"/>
      <c r="AN53" s="2080"/>
      <c r="AO53" s="5585" t="s">
        <v>7686</v>
      </c>
      <c r="AP53" s="5586"/>
      <c r="AQ53" s="1130" t="s">
        <v>7687</v>
      </c>
      <c r="AR53" s="1130" t="s">
        <v>1820</v>
      </c>
      <c r="AS53" s="1130" t="s">
        <v>3332</v>
      </c>
      <c r="AT53" s="1131" t="s">
        <v>2165</v>
      </c>
      <c r="AU53" s="5582" t="str">
        <f>IF(AO52=0,"",VLOOKUP(AO52,'Tablas Magia'!$D$6:$Z$680,5,FALSE))</f>
        <v>Anímico</v>
      </c>
      <c r="AV53" s="5582"/>
      <c r="AW53" s="5583" t="s">
        <v>7688</v>
      </c>
      <c r="AX53" s="5583"/>
      <c r="AY53" s="5582" t="str">
        <f>IF(AO52=0,"",VLOOKUP(AO52,'Tablas Magia'!$D$6:$Z$680,6,FALSE))</f>
        <v>Activa</v>
      </c>
      <c r="AZ53" s="5582"/>
      <c r="BA53" s="5584" t="s">
        <v>7689</v>
      </c>
      <c r="BB53" s="5584"/>
      <c r="BC53" s="1132" t="str">
        <f>IF(AO52=0,"",VLOOKUP(AO52,'Tablas Magia'!$D$6:$Z$680,4,FALSE))</f>
        <v>Si</v>
      </c>
      <c r="BD53" s="1114"/>
      <c r="BE53" s="1108"/>
      <c r="BF53" s="1108"/>
      <c r="BG53" s="2080"/>
      <c r="BH53" s="5585" t="s">
        <v>7686</v>
      </c>
      <c r="BI53" s="5586"/>
      <c r="BJ53" s="1130" t="s">
        <v>7687</v>
      </c>
      <c r="BK53" s="1130" t="s">
        <v>1820</v>
      </c>
      <c r="BL53" s="1130" t="s">
        <v>3332</v>
      </c>
      <c r="BM53" s="1131" t="s">
        <v>2165</v>
      </c>
      <c r="BN53" s="5582" t="str">
        <f>IF(BH52=0,"",VLOOKUP(BH52,'Tablas Magia'!$D$6:$Z$680,5,FALSE))</f>
        <v>Auto</v>
      </c>
      <c r="BO53" s="5582"/>
      <c r="BP53" s="5583" t="s">
        <v>7688</v>
      </c>
      <c r="BQ53" s="5583"/>
      <c r="BR53" s="5582" t="str">
        <f>IF(BH52=0,"",VLOOKUP(BH52,'Tablas Magia'!$D$6:$Z$680,6,FALSE))</f>
        <v>Activa</v>
      </c>
      <c r="BS53" s="5582"/>
      <c r="BT53" s="5584" t="s">
        <v>7689</v>
      </c>
      <c r="BU53" s="5584"/>
      <c r="BV53" s="1132" t="str">
        <f>IF(BH52=0,"",VLOOKUP(BH52,'Tablas Magia'!$D$6:$Z$680,4,FALSE))</f>
        <v>No</v>
      </c>
      <c r="BW53" s="1114"/>
      <c r="BX53" s="1108"/>
      <c r="BY53" s="1108"/>
      <c r="BZ53" s="2080"/>
      <c r="CA53" s="5585" t="s">
        <v>7686</v>
      </c>
      <c r="CB53" s="5586"/>
      <c r="CC53" s="1130" t="s">
        <v>7687</v>
      </c>
      <c r="CD53" s="1130" t="s">
        <v>1820</v>
      </c>
      <c r="CE53" s="1130" t="s">
        <v>3332</v>
      </c>
      <c r="CF53" s="1131" t="s">
        <v>2165</v>
      </c>
      <c r="CG53" s="5582" t="str">
        <f>IF(CA52=0,"",VLOOKUP(CA52,'Tablas Magia'!$D$6:$Z$680,5,FALSE))</f>
        <v>Anímico</v>
      </c>
      <c r="CH53" s="5582"/>
      <c r="CI53" s="5583" t="s">
        <v>7688</v>
      </c>
      <c r="CJ53" s="5583"/>
      <c r="CK53" s="5582" t="str">
        <f>IF(CA52=0,"",VLOOKUP(CA52,'Tablas Magia'!$D$6:$Z$680,6,FALSE))</f>
        <v>Activa</v>
      </c>
      <c r="CL53" s="5582"/>
      <c r="CM53" s="5584" t="s">
        <v>7689</v>
      </c>
      <c r="CN53" s="5584"/>
      <c r="CO53" s="1132" t="str">
        <f>IF(CA52=0,"",VLOOKUP(CA52,'Tablas Magia'!$D$6:$Z$680,4,FALSE))</f>
        <v>No</v>
      </c>
      <c r="CP53" s="1114"/>
      <c r="CQ53" s="1108"/>
    </row>
    <row r="54" spans="1:95" ht="12" customHeight="1">
      <c r="A54" s="1108"/>
      <c r="B54" s="2066"/>
      <c r="C54" s="5577" t="s">
        <v>1674</v>
      </c>
      <c r="D54" s="5578"/>
      <c r="E54" s="1133">
        <f>IF(C52=0,"",VLOOKUP(C52,'Tablas Magia'!$D$6:$Z$680,7,FALSE))</f>
        <v>6</v>
      </c>
      <c r="F54" s="1133">
        <f>IF(C52=0,"",VLOOKUP(C52,'Tablas Magia'!$D$6:$Z$680,11,FALSE))</f>
        <v>50</v>
      </c>
      <c r="G54" s="1134">
        <f>IF(C52=0,"",VLOOKUP(C52,'Tablas Magia'!$D$6:$Z$680,15,FALSE))</f>
        <v>5</v>
      </c>
      <c r="H54" s="5579" t="str">
        <f>IF(C52=0,"",VLOOKUP(C52,'Tablas Magia'!$D$6:$Z$680,19,FALSE))</f>
        <v>El escudo tiene 300 puntos de Resistencia</v>
      </c>
      <c r="I54" s="5580"/>
      <c r="J54" s="5580"/>
      <c r="K54" s="5580"/>
      <c r="L54" s="5580"/>
      <c r="M54" s="5580"/>
      <c r="N54" s="5580"/>
      <c r="O54" s="5580"/>
      <c r="P54" s="5580"/>
      <c r="Q54" s="5581"/>
      <c r="R54" s="1114"/>
      <c r="S54" s="1108"/>
      <c r="T54" s="1108"/>
      <c r="U54" s="2066"/>
      <c r="V54" s="5577" t="s">
        <v>1674</v>
      </c>
      <c r="W54" s="5578"/>
      <c r="X54" s="1133">
        <f>IF(V52=0,"",VLOOKUP(V52,'Tablas Magia'!$D$6:$Z$680,7,FALSE))</f>
        <v>6</v>
      </c>
      <c r="Y54" s="1133">
        <f>IF(V52=0,"",VLOOKUP(V52,'Tablas Magia'!$D$6:$Z$680,11,FALSE))</f>
        <v>50</v>
      </c>
      <c r="Z54" s="1134">
        <f>IF(V52=0,"",VLOOKUP(V52,'Tablas Magia'!$D$6:$Z$680,15,FALSE))</f>
        <v>5</v>
      </c>
      <c r="AA54" s="5579" t="str">
        <f>IF(V52=0,"",VLOOKUP(V52,'Tablas Magia'!$D$6:$Z$680,19,FALSE))</f>
        <v>Radio de 20 metros / RM 80</v>
      </c>
      <c r="AB54" s="5580"/>
      <c r="AC54" s="5580"/>
      <c r="AD54" s="5580"/>
      <c r="AE54" s="5580"/>
      <c r="AF54" s="5580"/>
      <c r="AG54" s="5580"/>
      <c r="AH54" s="5580"/>
      <c r="AI54" s="5580"/>
      <c r="AJ54" s="5581"/>
      <c r="AK54" s="1114"/>
      <c r="AL54" s="1108"/>
      <c r="AM54" s="1108"/>
      <c r="AN54" s="2080"/>
      <c r="AO54" s="5577" t="s">
        <v>1674</v>
      </c>
      <c r="AP54" s="5578"/>
      <c r="AQ54" s="1133">
        <f>IF(AO52=0,"",VLOOKUP(AO52,'Tablas Magia'!$D$6:$Z$680,7,FALSE))</f>
        <v>6</v>
      </c>
      <c r="AR54" s="1133">
        <f>IF(AO52=0,"",VLOOKUP(AO52,'Tablas Magia'!$D$6:$Z$680,11,FALSE))</f>
        <v>120</v>
      </c>
      <c r="AS54" s="1134">
        <f>IF(AO52=0,"",VLOOKUP(AO52,'Tablas Magia'!$D$6:$Z$680,15,FALSE))</f>
        <v>10</v>
      </c>
      <c r="AT54" s="5579" t="str">
        <f>IF(AO52=0,"",VLOOKUP(AO52,'Tablas Magia'!$D$6:$Z$680,19,FALSE))</f>
        <v>RM o RP 140 / 10 metros de distancia</v>
      </c>
      <c r="AU54" s="5580"/>
      <c r="AV54" s="5580"/>
      <c r="AW54" s="5580"/>
      <c r="AX54" s="5580"/>
      <c r="AY54" s="5580"/>
      <c r="AZ54" s="5580"/>
      <c r="BA54" s="5580"/>
      <c r="BB54" s="5580"/>
      <c r="BC54" s="5581"/>
      <c r="BD54" s="1114"/>
      <c r="BE54" s="1108"/>
      <c r="BF54" s="1108"/>
      <c r="BG54" s="2080"/>
      <c r="BH54" s="5577" t="s">
        <v>1674</v>
      </c>
      <c r="BI54" s="5578"/>
      <c r="BJ54" s="1133">
        <f>IF(BH52=0,"",VLOOKUP(BH52,'Tablas Magia'!$D$6:$Z$680,7,FALSE))</f>
        <v>10</v>
      </c>
      <c r="BK54" s="1133">
        <f>IF(BH52=0,"",VLOOKUP(BH52,'Tablas Magia'!$D$6:$Z$680,11,FALSE))</f>
        <v>140</v>
      </c>
      <c r="BL54" s="1134">
        <f>IF(BH52=0,"",VLOOKUP(BH52,'Tablas Magia'!$D$6:$Z$680,15,FALSE))</f>
        <v>5</v>
      </c>
      <c r="BM54" s="5579" t="str">
        <f>IF(BH52=0,"",VLOOKUP(BH52,'Tablas Magia'!$D$6:$Z$680,19,FALSE))</f>
        <v>Visible en 1 kilómetro de radio / RM o RP 120</v>
      </c>
      <c r="BN54" s="5580"/>
      <c r="BO54" s="5580"/>
      <c r="BP54" s="5580"/>
      <c r="BQ54" s="5580"/>
      <c r="BR54" s="5580"/>
      <c r="BS54" s="5580"/>
      <c r="BT54" s="5580"/>
      <c r="BU54" s="5580"/>
      <c r="BV54" s="5581"/>
      <c r="BW54" s="1114"/>
      <c r="BX54" s="1108"/>
      <c r="BY54" s="1108"/>
      <c r="BZ54" s="2080"/>
      <c r="CA54" s="5577" t="s">
        <v>1674</v>
      </c>
      <c r="CB54" s="5578"/>
      <c r="CC54" s="1133">
        <f>IF(CA52=0,"",VLOOKUP(CA52,'Tablas Magia'!$D$6:$Z$680,7,FALSE))</f>
        <v>10</v>
      </c>
      <c r="CD54" s="1133">
        <f>IF(CA52=0,"",VLOOKUP(CA52,'Tablas Magia'!$D$6:$Z$680,11,FALSE))</f>
        <v>200</v>
      </c>
      <c r="CE54" s="1134" t="str">
        <f>IF(CA52=0,"",VLOOKUP(CA52,'Tablas Magia'!$D$6:$Z$680,15,FALSE))</f>
        <v>No</v>
      </c>
      <c r="CF54" s="5579" t="str">
        <f>IF(CA52=0,"",VLOOKUP(CA52,'Tablas Magia'!$D$6:$Z$680,19,FALSE))</f>
        <v>Un año</v>
      </c>
      <c r="CG54" s="5580"/>
      <c r="CH54" s="5580"/>
      <c r="CI54" s="5580"/>
      <c r="CJ54" s="5580"/>
      <c r="CK54" s="5580"/>
      <c r="CL54" s="5580"/>
      <c r="CM54" s="5580"/>
      <c r="CN54" s="5580"/>
      <c r="CO54" s="5581"/>
      <c r="CP54" s="1114"/>
      <c r="CQ54" s="1108"/>
    </row>
    <row r="55" spans="1:95" ht="12" customHeight="1">
      <c r="A55" s="1108"/>
      <c r="B55" s="2066"/>
      <c r="C55" s="5572" t="s">
        <v>4570</v>
      </c>
      <c r="D55" s="5573"/>
      <c r="E55" s="1135">
        <f>IF(C52=0,"",VLOOKUP(C52,'Tablas Magia'!$D$6:$Z$680,8,FALSE))</f>
        <v>8</v>
      </c>
      <c r="F55" s="1135">
        <f>IF(C52=0,"",VLOOKUP(C52,'Tablas Magia'!$D$6:$Z$680,12,FALSE))</f>
        <v>120</v>
      </c>
      <c r="G55" s="1136">
        <f>IF(C52=0,"",VLOOKUP(C52,'Tablas Magia'!$D$6:$Z$680,16,FALSE))</f>
        <v>15</v>
      </c>
      <c r="H55" s="5574" t="str">
        <f>IF(C52=0,"",VLOOKUP(C52,'Tablas Magia'!$D$6:$Z$680,20,FALSE))</f>
        <v>El escudo tiene 1.000 puntos de Resistencia</v>
      </c>
      <c r="I55" s="5575"/>
      <c r="J55" s="5575"/>
      <c r="K55" s="5575"/>
      <c r="L55" s="5575"/>
      <c r="M55" s="5575"/>
      <c r="N55" s="5575"/>
      <c r="O55" s="5575"/>
      <c r="P55" s="5575"/>
      <c r="Q55" s="5576"/>
      <c r="R55" s="1114"/>
      <c r="S55" s="1108"/>
      <c r="T55" s="1108"/>
      <c r="U55" s="2066"/>
      <c r="V55" s="5572" t="s">
        <v>4570</v>
      </c>
      <c r="W55" s="5573"/>
      <c r="X55" s="1135">
        <f>IF(V52=0,"",VLOOKUP(V52,'Tablas Magia'!$D$6:$Z$680,8,FALSE))</f>
        <v>9</v>
      </c>
      <c r="Y55" s="1135">
        <f>IF(V52=0,"",VLOOKUP(V52,'Tablas Magia'!$D$6:$Z$680,12,FALSE))</f>
        <v>150</v>
      </c>
      <c r="Z55" s="1136">
        <f>IF(V52=0,"",VLOOKUP(V52,'Tablas Magia'!$D$6:$Z$680,16,FALSE))</f>
        <v>20</v>
      </c>
      <c r="AA55" s="5574" t="str">
        <f>IF(V52=0,"",VLOOKUP(V52,'Tablas Magia'!$D$6:$Z$680,20,FALSE))</f>
        <v>Radio de 150 metros / RM 140</v>
      </c>
      <c r="AB55" s="5575"/>
      <c r="AC55" s="5575"/>
      <c r="AD55" s="5575"/>
      <c r="AE55" s="5575"/>
      <c r="AF55" s="5575"/>
      <c r="AG55" s="5575"/>
      <c r="AH55" s="5575"/>
      <c r="AI55" s="5575"/>
      <c r="AJ55" s="5576"/>
      <c r="AK55" s="1114"/>
      <c r="AL55" s="1108"/>
      <c r="AM55" s="1108"/>
      <c r="AN55" s="2080"/>
      <c r="AO55" s="5572" t="s">
        <v>4570</v>
      </c>
      <c r="AP55" s="5573"/>
      <c r="AQ55" s="1135">
        <f>IF(AO52=0,"",VLOOKUP(AO52,'Tablas Magia'!$D$6:$Z$680,8,FALSE))</f>
        <v>9</v>
      </c>
      <c r="AR55" s="1135">
        <f>IF(AO52=0,"",VLOOKUP(AO52,'Tablas Magia'!$D$6:$Z$680,12,FALSE))</f>
        <v>180</v>
      </c>
      <c r="AS55" s="1136">
        <f>IF(AO52=0,"",VLOOKUP(AO52,'Tablas Magia'!$D$6:$Z$680,16,FALSE))</f>
        <v>10</v>
      </c>
      <c r="AT55" s="5574" t="str">
        <f>IF(AO52=0,"",VLOOKUP(AO52,'Tablas Magia'!$D$6:$Z$680,20,FALSE))</f>
        <v>RM o RP 160 / 80 metros de distancia</v>
      </c>
      <c r="AU55" s="5575"/>
      <c r="AV55" s="5575"/>
      <c r="AW55" s="5575"/>
      <c r="AX55" s="5575"/>
      <c r="AY55" s="5575"/>
      <c r="AZ55" s="5575"/>
      <c r="BA55" s="5575"/>
      <c r="BB55" s="5575"/>
      <c r="BC55" s="5576"/>
      <c r="BD55" s="1114"/>
      <c r="BE55" s="1108"/>
      <c r="BF55" s="1108"/>
      <c r="BG55" s="2080"/>
      <c r="BH55" s="5572" t="s">
        <v>4570</v>
      </c>
      <c r="BI55" s="5573"/>
      <c r="BJ55" s="1135">
        <f>IF(BH52=0,"",VLOOKUP(BH52,'Tablas Magia'!$D$6:$Z$680,8,FALSE))</f>
        <v>12</v>
      </c>
      <c r="BK55" s="1135">
        <f>IF(BH52=0,"",VLOOKUP(BH52,'Tablas Magia'!$D$6:$Z$680,12,FALSE))</f>
        <v>200</v>
      </c>
      <c r="BL55" s="1136">
        <f>IF(BH52=0,"",VLOOKUP(BH52,'Tablas Magia'!$D$6:$Z$680,16,FALSE))</f>
        <v>10</v>
      </c>
      <c r="BM55" s="5574" t="str">
        <f>IF(BH52=0,"",VLOOKUP(BH52,'Tablas Magia'!$D$6:$Z$680,20,FALSE))</f>
        <v>Visible en 5 kilómetros de radio / RM o RP 150</v>
      </c>
      <c r="BN55" s="5575"/>
      <c r="BO55" s="5575"/>
      <c r="BP55" s="5575"/>
      <c r="BQ55" s="5575"/>
      <c r="BR55" s="5575"/>
      <c r="BS55" s="5575"/>
      <c r="BT55" s="5575"/>
      <c r="BU55" s="5575"/>
      <c r="BV55" s="5576"/>
      <c r="BW55" s="1114"/>
      <c r="BX55" s="1108"/>
      <c r="BY55" s="1108"/>
      <c r="BZ55" s="2080"/>
      <c r="CA55" s="5572" t="s">
        <v>4570</v>
      </c>
      <c r="CB55" s="5573"/>
      <c r="CC55" s="1135">
        <f>IF(CA52=0,"",VLOOKUP(CA52,'Tablas Magia'!$D$6:$Z$680,8,FALSE))</f>
        <v>12</v>
      </c>
      <c r="CD55" s="1135">
        <f>IF(CA52=0,"",VLOOKUP(CA52,'Tablas Magia'!$D$6:$Z$680,12,FALSE))</f>
        <v>300</v>
      </c>
      <c r="CE55" s="1136" t="str">
        <f>IF(CA52=0,"",VLOOKUP(CA52,'Tablas Magia'!$D$6:$Z$680,16,FALSE))</f>
        <v>No</v>
      </c>
      <c r="CF55" s="5574" t="str">
        <f>IF(CA52=0,"",VLOOKUP(CA52,'Tablas Magia'!$D$6:$Z$680,20,FALSE))</f>
        <v>Cinco años</v>
      </c>
      <c r="CG55" s="5575"/>
      <c r="CH55" s="5575"/>
      <c r="CI55" s="5575"/>
      <c r="CJ55" s="5575"/>
      <c r="CK55" s="5575"/>
      <c r="CL55" s="5575"/>
      <c r="CM55" s="5575"/>
      <c r="CN55" s="5575"/>
      <c r="CO55" s="5576"/>
      <c r="CP55" s="1114"/>
      <c r="CQ55" s="1108"/>
    </row>
    <row r="56" spans="1:95" ht="12" customHeight="1">
      <c r="A56" s="1108"/>
      <c r="B56" s="2066"/>
      <c r="C56" s="5577" t="s">
        <v>4571</v>
      </c>
      <c r="D56" s="5578"/>
      <c r="E56" s="1133">
        <f>IF(C52=0,"",VLOOKUP(C52,'Tablas Magia'!$D$6:$Z$680,9,FALSE))</f>
        <v>10</v>
      </c>
      <c r="F56" s="1133">
        <f>IF(C52=0,"",VLOOKUP(C52,'Tablas Magia'!$D$6:$Z$680,13,FALSE))</f>
        <v>180</v>
      </c>
      <c r="G56" s="1134">
        <f>IF(C52=0,"",VLOOKUP(C52,'Tablas Magia'!$D$6:$Z$680,17,FALSE))</f>
        <v>20</v>
      </c>
      <c r="H56" s="5579" t="str">
        <f>IF(C52=0,"",VLOOKUP(C52,'Tablas Magia'!$D$6:$Z$680,21,FALSE))</f>
        <v>El escudo tiene 1.800 puntos de Resistencia</v>
      </c>
      <c r="I56" s="5580"/>
      <c r="J56" s="5580"/>
      <c r="K56" s="5580"/>
      <c r="L56" s="5580"/>
      <c r="M56" s="5580"/>
      <c r="N56" s="5580"/>
      <c r="O56" s="5580"/>
      <c r="P56" s="5580"/>
      <c r="Q56" s="5581"/>
      <c r="R56" s="1114"/>
      <c r="S56" s="1108"/>
      <c r="T56" s="1108"/>
      <c r="U56" s="2066"/>
      <c r="V56" s="5577" t="s">
        <v>4571</v>
      </c>
      <c r="W56" s="5578"/>
      <c r="X56" s="1133">
        <f>IF(V52=0,"",VLOOKUP(V52,'Tablas Magia'!$D$6:$Z$680,9,FALSE))</f>
        <v>12</v>
      </c>
      <c r="Y56" s="1133">
        <f>IF(V52=0,"",VLOOKUP(V52,'Tablas Magia'!$D$6:$Z$680,13,FALSE))</f>
        <v>250</v>
      </c>
      <c r="Z56" s="1134">
        <f>IF(V52=0,"",VLOOKUP(V52,'Tablas Magia'!$D$6:$Z$680,17,FALSE))</f>
        <v>25</v>
      </c>
      <c r="AA56" s="5579" t="str">
        <f>IF(V52=0,"",VLOOKUP(V52,'Tablas Magia'!$D$6:$Z$680,21,FALSE))</f>
        <v>Radio de 300 metros y RM 180.</v>
      </c>
      <c r="AB56" s="5580"/>
      <c r="AC56" s="5580"/>
      <c r="AD56" s="5580"/>
      <c r="AE56" s="5580"/>
      <c r="AF56" s="5580"/>
      <c r="AG56" s="5580"/>
      <c r="AH56" s="5580"/>
      <c r="AI56" s="5580"/>
      <c r="AJ56" s="5581"/>
      <c r="AK56" s="1114"/>
      <c r="AL56" s="1108"/>
      <c r="AM56" s="1108"/>
      <c r="AN56" s="2080"/>
      <c r="AO56" s="5577" t="s">
        <v>4571</v>
      </c>
      <c r="AP56" s="5578"/>
      <c r="AQ56" s="1133">
        <f>IF(AO52=0,"",VLOOKUP(AO52,'Tablas Magia'!$D$6:$Z$680,9,FALSE))</f>
        <v>12</v>
      </c>
      <c r="AR56" s="1133">
        <f>IF(AO52=0,"",VLOOKUP(AO52,'Tablas Magia'!$D$6:$Z$680,13,FALSE))</f>
        <v>240</v>
      </c>
      <c r="AS56" s="1134">
        <f>IF(AO52=0,"",VLOOKUP(AO52,'Tablas Magia'!$D$6:$Z$680,17,FALSE))</f>
        <v>15</v>
      </c>
      <c r="AT56" s="5579" t="str">
        <f>IF(AO52=0,"",VLOOKUP(AO52,'Tablas Magia'!$D$6:$Z$680,21,FALSE))</f>
        <v>RM o RP 200 / 140 metros de distancia</v>
      </c>
      <c r="AU56" s="5580"/>
      <c r="AV56" s="5580"/>
      <c r="AW56" s="5580"/>
      <c r="AX56" s="5580"/>
      <c r="AY56" s="5580"/>
      <c r="AZ56" s="5580"/>
      <c r="BA56" s="5580"/>
      <c r="BB56" s="5580"/>
      <c r="BC56" s="5581"/>
      <c r="BD56" s="1114"/>
      <c r="BE56" s="1108"/>
      <c r="BF56" s="1108"/>
      <c r="BG56" s="2080"/>
      <c r="BH56" s="5577" t="s">
        <v>4571</v>
      </c>
      <c r="BI56" s="5578"/>
      <c r="BJ56" s="1133">
        <f>IF(BH52=0,"",VLOOKUP(BH52,'Tablas Magia'!$D$6:$Z$680,9,FALSE))</f>
        <v>14</v>
      </c>
      <c r="BK56" s="1133">
        <f>IF(BH52=0,"",VLOOKUP(BH52,'Tablas Magia'!$D$6:$Z$680,13,FALSE))</f>
        <v>2880</v>
      </c>
      <c r="BL56" s="1134">
        <f>IF(BH52=0,"",VLOOKUP(BH52,'Tablas Magia'!$D$6:$Z$680,17,FALSE))</f>
        <v>10</v>
      </c>
      <c r="BM56" s="5579" t="str">
        <f>IF(BH52=0,"",VLOOKUP(BH52,'Tablas Magia'!$D$6:$Z$680,21,FALSE))</f>
        <v>Visible en 15 kilómetros de radio / RM o RP 180.</v>
      </c>
      <c r="BN56" s="5580"/>
      <c r="BO56" s="5580"/>
      <c r="BP56" s="5580"/>
      <c r="BQ56" s="5580"/>
      <c r="BR56" s="5580"/>
      <c r="BS56" s="5580"/>
      <c r="BT56" s="5580"/>
      <c r="BU56" s="5580"/>
      <c r="BV56" s="5581"/>
      <c r="BW56" s="1114"/>
      <c r="BX56" s="1108"/>
      <c r="BY56" s="1108"/>
      <c r="BZ56" s="2080"/>
      <c r="CA56" s="5577" t="s">
        <v>4571</v>
      </c>
      <c r="CB56" s="5578"/>
      <c r="CC56" s="1133">
        <f>IF(CA52=0,"",VLOOKUP(CA52,'Tablas Magia'!$D$6:$Z$680,9,FALSE))</f>
        <v>14</v>
      </c>
      <c r="CD56" s="1133">
        <f>IF(CA52=0,"",VLOOKUP(CA52,'Tablas Magia'!$D$6:$Z$680,13,FALSE))</f>
        <v>450</v>
      </c>
      <c r="CE56" s="1134" t="str">
        <f>IF(CA52=0,"",VLOOKUP(CA52,'Tablas Magia'!$D$6:$Z$680,17,FALSE))</f>
        <v>No</v>
      </c>
      <c r="CF56" s="5579" t="str">
        <f>IF(CA52=0,"",VLOOKUP(CA52,'Tablas Magia'!$D$6:$Z$680,21,FALSE))</f>
        <v>Cincuenta años / Si ocurrirá en menos de un día, será muy exacta</v>
      </c>
      <c r="CG56" s="5580"/>
      <c r="CH56" s="5580"/>
      <c r="CI56" s="5580"/>
      <c r="CJ56" s="5580"/>
      <c r="CK56" s="5580"/>
      <c r="CL56" s="5580"/>
      <c r="CM56" s="5580"/>
      <c r="CN56" s="5580"/>
      <c r="CO56" s="5581"/>
      <c r="CP56" s="1114"/>
      <c r="CQ56" s="1108"/>
    </row>
    <row r="57" spans="1:95" ht="12" customHeight="1" thickBot="1">
      <c r="A57" s="1108"/>
      <c r="B57" s="2066"/>
      <c r="C57" s="5587" t="s">
        <v>4572</v>
      </c>
      <c r="D57" s="5588"/>
      <c r="E57" s="1137">
        <f>IF(C52=0,"",VLOOKUP(C52,'Tablas Magia'!$D$6:$Z$680,10,FALSE))</f>
        <v>14</v>
      </c>
      <c r="F57" s="1137">
        <f>IF(C52=0,"",VLOOKUP(C52,'Tablas Magia'!$D$6:$Z$680,14,FALSE))</f>
        <v>250</v>
      </c>
      <c r="G57" s="1138">
        <f>IF(C52=0,"",VLOOKUP(C52,'Tablas Magia'!$D$6:$Z$680,18,FALSE))</f>
        <v>25</v>
      </c>
      <c r="H57" s="5589" t="str">
        <f>IF(C52=0,"",VLOOKUP(C52,'Tablas Magia'!$D$6:$Z$680,22,FALSE))</f>
        <v>El escudo tiene 3.000 puntos de Resistencia</v>
      </c>
      <c r="I57" s="5590"/>
      <c r="J57" s="5590"/>
      <c r="K57" s="5590"/>
      <c r="L57" s="5590"/>
      <c r="M57" s="5590"/>
      <c r="N57" s="5590"/>
      <c r="O57" s="5590"/>
      <c r="P57" s="5590"/>
      <c r="Q57" s="5591"/>
      <c r="R57" s="1114"/>
      <c r="S57" s="1108"/>
      <c r="T57" s="1108"/>
      <c r="U57" s="2066"/>
      <c r="V57" s="5587" t="s">
        <v>4572</v>
      </c>
      <c r="W57" s="5588"/>
      <c r="X57" s="1137">
        <f>IF(V52=0,"",VLOOKUP(V52,'Tablas Magia'!$D$6:$Z$680,10,FALSE))</f>
        <v>15</v>
      </c>
      <c r="Y57" s="1137">
        <f>IF(V52=0,"",VLOOKUP(V52,'Tablas Magia'!$D$6:$Z$680,14,FALSE))</f>
        <v>250</v>
      </c>
      <c r="Z57" s="1138">
        <f>IF(V52=0,"",VLOOKUP(V52,'Tablas Magia'!$D$6:$Z$680,18,FALSE))</f>
        <v>30</v>
      </c>
      <c r="AA57" s="5589" t="str">
        <f>IF(V52=0,"",VLOOKUP(V52,'Tablas Magia'!$D$6:$Z$680,22,FALSE))</f>
        <v>Radio de 500 metros / RM 220</v>
      </c>
      <c r="AB57" s="5590"/>
      <c r="AC57" s="5590"/>
      <c r="AD57" s="5590"/>
      <c r="AE57" s="5590"/>
      <c r="AF57" s="5590"/>
      <c r="AG57" s="5590"/>
      <c r="AH57" s="5590"/>
      <c r="AI57" s="5590"/>
      <c r="AJ57" s="5591"/>
      <c r="AK57" s="1114"/>
      <c r="AL57" s="1108"/>
      <c r="AM57" s="1108"/>
      <c r="AN57" s="2080"/>
      <c r="AO57" s="5587" t="s">
        <v>4572</v>
      </c>
      <c r="AP57" s="5588"/>
      <c r="AQ57" s="1137">
        <f>IF(AO52=0,"",VLOOKUP(AO52,'Tablas Magia'!$D$6:$Z$680,10,FALSE))</f>
        <v>15</v>
      </c>
      <c r="AR57" s="1137">
        <f>IF(AO52=0,"",VLOOKUP(AO52,'Tablas Magia'!$D$6:$Z$680,14,FALSE))</f>
        <v>300</v>
      </c>
      <c r="AS57" s="1138">
        <f>IF(AO52=0,"",VLOOKUP(AO52,'Tablas Magia'!$D$6:$Z$680,18,FALSE))</f>
        <v>15</v>
      </c>
      <c r="AT57" s="5589" t="str">
        <f>IF(AO52=0,"",VLOOKUP(AO52,'Tablas Magia'!$D$6:$Z$680,22,FALSE))</f>
        <v>RM o RP 240 / 200 metros de distancia</v>
      </c>
      <c r="AU57" s="5590"/>
      <c r="AV57" s="5590"/>
      <c r="AW57" s="5590"/>
      <c r="AX57" s="5590"/>
      <c r="AY57" s="5590"/>
      <c r="AZ57" s="5590"/>
      <c r="BA57" s="5590"/>
      <c r="BB57" s="5590"/>
      <c r="BC57" s="5591"/>
      <c r="BD57" s="1114"/>
      <c r="BE57" s="1108"/>
      <c r="BF57" s="1108"/>
      <c r="BG57" s="2080"/>
      <c r="BH57" s="5587" t="s">
        <v>4572</v>
      </c>
      <c r="BI57" s="5588"/>
      <c r="BJ57" s="1137">
        <f>IF(BH52=0,"",VLOOKUP(BH52,'Tablas Magia'!$D$6:$Z$680,10,FALSE))</f>
        <v>16</v>
      </c>
      <c r="BK57" s="1137">
        <f>IF(BH52=0,"",VLOOKUP(BH52,'Tablas Magia'!$D$6:$Z$680,14,FALSE))</f>
        <v>360</v>
      </c>
      <c r="BL57" s="1138">
        <f>IF(BH52=0,"",VLOOKUP(BH52,'Tablas Magia'!$D$6:$Z$680,18,FALSE))</f>
        <v>15</v>
      </c>
      <c r="BM57" s="5589" t="str">
        <f>IF(BH52=0,"",VLOOKUP(BH52,'Tablas Magia'!$D$6:$Z$680,22,FALSE))</f>
        <v>Visible en 25 kilómetros de radio / RM o RP 220</v>
      </c>
      <c r="BN57" s="5590"/>
      <c r="BO57" s="5590"/>
      <c r="BP57" s="5590"/>
      <c r="BQ57" s="5590"/>
      <c r="BR57" s="5590"/>
      <c r="BS57" s="5590"/>
      <c r="BT57" s="5590"/>
      <c r="BU57" s="5590"/>
      <c r="BV57" s="5591"/>
      <c r="BW57" s="1114"/>
      <c r="BX57" s="1108"/>
      <c r="BY57" s="1108"/>
      <c r="BZ57" s="2080"/>
      <c r="CA57" s="5587" t="s">
        <v>4572</v>
      </c>
      <c r="CB57" s="5588"/>
      <c r="CC57" s="1137">
        <f>IF(CA52=0,"",VLOOKUP(CA52,'Tablas Magia'!$D$6:$Z$680,10,FALSE))</f>
        <v>16</v>
      </c>
      <c r="CD57" s="1137">
        <f>IF(CA52=0,"",VLOOKUP(CA52,'Tablas Magia'!$D$6:$Z$680,14,FALSE))</f>
        <v>600</v>
      </c>
      <c r="CE57" s="1138" t="str">
        <f>IF(CA52=0,"",VLOOKUP(CA52,'Tablas Magia'!$D$6:$Z$680,18,FALSE))</f>
        <v>No</v>
      </c>
      <c r="CF57" s="5589" t="str">
        <f>IF(CA52=0,"",VLOOKUP(CA52,'Tablas Magia'!$D$6:$Z$680,22,FALSE))</f>
        <v>Un siglo / Si ocurrirá en menos de un año, será bastante exacta.</v>
      </c>
      <c r="CG57" s="5590"/>
      <c r="CH57" s="5590"/>
      <c r="CI57" s="5590"/>
      <c r="CJ57" s="5590"/>
      <c r="CK57" s="5590"/>
      <c r="CL57" s="5590"/>
      <c r="CM57" s="5590"/>
      <c r="CN57" s="5590"/>
      <c r="CO57" s="5591"/>
      <c r="CP57" s="1114"/>
      <c r="CQ57" s="1108"/>
    </row>
    <row r="58" spans="1:95" ht="12" customHeight="1">
      <c r="A58" s="1108"/>
      <c r="B58" s="2066"/>
      <c r="C58" s="5592"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93"/>
      <c r="E58" s="5593"/>
      <c r="F58" s="5593"/>
      <c r="G58" s="5593"/>
      <c r="H58" s="5593"/>
      <c r="I58" s="5593"/>
      <c r="J58" s="5593"/>
      <c r="K58" s="5593"/>
      <c r="L58" s="5593"/>
      <c r="M58" s="5593"/>
      <c r="N58" s="5593"/>
      <c r="O58" s="5593"/>
      <c r="P58" s="5593"/>
      <c r="Q58" s="5594"/>
      <c r="R58" s="1114"/>
      <c r="S58" s="1108"/>
      <c r="T58" s="1108"/>
      <c r="U58" s="2066"/>
      <c r="V58" s="5592"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93"/>
      <c r="X58" s="5593"/>
      <c r="Y58" s="5593"/>
      <c r="Z58" s="5593"/>
      <c r="AA58" s="5593"/>
      <c r="AB58" s="5593"/>
      <c r="AC58" s="5593"/>
      <c r="AD58" s="5593"/>
      <c r="AE58" s="5593"/>
      <c r="AF58" s="5593"/>
      <c r="AG58" s="5593"/>
      <c r="AH58" s="5593"/>
      <c r="AI58" s="5593"/>
      <c r="AJ58" s="5594"/>
      <c r="AK58" s="1114"/>
      <c r="AL58" s="1108"/>
      <c r="AM58" s="1108"/>
      <c r="AN58" s="2080"/>
      <c r="AO58" s="5592"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93"/>
      <c r="AQ58" s="5593"/>
      <c r="AR58" s="5593"/>
      <c r="AS58" s="5593"/>
      <c r="AT58" s="5593"/>
      <c r="AU58" s="5593"/>
      <c r="AV58" s="5593"/>
      <c r="AW58" s="5593"/>
      <c r="AX58" s="5593"/>
      <c r="AY58" s="5593"/>
      <c r="AZ58" s="5593"/>
      <c r="BA58" s="5593"/>
      <c r="BB58" s="5593"/>
      <c r="BC58" s="5594"/>
      <c r="BD58" s="1114"/>
      <c r="BE58" s="1108"/>
      <c r="BF58" s="1108"/>
      <c r="BG58" s="2080"/>
      <c r="BH58" s="5592"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93"/>
      <c r="BJ58" s="5593"/>
      <c r="BK58" s="5593"/>
      <c r="BL58" s="5593"/>
      <c r="BM58" s="5593"/>
      <c r="BN58" s="5593"/>
      <c r="BO58" s="5593"/>
      <c r="BP58" s="5593"/>
      <c r="BQ58" s="5593"/>
      <c r="BR58" s="5593"/>
      <c r="BS58" s="5593"/>
      <c r="BT58" s="5593"/>
      <c r="BU58" s="5593"/>
      <c r="BV58" s="5594"/>
      <c r="BW58" s="1114"/>
      <c r="BX58" s="1108"/>
      <c r="BY58" s="1108"/>
      <c r="BZ58" s="2080"/>
      <c r="CA58" s="5592"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93"/>
      <c r="CC58" s="5593"/>
      <c r="CD58" s="5593"/>
      <c r="CE58" s="5593"/>
      <c r="CF58" s="5593"/>
      <c r="CG58" s="5593"/>
      <c r="CH58" s="5593"/>
      <c r="CI58" s="5593"/>
      <c r="CJ58" s="5593"/>
      <c r="CK58" s="5593"/>
      <c r="CL58" s="5593"/>
      <c r="CM58" s="5593"/>
      <c r="CN58" s="5593"/>
      <c r="CO58" s="5594"/>
      <c r="CP58" s="1114"/>
      <c r="CQ58" s="1108"/>
    </row>
    <row r="59" spans="1:95" ht="12" customHeight="1">
      <c r="A59" s="1108"/>
      <c r="B59" s="2066"/>
      <c r="C59" s="5595"/>
      <c r="D59" s="5596"/>
      <c r="E59" s="5596"/>
      <c r="F59" s="5596"/>
      <c r="G59" s="5596"/>
      <c r="H59" s="5596"/>
      <c r="I59" s="5596"/>
      <c r="J59" s="5596"/>
      <c r="K59" s="5596"/>
      <c r="L59" s="5596"/>
      <c r="M59" s="5596"/>
      <c r="N59" s="5596"/>
      <c r="O59" s="5596"/>
      <c r="P59" s="5596"/>
      <c r="Q59" s="5597"/>
      <c r="R59" s="1114"/>
      <c r="S59" s="1108"/>
      <c r="T59" s="1108"/>
      <c r="U59" s="2066"/>
      <c r="V59" s="5595"/>
      <c r="W59" s="5596"/>
      <c r="X59" s="5596"/>
      <c r="Y59" s="5596"/>
      <c r="Z59" s="5596"/>
      <c r="AA59" s="5596"/>
      <c r="AB59" s="5596"/>
      <c r="AC59" s="5596"/>
      <c r="AD59" s="5596"/>
      <c r="AE59" s="5596"/>
      <c r="AF59" s="5596"/>
      <c r="AG59" s="5596"/>
      <c r="AH59" s="5596"/>
      <c r="AI59" s="5596"/>
      <c r="AJ59" s="5597"/>
      <c r="AK59" s="1114"/>
      <c r="AL59" s="1108"/>
      <c r="AM59" s="1108"/>
      <c r="AN59" s="2080"/>
      <c r="AO59" s="5595"/>
      <c r="AP59" s="5596"/>
      <c r="AQ59" s="5596"/>
      <c r="AR59" s="5596"/>
      <c r="AS59" s="5596"/>
      <c r="AT59" s="5596"/>
      <c r="AU59" s="5596"/>
      <c r="AV59" s="5596"/>
      <c r="AW59" s="5596"/>
      <c r="AX59" s="5596"/>
      <c r="AY59" s="5596"/>
      <c r="AZ59" s="5596"/>
      <c r="BA59" s="5596"/>
      <c r="BB59" s="5596"/>
      <c r="BC59" s="5597"/>
      <c r="BD59" s="1114"/>
      <c r="BE59" s="1108"/>
      <c r="BF59" s="1108"/>
      <c r="BG59" s="2080"/>
      <c r="BH59" s="5595"/>
      <c r="BI59" s="5596"/>
      <c r="BJ59" s="5596"/>
      <c r="BK59" s="5596"/>
      <c r="BL59" s="5596"/>
      <c r="BM59" s="5596"/>
      <c r="BN59" s="5596"/>
      <c r="BO59" s="5596"/>
      <c r="BP59" s="5596"/>
      <c r="BQ59" s="5596"/>
      <c r="BR59" s="5596"/>
      <c r="BS59" s="5596"/>
      <c r="BT59" s="5596"/>
      <c r="BU59" s="5596"/>
      <c r="BV59" s="5597"/>
      <c r="BW59" s="1114"/>
      <c r="BX59" s="1108"/>
      <c r="BY59" s="1108"/>
      <c r="BZ59" s="2080"/>
      <c r="CA59" s="5595"/>
      <c r="CB59" s="5596"/>
      <c r="CC59" s="5596"/>
      <c r="CD59" s="5596"/>
      <c r="CE59" s="5596"/>
      <c r="CF59" s="5596"/>
      <c r="CG59" s="5596"/>
      <c r="CH59" s="5596"/>
      <c r="CI59" s="5596"/>
      <c r="CJ59" s="5596"/>
      <c r="CK59" s="5596"/>
      <c r="CL59" s="5596"/>
      <c r="CM59" s="5596"/>
      <c r="CN59" s="5596"/>
      <c r="CO59" s="5597"/>
      <c r="CP59" s="1114"/>
      <c r="CQ59" s="1108"/>
    </row>
    <row r="60" spans="1:95" ht="12" customHeight="1">
      <c r="A60" s="1108"/>
      <c r="B60" s="2066"/>
      <c r="C60" s="5595"/>
      <c r="D60" s="5596"/>
      <c r="E60" s="5596"/>
      <c r="F60" s="5596"/>
      <c r="G60" s="5596"/>
      <c r="H60" s="5596"/>
      <c r="I60" s="5596"/>
      <c r="J60" s="5596"/>
      <c r="K60" s="5596"/>
      <c r="L60" s="5596"/>
      <c r="M60" s="5596"/>
      <c r="N60" s="5596"/>
      <c r="O60" s="5596"/>
      <c r="P60" s="5596"/>
      <c r="Q60" s="5597"/>
      <c r="R60" s="1114"/>
      <c r="S60" s="1108"/>
      <c r="T60" s="1108"/>
      <c r="U60" s="2066"/>
      <c r="V60" s="5595"/>
      <c r="W60" s="5596"/>
      <c r="X60" s="5596"/>
      <c r="Y60" s="5596"/>
      <c r="Z60" s="5596"/>
      <c r="AA60" s="5596"/>
      <c r="AB60" s="5596"/>
      <c r="AC60" s="5596"/>
      <c r="AD60" s="5596"/>
      <c r="AE60" s="5596"/>
      <c r="AF60" s="5596"/>
      <c r="AG60" s="5596"/>
      <c r="AH60" s="5596"/>
      <c r="AI60" s="5596"/>
      <c r="AJ60" s="5597"/>
      <c r="AK60" s="1114"/>
      <c r="AL60" s="1108"/>
      <c r="AM60" s="1108"/>
      <c r="AN60" s="2080"/>
      <c r="AO60" s="5595"/>
      <c r="AP60" s="5596"/>
      <c r="AQ60" s="5596"/>
      <c r="AR60" s="5596"/>
      <c r="AS60" s="5596"/>
      <c r="AT60" s="5596"/>
      <c r="AU60" s="5596"/>
      <c r="AV60" s="5596"/>
      <c r="AW60" s="5596"/>
      <c r="AX60" s="5596"/>
      <c r="AY60" s="5596"/>
      <c r="AZ60" s="5596"/>
      <c r="BA60" s="5596"/>
      <c r="BB60" s="5596"/>
      <c r="BC60" s="5597"/>
      <c r="BD60" s="1114"/>
      <c r="BE60" s="1108"/>
      <c r="BF60" s="1108"/>
      <c r="BG60" s="2080"/>
      <c r="BH60" s="5595"/>
      <c r="BI60" s="5596"/>
      <c r="BJ60" s="5596"/>
      <c r="BK60" s="5596"/>
      <c r="BL60" s="5596"/>
      <c r="BM60" s="5596"/>
      <c r="BN60" s="5596"/>
      <c r="BO60" s="5596"/>
      <c r="BP60" s="5596"/>
      <c r="BQ60" s="5596"/>
      <c r="BR60" s="5596"/>
      <c r="BS60" s="5596"/>
      <c r="BT60" s="5596"/>
      <c r="BU60" s="5596"/>
      <c r="BV60" s="5597"/>
      <c r="BW60" s="1114"/>
      <c r="BX60" s="1108"/>
      <c r="BY60" s="1108"/>
      <c r="BZ60" s="2080"/>
      <c r="CA60" s="5595"/>
      <c r="CB60" s="5596"/>
      <c r="CC60" s="5596"/>
      <c r="CD60" s="5596"/>
      <c r="CE60" s="5596"/>
      <c r="CF60" s="5596"/>
      <c r="CG60" s="5596"/>
      <c r="CH60" s="5596"/>
      <c r="CI60" s="5596"/>
      <c r="CJ60" s="5596"/>
      <c r="CK60" s="5596"/>
      <c r="CL60" s="5596"/>
      <c r="CM60" s="5596"/>
      <c r="CN60" s="5596"/>
      <c r="CO60" s="5597"/>
      <c r="CP60" s="1114"/>
      <c r="CQ60" s="1108"/>
    </row>
    <row r="61" spans="1:95" ht="12" customHeight="1" thickBot="1">
      <c r="A61" s="1108"/>
      <c r="B61" s="2066"/>
      <c r="C61" s="5598"/>
      <c r="D61" s="5599"/>
      <c r="E61" s="5599"/>
      <c r="F61" s="5599"/>
      <c r="G61" s="5599"/>
      <c r="H61" s="5599"/>
      <c r="I61" s="5599"/>
      <c r="J61" s="5599"/>
      <c r="K61" s="5599"/>
      <c r="L61" s="5599"/>
      <c r="M61" s="5599"/>
      <c r="N61" s="5599"/>
      <c r="O61" s="5599"/>
      <c r="P61" s="5599"/>
      <c r="Q61" s="5600"/>
      <c r="R61" s="1114"/>
      <c r="S61" s="1108"/>
      <c r="T61" s="1108"/>
      <c r="U61" s="2066"/>
      <c r="V61" s="5598"/>
      <c r="W61" s="5599"/>
      <c r="X61" s="5599"/>
      <c r="Y61" s="5599"/>
      <c r="Z61" s="5599"/>
      <c r="AA61" s="5599"/>
      <c r="AB61" s="5599"/>
      <c r="AC61" s="5599"/>
      <c r="AD61" s="5599"/>
      <c r="AE61" s="5599"/>
      <c r="AF61" s="5599"/>
      <c r="AG61" s="5599"/>
      <c r="AH61" s="5599"/>
      <c r="AI61" s="5599"/>
      <c r="AJ61" s="5600"/>
      <c r="AK61" s="1114"/>
      <c r="AL61" s="1108"/>
      <c r="AM61" s="1108"/>
      <c r="AN61" s="2080"/>
      <c r="AO61" s="5598"/>
      <c r="AP61" s="5599"/>
      <c r="AQ61" s="5599"/>
      <c r="AR61" s="5599"/>
      <c r="AS61" s="5599"/>
      <c r="AT61" s="5599"/>
      <c r="AU61" s="5599"/>
      <c r="AV61" s="5599"/>
      <c r="AW61" s="5599"/>
      <c r="AX61" s="5599"/>
      <c r="AY61" s="5599"/>
      <c r="AZ61" s="5599"/>
      <c r="BA61" s="5599"/>
      <c r="BB61" s="5599"/>
      <c r="BC61" s="5600"/>
      <c r="BD61" s="1114"/>
      <c r="BE61" s="1108"/>
      <c r="BF61" s="1108"/>
      <c r="BG61" s="2080"/>
      <c r="BH61" s="5598"/>
      <c r="BI61" s="5599"/>
      <c r="BJ61" s="5599"/>
      <c r="BK61" s="5599"/>
      <c r="BL61" s="5599"/>
      <c r="BM61" s="5599"/>
      <c r="BN61" s="5599"/>
      <c r="BO61" s="5599"/>
      <c r="BP61" s="5599"/>
      <c r="BQ61" s="5599"/>
      <c r="BR61" s="5599"/>
      <c r="BS61" s="5599"/>
      <c r="BT61" s="5599"/>
      <c r="BU61" s="5599"/>
      <c r="BV61" s="5600"/>
      <c r="BW61" s="1114"/>
      <c r="BX61" s="1108"/>
      <c r="BY61" s="1108"/>
      <c r="BZ61" s="2080"/>
      <c r="CA61" s="5598"/>
      <c r="CB61" s="5599"/>
      <c r="CC61" s="5599"/>
      <c r="CD61" s="5599"/>
      <c r="CE61" s="5599"/>
      <c r="CF61" s="5599"/>
      <c r="CG61" s="5599"/>
      <c r="CH61" s="5599"/>
      <c r="CI61" s="5599"/>
      <c r="CJ61" s="5599"/>
      <c r="CK61" s="5599"/>
      <c r="CL61" s="5599"/>
      <c r="CM61" s="5599"/>
      <c r="CN61" s="5599"/>
      <c r="CO61" s="5600"/>
      <c r="CP61" s="1114"/>
      <c r="CQ61" s="1108"/>
    </row>
    <row r="62" spans="1:95" ht="12" customHeight="1">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c r="A63" s="1108"/>
      <c r="B63" s="2083"/>
      <c r="C63" s="5603" t="str">
        <f>B64&amp;"-"&amp;B108</f>
        <v>12-20</v>
      </c>
      <c r="D63" s="5603"/>
      <c r="E63" s="5603"/>
      <c r="F63" s="5603"/>
      <c r="G63" s="5603"/>
      <c r="H63" s="5603"/>
      <c r="I63" s="5603"/>
      <c r="J63" s="5603"/>
      <c r="K63" s="5603"/>
      <c r="L63" s="5603"/>
      <c r="M63" s="5603"/>
      <c r="N63" s="5603"/>
      <c r="O63" s="5603"/>
      <c r="P63" s="5603"/>
      <c r="Q63" s="5603"/>
      <c r="R63" s="2079"/>
      <c r="S63" s="1108"/>
      <c r="T63" s="1108"/>
      <c r="U63" s="2083"/>
      <c r="V63" s="5603" t="str">
        <f>U64&amp;"-"&amp;U108</f>
        <v>32-40</v>
      </c>
      <c r="W63" s="5603"/>
      <c r="X63" s="5603"/>
      <c r="Y63" s="5603"/>
      <c r="Z63" s="5603"/>
      <c r="AA63" s="5603"/>
      <c r="AB63" s="5603"/>
      <c r="AC63" s="5603"/>
      <c r="AD63" s="5603"/>
      <c r="AE63" s="5603"/>
      <c r="AF63" s="5603"/>
      <c r="AG63" s="5603"/>
      <c r="AH63" s="5603"/>
      <c r="AI63" s="5603"/>
      <c r="AJ63" s="5603"/>
      <c r="AK63" s="2078"/>
      <c r="AL63" s="1108"/>
      <c r="AM63" s="2081"/>
      <c r="AN63" s="2077"/>
      <c r="AO63" s="5603" t="str">
        <f>AN64&amp;"-"&amp;AN108</f>
        <v>52-60</v>
      </c>
      <c r="AP63" s="5603"/>
      <c r="AQ63" s="5603"/>
      <c r="AR63" s="5603"/>
      <c r="AS63" s="5603"/>
      <c r="AT63" s="5603"/>
      <c r="AU63" s="5603"/>
      <c r="AV63" s="5603"/>
      <c r="AW63" s="5603"/>
      <c r="AX63" s="5603"/>
      <c r="AY63" s="5603"/>
      <c r="AZ63" s="5603"/>
      <c r="BA63" s="5603"/>
      <c r="BB63" s="5603"/>
      <c r="BC63" s="5603"/>
      <c r="BD63" s="2078"/>
      <c r="BE63" s="1108"/>
      <c r="BF63" s="1108"/>
      <c r="BG63" s="2077"/>
      <c r="BH63" s="5603" t="str">
        <f>BG64&amp;"-"&amp;BG108</f>
        <v>72-80</v>
      </c>
      <c r="BI63" s="5603"/>
      <c r="BJ63" s="5603"/>
      <c r="BK63" s="5603"/>
      <c r="BL63" s="5603"/>
      <c r="BM63" s="5603"/>
      <c r="BN63" s="5603"/>
      <c r="BO63" s="5603"/>
      <c r="BP63" s="5603"/>
      <c r="BQ63" s="5603"/>
      <c r="BR63" s="5603"/>
      <c r="BS63" s="5603"/>
      <c r="BT63" s="5603"/>
      <c r="BU63" s="5603"/>
      <c r="BV63" s="5603"/>
      <c r="BW63" s="2078"/>
      <c r="BX63" s="1108"/>
      <c r="BY63" s="1108"/>
      <c r="BZ63" s="2077"/>
      <c r="CA63" s="5603" t="str">
        <f>BZ64&amp;"-"&amp;BZ108</f>
        <v>92-100</v>
      </c>
      <c r="CB63" s="5603"/>
      <c r="CC63" s="5603"/>
      <c r="CD63" s="5603"/>
      <c r="CE63" s="5603"/>
      <c r="CF63" s="5603"/>
      <c r="CG63" s="5603"/>
      <c r="CH63" s="5603"/>
      <c r="CI63" s="5603"/>
      <c r="CJ63" s="5603"/>
      <c r="CK63" s="5603"/>
      <c r="CL63" s="5603"/>
      <c r="CM63" s="5603"/>
      <c r="CN63" s="5603"/>
      <c r="CO63" s="5603"/>
      <c r="CP63" s="2078"/>
      <c r="CQ63" s="1108"/>
    </row>
    <row r="64" spans="1:95" ht="12" customHeight="1">
      <c r="A64" s="1108"/>
      <c r="B64" s="2066">
        <f>B52+2</f>
        <v>12</v>
      </c>
      <c r="C64" s="560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02"/>
      <c r="E64" s="5602"/>
      <c r="F64" s="5602"/>
      <c r="G64" s="5602"/>
      <c r="H64" s="1128" t="s">
        <v>1627</v>
      </c>
      <c r="I64" s="1129">
        <f>B64</f>
        <v>12</v>
      </c>
      <c r="J64" s="5567" t="s">
        <v>7685</v>
      </c>
      <c r="K64" s="5567"/>
      <c r="L64" s="5567"/>
      <c r="M64" s="5568" t="str">
        <f>IF(C64=0,"",VLOOKUP(C64,'Tablas Magia'!$D$6:$Z$680,2,FALSE))</f>
        <v>Luz</v>
      </c>
      <c r="N64" s="5568"/>
      <c r="O64" s="5568"/>
      <c r="P64" s="5568"/>
      <c r="Q64" s="5569"/>
      <c r="R64" s="1114"/>
      <c r="S64" s="1108"/>
      <c r="T64" s="1108"/>
      <c r="U64" s="2066">
        <f>U52+2</f>
        <v>32</v>
      </c>
      <c r="V64" s="560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02"/>
      <c r="X64" s="5602"/>
      <c r="Y64" s="5602"/>
      <c r="Z64" s="5602"/>
      <c r="AA64" s="1128" t="s">
        <v>1627</v>
      </c>
      <c r="AB64" s="1129">
        <f>U64</f>
        <v>32</v>
      </c>
      <c r="AC64" s="5567" t="s">
        <v>7685</v>
      </c>
      <c r="AD64" s="5567"/>
      <c r="AE64" s="5567"/>
      <c r="AF64" s="5568" t="str">
        <f>IF(V64=0,"",VLOOKUP(V64,'Tablas Magia'!$D$6:$Z$680,2,FALSE))</f>
        <v>Luz</v>
      </c>
      <c r="AG64" s="5568"/>
      <c r="AH64" s="5568"/>
      <c r="AI64" s="5568"/>
      <c r="AJ64" s="5569"/>
      <c r="AK64" s="1114"/>
      <c r="AL64" s="1108"/>
      <c r="AM64" s="1108"/>
      <c r="AN64" s="2080">
        <f>AN52+2</f>
        <v>52</v>
      </c>
      <c r="AO64" s="560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02"/>
      <c r="AQ64" s="5602"/>
      <c r="AR64" s="5602"/>
      <c r="AS64" s="5602"/>
      <c r="AT64" s="1128" t="s">
        <v>1627</v>
      </c>
      <c r="AU64" s="1129">
        <f>AN64</f>
        <v>52</v>
      </c>
      <c r="AV64" s="5567" t="s">
        <v>7685</v>
      </c>
      <c r="AW64" s="5567"/>
      <c r="AX64" s="5567"/>
      <c r="AY64" s="5568" t="str">
        <f>IF(AO64=0,"",VLOOKUP(AO64,'Tablas Magia'!$D$6:$Z$680,2,FALSE))</f>
        <v>Luz</v>
      </c>
      <c r="AZ64" s="5568"/>
      <c r="BA64" s="5568"/>
      <c r="BB64" s="5568"/>
      <c r="BC64" s="5569"/>
      <c r="BD64" s="1114"/>
      <c r="BE64" s="1108"/>
      <c r="BF64" s="1108"/>
      <c r="BG64" s="2080">
        <f>BG52+2</f>
        <v>72</v>
      </c>
      <c r="BH64" s="560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02"/>
      <c r="BJ64" s="5602"/>
      <c r="BK64" s="5602"/>
      <c r="BL64" s="5602"/>
      <c r="BM64" s="1128" t="s">
        <v>1627</v>
      </c>
      <c r="BN64" s="1129">
        <f>BG64</f>
        <v>72</v>
      </c>
      <c r="BO64" s="5567" t="s">
        <v>7685</v>
      </c>
      <c r="BP64" s="5567"/>
      <c r="BQ64" s="5567"/>
      <c r="BR64" s="5568" t="str">
        <f>IF(BH64=0,"",VLOOKUP(BH64,'Tablas Magia'!$D$6:$Z$680,2,FALSE))</f>
        <v>Luz</v>
      </c>
      <c r="BS64" s="5568"/>
      <c r="BT64" s="5568"/>
      <c r="BU64" s="5568"/>
      <c r="BV64" s="5569"/>
      <c r="BW64" s="1114"/>
      <c r="BX64" s="1108"/>
      <c r="BY64" s="1108"/>
      <c r="BZ64" s="2080">
        <f>BZ52+2</f>
        <v>92</v>
      </c>
      <c r="CA64" s="560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02"/>
      <c r="CC64" s="5602"/>
      <c r="CD64" s="5602"/>
      <c r="CE64" s="5602"/>
      <c r="CF64" s="1128" t="s">
        <v>1627</v>
      </c>
      <c r="CG64" s="1129">
        <f>BZ64</f>
        <v>92</v>
      </c>
      <c r="CH64" s="5567" t="s">
        <v>7685</v>
      </c>
      <c r="CI64" s="5567"/>
      <c r="CJ64" s="5567"/>
      <c r="CK64" s="5568" t="str">
        <f>IF(CA64=0,"",VLOOKUP(CA64,'Tablas Magia'!$D$6:$Z$680,2,FALSE))</f>
        <v>Luz</v>
      </c>
      <c r="CL64" s="5568"/>
      <c r="CM64" s="5568"/>
      <c r="CN64" s="5568"/>
      <c r="CO64" s="5569"/>
      <c r="CP64" s="1114"/>
      <c r="CQ64" s="1108"/>
    </row>
    <row r="65" spans="1:95" ht="12" customHeight="1">
      <c r="A65" s="1108"/>
      <c r="B65" s="2066"/>
      <c r="C65" s="5585" t="s">
        <v>7686</v>
      </c>
      <c r="D65" s="5586"/>
      <c r="E65" s="1130" t="s">
        <v>7687</v>
      </c>
      <c r="F65" s="1130" t="s">
        <v>1820</v>
      </c>
      <c r="G65" s="1130" t="s">
        <v>3332</v>
      </c>
      <c r="H65" s="1131" t="s">
        <v>2165</v>
      </c>
      <c r="I65" s="5582" t="str">
        <f>IF(C64=0,"",VLOOKUP(C64,'Tablas Magia'!$D$6:$Z$680,5,FALSE))</f>
        <v>Efecto</v>
      </c>
      <c r="J65" s="5582"/>
      <c r="K65" s="5583" t="s">
        <v>7688</v>
      </c>
      <c r="L65" s="5583"/>
      <c r="M65" s="5582" t="str">
        <f>IF(C64=0,"",VLOOKUP(C64,'Tablas Magia'!$D$6:$Z$680,6,FALSE))</f>
        <v>Activa</v>
      </c>
      <c r="N65" s="5582"/>
      <c r="O65" s="5584" t="s">
        <v>7689</v>
      </c>
      <c r="P65" s="5584"/>
      <c r="Q65" s="1132" t="str">
        <f>IF(C64=0,"",VLOOKUP(C64,'Tablas Magia'!$D$6:$Z$680,4,FALSE))</f>
        <v>No</v>
      </c>
      <c r="R65" s="1114"/>
      <c r="S65" s="1108"/>
      <c r="T65" s="1108"/>
      <c r="U65" s="2066"/>
      <c r="V65" s="5585" t="s">
        <v>7686</v>
      </c>
      <c r="W65" s="5586"/>
      <c r="X65" s="1130" t="s">
        <v>7687</v>
      </c>
      <c r="Y65" s="1130" t="s">
        <v>1820</v>
      </c>
      <c r="Z65" s="1130" t="s">
        <v>3332</v>
      </c>
      <c r="AA65" s="1131" t="s">
        <v>2165</v>
      </c>
      <c r="AB65" s="5582" t="str">
        <f>IF(V64=0,"",VLOOKUP(V64,'Tablas Magia'!$D$6:$Z$680,5,FALSE))</f>
        <v>Detección</v>
      </c>
      <c r="AC65" s="5582"/>
      <c r="AD65" s="5583" t="s">
        <v>7688</v>
      </c>
      <c r="AE65" s="5583"/>
      <c r="AF65" s="5582" t="str">
        <f>IF(V64=0,"",VLOOKUP(V64,'Tablas Magia'!$D$6:$Z$680,6,FALSE))</f>
        <v>Activa</v>
      </c>
      <c r="AG65" s="5582"/>
      <c r="AH65" s="5584" t="s">
        <v>7689</v>
      </c>
      <c r="AI65" s="5584"/>
      <c r="AJ65" s="1132" t="str">
        <f>IF(V64=0,"",VLOOKUP(V64,'Tablas Magia'!$D$6:$Z$680,4,FALSE))</f>
        <v>No</v>
      </c>
      <c r="AK65" s="1114"/>
      <c r="AL65" s="1108"/>
      <c r="AM65" s="1108"/>
      <c r="AN65" s="2080"/>
      <c r="AO65" s="5585" t="s">
        <v>7686</v>
      </c>
      <c r="AP65" s="5586"/>
      <c r="AQ65" s="1130" t="s">
        <v>7687</v>
      </c>
      <c r="AR65" s="1130" t="s">
        <v>1820</v>
      </c>
      <c r="AS65" s="1130" t="s">
        <v>3332</v>
      </c>
      <c r="AT65" s="1131" t="s">
        <v>2165</v>
      </c>
      <c r="AU65" s="5582" t="str">
        <f>IF(AO64=0,"",VLOOKUP(AO64,'Tablas Magia'!$D$6:$Z$680,5,FALSE))</f>
        <v>Efecto</v>
      </c>
      <c r="AV65" s="5582"/>
      <c r="AW65" s="5583" t="s">
        <v>7688</v>
      </c>
      <c r="AX65" s="5583"/>
      <c r="AY65" s="5582" t="str">
        <f>IF(AO64=0,"",VLOOKUP(AO64,'Tablas Magia'!$D$6:$Z$680,6,FALSE))</f>
        <v>Activa</v>
      </c>
      <c r="AZ65" s="5582"/>
      <c r="BA65" s="5584" t="s">
        <v>7689</v>
      </c>
      <c r="BB65" s="5584"/>
      <c r="BC65" s="1132" t="str">
        <f>IF(AO64=0,"",VLOOKUP(AO64,'Tablas Magia'!$D$6:$Z$680,4,FALSE))</f>
        <v>No</v>
      </c>
      <c r="BD65" s="1114"/>
      <c r="BE65" s="1108"/>
      <c r="BF65" s="1108"/>
      <c r="BG65" s="2080"/>
      <c r="BH65" s="5585" t="s">
        <v>7686</v>
      </c>
      <c r="BI65" s="5586"/>
      <c r="BJ65" s="1130" t="s">
        <v>7687</v>
      </c>
      <c r="BK65" s="1130" t="s">
        <v>1820</v>
      </c>
      <c r="BL65" s="1130" t="s">
        <v>3332</v>
      </c>
      <c r="BM65" s="1131" t="s">
        <v>2165</v>
      </c>
      <c r="BN65" s="5582" t="str">
        <f>IF(BH64=0,"",VLOOKUP(BH64,'Tablas Magia'!$D$6:$Z$680,5,FALSE))</f>
        <v>Ataque</v>
      </c>
      <c r="BO65" s="5582"/>
      <c r="BP65" s="5583" t="s">
        <v>7688</v>
      </c>
      <c r="BQ65" s="5583"/>
      <c r="BR65" s="5582" t="str">
        <f>IF(BH64=0,"",VLOOKUP(BH64,'Tablas Magia'!$D$6:$Z$680,6,FALSE))</f>
        <v>Activa</v>
      </c>
      <c r="BS65" s="5582"/>
      <c r="BT65" s="5584" t="s">
        <v>7689</v>
      </c>
      <c r="BU65" s="5584"/>
      <c r="BV65" s="1132" t="str">
        <f>IF(BH64=0,"",VLOOKUP(BH64,'Tablas Magia'!$D$6:$Z$680,4,FALSE))</f>
        <v>No</v>
      </c>
      <c r="BW65" s="1114"/>
      <c r="BX65" s="1108"/>
      <c r="BY65" s="1108"/>
      <c r="BZ65" s="2080"/>
      <c r="CA65" s="5585" t="s">
        <v>7686</v>
      </c>
      <c r="CB65" s="5586"/>
      <c r="CC65" s="1130" t="s">
        <v>7687</v>
      </c>
      <c r="CD65" s="1130" t="s">
        <v>1820</v>
      </c>
      <c r="CE65" s="1130" t="s">
        <v>3332</v>
      </c>
      <c r="CF65" s="1131" t="s">
        <v>2165</v>
      </c>
      <c r="CG65" s="5582" t="str">
        <f>IF(CA64=0,"",VLOOKUP(CA64,'Tablas Magia'!$D$6:$Z$680,5,FALSE))</f>
        <v>Anímico</v>
      </c>
      <c r="CH65" s="5582"/>
      <c r="CI65" s="5583" t="s">
        <v>7688</v>
      </c>
      <c r="CJ65" s="5583"/>
      <c r="CK65" s="5582" t="str">
        <f>IF(CA64=0,"",VLOOKUP(CA64,'Tablas Magia'!$D$6:$Z$680,6,FALSE))</f>
        <v>Activa</v>
      </c>
      <c r="CL65" s="5582"/>
      <c r="CM65" s="5584" t="s">
        <v>7689</v>
      </c>
      <c r="CN65" s="5584"/>
      <c r="CO65" s="1132" t="str">
        <f>IF(CA64=0,"",VLOOKUP(CA64,'Tablas Magia'!$D$6:$Z$680,4,FALSE))</f>
        <v>Si</v>
      </c>
      <c r="CP65" s="1114"/>
      <c r="CQ65" s="1108"/>
    </row>
    <row r="66" spans="1:95" ht="12" customHeight="1">
      <c r="A66" s="1108"/>
      <c r="B66" s="2066"/>
      <c r="C66" s="5577" t="s">
        <v>1674</v>
      </c>
      <c r="D66" s="5578"/>
      <c r="E66" s="1133">
        <f>IF(C64=0,"",VLOOKUP(C64,'Tablas Magia'!$D$6:$Z$680,7,FALSE))</f>
        <v>6</v>
      </c>
      <c r="F66" s="1133">
        <f>IF(C64=0,"",VLOOKUP(C64,'Tablas Magia'!$D$6:$Z$680,11,FALSE))</f>
        <v>50</v>
      </c>
      <c r="G66" s="1134">
        <f>IF(C64=0,"",VLOOKUP(C64,'Tablas Magia'!$D$6:$Z$680,15,FALSE))</f>
        <v>5</v>
      </c>
      <c r="H66" s="5579" t="str">
        <f>IF(C64=0,"",VLOOKUP(C64,'Tablas Magia'!$D$6:$Z$680,19,FALSE))</f>
        <v>+50 Advertir, Buscar y Valoración mágica.</v>
      </c>
      <c r="I66" s="5580"/>
      <c r="J66" s="5580"/>
      <c r="K66" s="5580"/>
      <c r="L66" s="5580"/>
      <c r="M66" s="5580"/>
      <c r="N66" s="5580"/>
      <c r="O66" s="5580"/>
      <c r="P66" s="5580"/>
      <c r="Q66" s="5581"/>
      <c r="R66" s="1114"/>
      <c r="S66" s="1108"/>
      <c r="T66" s="1108"/>
      <c r="U66" s="2066"/>
      <c r="V66" s="5577" t="s">
        <v>1674</v>
      </c>
      <c r="W66" s="5578"/>
      <c r="X66" s="1133">
        <f>IF(V64=0,"",VLOOKUP(V64,'Tablas Magia'!$D$6:$Z$680,7,FALSE))</f>
        <v>6</v>
      </c>
      <c r="Y66" s="1133">
        <f>IF(V64=0,"",VLOOKUP(V64,'Tablas Magia'!$D$6:$Z$680,11,FALSE))</f>
        <v>60</v>
      </c>
      <c r="Z66" s="1134">
        <f>IF(V64=0,"",VLOOKUP(V64,'Tablas Magia'!$D$6:$Z$680,15,FALSE))</f>
        <v>5</v>
      </c>
      <c r="AA66" s="5579" t="str">
        <f>IF(V64=0,"",VLOOKUP(V64,'Tablas Magia'!$D$6:$Z$680,19,FALSE))</f>
        <v>Radio de 25 metros / RM 140</v>
      </c>
      <c r="AB66" s="5580"/>
      <c r="AC66" s="5580"/>
      <c r="AD66" s="5580"/>
      <c r="AE66" s="5580"/>
      <c r="AF66" s="5580"/>
      <c r="AG66" s="5580"/>
      <c r="AH66" s="5580"/>
      <c r="AI66" s="5580"/>
      <c r="AJ66" s="5581"/>
      <c r="AK66" s="1114"/>
      <c r="AL66" s="1108"/>
      <c r="AM66" s="1108"/>
      <c r="AN66" s="2080"/>
      <c r="AO66" s="5577" t="s">
        <v>1674</v>
      </c>
      <c r="AP66" s="5578"/>
      <c r="AQ66" s="1133">
        <f>IF(AO64=0,"",VLOOKUP(AO64,'Tablas Magia'!$D$6:$Z$680,7,FALSE))</f>
        <v>8</v>
      </c>
      <c r="AR66" s="1133">
        <f>IF(AO64=0,"",VLOOKUP(AO64,'Tablas Magia'!$D$6:$Z$680,11,FALSE))</f>
        <v>100</v>
      </c>
      <c r="AS66" s="1134">
        <f>IF(AO64=0,"",VLOOKUP(AO64,'Tablas Magia'!$D$6:$Z$680,15,FALSE))</f>
        <v>10</v>
      </c>
      <c r="AT66" s="5579" t="str">
        <f>IF(AO64=0,"",VLOOKUP(AO64,'Tablas Magia'!$D$6:$Z$680,19,FALSE))</f>
        <v>+50 en Advertir y Buscar / +20 a sus Resistencias</v>
      </c>
      <c r="AU66" s="5580"/>
      <c r="AV66" s="5580"/>
      <c r="AW66" s="5580"/>
      <c r="AX66" s="5580"/>
      <c r="AY66" s="5580"/>
      <c r="AZ66" s="5580"/>
      <c r="BA66" s="5580"/>
      <c r="BB66" s="5580"/>
      <c r="BC66" s="5581"/>
      <c r="BD66" s="1114"/>
      <c r="BE66" s="1108"/>
      <c r="BF66" s="1108"/>
      <c r="BG66" s="2080"/>
      <c r="BH66" s="5577" t="s">
        <v>1674</v>
      </c>
      <c r="BI66" s="5578"/>
      <c r="BJ66" s="1133">
        <f>IF(BH64=0,"",VLOOKUP(BH64,'Tablas Magia'!$D$6:$Z$680,7,FALSE))</f>
        <v>10</v>
      </c>
      <c r="BK66" s="1133">
        <f>IF(BH64=0,"",VLOOKUP(BH64,'Tablas Magia'!$D$6:$Z$680,11,FALSE))</f>
        <v>140</v>
      </c>
      <c r="BL66" s="1134" t="str">
        <f>IF(BH64=0,"",VLOOKUP(BH64,'Tablas Magia'!$D$6:$Z$680,15,FALSE))</f>
        <v>No</v>
      </c>
      <c r="BM66" s="5579" t="str">
        <f>IF(BH64=0,"",VLOOKUP(BH64,'Tablas Magia'!$D$6:$Z$680,19,FALSE))</f>
        <v>Daño 120 / 25 metros de radio</v>
      </c>
      <c r="BN66" s="5580"/>
      <c r="BO66" s="5580"/>
      <c r="BP66" s="5580"/>
      <c r="BQ66" s="5580"/>
      <c r="BR66" s="5580"/>
      <c r="BS66" s="5580"/>
      <c r="BT66" s="5580"/>
      <c r="BU66" s="5580"/>
      <c r="BV66" s="5581"/>
      <c r="BW66" s="1114"/>
      <c r="BX66" s="1108"/>
      <c r="BY66" s="1108"/>
      <c r="BZ66" s="2080"/>
      <c r="CA66" s="5577" t="s">
        <v>1674</v>
      </c>
      <c r="CB66" s="5578"/>
      <c r="CC66" s="1133">
        <f>IF(CA64=0,"",VLOOKUP(CA64,'Tablas Magia'!$D$6:$Z$680,7,FALSE))</f>
        <v>14</v>
      </c>
      <c r="CD66" s="1133">
        <f>IF(CA64=0,"",VLOOKUP(CA64,'Tablas Magia'!$D$6:$Z$680,11,FALSE))</f>
        <v>200</v>
      </c>
      <c r="CE66" s="1134">
        <f>IF(CA64=0,"",VLOOKUP(CA64,'Tablas Magia'!$D$6:$Z$680,15,FALSE))</f>
        <v>40</v>
      </c>
      <c r="CF66" s="5579" t="str">
        <f>IF(CA64=0,"",VLOOKUP(CA64,'Tablas Magia'!$D$6:$Z$680,19,FALSE))</f>
        <v>RM 140 / La prisión posee 10.000 puntos de resistencia</v>
      </c>
      <c r="CG66" s="5580"/>
      <c r="CH66" s="5580"/>
      <c r="CI66" s="5580"/>
      <c r="CJ66" s="5580"/>
      <c r="CK66" s="5580"/>
      <c r="CL66" s="5580"/>
      <c r="CM66" s="5580"/>
      <c r="CN66" s="5580"/>
      <c r="CO66" s="5581"/>
      <c r="CP66" s="1114"/>
      <c r="CQ66" s="1108"/>
    </row>
    <row r="67" spans="1:95" ht="12" customHeight="1">
      <c r="A67" s="1108"/>
      <c r="B67" s="2066"/>
      <c r="C67" s="5572" t="s">
        <v>4570</v>
      </c>
      <c r="D67" s="5573"/>
      <c r="E67" s="1135">
        <f>IF(C64=0,"",VLOOKUP(C64,'Tablas Magia'!$D$6:$Z$680,8,FALSE))</f>
        <v>9</v>
      </c>
      <c r="F67" s="1135">
        <f>IF(C64=0,"",VLOOKUP(C64,'Tablas Magia'!$D$6:$Z$680,12,FALSE))</f>
        <v>150</v>
      </c>
      <c r="G67" s="1136">
        <f>IF(C64=0,"",VLOOKUP(C64,'Tablas Magia'!$D$6:$Z$680,16,FALSE))</f>
        <v>15</v>
      </c>
      <c r="H67" s="5574" t="str">
        <f>IF(C64=0,"",VLOOKUP(C64,'Tablas Magia'!$D$6:$Z$680,20,FALSE))</f>
        <v>+150 Advertir, Buscar y Valoración mágica</v>
      </c>
      <c r="I67" s="5575"/>
      <c r="J67" s="5575"/>
      <c r="K67" s="5575"/>
      <c r="L67" s="5575"/>
      <c r="M67" s="5575"/>
      <c r="N67" s="5575"/>
      <c r="O67" s="5575"/>
      <c r="P67" s="5575"/>
      <c r="Q67" s="5576"/>
      <c r="R67" s="1114"/>
      <c r="S67" s="1108"/>
      <c r="T67" s="1108"/>
      <c r="U67" s="2066"/>
      <c r="V67" s="5572" t="s">
        <v>4570</v>
      </c>
      <c r="W67" s="5573"/>
      <c r="X67" s="1135">
        <f>IF(V64=0,"",VLOOKUP(V64,'Tablas Magia'!$D$6:$Z$680,8,FALSE))</f>
        <v>9</v>
      </c>
      <c r="Y67" s="1135">
        <f>IF(V64=0,"",VLOOKUP(V64,'Tablas Magia'!$D$6:$Z$680,12,FALSE))</f>
        <v>100</v>
      </c>
      <c r="Z67" s="1136">
        <f>IF(V64=0,"",VLOOKUP(V64,'Tablas Magia'!$D$6:$Z$680,16,FALSE))</f>
        <v>10</v>
      </c>
      <c r="AA67" s="5574" t="str">
        <f>IF(V64=0,"",VLOOKUP(V64,'Tablas Magia'!$D$6:$Z$680,20,FALSE))</f>
        <v>Radio de 50 metros / RM 180</v>
      </c>
      <c r="AB67" s="5575"/>
      <c r="AC67" s="5575"/>
      <c r="AD67" s="5575"/>
      <c r="AE67" s="5575"/>
      <c r="AF67" s="5575"/>
      <c r="AG67" s="5575"/>
      <c r="AH67" s="5575"/>
      <c r="AI67" s="5575"/>
      <c r="AJ67" s="5576"/>
      <c r="AK67" s="1114"/>
      <c r="AL67" s="1108"/>
      <c r="AM67" s="1108"/>
      <c r="AN67" s="2080"/>
      <c r="AO67" s="5572" t="s">
        <v>4570</v>
      </c>
      <c r="AP67" s="5573"/>
      <c r="AQ67" s="1135">
        <f>IF(AO64=0,"",VLOOKUP(AO64,'Tablas Magia'!$D$6:$Z$680,8,FALSE))</f>
        <v>11</v>
      </c>
      <c r="AR67" s="1135">
        <f>IF(AO64=0,"",VLOOKUP(AO64,'Tablas Magia'!$D$6:$Z$680,12,FALSE))</f>
        <v>120</v>
      </c>
      <c r="AS67" s="1136">
        <f>IF(AO64=0,"",VLOOKUP(AO64,'Tablas Magia'!$D$6:$Z$680,16,FALSE))</f>
        <v>15</v>
      </c>
      <c r="AT67" s="5574" t="str">
        <f>IF(AO64=0,"",VLOOKUP(AO64,'Tablas Magia'!$D$6:$Z$680,20,FALSE))</f>
        <v>+60 en Advertir y Buscar / +30 a sus Resistencias</v>
      </c>
      <c r="AU67" s="5575"/>
      <c r="AV67" s="5575"/>
      <c r="AW67" s="5575"/>
      <c r="AX67" s="5575"/>
      <c r="AY67" s="5575"/>
      <c r="AZ67" s="5575"/>
      <c r="BA67" s="5575"/>
      <c r="BB67" s="5575"/>
      <c r="BC67" s="5576"/>
      <c r="BD67" s="1114"/>
      <c r="BE67" s="1108"/>
      <c r="BF67" s="1108"/>
      <c r="BG67" s="2080"/>
      <c r="BH67" s="5572" t="s">
        <v>4570</v>
      </c>
      <c r="BI67" s="5573"/>
      <c r="BJ67" s="1135">
        <f>IF(BH64=0,"",VLOOKUP(BH64,'Tablas Magia'!$D$6:$Z$680,8,FALSE))</f>
        <v>12</v>
      </c>
      <c r="BK67" s="1135">
        <f>IF(BH64=0,"",VLOOKUP(BH64,'Tablas Magia'!$D$6:$Z$680,12,FALSE))</f>
        <v>180</v>
      </c>
      <c r="BL67" s="1136" t="str">
        <f>IF(BH64=0,"",VLOOKUP(BH64,'Tablas Magia'!$D$6:$Z$680,16,FALSE))</f>
        <v>No</v>
      </c>
      <c r="BM67" s="5574" t="str">
        <f>IF(BH64=0,"",VLOOKUP(BH64,'Tablas Magia'!$D$6:$Z$680,20,FALSE))</f>
        <v>Daño 150 / 100 metros de radio</v>
      </c>
      <c r="BN67" s="5575"/>
      <c r="BO67" s="5575"/>
      <c r="BP67" s="5575"/>
      <c r="BQ67" s="5575"/>
      <c r="BR67" s="5575"/>
      <c r="BS67" s="5575"/>
      <c r="BT67" s="5575"/>
      <c r="BU67" s="5575"/>
      <c r="BV67" s="5576"/>
      <c r="BW67" s="1114"/>
      <c r="BX67" s="1108"/>
      <c r="BY67" s="1108"/>
      <c r="BZ67" s="2080"/>
      <c r="CA67" s="5572" t="s">
        <v>4570</v>
      </c>
      <c r="CB67" s="5573"/>
      <c r="CC67" s="1135">
        <f>IF(CA64=0,"",VLOOKUP(CA64,'Tablas Magia'!$D$6:$Z$680,8,FALSE))</f>
        <v>16</v>
      </c>
      <c r="CD67" s="1135">
        <f>IF(CA64=0,"",VLOOKUP(CA64,'Tablas Magia'!$D$6:$Z$680,12,FALSE))</f>
        <v>350</v>
      </c>
      <c r="CE67" s="1136">
        <f>IF(CA64=0,"",VLOOKUP(CA64,'Tablas Magia'!$D$6:$Z$680,16,FALSE))</f>
        <v>70</v>
      </c>
      <c r="CF67" s="5574" t="str">
        <f>IF(CA64=0,"",VLOOKUP(CA64,'Tablas Magia'!$D$6:$Z$680,20,FALSE))</f>
        <v>RM 180 / La prisión posee 250.000 puntos de resistencia</v>
      </c>
      <c r="CG67" s="5575"/>
      <c r="CH67" s="5575"/>
      <c r="CI67" s="5575"/>
      <c r="CJ67" s="5575"/>
      <c r="CK67" s="5575"/>
      <c r="CL67" s="5575"/>
      <c r="CM67" s="5575"/>
      <c r="CN67" s="5575"/>
      <c r="CO67" s="5576"/>
      <c r="CP67" s="1114"/>
      <c r="CQ67" s="1108"/>
    </row>
    <row r="68" spans="1:95" ht="12" customHeight="1">
      <c r="A68" s="1108"/>
      <c r="B68" s="2066"/>
      <c r="C68" s="5577" t="s">
        <v>4571</v>
      </c>
      <c r="D68" s="5578"/>
      <c r="E68" s="1133">
        <f>IF(C64=0,"",VLOOKUP(C64,'Tablas Magia'!$D$6:$Z$680,9,FALSE))</f>
        <v>12</v>
      </c>
      <c r="F68" s="1133">
        <f>IF(C64=0,"",VLOOKUP(C64,'Tablas Magia'!$D$6:$Z$680,13,FALSE))</f>
        <v>200</v>
      </c>
      <c r="G68" s="1134">
        <f>IF(C64=0,"",VLOOKUP(C64,'Tablas Magia'!$D$6:$Z$680,17,FALSE))</f>
        <v>20</v>
      </c>
      <c r="H68" s="5579" t="str">
        <f>IF(C64=0,"",VLOOKUP(C64,'Tablas Magia'!$D$6:$Z$680,21,FALSE))</f>
        <v>+200 Advertir, Buscar y Valoración mágica</v>
      </c>
      <c r="I68" s="5580"/>
      <c r="J68" s="5580"/>
      <c r="K68" s="5580"/>
      <c r="L68" s="5580"/>
      <c r="M68" s="5580"/>
      <c r="N68" s="5580"/>
      <c r="O68" s="5580"/>
      <c r="P68" s="5580"/>
      <c r="Q68" s="5581"/>
      <c r="R68" s="1114"/>
      <c r="S68" s="1108"/>
      <c r="T68" s="1108"/>
      <c r="U68" s="2066"/>
      <c r="V68" s="5577" t="s">
        <v>4571</v>
      </c>
      <c r="W68" s="5578"/>
      <c r="X68" s="1133">
        <f>IF(V64=0,"",VLOOKUP(V64,'Tablas Magia'!$D$6:$Z$680,9,FALSE))</f>
        <v>12</v>
      </c>
      <c r="Y68" s="1133">
        <f>IF(V64=0,"",VLOOKUP(V64,'Tablas Magia'!$D$6:$Z$680,13,FALSE))</f>
        <v>150</v>
      </c>
      <c r="Z68" s="1134">
        <f>IF(V64=0,"",VLOOKUP(V64,'Tablas Magia'!$D$6:$Z$680,17,FALSE))</f>
        <v>15</v>
      </c>
      <c r="AA68" s="5579" t="str">
        <f>IF(V64=0,"",VLOOKUP(V64,'Tablas Magia'!$D$6:$Z$680,21,FALSE))</f>
        <v>Radio de 150 metros / RM 220</v>
      </c>
      <c r="AB68" s="5580"/>
      <c r="AC68" s="5580"/>
      <c r="AD68" s="5580"/>
      <c r="AE68" s="5580"/>
      <c r="AF68" s="5580"/>
      <c r="AG68" s="5580"/>
      <c r="AH68" s="5580"/>
      <c r="AI68" s="5580"/>
      <c r="AJ68" s="5581"/>
      <c r="AK68" s="1114"/>
      <c r="AL68" s="1108"/>
      <c r="AM68" s="1108"/>
      <c r="AN68" s="2080"/>
      <c r="AO68" s="5577" t="s">
        <v>4571</v>
      </c>
      <c r="AP68" s="5578"/>
      <c r="AQ68" s="1133">
        <f>IF(AO64=0,"",VLOOKUP(AO64,'Tablas Magia'!$D$6:$Z$680,9,FALSE))</f>
        <v>13</v>
      </c>
      <c r="AR68" s="1133">
        <f>IF(AO64=0,"",VLOOKUP(AO64,'Tablas Magia'!$D$6:$Z$680,13,FALSE))</f>
        <v>140</v>
      </c>
      <c r="AS68" s="1134">
        <f>IF(AO64=0,"",VLOOKUP(AO64,'Tablas Magia'!$D$6:$Z$680,17,FALSE))</f>
        <v>15</v>
      </c>
      <c r="AT68" s="5579" t="str">
        <f>IF(AO64=0,"",VLOOKUP(AO64,'Tablas Magia'!$D$6:$Z$680,21,FALSE))</f>
        <v>el bono será  contra todo efecto sobrenatural que no sea oscuridad</v>
      </c>
      <c r="AU68" s="5580"/>
      <c r="AV68" s="5580"/>
      <c r="AW68" s="5580"/>
      <c r="AX68" s="5580"/>
      <c r="AY68" s="5580"/>
      <c r="AZ68" s="5580"/>
      <c r="BA68" s="5580"/>
      <c r="BB68" s="5580"/>
      <c r="BC68" s="5581"/>
      <c r="BD68" s="1114"/>
      <c r="BE68" s="1108"/>
      <c r="BF68" s="1108"/>
      <c r="BG68" s="2080"/>
      <c r="BH68" s="5577" t="s">
        <v>4571</v>
      </c>
      <c r="BI68" s="5578"/>
      <c r="BJ68" s="1133">
        <f>IF(BH64=0,"",VLOOKUP(BH64,'Tablas Magia'!$D$6:$Z$680,9,FALSE))</f>
        <v>14</v>
      </c>
      <c r="BK68" s="1133">
        <f>IF(BH64=0,"",VLOOKUP(BH64,'Tablas Magia'!$D$6:$Z$680,13,FALSE))</f>
        <v>240</v>
      </c>
      <c r="BL68" s="1134" t="str">
        <f>IF(BH64=0,"",VLOOKUP(BH64,'Tablas Magia'!$D$6:$Z$680,17,FALSE))</f>
        <v>No</v>
      </c>
      <c r="BM68" s="5579" t="str">
        <f>IF(BH64=0,"",VLOOKUP(BH64,'Tablas Magia'!$D$6:$Z$680,21,FALSE))</f>
        <v>Daño 200 / 150 metros de radio</v>
      </c>
      <c r="BN68" s="5580"/>
      <c r="BO68" s="5580"/>
      <c r="BP68" s="5580"/>
      <c r="BQ68" s="5580"/>
      <c r="BR68" s="5580"/>
      <c r="BS68" s="5580"/>
      <c r="BT68" s="5580"/>
      <c r="BU68" s="5580"/>
      <c r="BV68" s="5581"/>
      <c r="BW68" s="1114"/>
      <c r="BX68" s="1108"/>
      <c r="BY68" s="1108"/>
      <c r="BZ68" s="2080"/>
      <c r="CA68" s="5577" t="s">
        <v>4571</v>
      </c>
      <c r="CB68" s="5578"/>
      <c r="CC68" s="1133">
        <f>IF(CA64=0,"",VLOOKUP(CA64,'Tablas Magia'!$D$6:$Z$680,9,FALSE))</f>
        <v>18</v>
      </c>
      <c r="CD68" s="1133">
        <f>IF(CA64=0,"",VLOOKUP(CA64,'Tablas Magia'!$D$6:$Z$680,13,FALSE))</f>
        <v>500</v>
      </c>
      <c r="CE68" s="1134">
        <f>IF(CA64=0,"",VLOOKUP(CA64,'Tablas Magia'!$D$6:$Z$680,17,FALSE))</f>
        <v>100</v>
      </c>
      <c r="CF68" s="5579" t="str">
        <f>IF(CA64=0,"",VLOOKUP(CA64,'Tablas Magia'!$D$6:$Z$680,21,FALSE))</f>
        <v>RM 220 / La prisión posee 500.000 puntos de resistencia</v>
      </c>
      <c r="CG68" s="5580"/>
      <c r="CH68" s="5580"/>
      <c r="CI68" s="5580"/>
      <c r="CJ68" s="5580"/>
      <c r="CK68" s="5580"/>
      <c r="CL68" s="5580"/>
      <c r="CM68" s="5580"/>
      <c r="CN68" s="5580"/>
      <c r="CO68" s="5581"/>
      <c r="CP68" s="1114"/>
      <c r="CQ68" s="1108"/>
    </row>
    <row r="69" spans="1:95" ht="12" customHeight="1" thickBot="1">
      <c r="A69" s="1108"/>
      <c r="B69" s="2066"/>
      <c r="C69" s="5587" t="s">
        <v>4572</v>
      </c>
      <c r="D69" s="5588"/>
      <c r="E69" s="1137">
        <f>IF(C64=0,"",VLOOKUP(C64,'Tablas Magia'!$D$6:$Z$680,10,FALSE))</f>
        <v>14</v>
      </c>
      <c r="F69" s="1137">
        <f>IF(C64=0,"",VLOOKUP(C64,'Tablas Magia'!$D$6:$Z$680,14,FALSE))</f>
        <v>250</v>
      </c>
      <c r="G69" s="1138">
        <f>IF(C64=0,"",VLOOKUP(C64,'Tablas Magia'!$D$6:$Z$680,18,FALSE))</f>
        <v>25</v>
      </c>
      <c r="H69" s="5589" t="str">
        <f>IF(C64=0,"",VLOOKUP(C64,'Tablas Magia'!$D$6:$Z$680,22,FALSE))</f>
        <v>+250 Advertir, Buscar y Valoración mágica</v>
      </c>
      <c r="I69" s="5590"/>
      <c r="J69" s="5590"/>
      <c r="K69" s="5590"/>
      <c r="L69" s="5590"/>
      <c r="M69" s="5590"/>
      <c r="N69" s="5590"/>
      <c r="O69" s="5590"/>
      <c r="P69" s="5590"/>
      <c r="Q69" s="5591"/>
      <c r="R69" s="1114"/>
      <c r="S69" s="1108"/>
      <c r="T69" s="1108"/>
      <c r="U69" s="2066"/>
      <c r="V69" s="5587" t="s">
        <v>4572</v>
      </c>
      <c r="W69" s="5588"/>
      <c r="X69" s="1137">
        <f>IF(V64=0,"",VLOOKUP(V64,'Tablas Magia'!$D$6:$Z$680,10,FALSE))</f>
        <v>15</v>
      </c>
      <c r="Y69" s="1137">
        <f>IF(V64=0,"",VLOOKUP(V64,'Tablas Magia'!$D$6:$Z$680,14,FALSE))</f>
        <v>300</v>
      </c>
      <c r="Z69" s="1138">
        <f>IF(V64=0,"",VLOOKUP(V64,'Tablas Magia'!$D$6:$Z$680,18,FALSE))</f>
        <v>30</v>
      </c>
      <c r="AA69" s="5589" t="str">
        <f>IF(V64=0,"",VLOOKUP(V64,'Tablas Magia'!$D$6:$Z$680,22,FALSE))</f>
        <v>Radio de 500 metros / RM 280.</v>
      </c>
      <c r="AB69" s="5590"/>
      <c r="AC69" s="5590"/>
      <c r="AD69" s="5590"/>
      <c r="AE69" s="5590"/>
      <c r="AF69" s="5590"/>
      <c r="AG69" s="5590"/>
      <c r="AH69" s="5590"/>
      <c r="AI69" s="5590"/>
      <c r="AJ69" s="5591"/>
      <c r="AK69" s="1114"/>
      <c r="AL69" s="1108"/>
      <c r="AM69" s="1108"/>
      <c r="AN69" s="2080"/>
      <c r="AO69" s="5587" t="s">
        <v>4572</v>
      </c>
      <c r="AP69" s="5588"/>
      <c r="AQ69" s="1137">
        <f>IF(AO64=0,"",VLOOKUP(AO64,'Tablas Magia'!$D$6:$Z$680,10,FALSE))</f>
        <v>16</v>
      </c>
      <c r="AR69" s="1137">
        <f>IF(AO64=0,"",VLOOKUP(AO64,'Tablas Magia'!$D$6:$Z$680,14,FALSE))</f>
        <v>160</v>
      </c>
      <c r="AS69" s="1138">
        <f>IF(AO64=0,"",VLOOKUP(AO64,'Tablas Magia'!$D$6:$Z$680,18,FALSE))</f>
        <v>20</v>
      </c>
      <c r="AT69" s="5589" t="str">
        <f>IF(AO64=0,"",VLOOKUP(AO64,'Tablas Magia'!$D$6:$Z$680,22,FALSE))</f>
        <v>Como arriba, pero no sufre doble daño por ataques basado en oscuridad</v>
      </c>
      <c r="AU69" s="5590"/>
      <c r="AV69" s="5590"/>
      <c r="AW69" s="5590"/>
      <c r="AX69" s="5590"/>
      <c r="AY69" s="5590"/>
      <c r="AZ69" s="5590"/>
      <c r="BA69" s="5590"/>
      <c r="BB69" s="5590"/>
      <c r="BC69" s="5591"/>
      <c r="BD69" s="1114"/>
      <c r="BE69" s="1108"/>
      <c r="BF69" s="1108"/>
      <c r="BG69" s="2080"/>
      <c r="BH69" s="5587" t="s">
        <v>4572</v>
      </c>
      <c r="BI69" s="5588"/>
      <c r="BJ69" s="1137">
        <f>IF(BH64=0,"",VLOOKUP(BH64,'Tablas Magia'!$D$6:$Z$680,10,FALSE))</f>
        <v>16</v>
      </c>
      <c r="BK69" s="1137">
        <f>IF(BH64=0,"",VLOOKUP(BH64,'Tablas Magia'!$D$6:$Z$680,14,FALSE))</f>
        <v>350</v>
      </c>
      <c r="BL69" s="1138" t="str">
        <f>IF(BH64=0,"",VLOOKUP(BH64,'Tablas Magia'!$D$6:$Z$680,18,FALSE))</f>
        <v>No</v>
      </c>
      <c r="BM69" s="5589" t="str">
        <f>IF(BH64=0,"",VLOOKUP(BH64,'Tablas Magia'!$D$6:$Z$680,22,FALSE))</f>
        <v>Daño 250 / 250 metros de radio.</v>
      </c>
      <c r="BN69" s="5590"/>
      <c r="BO69" s="5590"/>
      <c r="BP69" s="5590"/>
      <c r="BQ69" s="5590"/>
      <c r="BR69" s="5590"/>
      <c r="BS69" s="5590"/>
      <c r="BT69" s="5590"/>
      <c r="BU69" s="5590"/>
      <c r="BV69" s="5591"/>
      <c r="BW69" s="1114"/>
      <c r="BX69" s="1108"/>
      <c r="BY69" s="1108"/>
      <c r="BZ69" s="2080"/>
      <c r="CA69" s="5587" t="s">
        <v>4572</v>
      </c>
      <c r="CB69" s="5588"/>
      <c r="CC69" s="1137">
        <f>IF(CA64=0,"",VLOOKUP(CA64,'Tablas Magia'!$D$6:$Z$680,10,FALSE))</f>
        <v>20</v>
      </c>
      <c r="CD69" s="1137">
        <f>IF(CA64=0,"",VLOOKUP(CA64,'Tablas Magia'!$D$6:$Z$680,14,FALSE))</f>
        <v>800</v>
      </c>
      <c r="CE69" s="1138">
        <f>IF(CA64=0,"",VLOOKUP(CA64,'Tablas Magia'!$D$6:$Z$680,18,FALSE))</f>
        <v>160</v>
      </c>
      <c r="CF69" s="5589" t="str">
        <f>IF(CA64=0,"",VLOOKUP(CA64,'Tablas Magia'!$D$6:$Z$680,22,FALSE))</f>
        <v>RM 240 / no puede romperse desde adentro, 500.000 puntos de resistencia.</v>
      </c>
      <c r="CG69" s="5590"/>
      <c r="CH69" s="5590"/>
      <c r="CI69" s="5590"/>
      <c r="CJ69" s="5590"/>
      <c r="CK69" s="5590"/>
      <c r="CL69" s="5590"/>
      <c r="CM69" s="5590"/>
      <c r="CN69" s="5590"/>
      <c r="CO69" s="5591"/>
      <c r="CP69" s="1114"/>
      <c r="CQ69" s="1108"/>
    </row>
    <row r="70" spans="1:95" ht="12" customHeight="1">
      <c r="A70" s="1108"/>
      <c r="B70" s="2066"/>
      <c r="C70" s="5592"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93"/>
      <c r="E70" s="5593"/>
      <c r="F70" s="5593"/>
      <c r="G70" s="5593"/>
      <c r="H70" s="5593"/>
      <c r="I70" s="5593"/>
      <c r="J70" s="5593"/>
      <c r="K70" s="5593"/>
      <c r="L70" s="5593"/>
      <c r="M70" s="5593"/>
      <c r="N70" s="5593"/>
      <c r="O70" s="5593"/>
      <c r="P70" s="5593"/>
      <c r="Q70" s="5594"/>
      <c r="R70" s="1114"/>
      <c r="S70" s="1108"/>
      <c r="T70" s="1108"/>
      <c r="U70" s="2066"/>
      <c r="V70" s="5592" t="str">
        <f>IF(V64=0,"",VLOOKUP(V64,'Tablas Magia'!$D$6:$Z$680,23,FALSE))</f>
        <v>Detecta cualquier fuente de vida. El conjuro no dará más información que el número de seres vivos y el lugar exacto donde se encuentran con respecto al lanzador</v>
      </c>
      <c r="W70" s="5593"/>
      <c r="X70" s="5593"/>
      <c r="Y70" s="5593"/>
      <c r="Z70" s="5593"/>
      <c r="AA70" s="5593"/>
      <c r="AB70" s="5593"/>
      <c r="AC70" s="5593"/>
      <c r="AD70" s="5593"/>
      <c r="AE70" s="5593"/>
      <c r="AF70" s="5593"/>
      <c r="AG70" s="5593"/>
      <c r="AH70" s="5593"/>
      <c r="AI70" s="5593"/>
      <c r="AJ70" s="5594"/>
      <c r="AK70" s="1114"/>
      <c r="AL70" s="1108"/>
      <c r="AM70" s="1108"/>
      <c r="AN70" s="2080"/>
      <c r="AO70" s="5592"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93"/>
      <c r="AQ70" s="5593"/>
      <c r="AR70" s="5593"/>
      <c r="AS70" s="5593"/>
      <c r="AT70" s="5593"/>
      <c r="AU70" s="5593"/>
      <c r="AV70" s="5593"/>
      <c r="AW70" s="5593"/>
      <c r="AX70" s="5593"/>
      <c r="AY70" s="5593"/>
      <c r="AZ70" s="5593"/>
      <c r="BA70" s="5593"/>
      <c r="BB70" s="5593"/>
      <c r="BC70" s="5594"/>
      <c r="BD70" s="1114"/>
      <c r="BE70" s="1108"/>
      <c r="BF70" s="1108"/>
      <c r="BG70" s="2080"/>
      <c r="BH70" s="5592" t="str">
        <f>IF(BH64=0,"",VLOOKUP(BH64,'Tablas Magia'!$D$6:$Z$680,23,FALSE))</f>
        <v>Proyecta una descarga basada en luz. Ataca en la TA de Energía</v>
      </c>
      <c r="BI70" s="5593"/>
      <c r="BJ70" s="5593"/>
      <c r="BK70" s="5593"/>
      <c r="BL70" s="5593"/>
      <c r="BM70" s="5593"/>
      <c r="BN70" s="5593"/>
      <c r="BO70" s="5593"/>
      <c r="BP70" s="5593"/>
      <c r="BQ70" s="5593"/>
      <c r="BR70" s="5593"/>
      <c r="BS70" s="5593"/>
      <c r="BT70" s="5593"/>
      <c r="BU70" s="5593"/>
      <c r="BV70" s="5594"/>
      <c r="BW70" s="1114"/>
      <c r="BX70" s="1108"/>
      <c r="BY70" s="1108"/>
      <c r="BZ70" s="2080"/>
      <c r="CA70" s="5592"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93"/>
      <c r="CC70" s="5593"/>
      <c r="CD70" s="5593"/>
      <c r="CE70" s="5593"/>
      <c r="CF70" s="5593"/>
      <c r="CG70" s="5593"/>
      <c r="CH70" s="5593"/>
      <c r="CI70" s="5593"/>
      <c r="CJ70" s="5593"/>
      <c r="CK70" s="5593"/>
      <c r="CL70" s="5593"/>
      <c r="CM70" s="5593"/>
      <c r="CN70" s="5593"/>
      <c r="CO70" s="5594"/>
      <c r="CP70" s="1114"/>
      <c r="CQ70" s="1108"/>
    </row>
    <row r="71" spans="1:95" ht="12" customHeight="1">
      <c r="A71" s="1108"/>
      <c r="B71" s="2066"/>
      <c r="C71" s="5595"/>
      <c r="D71" s="5596"/>
      <c r="E71" s="5596"/>
      <c r="F71" s="5596"/>
      <c r="G71" s="5596"/>
      <c r="H71" s="5596"/>
      <c r="I71" s="5596"/>
      <c r="J71" s="5596"/>
      <c r="K71" s="5596"/>
      <c r="L71" s="5596"/>
      <c r="M71" s="5596"/>
      <c r="N71" s="5596"/>
      <c r="O71" s="5596"/>
      <c r="P71" s="5596"/>
      <c r="Q71" s="5597"/>
      <c r="R71" s="1114"/>
      <c r="S71" s="1108"/>
      <c r="T71" s="1108"/>
      <c r="U71" s="2066"/>
      <c r="V71" s="5595"/>
      <c r="W71" s="5596"/>
      <c r="X71" s="5596"/>
      <c r="Y71" s="5596"/>
      <c r="Z71" s="5596"/>
      <c r="AA71" s="5596"/>
      <c r="AB71" s="5596"/>
      <c r="AC71" s="5596"/>
      <c r="AD71" s="5596"/>
      <c r="AE71" s="5596"/>
      <c r="AF71" s="5596"/>
      <c r="AG71" s="5596"/>
      <c r="AH71" s="5596"/>
      <c r="AI71" s="5596"/>
      <c r="AJ71" s="5597"/>
      <c r="AK71" s="1114"/>
      <c r="AL71" s="1108"/>
      <c r="AM71" s="1108"/>
      <c r="AN71" s="2080"/>
      <c r="AO71" s="5595"/>
      <c r="AP71" s="5596"/>
      <c r="AQ71" s="5596"/>
      <c r="AR71" s="5596"/>
      <c r="AS71" s="5596"/>
      <c r="AT71" s="5596"/>
      <c r="AU71" s="5596"/>
      <c r="AV71" s="5596"/>
      <c r="AW71" s="5596"/>
      <c r="AX71" s="5596"/>
      <c r="AY71" s="5596"/>
      <c r="AZ71" s="5596"/>
      <c r="BA71" s="5596"/>
      <c r="BB71" s="5596"/>
      <c r="BC71" s="5597"/>
      <c r="BD71" s="1114"/>
      <c r="BE71" s="1108"/>
      <c r="BF71" s="1108"/>
      <c r="BG71" s="2080"/>
      <c r="BH71" s="5595"/>
      <c r="BI71" s="5596"/>
      <c r="BJ71" s="5596"/>
      <c r="BK71" s="5596"/>
      <c r="BL71" s="5596"/>
      <c r="BM71" s="5596"/>
      <c r="BN71" s="5596"/>
      <c r="BO71" s="5596"/>
      <c r="BP71" s="5596"/>
      <c r="BQ71" s="5596"/>
      <c r="BR71" s="5596"/>
      <c r="BS71" s="5596"/>
      <c r="BT71" s="5596"/>
      <c r="BU71" s="5596"/>
      <c r="BV71" s="5597"/>
      <c r="BW71" s="1114"/>
      <c r="BX71" s="1108"/>
      <c r="BY71" s="1108"/>
      <c r="BZ71" s="2080"/>
      <c r="CA71" s="5595"/>
      <c r="CB71" s="5596"/>
      <c r="CC71" s="5596"/>
      <c r="CD71" s="5596"/>
      <c r="CE71" s="5596"/>
      <c r="CF71" s="5596"/>
      <c r="CG71" s="5596"/>
      <c r="CH71" s="5596"/>
      <c r="CI71" s="5596"/>
      <c r="CJ71" s="5596"/>
      <c r="CK71" s="5596"/>
      <c r="CL71" s="5596"/>
      <c r="CM71" s="5596"/>
      <c r="CN71" s="5596"/>
      <c r="CO71" s="5597"/>
      <c r="CP71" s="1114"/>
      <c r="CQ71" s="1108"/>
    </row>
    <row r="72" spans="1:95" ht="12" customHeight="1">
      <c r="A72" s="1108"/>
      <c r="B72" s="2066"/>
      <c r="C72" s="5595"/>
      <c r="D72" s="5596"/>
      <c r="E72" s="5596"/>
      <c r="F72" s="5596"/>
      <c r="G72" s="5596"/>
      <c r="H72" s="5596"/>
      <c r="I72" s="5596"/>
      <c r="J72" s="5596"/>
      <c r="K72" s="5596"/>
      <c r="L72" s="5596"/>
      <c r="M72" s="5596"/>
      <c r="N72" s="5596"/>
      <c r="O72" s="5596"/>
      <c r="P72" s="5596"/>
      <c r="Q72" s="5597"/>
      <c r="R72" s="1114"/>
      <c r="S72" s="1108"/>
      <c r="T72" s="1108"/>
      <c r="U72" s="2066"/>
      <c r="V72" s="5595"/>
      <c r="W72" s="5596"/>
      <c r="X72" s="5596"/>
      <c r="Y72" s="5596"/>
      <c r="Z72" s="5596"/>
      <c r="AA72" s="5596"/>
      <c r="AB72" s="5596"/>
      <c r="AC72" s="5596"/>
      <c r="AD72" s="5596"/>
      <c r="AE72" s="5596"/>
      <c r="AF72" s="5596"/>
      <c r="AG72" s="5596"/>
      <c r="AH72" s="5596"/>
      <c r="AI72" s="5596"/>
      <c r="AJ72" s="5597"/>
      <c r="AK72" s="1114"/>
      <c r="AL72" s="1108"/>
      <c r="AM72" s="1108"/>
      <c r="AN72" s="2080"/>
      <c r="AO72" s="5595"/>
      <c r="AP72" s="5596"/>
      <c r="AQ72" s="5596"/>
      <c r="AR72" s="5596"/>
      <c r="AS72" s="5596"/>
      <c r="AT72" s="5596"/>
      <c r="AU72" s="5596"/>
      <c r="AV72" s="5596"/>
      <c r="AW72" s="5596"/>
      <c r="AX72" s="5596"/>
      <c r="AY72" s="5596"/>
      <c r="AZ72" s="5596"/>
      <c r="BA72" s="5596"/>
      <c r="BB72" s="5596"/>
      <c r="BC72" s="5597"/>
      <c r="BD72" s="1114"/>
      <c r="BE72" s="1108"/>
      <c r="BF72" s="1108"/>
      <c r="BG72" s="2080"/>
      <c r="BH72" s="5595"/>
      <c r="BI72" s="5596"/>
      <c r="BJ72" s="5596"/>
      <c r="BK72" s="5596"/>
      <c r="BL72" s="5596"/>
      <c r="BM72" s="5596"/>
      <c r="BN72" s="5596"/>
      <c r="BO72" s="5596"/>
      <c r="BP72" s="5596"/>
      <c r="BQ72" s="5596"/>
      <c r="BR72" s="5596"/>
      <c r="BS72" s="5596"/>
      <c r="BT72" s="5596"/>
      <c r="BU72" s="5596"/>
      <c r="BV72" s="5597"/>
      <c r="BW72" s="1114"/>
      <c r="BX72" s="1108"/>
      <c r="BY72" s="1108"/>
      <c r="BZ72" s="2080"/>
      <c r="CA72" s="5595"/>
      <c r="CB72" s="5596"/>
      <c r="CC72" s="5596"/>
      <c r="CD72" s="5596"/>
      <c r="CE72" s="5596"/>
      <c r="CF72" s="5596"/>
      <c r="CG72" s="5596"/>
      <c r="CH72" s="5596"/>
      <c r="CI72" s="5596"/>
      <c r="CJ72" s="5596"/>
      <c r="CK72" s="5596"/>
      <c r="CL72" s="5596"/>
      <c r="CM72" s="5596"/>
      <c r="CN72" s="5596"/>
      <c r="CO72" s="5597"/>
      <c r="CP72" s="1114"/>
      <c r="CQ72" s="1108"/>
    </row>
    <row r="73" spans="1:95" ht="12" customHeight="1" thickBot="1">
      <c r="A73" s="1108"/>
      <c r="B73" s="2066"/>
      <c r="C73" s="5598"/>
      <c r="D73" s="5599"/>
      <c r="E73" s="5599"/>
      <c r="F73" s="5599"/>
      <c r="G73" s="5599"/>
      <c r="H73" s="5599"/>
      <c r="I73" s="5599"/>
      <c r="J73" s="5599"/>
      <c r="K73" s="5599"/>
      <c r="L73" s="5599"/>
      <c r="M73" s="5599"/>
      <c r="N73" s="5599"/>
      <c r="O73" s="5599"/>
      <c r="P73" s="5599"/>
      <c r="Q73" s="5600"/>
      <c r="R73" s="1114"/>
      <c r="S73" s="1108"/>
      <c r="T73" s="1108"/>
      <c r="U73" s="2066"/>
      <c r="V73" s="5598"/>
      <c r="W73" s="5599"/>
      <c r="X73" s="5599"/>
      <c r="Y73" s="5599"/>
      <c r="Z73" s="5599"/>
      <c r="AA73" s="5599"/>
      <c r="AB73" s="5599"/>
      <c r="AC73" s="5599"/>
      <c r="AD73" s="5599"/>
      <c r="AE73" s="5599"/>
      <c r="AF73" s="5599"/>
      <c r="AG73" s="5599"/>
      <c r="AH73" s="5599"/>
      <c r="AI73" s="5599"/>
      <c r="AJ73" s="5600"/>
      <c r="AK73" s="1114"/>
      <c r="AL73" s="1108"/>
      <c r="AM73" s="1108"/>
      <c r="AN73" s="2080"/>
      <c r="AO73" s="5598"/>
      <c r="AP73" s="5599"/>
      <c r="AQ73" s="5599"/>
      <c r="AR73" s="5599"/>
      <c r="AS73" s="5599"/>
      <c r="AT73" s="5599"/>
      <c r="AU73" s="5599"/>
      <c r="AV73" s="5599"/>
      <c r="AW73" s="5599"/>
      <c r="AX73" s="5599"/>
      <c r="AY73" s="5599"/>
      <c r="AZ73" s="5599"/>
      <c r="BA73" s="5599"/>
      <c r="BB73" s="5599"/>
      <c r="BC73" s="5600"/>
      <c r="BD73" s="1114"/>
      <c r="BE73" s="1108"/>
      <c r="BF73" s="1108"/>
      <c r="BG73" s="2080"/>
      <c r="BH73" s="5598"/>
      <c r="BI73" s="5599"/>
      <c r="BJ73" s="5599"/>
      <c r="BK73" s="5599"/>
      <c r="BL73" s="5599"/>
      <c r="BM73" s="5599"/>
      <c r="BN73" s="5599"/>
      <c r="BO73" s="5599"/>
      <c r="BP73" s="5599"/>
      <c r="BQ73" s="5599"/>
      <c r="BR73" s="5599"/>
      <c r="BS73" s="5599"/>
      <c r="BT73" s="5599"/>
      <c r="BU73" s="5599"/>
      <c r="BV73" s="5600"/>
      <c r="BW73" s="1114"/>
      <c r="BX73" s="1108"/>
      <c r="BY73" s="1108"/>
      <c r="BZ73" s="2080"/>
      <c r="CA73" s="5598"/>
      <c r="CB73" s="5599"/>
      <c r="CC73" s="5599"/>
      <c r="CD73" s="5599"/>
      <c r="CE73" s="5599"/>
      <c r="CF73" s="5599"/>
      <c r="CG73" s="5599"/>
      <c r="CH73" s="5599"/>
      <c r="CI73" s="5599"/>
      <c r="CJ73" s="5599"/>
      <c r="CK73" s="5599"/>
      <c r="CL73" s="5599"/>
      <c r="CM73" s="5599"/>
      <c r="CN73" s="5599"/>
      <c r="CO73" s="5600"/>
      <c r="CP73" s="1114"/>
      <c r="CQ73" s="1108"/>
    </row>
    <row r="74" spans="1:95" ht="12" customHeight="1" thickBot="1">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6">
        <f>B64+2</f>
        <v>14</v>
      </c>
      <c r="C75" s="560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02"/>
      <c r="E75" s="5602"/>
      <c r="F75" s="5602"/>
      <c r="G75" s="5602"/>
      <c r="H75" s="1128" t="s">
        <v>1627</v>
      </c>
      <c r="I75" s="1129">
        <f>B75</f>
        <v>14</v>
      </c>
      <c r="J75" s="5567" t="s">
        <v>7685</v>
      </c>
      <c r="K75" s="5567"/>
      <c r="L75" s="5567"/>
      <c r="M75" s="5568" t="e">
        <f>IF(C75=0,"",VLOOKUP(C75,'Tablas Magia'!$D$6:$Z$680,2,FALSE))</f>
        <v>#N/A</v>
      </c>
      <c r="N75" s="5568"/>
      <c r="O75" s="5568"/>
      <c r="P75" s="5568"/>
      <c r="Q75" s="5569"/>
      <c r="R75" s="1114"/>
      <c r="S75" s="1108"/>
      <c r="T75" s="1108"/>
      <c r="U75" s="2066">
        <f>U64+2</f>
        <v>34</v>
      </c>
      <c r="V75" s="560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02"/>
      <c r="X75" s="5602"/>
      <c r="Y75" s="5602"/>
      <c r="Z75" s="5602"/>
      <c r="AA75" s="1128" t="s">
        <v>1627</v>
      </c>
      <c r="AB75" s="1129">
        <f>U75</f>
        <v>34</v>
      </c>
      <c r="AC75" s="5567" t="s">
        <v>7685</v>
      </c>
      <c r="AD75" s="5567"/>
      <c r="AE75" s="5567"/>
      <c r="AF75" s="5568" t="e">
        <f>IF(V75=0,"",VLOOKUP(V75,'Tablas Magia'!$D$6:$Z$680,2,FALSE))</f>
        <v>#N/A</v>
      </c>
      <c r="AG75" s="5568"/>
      <c r="AH75" s="5568"/>
      <c r="AI75" s="5568"/>
      <c r="AJ75" s="5569"/>
      <c r="AK75" s="1114"/>
      <c r="AL75" s="1108"/>
      <c r="AM75" s="1108"/>
      <c r="AN75" s="2080">
        <f>AN64+2</f>
        <v>54</v>
      </c>
      <c r="AO75" s="560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02"/>
      <c r="AQ75" s="5602"/>
      <c r="AR75" s="5602"/>
      <c r="AS75" s="5602"/>
      <c r="AT75" s="1128" t="s">
        <v>1627</v>
      </c>
      <c r="AU75" s="1129">
        <f>AN75</f>
        <v>54</v>
      </c>
      <c r="AV75" s="5567" t="s">
        <v>7685</v>
      </c>
      <c r="AW75" s="5567"/>
      <c r="AX75" s="5567"/>
      <c r="AY75" s="5568" t="e">
        <f>IF(AO75=0,"",VLOOKUP(AO75,'Tablas Magia'!$D$6:$Z$680,2,FALSE))</f>
        <v>#N/A</v>
      </c>
      <c r="AZ75" s="5568"/>
      <c r="BA75" s="5568"/>
      <c r="BB75" s="5568"/>
      <c r="BC75" s="5569"/>
      <c r="BD75" s="1114"/>
      <c r="BE75" s="1108"/>
      <c r="BF75" s="1108"/>
      <c r="BG75" s="2080">
        <f>BG64+2</f>
        <v>74</v>
      </c>
      <c r="BH75" s="560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02"/>
      <c r="BJ75" s="5602"/>
      <c r="BK75" s="5602"/>
      <c r="BL75" s="5602"/>
      <c r="BM75" s="1128" t="s">
        <v>1627</v>
      </c>
      <c r="BN75" s="1129">
        <f>BG75</f>
        <v>74</v>
      </c>
      <c r="BO75" s="5567" t="s">
        <v>7685</v>
      </c>
      <c r="BP75" s="5567"/>
      <c r="BQ75" s="5567"/>
      <c r="BR75" s="5568" t="e">
        <f>IF(BH75=0,"",VLOOKUP(BH75,'Tablas Magia'!$D$6:$Z$680,2,FALSE))</f>
        <v>#N/A</v>
      </c>
      <c r="BS75" s="5568"/>
      <c r="BT75" s="5568"/>
      <c r="BU75" s="5568"/>
      <c r="BV75" s="5569"/>
      <c r="BW75" s="1114"/>
      <c r="BX75" s="1108"/>
      <c r="BY75" s="1108"/>
      <c r="BZ75" s="2080">
        <f>BZ64+2</f>
        <v>94</v>
      </c>
      <c r="CA75" s="560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02"/>
      <c r="CC75" s="5602"/>
      <c r="CD75" s="5602"/>
      <c r="CE75" s="5602"/>
      <c r="CF75" s="1128" t="s">
        <v>1627</v>
      </c>
      <c r="CG75" s="1129">
        <f>BZ75</f>
        <v>94</v>
      </c>
      <c r="CH75" s="5567" t="s">
        <v>7685</v>
      </c>
      <c r="CI75" s="5567"/>
      <c r="CJ75" s="5567"/>
      <c r="CK75" s="5568" t="e">
        <f>IF(CA75=0,"",VLOOKUP(CA75,'Tablas Magia'!$D$6:$Z$680,2,FALSE))</f>
        <v>#N/A</v>
      </c>
      <c r="CL75" s="5568"/>
      <c r="CM75" s="5568"/>
      <c r="CN75" s="5568"/>
      <c r="CO75" s="5569"/>
      <c r="CP75" s="1114"/>
      <c r="CQ75" s="1108"/>
    </row>
    <row r="76" spans="1:95" ht="12" customHeight="1">
      <c r="A76" s="1108"/>
      <c r="B76" s="2066"/>
      <c r="C76" s="5585" t="s">
        <v>7686</v>
      </c>
      <c r="D76" s="5586"/>
      <c r="E76" s="1130" t="s">
        <v>7687</v>
      </c>
      <c r="F76" s="1130" t="s">
        <v>1820</v>
      </c>
      <c r="G76" s="1130" t="s">
        <v>3332</v>
      </c>
      <c r="H76" s="1131" t="s">
        <v>2165</v>
      </c>
      <c r="I76" s="5582" t="e">
        <f>IF(C75=0,"",VLOOKUP(C75,'Tablas Magia'!$D$6:$Z$680,5,FALSE))</f>
        <v>#N/A</v>
      </c>
      <c r="J76" s="5582"/>
      <c r="K76" s="5583" t="s">
        <v>7688</v>
      </c>
      <c r="L76" s="5583"/>
      <c r="M76" s="5582" t="e">
        <f>IF(C75=0,"",VLOOKUP(C75,'Tablas Magia'!$D$6:$Z$680,6,FALSE))</f>
        <v>#N/A</v>
      </c>
      <c r="N76" s="5582"/>
      <c r="O76" s="5584" t="s">
        <v>7689</v>
      </c>
      <c r="P76" s="5584"/>
      <c r="Q76" s="1132" t="e">
        <f>IF(C75=0,"",VLOOKUP(C75,'Tablas Magia'!$D$6:$Z$680,4,FALSE))</f>
        <v>#N/A</v>
      </c>
      <c r="R76" s="1114"/>
      <c r="S76" s="1108"/>
      <c r="T76" s="1108"/>
      <c r="U76" s="2066"/>
      <c r="V76" s="5585" t="s">
        <v>7686</v>
      </c>
      <c r="W76" s="5586"/>
      <c r="X76" s="1130" t="s">
        <v>7687</v>
      </c>
      <c r="Y76" s="1130" t="s">
        <v>1820</v>
      </c>
      <c r="Z76" s="1130" t="s">
        <v>3332</v>
      </c>
      <c r="AA76" s="1131" t="s">
        <v>2165</v>
      </c>
      <c r="AB76" s="5582" t="e">
        <f>IF(V75=0,"",VLOOKUP(V75,'Tablas Magia'!$D$6:$Z$680,5,FALSE))</f>
        <v>#N/A</v>
      </c>
      <c r="AC76" s="5582"/>
      <c r="AD76" s="5583" t="s">
        <v>7688</v>
      </c>
      <c r="AE76" s="5583"/>
      <c r="AF76" s="5582" t="e">
        <f>IF(V75=0,"",VLOOKUP(V75,'Tablas Magia'!$D$6:$Z$680,6,FALSE))</f>
        <v>#N/A</v>
      </c>
      <c r="AG76" s="5582"/>
      <c r="AH76" s="5584" t="s">
        <v>7689</v>
      </c>
      <c r="AI76" s="5584"/>
      <c r="AJ76" s="1132" t="e">
        <f>IF(V75=0,"",VLOOKUP(V75,'Tablas Magia'!$D$6:$Z$680,4,FALSE))</f>
        <v>#N/A</v>
      </c>
      <c r="AK76" s="1114"/>
      <c r="AL76" s="1108"/>
      <c r="AM76" s="1108"/>
      <c r="AN76" s="2080"/>
      <c r="AO76" s="5585" t="s">
        <v>7686</v>
      </c>
      <c r="AP76" s="5586"/>
      <c r="AQ76" s="1130" t="s">
        <v>7687</v>
      </c>
      <c r="AR76" s="1130" t="s">
        <v>1820</v>
      </c>
      <c r="AS76" s="1130" t="s">
        <v>3332</v>
      </c>
      <c r="AT76" s="1131" t="s">
        <v>2165</v>
      </c>
      <c r="AU76" s="5582" t="e">
        <f>IF(AO75=0,"",VLOOKUP(AO75,'Tablas Magia'!$D$6:$Z$680,5,FALSE))</f>
        <v>#N/A</v>
      </c>
      <c r="AV76" s="5582"/>
      <c r="AW76" s="5583" t="s">
        <v>7688</v>
      </c>
      <c r="AX76" s="5583"/>
      <c r="AY76" s="5582" t="e">
        <f>IF(AO75=0,"",VLOOKUP(AO75,'Tablas Magia'!$D$6:$Z$680,6,FALSE))</f>
        <v>#N/A</v>
      </c>
      <c r="AZ76" s="5582"/>
      <c r="BA76" s="5584" t="s">
        <v>7689</v>
      </c>
      <c r="BB76" s="5584"/>
      <c r="BC76" s="1132" t="e">
        <f>IF(AO75=0,"",VLOOKUP(AO75,'Tablas Magia'!$D$6:$Z$680,4,FALSE))</f>
        <v>#N/A</v>
      </c>
      <c r="BD76" s="1114"/>
      <c r="BE76" s="1108"/>
      <c r="BF76" s="1108"/>
      <c r="BG76" s="2080"/>
      <c r="BH76" s="5585" t="s">
        <v>7686</v>
      </c>
      <c r="BI76" s="5586"/>
      <c r="BJ76" s="1130" t="s">
        <v>7687</v>
      </c>
      <c r="BK76" s="1130" t="s">
        <v>1820</v>
      </c>
      <c r="BL76" s="1130" t="s">
        <v>3332</v>
      </c>
      <c r="BM76" s="1131" t="s">
        <v>2165</v>
      </c>
      <c r="BN76" s="5582" t="e">
        <f>IF(BH75=0,"",VLOOKUP(BH75,'Tablas Magia'!$D$6:$Z$680,5,FALSE))</f>
        <v>#N/A</v>
      </c>
      <c r="BO76" s="5582"/>
      <c r="BP76" s="5583" t="s">
        <v>7688</v>
      </c>
      <c r="BQ76" s="5583"/>
      <c r="BR76" s="5582" t="e">
        <f>IF(BH75=0,"",VLOOKUP(BH75,'Tablas Magia'!$D$6:$Z$680,6,FALSE))</f>
        <v>#N/A</v>
      </c>
      <c r="BS76" s="5582"/>
      <c r="BT76" s="5584" t="s">
        <v>7689</v>
      </c>
      <c r="BU76" s="5584"/>
      <c r="BV76" s="1132" t="e">
        <f>IF(BH75=0,"",VLOOKUP(BH75,'Tablas Magia'!$D$6:$Z$680,4,FALSE))</f>
        <v>#N/A</v>
      </c>
      <c r="BW76" s="1114"/>
      <c r="BX76" s="1108"/>
      <c r="BY76" s="1108"/>
      <c r="BZ76" s="2080"/>
      <c r="CA76" s="5585" t="s">
        <v>7686</v>
      </c>
      <c r="CB76" s="5586"/>
      <c r="CC76" s="1130" t="s">
        <v>7687</v>
      </c>
      <c r="CD76" s="1130" t="s">
        <v>1820</v>
      </c>
      <c r="CE76" s="1130" t="s">
        <v>3332</v>
      </c>
      <c r="CF76" s="1131" t="s">
        <v>2165</v>
      </c>
      <c r="CG76" s="5582" t="e">
        <f>IF(CA75=0,"",VLOOKUP(CA75,'Tablas Magia'!$D$6:$Z$680,5,FALSE))</f>
        <v>#N/A</v>
      </c>
      <c r="CH76" s="5582"/>
      <c r="CI76" s="5583" t="s">
        <v>7688</v>
      </c>
      <c r="CJ76" s="5583"/>
      <c r="CK76" s="5582" t="e">
        <f>IF(CA75=0,"",VLOOKUP(CA75,'Tablas Magia'!$D$6:$Z$680,6,FALSE))</f>
        <v>#N/A</v>
      </c>
      <c r="CL76" s="5582"/>
      <c r="CM76" s="5584" t="s">
        <v>7689</v>
      </c>
      <c r="CN76" s="5584"/>
      <c r="CO76" s="1132" t="e">
        <f>IF(CA75=0,"",VLOOKUP(CA75,'Tablas Magia'!$D$6:$Z$680,4,FALSE))</f>
        <v>#N/A</v>
      </c>
      <c r="CP76" s="1114"/>
      <c r="CQ76" s="1108"/>
    </row>
    <row r="77" spans="1:95" ht="12" customHeight="1">
      <c r="A77" s="1108"/>
      <c r="B77" s="2066"/>
      <c r="C77" s="5577" t="s">
        <v>1674</v>
      </c>
      <c r="D77" s="5578"/>
      <c r="E77" s="1133" t="e">
        <f>IF(C75=0,"",VLOOKUP(C75,'Tablas Magia'!$D$6:$Z$680,7,FALSE))</f>
        <v>#N/A</v>
      </c>
      <c r="F77" s="1133" t="e">
        <f>IF(C75=0,"",VLOOKUP(C75,'Tablas Magia'!$D$6:$Z$680,11,FALSE))</f>
        <v>#N/A</v>
      </c>
      <c r="G77" s="1134" t="e">
        <f>IF(C75=0,"",VLOOKUP(C75,'Tablas Magia'!$D$6:$Z$680,15,FALSE))</f>
        <v>#N/A</v>
      </c>
      <c r="H77" s="5579" t="e">
        <f>IF(C75=0,"",VLOOKUP(C75,'Tablas Magia'!$D$6:$Z$680,19,FALSE))</f>
        <v>#N/A</v>
      </c>
      <c r="I77" s="5580"/>
      <c r="J77" s="5580"/>
      <c r="K77" s="5580"/>
      <c r="L77" s="5580"/>
      <c r="M77" s="5580"/>
      <c r="N77" s="5580"/>
      <c r="O77" s="5580"/>
      <c r="P77" s="5580"/>
      <c r="Q77" s="5581"/>
      <c r="R77" s="1114"/>
      <c r="S77" s="1108"/>
      <c r="T77" s="1108"/>
      <c r="U77" s="2066"/>
      <c r="V77" s="5577" t="s">
        <v>1674</v>
      </c>
      <c r="W77" s="5578"/>
      <c r="X77" s="1133" t="e">
        <f>IF(V75=0,"",VLOOKUP(V75,'Tablas Magia'!$D$6:$Z$680,7,FALSE))</f>
        <v>#N/A</v>
      </c>
      <c r="Y77" s="1133" t="e">
        <f>IF(V75=0,"",VLOOKUP(V75,'Tablas Magia'!$D$6:$Z$680,11,FALSE))</f>
        <v>#N/A</v>
      </c>
      <c r="Z77" s="1134" t="e">
        <f>IF(V75=0,"",VLOOKUP(V75,'Tablas Magia'!$D$6:$Z$680,15,FALSE))</f>
        <v>#N/A</v>
      </c>
      <c r="AA77" s="5579" t="e">
        <f>IF(V75=0,"",VLOOKUP(V75,'Tablas Magia'!$D$6:$Z$680,19,FALSE))</f>
        <v>#N/A</v>
      </c>
      <c r="AB77" s="5580"/>
      <c r="AC77" s="5580"/>
      <c r="AD77" s="5580"/>
      <c r="AE77" s="5580"/>
      <c r="AF77" s="5580"/>
      <c r="AG77" s="5580"/>
      <c r="AH77" s="5580"/>
      <c r="AI77" s="5580"/>
      <c r="AJ77" s="5581"/>
      <c r="AK77" s="1114"/>
      <c r="AL77" s="1108"/>
      <c r="AM77" s="1108"/>
      <c r="AN77" s="2080"/>
      <c r="AO77" s="5577" t="s">
        <v>1674</v>
      </c>
      <c r="AP77" s="5578"/>
      <c r="AQ77" s="1133" t="e">
        <f>IF(AO75=0,"",VLOOKUP(AO75,'Tablas Magia'!$D$6:$Z$680,7,FALSE))</f>
        <v>#N/A</v>
      </c>
      <c r="AR77" s="1133" t="e">
        <f>IF(AO75=0,"",VLOOKUP(AO75,'Tablas Magia'!$D$6:$Z$680,11,FALSE))</f>
        <v>#N/A</v>
      </c>
      <c r="AS77" s="1134" t="e">
        <f>IF(AO75=0,"",VLOOKUP(AO75,'Tablas Magia'!$D$6:$Z$680,15,FALSE))</f>
        <v>#N/A</v>
      </c>
      <c r="AT77" s="5579" t="e">
        <f>IF(AO75=0,"",VLOOKUP(AO75,'Tablas Magia'!$D$6:$Z$680,19,FALSE))</f>
        <v>#N/A</v>
      </c>
      <c r="AU77" s="5580"/>
      <c r="AV77" s="5580"/>
      <c r="AW77" s="5580"/>
      <c r="AX77" s="5580"/>
      <c r="AY77" s="5580"/>
      <c r="AZ77" s="5580"/>
      <c r="BA77" s="5580"/>
      <c r="BB77" s="5580"/>
      <c r="BC77" s="5581"/>
      <c r="BD77" s="1114"/>
      <c r="BE77" s="1108"/>
      <c r="BF77" s="1108"/>
      <c r="BG77" s="2080"/>
      <c r="BH77" s="5577" t="s">
        <v>1674</v>
      </c>
      <c r="BI77" s="5578"/>
      <c r="BJ77" s="1133" t="e">
        <f>IF(BH75=0,"",VLOOKUP(BH75,'Tablas Magia'!$D$6:$Z$680,7,FALSE))</f>
        <v>#N/A</v>
      </c>
      <c r="BK77" s="1133" t="e">
        <f>IF(BH75=0,"",VLOOKUP(BH75,'Tablas Magia'!$D$6:$Z$680,11,FALSE))</f>
        <v>#N/A</v>
      </c>
      <c r="BL77" s="1134" t="e">
        <f>IF(BH75=0,"",VLOOKUP(BH75,'Tablas Magia'!$D$6:$Z$680,15,FALSE))</f>
        <v>#N/A</v>
      </c>
      <c r="BM77" s="5579" t="e">
        <f>IF(BH75=0,"",VLOOKUP(BH75,'Tablas Magia'!$D$6:$Z$680,19,FALSE))</f>
        <v>#N/A</v>
      </c>
      <c r="BN77" s="5580"/>
      <c r="BO77" s="5580"/>
      <c r="BP77" s="5580"/>
      <c r="BQ77" s="5580"/>
      <c r="BR77" s="5580"/>
      <c r="BS77" s="5580"/>
      <c r="BT77" s="5580"/>
      <c r="BU77" s="5580"/>
      <c r="BV77" s="5581"/>
      <c r="BW77" s="1114"/>
      <c r="BX77" s="1108"/>
      <c r="BY77" s="1108"/>
      <c r="BZ77" s="2080"/>
      <c r="CA77" s="5577" t="s">
        <v>1674</v>
      </c>
      <c r="CB77" s="5578"/>
      <c r="CC77" s="1133" t="e">
        <f>IF(CA75=0,"",VLOOKUP(CA75,'Tablas Magia'!$D$6:$Z$680,7,FALSE))</f>
        <v>#N/A</v>
      </c>
      <c r="CD77" s="1133" t="e">
        <f>IF(CA75=0,"",VLOOKUP(CA75,'Tablas Magia'!$D$6:$Z$680,11,FALSE))</f>
        <v>#N/A</v>
      </c>
      <c r="CE77" s="1134" t="e">
        <f>IF(CA75=0,"",VLOOKUP(CA75,'Tablas Magia'!$D$6:$Z$680,15,FALSE))</f>
        <v>#N/A</v>
      </c>
      <c r="CF77" s="5579" t="e">
        <f>IF(CA75=0,"",VLOOKUP(CA75,'Tablas Magia'!$D$6:$Z$680,19,FALSE))</f>
        <v>#N/A</v>
      </c>
      <c r="CG77" s="5580"/>
      <c r="CH77" s="5580"/>
      <c r="CI77" s="5580"/>
      <c r="CJ77" s="5580"/>
      <c r="CK77" s="5580"/>
      <c r="CL77" s="5580"/>
      <c r="CM77" s="5580"/>
      <c r="CN77" s="5580"/>
      <c r="CO77" s="5581"/>
      <c r="CP77" s="1114"/>
      <c r="CQ77" s="1108"/>
    </row>
    <row r="78" spans="1:95" ht="12" customHeight="1">
      <c r="A78" s="1108"/>
      <c r="B78" s="2066"/>
      <c r="C78" s="5572" t="s">
        <v>4570</v>
      </c>
      <c r="D78" s="5573"/>
      <c r="E78" s="1135" t="e">
        <f>IF(C75=0,"",VLOOKUP(C75,'Tablas Magia'!$D$6:$Z$680,8,FALSE))</f>
        <v>#N/A</v>
      </c>
      <c r="F78" s="1135" t="e">
        <f>IF(C75=0,"",VLOOKUP(C75,'Tablas Magia'!$D$6:$Z$680,12,FALSE))</f>
        <v>#N/A</v>
      </c>
      <c r="G78" s="1136" t="e">
        <f>IF(C75=0,"",VLOOKUP(C75,'Tablas Magia'!$D$6:$Z$680,16,FALSE))</f>
        <v>#N/A</v>
      </c>
      <c r="H78" s="5574" t="e">
        <f>IF(C75=0,"",VLOOKUP(C75,'Tablas Magia'!$D$6:$Z$680,20,FALSE))</f>
        <v>#N/A</v>
      </c>
      <c r="I78" s="5575"/>
      <c r="J78" s="5575"/>
      <c r="K78" s="5575"/>
      <c r="L78" s="5575"/>
      <c r="M78" s="5575"/>
      <c r="N78" s="5575"/>
      <c r="O78" s="5575"/>
      <c r="P78" s="5575"/>
      <c r="Q78" s="5576"/>
      <c r="R78" s="1114"/>
      <c r="S78" s="1108"/>
      <c r="T78" s="1108"/>
      <c r="U78" s="2066"/>
      <c r="V78" s="5572" t="s">
        <v>4570</v>
      </c>
      <c r="W78" s="5573"/>
      <c r="X78" s="1135" t="e">
        <f>IF(V75=0,"",VLOOKUP(V75,'Tablas Magia'!$D$6:$Z$680,8,FALSE))</f>
        <v>#N/A</v>
      </c>
      <c r="Y78" s="1135" t="e">
        <f>IF(V75=0,"",VLOOKUP(V75,'Tablas Magia'!$D$6:$Z$680,12,FALSE))</f>
        <v>#N/A</v>
      </c>
      <c r="Z78" s="1136" t="e">
        <f>IF(V75=0,"",VLOOKUP(V75,'Tablas Magia'!$D$6:$Z$680,16,FALSE))</f>
        <v>#N/A</v>
      </c>
      <c r="AA78" s="5574" t="e">
        <f>IF(V75=0,"",VLOOKUP(V75,'Tablas Magia'!$D$6:$Z$680,20,FALSE))</f>
        <v>#N/A</v>
      </c>
      <c r="AB78" s="5575"/>
      <c r="AC78" s="5575"/>
      <c r="AD78" s="5575"/>
      <c r="AE78" s="5575"/>
      <c r="AF78" s="5575"/>
      <c r="AG78" s="5575"/>
      <c r="AH78" s="5575"/>
      <c r="AI78" s="5575"/>
      <c r="AJ78" s="5576"/>
      <c r="AK78" s="1114"/>
      <c r="AL78" s="1108"/>
      <c r="AM78" s="1108"/>
      <c r="AN78" s="2080"/>
      <c r="AO78" s="5572" t="s">
        <v>4570</v>
      </c>
      <c r="AP78" s="5573"/>
      <c r="AQ78" s="1135" t="e">
        <f>IF(AO75=0,"",VLOOKUP(AO75,'Tablas Magia'!$D$6:$Z$680,8,FALSE))</f>
        <v>#N/A</v>
      </c>
      <c r="AR78" s="1135" t="e">
        <f>IF(AO75=0,"",VLOOKUP(AO75,'Tablas Magia'!$D$6:$Z$680,12,FALSE))</f>
        <v>#N/A</v>
      </c>
      <c r="AS78" s="1136" t="e">
        <f>IF(AO75=0,"",VLOOKUP(AO75,'Tablas Magia'!$D$6:$Z$680,16,FALSE))</f>
        <v>#N/A</v>
      </c>
      <c r="AT78" s="5574" t="e">
        <f>IF(AO75=0,"",VLOOKUP(AO75,'Tablas Magia'!$D$6:$Z$680,20,FALSE))</f>
        <v>#N/A</v>
      </c>
      <c r="AU78" s="5575"/>
      <c r="AV78" s="5575"/>
      <c r="AW78" s="5575"/>
      <c r="AX78" s="5575"/>
      <c r="AY78" s="5575"/>
      <c r="AZ78" s="5575"/>
      <c r="BA78" s="5575"/>
      <c r="BB78" s="5575"/>
      <c r="BC78" s="5576"/>
      <c r="BD78" s="1114"/>
      <c r="BE78" s="1108"/>
      <c r="BF78" s="1108"/>
      <c r="BG78" s="2080"/>
      <c r="BH78" s="5572" t="s">
        <v>4570</v>
      </c>
      <c r="BI78" s="5573"/>
      <c r="BJ78" s="1135" t="e">
        <f>IF(BH75=0,"",VLOOKUP(BH75,'Tablas Magia'!$D$6:$Z$680,8,FALSE))</f>
        <v>#N/A</v>
      </c>
      <c r="BK78" s="1135" t="e">
        <f>IF(BH75=0,"",VLOOKUP(BH75,'Tablas Magia'!$D$6:$Z$680,12,FALSE))</f>
        <v>#N/A</v>
      </c>
      <c r="BL78" s="1136" t="e">
        <f>IF(BH75=0,"",VLOOKUP(BH75,'Tablas Magia'!$D$6:$Z$680,16,FALSE))</f>
        <v>#N/A</v>
      </c>
      <c r="BM78" s="5574" t="e">
        <f>IF(BH75=0,"",VLOOKUP(BH75,'Tablas Magia'!$D$6:$Z$680,20,FALSE))</f>
        <v>#N/A</v>
      </c>
      <c r="BN78" s="5575"/>
      <c r="BO78" s="5575"/>
      <c r="BP78" s="5575"/>
      <c r="BQ78" s="5575"/>
      <c r="BR78" s="5575"/>
      <c r="BS78" s="5575"/>
      <c r="BT78" s="5575"/>
      <c r="BU78" s="5575"/>
      <c r="BV78" s="5576"/>
      <c r="BW78" s="1114"/>
      <c r="BX78" s="1108"/>
      <c r="BY78" s="1108"/>
      <c r="BZ78" s="2080"/>
      <c r="CA78" s="5572" t="s">
        <v>4570</v>
      </c>
      <c r="CB78" s="5573"/>
      <c r="CC78" s="1135" t="e">
        <f>IF(CA75=0,"",VLOOKUP(CA75,'Tablas Magia'!$D$6:$Z$680,8,FALSE))</f>
        <v>#N/A</v>
      </c>
      <c r="CD78" s="1135" t="e">
        <f>IF(CA75=0,"",VLOOKUP(CA75,'Tablas Magia'!$D$6:$Z$680,12,FALSE))</f>
        <v>#N/A</v>
      </c>
      <c r="CE78" s="1136" t="e">
        <f>IF(CA75=0,"",VLOOKUP(CA75,'Tablas Magia'!$D$6:$Z$680,16,FALSE))</f>
        <v>#N/A</v>
      </c>
      <c r="CF78" s="5574" t="e">
        <f>IF(CA75=0,"",VLOOKUP(CA75,'Tablas Magia'!$D$6:$Z$680,20,FALSE))</f>
        <v>#N/A</v>
      </c>
      <c r="CG78" s="5575"/>
      <c r="CH78" s="5575"/>
      <c r="CI78" s="5575"/>
      <c r="CJ78" s="5575"/>
      <c r="CK78" s="5575"/>
      <c r="CL78" s="5575"/>
      <c r="CM78" s="5575"/>
      <c r="CN78" s="5575"/>
      <c r="CO78" s="5576"/>
      <c r="CP78" s="1114"/>
      <c r="CQ78" s="1108"/>
    </row>
    <row r="79" spans="1:95" ht="12" customHeight="1">
      <c r="A79" s="1108"/>
      <c r="B79" s="2066"/>
      <c r="C79" s="5577" t="s">
        <v>4571</v>
      </c>
      <c r="D79" s="5578"/>
      <c r="E79" s="1133" t="e">
        <f>IF(C75=0,"",VLOOKUP(C75,'Tablas Magia'!$D$6:$Z$680,9,FALSE))</f>
        <v>#N/A</v>
      </c>
      <c r="F79" s="1133" t="e">
        <f>IF(C75=0,"",VLOOKUP(C75,'Tablas Magia'!$D$6:$Z$680,13,FALSE))</f>
        <v>#N/A</v>
      </c>
      <c r="G79" s="1134" t="e">
        <f>IF(C75=0,"",VLOOKUP(C75,'Tablas Magia'!$D$6:$Z$680,17,FALSE))</f>
        <v>#N/A</v>
      </c>
      <c r="H79" s="5579" t="e">
        <f>IF(C75=0,"",VLOOKUP(C75,'Tablas Magia'!$D$6:$Z$680,21,FALSE))</f>
        <v>#N/A</v>
      </c>
      <c r="I79" s="5580"/>
      <c r="J79" s="5580"/>
      <c r="K79" s="5580"/>
      <c r="L79" s="5580"/>
      <c r="M79" s="5580"/>
      <c r="N79" s="5580"/>
      <c r="O79" s="5580"/>
      <c r="P79" s="5580"/>
      <c r="Q79" s="5581"/>
      <c r="R79" s="1114"/>
      <c r="S79" s="1108"/>
      <c r="T79" s="1108"/>
      <c r="U79" s="2066"/>
      <c r="V79" s="5577" t="s">
        <v>4571</v>
      </c>
      <c r="W79" s="5578"/>
      <c r="X79" s="1133" t="e">
        <f>IF(V75=0,"",VLOOKUP(V75,'Tablas Magia'!$D$6:$Z$680,9,FALSE))</f>
        <v>#N/A</v>
      </c>
      <c r="Y79" s="1133" t="e">
        <f>IF(V75=0,"",VLOOKUP(V75,'Tablas Magia'!$D$6:$Z$680,13,FALSE))</f>
        <v>#N/A</v>
      </c>
      <c r="Z79" s="1134" t="e">
        <f>IF(V75=0,"",VLOOKUP(V75,'Tablas Magia'!$D$6:$Z$680,17,FALSE))</f>
        <v>#N/A</v>
      </c>
      <c r="AA79" s="5579" t="e">
        <f>IF(V75=0,"",VLOOKUP(V75,'Tablas Magia'!$D$6:$Z$680,21,FALSE))</f>
        <v>#N/A</v>
      </c>
      <c r="AB79" s="5580"/>
      <c r="AC79" s="5580"/>
      <c r="AD79" s="5580"/>
      <c r="AE79" s="5580"/>
      <c r="AF79" s="5580"/>
      <c r="AG79" s="5580"/>
      <c r="AH79" s="5580"/>
      <c r="AI79" s="5580"/>
      <c r="AJ79" s="5581"/>
      <c r="AK79" s="1114"/>
      <c r="AL79" s="1108"/>
      <c r="AM79" s="1108"/>
      <c r="AN79" s="2080"/>
      <c r="AO79" s="5577" t="s">
        <v>4571</v>
      </c>
      <c r="AP79" s="5578"/>
      <c r="AQ79" s="1133" t="e">
        <f>IF(AO75=0,"",VLOOKUP(AO75,'Tablas Magia'!$D$6:$Z$680,9,FALSE))</f>
        <v>#N/A</v>
      </c>
      <c r="AR79" s="1133" t="e">
        <f>IF(AO75=0,"",VLOOKUP(AO75,'Tablas Magia'!$D$6:$Z$680,13,FALSE))</f>
        <v>#N/A</v>
      </c>
      <c r="AS79" s="1134" t="e">
        <f>IF(AO75=0,"",VLOOKUP(AO75,'Tablas Magia'!$D$6:$Z$680,17,FALSE))</f>
        <v>#N/A</v>
      </c>
      <c r="AT79" s="5579" t="e">
        <f>IF(AO75=0,"",VLOOKUP(AO75,'Tablas Magia'!$D$6:$Z$680,21,FALSE))</f>
        <v>#N/A</v>
      </c>
      <c r="AU79" s="5580"/>
      <c r="AV79" s="5580"/>
      <c r="AW79" s="5580"/>
      <c r="AX79" s="5580"/>
      <c r="AY79" s="5580"/>
      <c r="AZ79" s="5580"/>
      <c r="BA79" s="5580"/>
      <c r="BB79" s="5580"/>
      <c r="BC79" s="5581"/>
      <c r="BD79" s="1114"/>
      <c r="BE79" s="1108"/>
      <c r="BF79" s="1108"/>
      <c r="BG79" s="2080"/>
      <c r="BH79" s="5577" t="s">
        <v>4571</v>
      </c>
      <c r="BI79" s="5578"/>
      <c r="BJ79" s="1133" t="e">
        <f>IF(BH75=0,"",VLOOKUP(BH75,'Tablas Magia'!$D$6:$Z$680,9,FALSE))</f>
        <v>#N/A</v>
      </c>
      <c r="BK79" s="1133" t="e">
        <f>IF(BH75=0,"",VLOOKUP(BH75,'Tablas Magia'!$D$6:$Z$680,13,FALSE))</f>
        <v>#N/A</v>
      </c>
      <c r="BL79" s="1134" t="e">
        <f>IF(BH75=0,"",VLOOKUP(BH75,'Tablas Magia'!$D$6:$Z$680,17,FALSE))</f>
        <v>#N/A</v>
      </c>
      <c r="BM79" s="5579" t="e">
        <f>IF(BH75=0,"",VLOOKUP(BH75,'Tablas Magia'!$D$6:$Z$680,21,FALSE))</f>
        <v>#N/A</v>
      </c>
      <c r="BN79" s="5580"/>
      <c r="BO79" s="5580"/>
      <c r="BP79" s="5580"/>
      <c r="BQ79" s="5580"/>
      <c r="BR79" s="5580"/>
      <c r="BS79" s="5580"/>
      <c r="BT79" s="5580"/>
      <c r="BU79" s="5580"/>
      <c r="BV79" s="5581"/>
      <c r="BW79" s="1114"/>
      <c r="BX79" s="1108"/>
      <c r="BY79" s="1108"/>
      <c r="BZ79" s="2080"/>
      <c r="CA79" s="5577" t="s">
        <v>4571</v>
      </c>
      <c r="CB79" s="5578"/>
      <c r="CC79" s="1133" t="e">
        <f>IF(CA75=0,"",VLOOKUP(CA75,'Tablas Magia'!$D$6:$Z$680,9,FALSE))</f>
        <v>#N/A</v>
      </c>
      <c r="CD79" s="1133" t="e">
        <f>IF(CA75=0,"",VLOOKUP(CA75,'Tablas Magia'!$D$6:$Z$680,13,FALSE))</f>
        <v>#N/A</v>
      </c>
      <c r="CE79" s="1134" t="e">
        <f>IF(CA75=0,"",VLOOKUP(CA75,'Tablas Magia'!$D$6:$Z$680,17,FALSE))</f>
        <v>#N/A</v>
      </c>
      <c r="CF79" s="5579" t="e">
        <f>IF(CA75=0,"",VLOOKUP(CA75,'Tablas Magia'!$D$6:$Z$680,21,FALSE))</f>
        <v>#N/A</v>
      </c>
      <c r="CG79" s="5580"/>
      <c r="CH79" s="5580"/>
      <c r="CI79" s="5580"/>
      <c r="CJ79" s="5580"/>
      <c r="CK79" s="5580"/>
      <c r="CL79" s="5580"/>
      <c r="CM79" s="5580"/>
      <c r="CN79" s="5580"/>
      <c r="CO79" s="5581"/>
      <c r="CP79" s="1114"/>
      <c r="CQ79" s="1108"/>
    </row>
    <row r="80" spans="1:95" ht="12" customHeight="1" thickBot="1">
      <c r="A80" s="1108"/>
      <c r="B80" s="2066"/>
      <c r="C80" s="5587" t="s">
        <v>4572</v>
      </c>
      <c r="D80" s="5588"/>
      <c r="E80" s="1137" t="e">
        <f>IF(C75=0,"",VLOOKUP(C75,'Tablas Magia'!$D$6:$Z$680,10,FALSE))</f>
        <v>#N/A</v>
      </c>
      <c r="F80" s="1137" t="e">
        <f>IF(C75=0,"",VLOOKUP(C75,'Tablas Magia'!$D$6:$Z$680,14,FALSE))</f>
        <v>#N/A</v>
      </c>
      <c r="G80" s="1138" t="e">
        <f>IF(C75=0,"",VLOOKUP(C75,'Tablas Magia'!$D$6:$Z$680,18,FALSE))</f>
        <v>#N/A</v>
      </c>
      <c r="H80" s="5589" t="e">
        <f>IF(C75=0,"",VLOOKUP(C75,'Tablas Magia'!$D$6:$Z$680,22,FALSE))</f>
        <v>#N/A</v>
      </c>
      <c r="I80" s="5590"/>
      <c r="J80" s="5590"/>
      <c r="K80" s="5590"/>
      <c r="L80" s="5590"/>
      <c r="M80" s="5590"/>
      <c r="N80" s="5590"/>
      <c r="O80" s="5590"/>
      <c r="P80" s="5590"/>
      <c r="Q80" s="5591"/>
      <c r="R80" s="1114"/>
      <c r="S80" s="1108"/>
      <c r="T80" s="1108"/>
      <c r="U80" s="2066"/>
      <c r="V80" s="5587" t="s">
        <v>4572</v>
      </c>
      <c r="W80" s="5588"/>
      <c r="X80" s="1137" t="e">
        <f>IF(V75=0,"",VLOOKUP(V75,'Tablas Magia'!$D$6:$Z$680,10,FALSE))</f>
        <v>#N/A</v>
      </c>
      <c r="Y80" s="1137" t="e">
        <f>IF(V75=0,"",VLOOKUP(V75,'Tablas Magia'!$D$6:$Z$680,14,FALSE))</f>
        <v>#N/A</v>
      </c>
      <c r="Z80" s="1138" t="e">
        <f>IF(V75=0,"",VLOOKUP(V75,'Tablas Magia'!$D$6:$Z$680,18,FALSE))</f>
        <v>#N/A</v>
      </c>
      <c r="AA80" s="5589" t="e">
        <f>IF(V75=0,"",VLOOKUP(V75,'Tablas Magia'!$D$6:$Z$680,22,FALSE))</f>
        <v>#N/A</v>
      </c>
      <c r="AB80" s="5590"/>
      <c r="AC80" s="5590"/>
      <c r="AD80" s="5590"/>
      <c r="AE80" s="5590"/>
      <c r="AF80" s="5590"/>
      <c r="AG80" s="5590"/>
      <c r="AH80" s="5590"/>
      <c r="AI80" s="5590"/>
      <c r="AJ80" s="5591"/>
      <c r="AK80" s="1114"/>
      <c r="AL80" s="1108"/>
      <c r="AM80" s="1108"/>
      <c r="AN80" s="2080"/>
      <c r="AO80" s="5587" t="s">
        <v>4572</v>
      </c>
      <c r="AP80" s="5588"/>
      <c r="AQ80" s="1137" t="e">
        <f>IF(AO75=0,"",VLOOKUP(AO75,'Tablas Magia'!$D$6:$Z$680,10,FALSE))</f>
        <v>#N/A</v>
      </c>
      <c r="AR80" s="1137" t="e">
        <f>IF(AO75=0,"",VLOOKUP(AO75,'Tablas Magia'!$D$6:$Z$680,14,FALSE))</f>
        <v>#N/A</v>
      </c>
      <c r="AS80" s="1138" t="e">
        <f>IF(AO75=0,"",VLOOKUP(AO75,'Tablas Magia'!$D$6:$Z$680,18,FALSE))</f>
        <v>#N/A</v>
      </c>
      <c r="AT80" s="5589" t="e">
        <f>IF(AO75=0,"",VLOOKUP(AO75,'Tablas Magia'!$D$6:$Z$680,22,FALSE))</f>
        <v>#N/A</v>
      </c>
      <c r="AU80" s="5590"/>
      <c r="AV80" s="5590"/>
      <c r="AW80" s="5590"/>
      <c r="AX80" s="5590"/>
      <c r="AY80" s="5590"/>
      <c r="AZ80" s="5590"/>
      <c r="BA80" s="5590"/>
      <c r="BB80" s="5590"/>
      <c r="BC80" s="5591"/>
      <c r="BD80" s="1114"/>
      <c r="BE80" s="1108"/>
      <c r="BF80" s="1108"/>
      <c r="BG80" s="2080"/>
      <c r="BH80" s="5587" t="s">
        <v>4572</v>
      </c>
      <c r="BI80" s="5588"/>
      <c r="BJ80" s="1137" t="e">
        <f>IF(BH75=0,"",VLOOKUP(BH75,'Tablas Magia'!$D$6:$Z$680,10,FALSE))</f>
        <v>#N/A</v>
      </c>
      <c r="BK80" s="1137" t="e">
        <f>IF(BH75=0,"",VLOOKUP(BH75,'Tablas Magia'!$D$6:$Z$680,14,FALSE))</f>
        <v>#N/A</v>
      </c>
      <c r="BL80" s="1138" t="e">
        <f>IF(BH75=0,"",VLOOKUP(BH75,'Tablas Magia'!$D$6:$Z$680,18,FALSE))</f>
        <v>#N/A</v>
      </c>
      <c r="BM80" s="5589" t="e">
        <f>IF(BH75=0,"",VLOOKUP(BH75,'Tablas Magia'!$D$6:$Z$680,22,FALSE))</f>
        <v>#N/A</v>
      </c>
      <c r="BN80" s="5590"/>
      <c r="BO80" s="5590"/>
      <c r="BP80" s="5590"/>
      <c r="BQ80" s="5590"/>
      <c r="BR80" s="5590"/>
      <c r="BS80" s="5590"/>
      <c r="BT80" s="5590"/>
      <c r="BU80" s="5590"/>
      <c r="BV80" s="5591"/>
      <c r="BW80" s="1114"/>
      <c r="BX80" s="1108"/>
      <c r="BY80" s="1108"/>
      <c r="BZ80" s="2080"/>
      <c r="CA80" s="5587" t="s">
        <v>4572</v>
      </c>
      <c r="CB80" s="5588"/>
      <c r="CC80" s="1137" t="e">
        <f>IF(CA75=0,"",VLOOKUP(CA75,'Tablas Magia'!$D$6:$Z$680,10,FALSE))</f>
        <v>#N/A</v>
      </c>
      <c r="CD80" s="1137" t="e">
        <f>IF(CA75=0,"",VLOOKUP(CA75,'Tablas Magia'!$D$6:$Z$680,14,FALSE))</f>
        <v>#N/A</v>
      </c>
      <c r="CE80" s="1138" t="e">
        <f>IF(CA75=0,"",VLOOKUP(CA75,'Tablas Magia'!$D$6:$Z$680,18,FALSE))</f>
        <v>#N/A</v>
      </c>
      <c r="CF80" s="5589" t="e">
        <f>IF(CA75=0,"",VLOOKUP(CA75,'Tablas Magia'!$D$6:$Z$680,22,FALSE))</f>
        <v>#N/A</v>
      </c>
      <c r="CG80" s="5590"/>
      <c r="CH80" s="5590"/>
      <c r="CI80" s="5590"/>
      <c r="CJ80" s="5590"/>
      <c r="CK80" s="5590"/>
      <c r="CL80" s="5590"/>
      <c r="CM80" s="5590"/>
      <c r="CN80" s="5590"/>
      <c r="CO80" s="5591"/>
      <c r="CP80" s="1114"/>
      <c r="CQ80" s="1108"/>
    </row>
    <row r="81" spans="1:95" ht="12" customHeight="1">
      <c r="A81" s="1108"/>
      <c r="B81" s="2066"/>
      <c r="C81" s="5592" t="e">
        <f>IF(C75=0,"",VLOOKUP(C75,'Tablas Magia'!$D$6:$Z$680,23,FALSE))</f>
        <v>#N/A</v>
      </c>
      <c r="D81" s="5593"/>
      <c r="E81" s="5593"/>
      <c r="F81" s="5593"/>
      <c r="G81" s="5593"/>
      <c r="H81" s="5593"/>
      <c r="I81" s="5593"/>
      <c r="J81" s="5593"/>
      <c r="K81" s="5593"/>
      <c r="L81" s="5593"/>
      <c r="M81" s="5593"/>
      <c r="N81" s="5593"/>
      <c r="O81" s="5593"/>
      <c r="P81" s="5593"/>
      <c r="Q81" s="5594"/>
      <c r="R81" s="1114"/>
      <c r="S81" s="1108"/>
      <c r="T81" s="1108"/>
      <c r="U81" s="2066"/>
      <c r="V81" s="5592" t="e">
        <f>IF(V75=0,"",VLOOKUP(V75,'Tablas Magia'!$D$6:$Z$680,23,FALSE))</f>
        <v>#N/A</v>
      </c>
      <c r="W81" s="5593"/>
      <c r="X81" s="5593"/>
      <c r="Y81" s="5593"/>
      <c r="Z81" s="5593"/>
      <c r="AA81" s="5593"/>
      <c r="AB81" s="5593"/>
      <c r="AC81" s="5593"/>
      <c r="AD81" s="5593"/>
      <c r="AE81" s="5593"/>
      <c r="AF81" s="5593"/>
      <c r="AG81" s="5593"/>
      <c r="AH81" s="5593"/>
      <c r="AI81" s="5593"/>
      <c r="AJ81" s="5594"/>
      <c r="AK81" s="1114"/>
      <c r="AL81" s="1108"/>
      <c r="AM81" s="1108"/>
      <c r="AN81" s="2080"/>
      <c r="AO81" s="5592" t="e">
        <f>IF(AO75=0,"",VLOOKUP(AO75,'Tablas Magia'!$D$6:$Z$680,23,FALSE))</f>
        <v>#N/A</v>
      </c>
      <c r="AP81" s="5593"/>
      <c r="AQ81" s="5593"/>
      <c r="AR81" s="5593"/>
      <c r="AS81" s="5593"/>
      <c r="AT81" s="5593"/>
      <c r="AU81" s="5593"/>
      <c r="AV81" s="5593"/>
      <c r="AW81" s="5593"/>
      <c r="AX81" s="5593"/>
      <c r="AY81" s="5593"/>
      <c r="AZ81" s="5593"/>
      <c r="BA81" s="5593"/>
      <c r="BB81" s="5593"/>
      <c r="BC81" s="5594"/>
      <c r="BD81" s="1114"/>
      <c r="BE81" s="1108"/>
      <c r="BF81" s="1108"/>
      <c r="BG81" s="2080"/>
      <c r="BH81" s="5592" t="e">
        <f>IF(BH75=0,"",VLOOKUP(BH75,'Tablas Magia'!$D$6:$Z$680,23,FALSE))</f>
        <v>#N/A</v>
      </c>
      <c r="BI81" s="5593"/>
      <c r="BJ81" s="5593"/>
      <c r="BK81" s="5593"/>
      <c r="BL81" s="5593"/>
      <c r="BM81" s="5593"/>
      <c r="BN81" s="5593"/>
      <c r="BO81" s="5593"/>
      <c r="BP81" s="5593"/>
      <c r="BQ81" s="5593"/>
      <c r="BR81" s="5593"/>
      <c r="BS81" s="5593"/>
      <c r="BT81" s="5593"/>
      <c r="BU81" s="5593"/>
      <c r="BV81" s="5594"/>
      <c r="BW81" s="1114"/>
      <c r="BX81" s="1108"/>
      <c r="BY81" s="1108"/>
      <c r="BZ81" s="2080"/>
      <c r="CA81" s="5592" t="e">
        <f>IF(CA75=0,"",VLOOKUP(CA75,'Tablas Magia'!$D$6:$Z$680,23,FALSE))</f>
        <v>#N/A</v>
      </c>
      <c r="CB81" s="5593"/>
      <c r="CC81" s="5593"/>
      <c r="CD81" s="5593"/>
      <c r="CE81" s="5593"/>
      <c r="CF81" s="5593"/>
      <c r="CG81" s="5593"/>
      <c r="CH81" s="5593"/>
      <c r="CI81" s="5593"/>
      <c r="CJ81" s="5593"/>
      <c r="CK81" s="5593"/>
      <c r="CL81" s="5593"/>
      <c r="CM81" s="5593"/>
      <c r="CN81" s="5593"/>
      <c r="CO81" s="5594"/>
      <c r="CP81" s="1114"/>
      <c r="CQ81" s="1108"/>
    </row>
    <row r="82" spans="1:95" ht="12" customHeight="1">
      <c r="A82" s="1108"/>
      <c r="B82" s="2066"/>
      <c r="C82" s="5595"/>
      <c r="D82" s="5596"/>
      <c r="E82" s="5596"/>
      <c r="F82" s="5596"/>
      <c r="G82" s="5596"/>
      <c r="H82" s="5596"/>
      <c r="I82" s="5596"/>
      <c r="J82" s="5596"/>
      <c r="K82" s="5596"/>
      <c r="L82" s="5596"/>
      <c r="M82" s="5596"/>
      <c r="N82" s="5596"/>
      <c r="O82" s="5596"/>
      <c r="P82" s="5596"/>
      <c r="Q82" s="5597"/>
      <c r="R82" s="1114"/>
      <c r="S82" s="1108"/>
      <c r="T82" s="1108"/>
      <c r="U82" s="2066"/>
      <c r="V82" s="5595"/>
      <c r="W82" s="5596"/>
      <c r="X82" s="5596"/>
      <c r="Y82" s="5596"/>
      <c r="Z82" s="5596"/>
      <c r="AA82" s="5596"/>
      <c r="AB82" s="5596"/>
      <c r="AC82" s="5596"/>
      <c r="AD82" s="5596"/>
      <c r="AE82" s="5596"/>
      <c r="AF82" s="5596"/>
      <c r="AG82" s="5596"/>
      <c r="AH82" s="5596"/>
      <c r="AI82" s="5596"/>
      <c r="AJ82" s="5597"/>
      <c r="AK82" s="1114"/>
      <c r="AL82" s="1108"/>
      <c r="AM82" s="1108"/>
      <c r="AN82" s="2080"/>
      <c r="AO82" s="5595"/>
      <c r="AP82" s="5596"/>
      <c r="AQ82" s="5596"/>
      <c r="AR82" s="5596"/>
      <c r="AS82" s="5596"/>
      <c r="AT82" s="5596"/>
      <c r="AU82" s="5596"/>
      <c r="AV82" s="5596"/>
      <c r="AW82" s="5596"/>
      <c r="AX82" s="5596"/>
      <c r="AY82" s="5596"/>
      <c r="AZ82" s="5596"/>
      <c r="BA82" s="5596"/>
      <c r="BB82" s="5596"/>
      <c r="BC82" s="5597"/>
      <c r="BD82" s="1114"/>
      <c r="BE82" s="1108"/>
      <c r="BF82" s="1108"/>
      <c r="BG82" s="2080"/>
      <c r="BH82" s="5595"/>
      <c r="BI82" s="5596"/>
      <c r="BJ82" s="5596"/>
      <c r="BK82" s="5596"/>
      <c r="BL82" s="5596"/>
      <c r="BM82" s="5596"/>
      <c r="BN82" s="5596"/>
      <c r="BO82" s="5596"/>
      <c r="BP82" s="5596"/>
      <c r="BQ82" s="5596"/>
      <c r="BR82" s="5596"/>
      <c r="BS82" s="5596"/>
      <c r="BT82" s="5596"/>
      <c r="BU82" s="5596"/>
      <c r="BV82" s="5597"/>
      <c r="BW82" s="1114"/>
      <c r="BX82" s="1108"/>
      <c r="BY82" s="1108"/>
      <c r="BZ82" s="2080"/>
      <c r="CA82" s="5595"/>
      <c r="CB82" s="5596"/>
      <c r="CC82" s="5596"/>
      <c r="CD82" s="5596"/>
      <c r="CE82" s="5596"/>
      <c r="CF82" s="5596"/>
      <c r="CG82" s="5596"/>
      <c r="CH82" s="5596"/>
      <c r="CI82" s="5596"/>
      <c r="CJ82" s="5596"/>
      <c r="CK82" s="5596"/>
      <c r="CL82" s="5596"/>
      <c r="CM82" s="5596"/>
      <c r="CN82" s="5596"/>
      <c r="CO82" s="5597"/>
      <c r="CP82" s="1114"/>
      <c r="CQ82" s="1108"/>
    </row>
    <row r="83" spans="1:95" ht="12" customHeight="1">
      <c r="A83" s="1108"/>
      <c r="B83" s="2066"/>
      <c r="C83" s="5595"/>
      <c r="D83" s="5596"/>
      <c r="E83" s="5596"/>
      <c r="F83" s="5596"/>
      <c r="G83" s="5596"/>
      <c r="H83" s="5596"/>
      <c r="I83" s="5596"/>
      <c r="J83" s="5596"/>
      <c r="K83" s="5596"/>
      <c r="L83" s="5596"/>
      <c r="M83" s="5596"/>
      <c r="N83" s="5596"/>
      <c r="O83" s="5596"/>
      <c r="P83" s="5596"/>
      <c r="Q83" s="5597"/>
      <c r="R83" s="1114"/>
      <c r="S83" s="1108"/>
      <c r="T83" s="1108"/>
      <c r="U83" s="2066"/>
      <c r="V83" s="5595"/>
      <c r="W83" s="5596"/>
      <c r="X83" s="5596"/>
      <c r="Y83" s="5596"/>
      <c r="Z83" s="5596"/>
      <c r="AA83" s="5596"/>
      <c r="AB83" s="5596"/>
      <c r="AC83" s="5596"/>
      <c r="AD83" s="5596"/>
      <c r="AE83" s="5596"/>
      <c r="AF83" s="5596"/>
      <c r="AG83" s="5596"/>
      <c r="AH83" s="5596"/>
      <c r="AI83" s="5596"/>
      <c r="AJ83" s="5597"/>
      <c r="AK83" s="1114"/>
      <c r="AL83" s="1108"/>
      <c r="AM83" s="1108"/>
      <c r="AN83" s="2080"/>
      <c r="AO83" s="5595"/>
      <c r="AP83" s="5596"/>
      <c r="AQ83" s="5596"/>
      <c r="AR83" s="5596"/>
      <c r="AS83" s="5596"/>
      <c r="AT83" s="5596"/>
      <c r="AU83" s="5596"/>
      <c r="AV83" s="5596"/>
      <c r="AW83" s="5596"/>
      <c r="AX83" s="5596"/>
      <c r="AY83" s="5596"/>
      <c r="AZ83" s="5596"/>
      <c r="BA83" s="5596"/>
      <c r="BB83" s="5596"/>
      <c r="BC83" s="5597"/>
      <c r="BD83" s="1114"/>
      <c r="BE83" s="1108"/>
      <c r="BF83" s="1108"/>
      <c r="BG83" s="2080"/>
      <c r="BH83" s="5595"/>
      <c r="BI83" s="5596"/>
      <c r="BJ83" s="5596"/>
      <c r="BK83" s="5596"/>
      <c r="BL83" s="5596"/>
      <c r="BM83" s="5596"/>
      <c r="BN83" s="5596"/>
      <c r="BO83" s="5596"/>
      <c r="BP83" s="5596"/>
      <c r="BQ83" s="5596"/>
      <c r="BR83" s="5596"/>
      <c r="BS83" s="5596"/>
      <c r="BT83" s="5596"/>
      <c r="BU83" s="5596"/>
      <c r="BV83" s="5597"/>
      <c r="BW83" s="1114"/>
      <c r="BX83" s="1108"/>
      <c r="BY83" s="1108"/>
      <c r="BZ83" s="2080"/>
      <c r="CA83" s="5595"/>
      <c r="CB83" s="5596"/>
      <c r="CC83" s="5596"/>
      <c r="CD83" s="5596"/>
      <c r="CE83" s="5596"/>
      <c r="CF83" s="5596"/>
      <c r="CG83" s="5596"/>
      <c r="CH83" s="5596"/>
      <c r="CI83" s="5596"/>
      <c r="CJ83" s="5596"/>
      <c r="CK83" s="5596"/>
      <c r="CL83" s="5596"/>
      <c r="CM83" s="5596"/>
      <c r="CN83" s="5596"/>
      <c r="CO83" s="5597"/>
      <c r="CP83" s="1114"/>
      <c r="CQ83" s="1108"/>
    </row>
    <row r="84" spans="1:95" ht="12" customHeight="1" thickBot="1">
      <c r="A84" s="1108"/>
      <c r="B84" s="2066"/>
      <c r="C84" s="5598"/>
      <c r="D84" s="5599"/>
      <c r="E84" s="5599"/>
      <c r="F84" s="5599"/>
      <c r="G84" s="5599"/>
      <c r="H84" s="5599"/>
      <c r="I84" s="5599"/>
      <c r="J84" s="5599"/>
      <c r="K84" s="5599"/>
      <c r="L84" s="5599"/>
      <c r="M84" s="5599"/>
      <c r="N84" s="5599"/>
      <c r="O84" s="5599"/>
      <c r="P84" s="5599"/>
      <c r="Q84" s="5600"/>
      <c r="R84" s="1114"/>
      <c r="S84" s="1108"/>
      <c r="T84" s="1108"/>
      <c r="U84" s="2066"/>
      <c r="V84" s="5598"/>
      <c r="W84" s="5599"/>
      <c r="X84" s="5599"/>
      <c r="Y84" s="5599"/>
      <c r="Z84" s="5599"/>
      <c r="AA84" s="5599"/>
      <c r="AB84" s="5599"/>
      <c r="AC84" s="5599"/>
      <c r="AD84" s="5599"/>
      <c r="AE84" s="5599"/>
      <c r="AF84" s="5599"/>
      <c r="AG84" s="5599"/>
      <c r="AH84" s="5599"/>
      <c r="AI84" s="5599"/>
      <c r="AJ84" s="5600"/>
      <c r="AK84" s="1114"/>
      <c r="AL84" s="1108"/>
      <c r="AM84" s="1108"/>
      <c r="AN84" s="2080"/>
      <c r="AO84" s="5598"/>
      <c r="AP84" s="5599"/>
      <c r="AQ84" s="5599"/>
      <c r="AR84" s="5599"/>
      <c r="AS84" s="5599"/>
      <c r="AT84" s="5599"/>
      <c r="AU84" s="5599"/>
      <c r="AV84" s="5599"/>
      <c r="AW84" s="5599"/>
      <c r="AX84" s="5599"/>
      <c r="AY84" s="5599"/>
      <c r="AZ84" s="5599"/>
      <c r="BA84" s="5599"/>
      <c r="BB84" s="5599"/>
      <c r="BC84" s="5600"/>
      <c r="BD84" s="1114"/>
      <c r="BE84" s="1108"/>
      <c r="BF84" s="1108"/>
      <c r="BG84" s="2080"/>
      <c r="BH84" s="5598"/>
      <c r="BI84" s="5599"/>
      <c r="BJ84" s="5599"/>
      <c r="BK84" s="5599"/>
      <c r="BL84" s="5599"/>
      <c r="BM84" s="5599"/>
      <c r="BN84" s="5599"/>
      <c r="BO84" s="5599"/>
      <c r="BP84" s="5599"/>
      <c r="BQ84" s="5599"/>
      <c r="BR84" s="5599"/>
      <c r="BS84" s="5599"/>
      <c r="BT84" s="5599"/>
      <c r="BU84" s="5599"/>
      <c r="BV84" s="5600"/>
      <c r="BW84" s="1114"/>
      <c r="BX84" s="1108"/>
      <c r="BY84" s="1108"/>
      <c r="BZ84" s="2080"/>
      <c r="CA84" s="5598"/>
      <c r="CB84" s="5599"/>
      <c r="CC84" s="5599"/>
      <c r="CD84" s="5599"/>
      <c r="CE84" s="5599"/>
      <c r="CF84" s="5599"/>
      <c r="CG84" s="5599"/>
      <c r="CH84" s="5599"/>
      <c r="CI84" s="5599"/>
      <c r="CJ84" s="5599"/>
      <c r="CK84" s="5599"/>
      <c r="CL84" s="5599"/>
      <c r="CM84" s="5599"/>
      <c r="CN84" s="5599"/>
      <c r="CO84" s="5600"/>
      <c r="CP84" s="1114"/>
      <c r="CQ84" s="1108"/>
    </row>
    <row r="85" spans="1:95" ht="12" customHeight="1" thickBot="1">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6">
        <f>B75+2</f>
        <v>16</v>
      </c>
      <c r="C86" s="560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02"/>
      <c r="E86" s="5602"/>
      <c r="F86" s="5602"/>
      <c r="G86" s="5602"/>
      <c r="H86" s="1128" t="s">
        <v>1627</v>
      </c>
      <c r="I86" s="1129">
        <f>B86</f>
        <v>16</v>
      </c>
      <c r="J86" s="5567" t="s">
        <v>7685</v>
      </c>
      <c r="K86" s="5567"/>
      <c r="L86" s="5567"/>
      <c r="M86" s="5568" t="str">
        <f>IF(C86=0,"",VLOOKUP(C86,'Tablas Magia'!$D$6:$Z$680,2,FALSE))</f>
        <v>Luz</v>
      </c>
      <c r="N86" s="5568"/>
      <c r="O86" s="5568"/>
      <c r="P86" s="5568"/>
      <c r="Q86" s="5569"/>
      <c r="R86" s="1114"/>
      <c r="S86" s="1108"/>
      <c r="T86" s="1108"/>
      <c r="U86" s="2066">
        <f>U75+2</f>
        <v>36</v>
      </c>
      <c r="V86" s="560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02"/>
      <c r="X86" s="5602"/>
      <c r="Y86" s="5602"/>
      <c r="Z86" s="5602"/>
      <c r="AA86" s="1128" t="s">
        <v>1627</v>
      </c>
      <c r="AB86" s="1129">
        <f>U86</f>
        <v>36</v>
      </c>
      <c r="AC86" s="5567" t="s">
        <v>7685</v>
      </c>
      <c r="AD86" s="5567"/>
      <c r="AE86" s="5567"/>
      <c r="AF86" s="5568" t="str">
        <f>IF(V86=0,"",VLOOKUP(V86,'Tablas Magia'!$D$6:$Z$680,2,FALSE))</f>
        <v>Luz</v>
      </c>
      <c r="AG86" s="5568"/>
      <c r="AH86" s="5568"/>
      <c r="AI86" s="5568"/>
      <c r="AJ86" s="5569"/>
      <c r="AK86" s="1114"/>
      <c r="AL86" s="1108"/>
      <c r="AM86" s="1108"/>
      <c r="AN86" s="2080">
        <f>AN75+2</f>
        <v>56</v>
      </c>
      <c r="AO86" s="560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02"/>
      <c r="AQ86" s="5602"/>
      <c r="AR86" s="5602"/>
      <c r="AS86" s="5602"/>
      <c r="AT86" s="1128" t="s">
        <v>1627</v>
      </c>
      <c r="AU86" s="1129">
        <f>AN86</f>
        <v>56</v>
      </c>
      <c r="AV86" s="5567" t="s">
        <v>7685</v>
      </c>
      <c r="AW86" s="5567"/>
      <c r="AX86" s="5567"/>
      <c r="AY86" s="5568" t="str">
        <f>IF(AO86=0,"",VLOOKUP(AO86,'Tablas Magia'!$D$6:$Z$680,2,FALSE))</f>
        <v>Luz</v>
      </c>
      <c r="AZ86" s="5568"/>
      <c r="BA86" s="5568"/>
      <c r="BB86" s="5568"/>
      <c r="BC86" s="5569"/>
      <c r="BD86" s="1114"/>
      <c r="BE86" s="1108"/>
      <c r="BF86" s="1108"/>
      <c r="BG86" s="2080">
        <f>BG75+2</f>
        <v>76</v>
      </c>
      <c r="BH86" s="560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02"/>
      <c r="BJ86" s="5602"/>
      <c r="BK86" s="5602"/>
      <c r="BL86" s="5602"/>
      <c r="BM86" s="1128" t="s">
        <v>1627</v>
      </c>
      <c r="BN86" s="1129">
        <f>BG86</f>
        <v>76</v>
      </c>
      <c r="BO86" s="5567" t="s">
        <v>7685</v>
      </c>
      <c r="BP86" s="5567"/>
      <c r="BQ86" s="5567"/>
      <c r="BR86" s="5568" t="str">
        <f>IF(BH86=0,"",VLOOKUP(BH86,'Tablas Magia'!$D$6:$Z$680,2,FALSE))</f>
        <v>Luz</v>
      </c>
      <c r="BS86" s="5568"/>
      <c r="BT86" s="5568"/>
      <c r="BU86" s="5568"/>
      <c r="BV86" s="5569"/>
      <c r="BW86" s="1114"/>
      <c r="BX86" s="1108"/>
      <c r="BY86" s="1108"/>
      <c r="BZ86" s="2080">
        <f>BZ75+2</f>
        <v>96</v>
      </c>
      <c r="CA86" s="560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02"/>
      <c r="CC86" s="5602"/>
      <c r="CD86" s="5602"/>
      <c r="CE86" s="5602"/>
      <c r="CF86" s="1128" t="s">
        <v>1627</v>
      </c>
      <c r="CG86" s="1129">
        <f>BZ86</f>
        <v>96</v>
      </c>
      <c r="CH86" s="5567" t="s">
        <v>7685</v>
      </c>
      <c r="CI86" s="5567"/>
      <c r="CJ86" s="5567"/>
      <c r="CK86" s="5568" t="str">
        <f>IF(CA86=0,"",VLOOKUP(CA86,'Tablas Magia'!$D$6:$Z$680,2,FALSE))</f>
        <v>Luz</v>
      </c>
      <c r="CL86" s="5568"/>
      <c r="CM86" s="5568"/>
      <c r="CN86" s="5568"/>
      <c r="CO86" s="5569"/>
      <c r="CP86" s="1114"/>
      <c r="CQ86" s="1108"/>
    </row>
    <row r="87" spans="1:95" ht="12" customHeight="1">
      <c r="A87" s="1108"/>
      <c r="B87" s="2066"/>
      <c r="C87" s="5585" t="s">
        <v>7686</v>
      </c>
      <c r="D87" s="5586"/>
      <c r="E87" s="1130" t="s">
        <v>7687</v>
      </c>
      <c r="F87" s="1130" t="s">
        <v>1820</v>
      </c>
      <c r="G87" s="1130" t="s">
        <v>3332</v>
      </c>
      <c r="H87" s="1131" t="s">
        <v>2165</v>
      </c>
      <c r="I87" s="5582" t="str">
        <f>IF(C86=0,"",VLOOKUP(C86,'Tablas Magia'!$D$6:$Z$680,5,FALSE))</f>
        <v>Efecto</v>
      </c>
      <c r="J87" s="5582"/>
      <c r="K87" s="5583" t="s">
        <v>7688</v>
      </c>
      <c r="L87" s="5583"/>
      <c r="M87" s="5582" t="str">
        <f>IF(C86=0,"",VLOOKUP(C86,'Tablas Magia'!$D$6:$Z$680,6,FALSE))</f>
        <v>Activa</v>
      </c>
      <c r="N87" s="5582"/>
      <c r="O87" s="5584" t="s">
        <v>7689</v>
      </c>
      <c r="P87" s="5584"/>
      <c r="Q87" s="1132" t="str">
        <f>IF(C86=0,"",VLOOKUP(C86,'Tablas Magia'!$D$6:$Z$680,4,FALSE))</f>
        <v>No</v>
      </c>
      <c r="R87" s="1114"/>
      <c r="S87" s="1108"/>
      <c r="T87" s="1108"/>
      <c r="U87" s="2066"/>
      <c r="V87" s="5585" t="s">
        <v>7686</v>
      </c>
      <c r="W87" s="5586"/>
      <c r="X87" s="1130" t="s">
        <v>7687</v>
      </c>
      <c r="Y87" s="1130" t="s">
        <v>1820</v>
      </c>
      <c r="Z87" s="1130" t="s">
        <v>3332</v>
      </c>
      <c r="AA87" s="1131" t="s">
        <v>2165</v>
      </c>
      <c r="AB87" s="5582" t="str">
        <f>IF(V86=0,"",VLOOKUP(V86,'Tablas Magia'!$D$6:$Z$680,5,FALSE))</f>
        <v>Efecto</v>
      </c>
      <c r="AC87" s="5582"/>
      <c r="AD87" s="5583" t="s">
        <v>7688</v>
      </c>
      <c r="AE87" s="5583"/>
      <c r="AF87" s="5582" t="str">
        <f>IF(V86=0,"",VLOOKUP(V86,'Tablas Magia'!$D$6:$Z$680,6,FALSE))</f>
        <v>Activa</v>
      </c>
      <c r="AG87" s="5582"/>
      <c r="AH87" s="5584" t="s">
        <v>7689</v>
      </c>
      <c r="AI87" s="5584"/>
      <c r="AJ87" s="1132" t="str">
        <f>IF(V86=0,"",VLOOKUP(V86,'Tablas Magia'!$D$6:$Z$680,4,FALSE))</f>
        <v>Si</v>
      </c>
      <c r="AK87" s="1114"/>
      <c r="AL87" s="1108"/>
      <c r="AM87" s="1108"/>
      <c r="AN87" s="2080"/>
      <c r="AO87" s="5585" t="s">
        <v>7686</v>
      </c>
      <c r="AP87" s="5586"/>
      <c r="AQ87" s="1130" t="s">
        <v>7687</v>
      </c>
      <c r="AR87" s="1130" t="s">
        <v>1820</v>
      </c>
      <c r="AS87" s="1130" t="s">
        <v>3332</v>
      </c>
      <c r="AT87" s="1131" t="s">
        <v>2165</v>
      </c>
      <c r="AU87" s="5582" t="str">
        <f>IF(AO86=0,"",VLOOKUP(AO86,'Tablas Magia'!$D$6:$Z$680,5,FALSE))</f>
        <v>Efecto</v>
      </c>
      <c r="AV87" s="5582"/>
      <c r="AW87" s="5583" t="s">
        <v>7688</v>
      </c>
      <c r="AX87" s="5583"/>
      <c r="AY87" s="5582" t="str">
        <f>IF(AO86=0,"",VLOOKUP(AO86,'Tablas Magia'!$D$6:$Z$680,6,FALSE))</f>
        <v>Activa</v>
      </c>
      <c r="AZ87" s="5582"/>
      <c r="BA87" s="5584" t="s">
        <v>7689</v>
      </c>
      <c r="BB87" s="5584"/>
      <c r="BC87" s="1132" t="str">
        <f>IF(AO86=0,"",VLOOKUP(AO86,'Tablas Magia'!$D$6:$Z$680,4,FALSE))</f>
        <v>No</v>
      </c>
      <c r="BD87" s="1114"/>
      <c r="BE87" s="1108"/>
      <c r="BF87" s="1108"/>
      <c r="BG87" s="2080"/>
      <c r="BH87" s="5585" t="s">
        <v>7686</v>
      </c>
      <c r="BI87" s="5586"/>
      <c r="BJ87" s="1130" t="s">
        <v>7687</v>
      </c>
      <c r="BK87" s="1130" t="s">
        <v>1820</v>
      </c>
      <c r="BL87" s="1130" t="s">
        <v>3332</v>
      </c>
      <c r="BM87" s="1131" t="s">
        <v>2165</v>
      </c>
      <c r="BN87" s="5582" t="str">
        <f>IF(BH86=0,"",VLOOKUP(BH86,'Tablas Magia'!$D$6:$Z$680,5,FALSE))</f>
        <v>Efecto</v>
      </c>
      <c r="BO87" s="5582"/>
      <c r="BP87" s="5583" t="s">
        <v>7688</v>
      </c>
      <c r="BQ87" s="5583"/>
      <c r="BR87" s="5582" t="str">
        <f>IF(BH86=0,"",VLOOKUP(BH86,'Tablas Magia'!$D$6:$Z$680,6,FALSE))</f>
        <v>Activa</v>
      </c>
      <c r="BS87" s="5582"/>
      <c r="BT87" s="5584" t="s">
        <v>7689</v>
      </c>
      <c r="BU87" s="5584"/>
      <c r="BV87" s="1132" t="str">
        <f>IF(BH86=0,"",VLOOKUP(BH86,'Tablas Magia'!$D$6:$Z$680,4,FALSE))</f>
        <v>No</v>
      </c>
      <c r="BW87" s="1114"/>
      <c r="BX87" s="1108"/>
      <c r="BY87" s="1108"/>
      <c r="BZ87" s="2080"/>
      <c r="CA87" s="5585" t="s">
        <v>7686</v>
      </c>
      <c r="CB87" s="5586"/>
      <c r="CC87" s="1130" t="s">
        <v>7687</v>
      </c>
      <c r="CD87" s="1130" t="s">
        <v>1820</v>
      </c>
      <c r="CE87" s="1130" t="s">
        <v>3332</v>
      </c>
      <c r="CF87" s="1131" t="s">
        <v>2165</v>
      </c>
      <c r="CG87" s="5582" t="str">
        <f>IF(CA86=0,"",VLOOKUP(CA86,'Tablas Magia'!$D$6:$Z$680,5,FALSE))</f>
        <v>Efecto</v>
      </c>
      <c r="CH87" s="5582"/>
      <c r="CI87" s="5583" t="s">
        <v>7688</v>
      </c>
      <c r="CJ87" s="5583"/>
      <c r="CK87" s="5582" t="str">
        <f>IF(CA86=0,"",VLOOKUP(CA86,'Tablas Magia'!$D$6:$Z$680,6,FALSE))</f>
        <v>Activa</v>
      </c>
      <c r="CL87" s="5582"/>
      <c r="CM87" s="5584" t="s">
        <v>7689</v>
      </c>
      <c r="CN87" s="5584"/>
      <c r="CO87" s="1132" t="str">
        <f>IF(CA86=0,"",VLOOKUP(CA86,'Tablas Magia'!$D$6:$Z$680,4,FALSE))</f>
        <v>No</v>
      </c>
      <c r="CP87" s="1114"/>
      <c r="CQ87" s="1108"/>
    </row>
    <row r="88" spans="1:95" ht="12" customHeight="1">
      <c r="A88" s="1108"/>
      <c r="B88" s="2066"/>
      <c r="C88" s="5577" t="s">
        <v>1674</v>
      </c>
      <c r="D88" s="5578"/>
      <c r="E88" s="1133">
        <f>IF(C86=0,"",VLOOKUP(C86,'Tablas Magia'!$D$6:$Z$680,7,FALSE))</f>
        <v>6</v>
      </c>
      <c r="F88" s="1133">
        <f>IF(C86=0,"",VLOOKUP(C86,'Tablas Magia'!$D$6:$Z$680,11,FALSE))</f>
        <v>60</v>
      </c>
      <c r="G88" s="1134">
        <f>IF(C86=0,"",VLOOKUP(C86,'Tablas Magia'!$D$6:$Z$680,15,FALSE))</f>
        <v>5</v>
      </c>
      <c r="H88" s="5579" t="str">
        <f>IF(C86=0,"",VLOOKUP(C86,'Tablas Magia'!$D$6:$Z$680,19,FALSE))</f>
        <v>TA 2 en Energía y TA 1 en el resto</v>
      </c>
      <c r="I88" s="5580"/>
      <c r="J88" s="5580"/>
      <c r="K88" s="5580"/>
      <c r="L88" s="5580"/>
      <c r="M88" s="5580"/>
      <c r="N88" s="5580"/>
      <c r="O88" s="5580"/>
      <c r="P88" s="5580"/>
      <c r="Q88" s="5581"/>
      <c r="R88" s="1114"/>
      <c r="S88" s="1108"/>
      <c r="T88" s="1108"/>
      <c r="U88" s="2066"/>
      <c r="V88" s="5577" t="s">
        <v>1674</v>
      </c>
      <c r="W88" s="5578"/>
      <c r="X88" s="1133">
        <f>IF(V86=0,"",VLOOKUP(V86,'Tablas Magia'!$D$6:$Z$680,7,FALSE))</f>
        <v>6</v>
      </c>
      <c r="Y88" s="1133">
        <f>IF(V86=0,"",VLOOKUP(V86,'Tablas Magia'!$D$6:$Z$680,11,FALSE))</f>
        <v>100</v>
      </c>
      <c r="Z88" s="1134">
        <f>IF(V86=0,"",VLOOKUP(V86,'Tablas Magia'!$D$6:$Z$680,15,FALSE))</f>
        <v>20</v>
      </c>
      <c r="AA88" s="5579" t="str">
        <f>IF(V86=0,"",VLOOKUP(V86,'Tablas Magia'!$D$6:$Z$680,19,FALSE))</f>
        <v>100 en Advertir y Buscar / 1 Kilómetro de distancia máxima</v>
      </c>
      <c r="AB88" s="5580"/>
      <c r="AC88" s="5580"/>
      <c r="AD88" s="5580"/>
      <c r="AE88" s="5580"/>
      <c r="AF88" s="5580"/>
      <c r="AG88" s="5580"/>
      <c r="AH88" s="5580"/>
      <c r="AI88" s="5580"/>
      <c r="AJ88" s="5581"/>
      <c r="AK88" s="1114"/>
      <c r="AL88" s="1108"/>
      <c r="AM88" s="1108"/>
      <c r="AN88" s="2080"/>
      <c r="AO88" s="5577" t="s">
        <v>1674</v>
      </c>
      <c r="AP88" s="5578"/>
      <c r="AQ88" s="1133">
        <f>IF(AO86=0,"",VLOOKUP(AO86,'Tablas Magia'!$D$6:$Z$680,7,FALSE))</f>
        <v>8</v>
      </c>
      <c r="AR88" s="1133">
        <f>IF(AO86=0,"",VLOOKUP(AO86,'Tablas Magia'!$D$6:$Z$680,11,FALSE))</f>
        <v>100</v>
      </c>
      <c r="AS88" s="1134">
        <f>IF(AO86=0,"",VLOOKUP(AO86,'Tablas Magia'!$D$6:$Z$680,15,FALSE))</f>
        <v>5</v>
      </c>
      <c r="AT88" s="5579" t="str">
        <f>IF(AO86=0,"",VLOOKUP(AO86,'Tablas Magia'!$D$6:$Z$680,19,FALSE))</f>
        <v xml:space="preserve"> +10 a toda acción / +10 resistencias / Radio de 5 metros</v>
      </c>
      <c r="AU88" s="5580"/>
      <c r="AV88" s="5580"/>
      <c r="AW88" s="5580"/>
      <c r="AX88" s="5580"/>
      <c r="AY88" s="5580"/>
      <c r="AZ88" s="5580"/>
      <c r="BA88" s="5580"/>
      <c r="BB88" s="5580"/>
      <c r="BC88" s="5581"/>
      <c r="BD88" s="1114"/>
      <c r="BE88" s="1108"/>
      <c r="BF88" s="1108"/>
      <c r="BG88" s="2080"/>
      <c r="BH88" s="5577" t="s">
        <v>1674</v>
      </c>
      <c r="BI88" s="5578"/>
      <c r="BJ88" s="1133">
        <f>IF(BH86=0,"",VLOOKUP(BH86,'Tablas Magia'!$D$6:$Z$680,7,FALSE))</f>
        <v>10</v>
      </c>
      <c r="BK88" s="1133">
        <f>IF(BH86=0,"",VLOOKUP(BH86,'Tablas Magia'!$D$6:$Z$680,11,FALSE))</f>
        <v>150</v>
      </c>
      <c r="BL88" s="1134">
        <f>IF(BH86=0,"",VLOOKUP(BH86,'Tablas Magia'!$D$6:$Z$680,15,FALSE))</f>
        <v>15</v>
      </c>
      <c r="BM88" s="5579" t="str">
        <f>IF(BH86=0,"",VLOOKUP(BH86,'Tablas Magia'!$D$6:$Z$680,19,FALSE))</f>
        <v>Presencia 60 / Calidad +5</v>
      </c>
      <c r="BN88" s="5580"/>
      <c r="BO88" s="5580"/>
      <c r="BP88" s="5580"/>
      <c r="BQ88" s="5580"/>
      <c r="BR88" s="5580"/>
      <c r="BS88" s="5580"/>
      <c r="BT88" s="5580"/>
      <c r="BU88" s="5580"/>
      <c r="BV88" s="5581"/>
      <c r="BW88" s="1114"/>
      <c r="BX88" s="1108"/>
      <c r="BY88" s="1108"/>
      <c r="BZ88" s="2080"/>
      <c r="CA88" s="5577" t="s">
        <v>1674</v>
      </c>
      <c r="CB88" s="5578"/>
      <c r="CC88" s="1133">
        <f>IF(CA86=0,"",VLOOKUP(CA86,'Tablas Magia'!$D$6:$Z$680,7,FALSE))</f>
        <v>12</v>
      </c>
      <c r="CD88" s="1133">
        <f>IF(CA86=0,"",VLOOKUP(CA86,'Tablas Magia'!$D$6:$Z$680,11,FALSE))</f>
        <v>200</v>
      </c>
      <c r="CE88" s="1134" t="str">
        <f>IF(CA86=0,"",VLOOKUP(CA86,'Tablas Magia'!$D$6:$Z$680,15,FALSE))</f>
        <v>No</v>
      </c>
      <c r="CF88" s="5579" t="str">
        <f>IF(CA86=0,"",VLOOKUP(CA86,'Tablas Magia'!$D$6:$Z$680,19,FALSE))</f>
        <v>Un día</v>
      </c>
      <c r="CG88" s="5580"/>
      <c r="CH88" s="5580"/>
      <c r="CI88" s="5580"/>
      <c r="CJ88" s="5580"/>
      <c r="CK88" s="5580"/>
      <c r="CL88" s="5580"/>
      <c r="CM88" s="5580"/>
      <c r="CN88" s="5580"/>
      <c r="CO88" s="5581"/>
      <c r="CP88" s="1114"/>
      <c r="CQ88" s="1108"/>
    </row>
    <row r="89" spans="1:95" ht="12" customHeight="1">
      <c r="A89" s="1108"/>
      <c r="B89" s="2066"/>
      <c r="C89" s="5572" t="s">
        <v>4570</v>
      </c>
      <c r="D89" s="5573"/>
      <c r="E89" s="1135">
        <f>IF(C86=0,"",VLOOKUP(C86,'Tablas Magia'!$D$6:$Z$680,8,FALSE))</f>
        <v>9</v>
      </c>
      <c r="F89" s="1135">
        <f>IF(C86=0,"",VLOOKUP(C86,'Tablas Magia'!$D$6:$Z$680,12,FALSE))</f>
        <v>90</v>
      </c>
      <c r="G89" s="1136">
        <f>IF(C86=0,"",VLOOKUP(C86,'Tablas Magia'!$D$6:$Z$680,16,FALSE))</f>
        <v>10</v>
      </c>
      <c r="H89" s="5574" t="str">
        <f>IF(C86=0,"",VLOOKUP(C86,'Tablas Magia'!$D$6:$Z$680,20,FALSE))</f>
        <v>TA 5 en Energía y TA 2 en el resto</v>
      </c>
      <c r="I89" s="5575"/>
      <c r="J89" s="5575"/>
      <c r="K89" s="5575"/>
      <c r="L89" s="5575"/>
      <c r="M89" s="5575"/>
      <c r="N89" s="5575"/>
      <c r="O89" s="5575"/>
      <c r="P89" s="5575"/>
      <c r="Q89" s="5576"/>
      <c r="R89" s="1114"/>
      <c r="S89" s="1108"/>
      <c r="T89" s="1108"/>
      <c r="U89" s="2066"/>
      <c r="V89" s="5572" t="s">
        <v>4570</v>
      </c>
      <c r="W89" s="5573"/>
      <c r="X89" s="1135">
        <f>IF(V86=0,"",VLOOKUP(V86,'Tablas Magia'!$D$6:$Z$680,8,FALSE))</f>
        <v>9</v>
      </c>
      <c r="Y89" s="1135">
        <f>IF(V86=0,"",VLOOKUP(V86,'Tablas Magia'!$D$6:$Z$680,12,FALSE))</f>
        <v>200</v>
      </c>
      <c r="Z89" s="1136">
        <f>IF(V86=0,"",VLOOKUP(V86,'Tablas Magia'!$D$6:$Z$680,16,FALSE))</f>
        <v>40</v>
      </c>
      <c r="AA89" s="5574" t="str">
        <f>IF(V86=0,"",VLOOKUP(V86,'Tablas Magia'!$D$6:$Z$680,20,FALSE))</f>
        <v>150 en Advertir y Buscar / 10 Kilómetros de distancia máxima.</v>
      </c>
      <c r="AB89" s="5575"/>
      <c r="AC89" s="5575"/>
      <c r="AD89" s="5575"/>
      <c r="AE89" s="5575"/>
      <c r="AF89" s="5575"/>
      <c r="AG89" s="5575"/>
      <c r="AH89" s="5575"/>
      <c r="AI89" s="5575"/>
      <c r="AJ89" s="5576"/>
      <c r="AK89" s="1114"/>
      <c r="AL89" s="1108"/>
      <c r="AM89" s="1108"/>
      <c r="AN89" s="2080"/>
      <c r="AO89" s="5572" t="s">
        <v>4570</v>
      </c>
      <c r="AP89" s="5573"/>
      <c r="AQ89" s="1135">
        <f>IF(AO86=0,"",VLOOKUP(AO86,'Tablas Magia'!$D$6:$Z$680,8,FALSE))</f>
        <v>10</v>
      </c>
      <c r="AR89" s="1135">
        <f>IF(AO86=0,"",VLOOKUP(AO86,'Tablas Magia'!$D$6:$Z$680,12,FALSE))</f>
        <v>180</v>
      </c>
      <c r="AS89" s="1136">
        <f>IF(AO86=0,"",VLOOKUP(AO86,'Tablas Magia'!$D$6:$Z$680,16,FALSE))</f>
        <v>10</v>
      </c>
      <c r="AT89" s="5574" t="str">
        <f>IF(AO86=0,"",VLOOKUP(AO86,'Tablas Magia'!$D$6:$Z$680,20,FALSE))</f>
        <v xml:space="preserve"> +20 a toda acción / +20 resistencias / Radio de 25 metros</v>
      </c>
      <c r="AU89" s="5575"/>
      <c r="AV89" s="5575"/>
      <c r="AW89" s="5575"/>
      <c r="AX89" s="5575"/>
      <c r="AY89" s="5575"/>
      <c r="AZ89" s="5575"/>
      <c r="BA89" s="5575"/>
      <c r="BB89" s="5575"/>
      <c r="BC89" s="5576"/>
      <c r="BD89" s="1114"/>
      <c r="BE89" s="1108"/>
      <c r="BF89" s="1108"/>
      <c r="BG89" s="2080"/>
      <c r="BH89" s="5572" t="s">
        <v>4570</v>
      </c>
      <c r="BI89" s="5573"/>
      <c r="BJ89" s="1135">
        <f>IF(BH86=0,"",VLOOKUP(BH86,'Tablas Magia'!$D$6:$Z$680,8,FALSE))</f>
        <v>12</v>
      </c>
      <c r="BK89" s="1135">
        <f>IF(BH86=0,"",VLOOKUP(BH86,'Tablas Magia'!$D$6:$Z$680,12,FALSE))</f>
        <v>200</v>
      </c>
      <c r="BL89" s="1136">
        <f>IF(BH86=0,"",VLOOKUP(BH86,'Tablas Magia'!$D$6:$Z$680,16,FALSE))</f>
        <v>20</v>
      </c>
      <c r="BM89" s="5574" t="str">
        <f>IF(BH86=0,"",VLOOKUP(BH86,'Tablas Magia'!$D$6:$Z$680,20,FALSE))</f>
        <v>Presencia 100 / Calidad +10</v>
      </c>
      <c r="BN89" s="5575"/>
      <c r="BO89" s="5575"/>
      <c r="BP89" s="5575"/>
      <c r="BQ89" s="5575"/>
      <c r="BR89" s="5575"/>
      <c r="BS89" s="5575"/>
      <c r="BT89" s="5575"/>
      <c r="BU89" s="5575"/>
      <c r="BV89" s="5576"/>
      <c r="BW89" s="1114"/>
      <c r="BX89" s="1108"/>
      <c r="BY89" s="1108"/>
      <c r="BZ89" s="2080"/>
      <c r="CA89" s="5572" t="s">
        <v>4570</v>
      </c>
      <c r="CB89" s="5573"/>
      <c r="CC89" s="1135">
        <f>IF(CA86=0,"",VLOOKUP(CA86,'Tablas Magia'!$D$6:$Z$680,8,FALSE))</f>
        <v>14</v>
      </c>
      <c r="CD89" s="1135">
        <f>IF(CA86=0,"",VLOOKUP(CA86,'Tablas Magia'!$D$6:$Z$680,12,FALSE))</f>
        <v>400</v>
      </c>
      <c r="CE89" s="1136" t="str">
        <f>IF(CA86=0,"",VLOOKUP(CA86,'Tablas Magia'!$D$6:$Z$680,16,FALSE))</f>
        <v>No</v>
      </c>
      <c r="CF89" s="5574" t="str">
        <f>IF(CA86=0,"",VLOOKUP(CA86,'Tablas Magia'!$D$6:$Z$680,20,FALSE))</f>
        <v>Una semana</v>
      </c>
      <c r="CG89" s="5575"/>
      <c r="CH89" s="5575"/>
      <c r="CI89" s="5575"/>
      <c r="CJ89" s="5575"/>
      <c r="CK89" s="5575"/>
      <c r="CL89" s="5575"/>
      <c r="CM89" s="5575"/>
      <c r="CN89" s="5575"/>
      <c r="CO89" s="5576"/>
      <c r="CP89" s="1114"/>
      <c r="CQ89" s="1108"/>
    </row>
    <row r="90" spans="1:95" ht="12" customHeight="1">
      <c r="A90" s="1108"/>
      <c r="B90" s="2066"/>
      <c r="C90" s="5577" t="s">
        <v>4571</v>
      </c>
      <c r="D90" s="5578"/>
      <c r="E90" s="1133">
        <f>IF(C86=0,"",VLOOKUP(C86,'Tablas Magia'!$D$6:$Z$680,9,FALSE))</f>
        <v>12</v>
      </c>
      <c r="F90" s="1133">
        <f>IF(C86=0,"",VLOOKUP(C86,'Tablas Magia'!$D$6:$Z$680,13,FALSE))</f>
        <v>120</v>
      </c>
      <c r="G90" s="1134">
        <f>IF(C86=0,"",VLOOKUP(C86,'Tablas Magia'!$D$6:$Z$680,17,FALSE))</f>
        <v>15</v>
      </c>
      <c r="H90" s="5579" t="str">
        <f>IF(C86=0,"",VLOOKUP(C86,'Tablas Magia'!$D$6:$Z$680,21,FALSE))</f>
        <v>TA 8 en Energía y TA 4 en el resto.</v>
      </c>
      <c r="I90" s="5580"/>
      <c r="J90" s="5580"/>
      <c r="K90" s="5580"/>
      <c r="L90" s="5580"/>
      <c r="M90" s="5580"/>
      <c r="N90" s="5580"/>
      <c r="O90" s="5580"/>
      <c r="P90" s="5580"/>
      <c r="Q90" s="5581"/>
      <c r="R90" s="1114"/>
      <c r="S90" s="1108"/>
      <c r="T90" s="1108"/>
      <c r="U90" s="2066"/>
      <c r="V90" s="5577" t="s">
        <v>4571</v>
      </c>
      <c r="W90" s="5578"/>
      <c r="X90" s="1133">
        <f>IF(V86=0,"",VLOOKUP(V86,'Tablas Magia'!$D$6:$Z$680,9,FALSE))</f>
        <v>12</v>
      </c>
      <c r="Y90" s="1133">
        <f>IF(V86=0,"",VLOOKUP(V86,'Tablas Magia'!$D$6:$Z$680,13,FALSE))</f>
        <v>300</v>
      </c>
      <c r="Z90" s="1134">
        <f>IF(V86=0,"",VLOOKUP(V86,'Tablas Magia'!$D$6:$Z$680,17,FALSE))</f>
        <v>60</v>
      </c>
      <c r="AA90" s="5579" t="str">
        <f>IF(V86=0,"",VLOOKUP(V86,'Tablas Magia'!$D$6:$Z$680,21,FALSE))</f>
        <v>200 en Advertir y Buscar / 50 Kilómetros de distancia máxima.</v>
      </c>
      <c r="AB90" s="5580"/>
      <c r="AC90" s="5580"/>
      <c r="AD90" s="5580"/>
      <c r="AE90" s="5580"/>
      <c r="AF90" s="5580"/>
      <c r="AG90" s="5580"/>
      <c r="AH90" s="5580"/>
      <c r="AI90" s="5580"/>
      <c r="AJ90" s="5581"/>
      <c r="AK90" s="1114"/>
      <c r="AL90" s="1108"/>
      <c r="AM90" s="1108"/>
      <c r="AN90" s="2080"/>
      <c r="AO90" s="5577" t="s">
        <v>4571</v>
      </c>
      <c r="AP90" s="5578"/>
      <c r="AQ90" s="1133">
        <f>IF(AO86=0,"",VLOOKUP(AO86,'Tablas Magia'!$D$6:$Z$680,9,FALSE))</f>
        <v>12</v>
      </c>
      <c r="AR90" s="1133">
        <f>IF(AO86=0,"",VLOOKUP(AO86,'Tablas Magia'!$D$6:$Z$680,13,FALSE))</f>
        <v>240</v>
      </c>
      <c r="AS90" s="1134">
        <f>IF(AO86=0,"",VLOOKUP(AO86,'Tablas Magia'!$D$6:$Z$680,17,FALSE))</f>
        <v>15</v>
      </c>
      <c r="AT90" s="5579" t="str">
        <f>IF(AO86=0,"",VLOOKUP(AO86,'Tablas Magia'!$D$6:$Z$680,21,FALSE))</f>
        <v xml:space="preserve"> +20 a toda acción / +30 resistencias / Radio de 50 metros</v>
      </c>
      <c r="AU90" s="5580"/>
      <c r="AV90" s="5580"/>
      <c r="AW90" s="5580"/>
      <c r="AX90" s="5580"/>
      <c r="AY90" s="5580"/>
      <c r="AZ90" s="5580"/>
      <c r="BA90" s="5580"/>
      <c r="BB90" s="5580"/>
      <c r="BC90" s="5581"/>
      <c r="BD90" s="1114"/>
      <c r="BE90" s="1108"/>
      <c r="BF90" s="1108"/>
      <c r="BG90" s="2080"/>
      <c r="BH90" s="5577" t="s">
        <v>4571</v>
      </c>
      <c r="BI90" s="5578"/>
      <c r="BJ90" s="1133">
        <f>IF(BH86=0,"",VLOOKUP(BH86,'Tablas Magia'!$D$6:$Z$680,9,FALSE))</f>
        <v>14</v>
      </c>
      <c r="BK90" s="1133">
        <f>IF(BH86=0,"",VLOOKUP(BH86,'Tablas Magia'!$D$6:$Z$680,13,FALSE))</f>
        <v>240</v>
      </c>
      <c r="BL90" s="1134">
        <f>IF(BH86=0,"",VLOOKUP(BH86,'Tablas Magia'!$D$6:$Z$680,17,FALSE))</f>
        <v>25</v>
      </c>
      <c r="BM90" s="5579" t="str">
        <f>IF(BH86=0,"",VLOOKUP(BH86,'Tablas Magia'!$D$6:$Z$680,21,FALSE))</f>
        <v>Presencia 140 / Calidad +10</v>
      </c>
      <c r="BN90" s="5580"/>
      <c r="BO90" s="5580"/>
      <c r="BP90" s="5580"/>
      <c r="BQ90" s="5580"/>
      <c r="BR90" s="5580"/>
      <c r="BS90" s="5580"/>
      <c r="BT90" s="5580"/>
      <c r="BU90" s="5580"/>
      <c r="BV90" s="5581"/>
      <c r="BW90" s="1114"/>
      <c r="BX90" s="1108"/>
      <c r="BY90" s="1108"/>
      <c r="BZ90" s="2080"/>
      <c r="CA90" s="5577" t="s">
        <v>4571</v>
      </c>
      <c r="CB90" s="5578"/>
      <c r="CC90" s="1133">
        <f>IF(CA86=0,"",VLOOKUP(CA86,'Tablas Magia'!$D$6:$Z$680,9,FALSE))</f>
        <v>16</v>
      </c>
      <c r="CD90" s="1133">
        <f>IF(CA86=0,"",VLOOKUP(CA86,'Tablas Magia'!$D$6:$Z$680,13,FALSE))</f>
        <v>600</v>
      </c>
      <c r="CE90" s="1134" t="str">
        <f>IF(CA86=0,"",VLOOKUP(CA86,'Tablas Magia'!$D$6:$Z$680,17,FALSE))</f>
        <v>No</v>
      </c>
      <c r="CF90" s="5579" t="str">
        <f>IF(CA86=0,"",VLOOKUP(CA86,'Tablas Magia'!$D$6:$Z$680,21,FALSE))</f>
        <v>Un mes</v>
      </c>
      <c r="CG90" s="5580"/>
      <c r="CH90" s="5580"/>
      <c r="CI90" s="5580"/>
      <c r="CJ90" s="5580"/>
      <c r="CK90" s="5580"/>
      <c r="CL90" s="5580"/>
      <c r="CM90" s="5580"/>
      <c r="CN90" s="5580"/>
      <c r="CO90" s="5581"/>
      <c r="CP90" s="1114"/>
      <c r="CQ90" s="1108"/>
    </row>
    <row r="91" spans="1:95" ht="12" customHeight="1" thickBot="1">
      <c r="A91" s="1108"/>
      <c r="B91" s="2066"/>
      <c r="C91" s="5587" t="s">
        <v>4572</v>
      </c>
      <c r="D91" s="5588"/>
      <c r="E91" s="1137">
        <f>IF(C86=0,"",VLOOKUP(C86,'Tablas Magia'!$D$6:$Z$680,10,FALSE))</f>
        <v>15</v>
      </c>
      <c r="F91" s="1137">
        <f>IF(C86=0,"",VLOOKUP(C86,'Tablas Magia'!$D$6:$Z$680,14,FALSE))</f>
        <v>150</v>
      </c>
      <c r="G91" s="1138">
        <f>IF(C86=0,"",VLOOKUP(C86,'Tablas Magia'!$D$6:$Z$680,18,FALSE))</f>
        <v>20</v>
      </c>
      <c r="H91" s="5589" t="str">
        <f>IF(C86=0,"",VLOOKUP(C86,'Tablas Magia'!$D$6:$Z$680,22,FALSE))</f>
        <v>TA 12 en Energía y TA 6 en el resto.</v>
      </c>
      <c r="I91" s="5590"/>
      <c r="J91" s="5590"/>
      <c r="K91" s="5590"/>
      <c r="L91" s="5590"/>
      <c r="M91" s="5590"/>
      <c r="N91" s="5590"/>
      <c r="O91" s="5590"/>
      <c r="P91" s="5590"/>
      <c r="Q91" s="5591"/>
      <c r="R91" s="1114"/>
      <c r="S91" s="1108"/>
      <c r="T91" s="1108"/>
      <c r="U91" s="2066"/>
      <c r="V91" s="5587" t="s">
        <v>4572</v>
      </c>
      <c r="W91" s="5588"/>
      <c r="X91" s="1137">
        <f>IF(V86=0,"",VLOOKUP(V86,'Tablas Magia'!$D$6:$Z$680,10,FALSE))</f>
        <v>15</v>
      </c>
      <c r="Y91" s="1137">
        <f>IF(V86=0,"",VLOOKUP(V86,'Tablas Magia'!$D$6:$Z$680,14,FALSE))</f>
        <v>400</v>
      </c>
      <c r="Z91" s="1138">
        <f>IF(V86=0,"",VLOOKUP(V86,'Tablas Magia'!$D$6:$Z$680,18,FALSE))</f>
        <v>80</v>
      </c>
      <c r="AA91" s="5589" t="str">
        <f>IF(V86=0,"",VLOOKUP(V86,'Tablas Magia'!$D$6:$Z$680,22,FALSE))</f>
        <v>250 en Advertir y Buscar / 500 Kilómetros de distancia máxima</v>
      </c>
      <c r="AB91" s="5590"/>
      <c r="AC91" s="5590"/>
      <c r="AD91" s="5590"/>
      <c r="AE91" s="5590"/>
      <c r="AF91" s="5590"/>
      <c r="AG91" s="5590"/>
      <c r="AH91" s="5590"/>
      <c r="AI91" s="5590"/>
      <c r="AJ91" s="5591"/>
      <c r="AK91" s="1114"/>
      <c r="AL91" s="1108"/>
      <c r="AM91" s="1108"/>
      <c r="AN91" s="2080"/>
      <c r="AO91" s="5587" t="s">
        <v>4572</v>
      </c>
      <c r="AP91" s="5588"/>
      <c r="AQ91" s="1137">
        <f>IF(AO86=0,"",VLOOKUP(AO86,'Tablas Magia'!$D$6:$Z$680,10,FALSE))</f>
        <v>15</v>
      </c>
      <c r="AR91" s="1137">
        <f>IF(AO86=0,"",VLOOKUP(AO86,'Tablas Magia'!$D$6:$Z$680,14,FALSE))</f>
        <v>300</v>
      </c>
      <c r="AS91" s="1138">
        <f>IF(AO86=0,"",VLOOKUP(AO86,'Tablas Magia'!$D$6:$Z$680,18,FALSE))</f>
        <v>15</v>
      </c>
      <c r="AT91" s="5589" t="str">
        <f>IF(AO86=0,"",VLOOKUP(AO86,'Tablas Magia'!$D$6:$Z$680,22,FALSE))</f>
        <v xml:space="preserve"> +30 a toda acción / +30 resistencias / Radio de 150 metros</v>
      </c>
      <c r="AU91" s="5590"/>
      <c r="AV91" s="5590"/>
      <c r="AW91" s="5590"/>
      <c r="AX91" s="5590"/>
      <c r="AY91" s="5590"/>
      <c r="AZ91" s="5590"/>
      <c r="BA91" s="5590"/>
      <c r="BB91" s="5590"/>
      <c r="BC91" s="5591"/>
      <c r="BD91" s="1114"/>
      <c r="BE91" s="1108"/>
      <c r="BF91" s="1108"/>
      <c r="BG91" s="2080"/>
      <c r="BH91" s="5587" t="s">
        <v>4572</v>
      </c>
      <c r="BI91" s="5588"/>
      <c r="BJ91" s="1137">
        <f>IF(BH86=0,"",VLOOKUP(BH86,'Tablas Magia'!$D$6:$Z$680,10,FALSE))</f>
        <v>16</v>
      </c>
      <c r="BK91" s="1137">
        <f>IF(BH86=0,"",VLOOKUP(BH86,'Tablas Magia'!$D$6:$Z$680,14,FALSE))</f>
        <v>300</v>
      </c>
      <c r="BL91" s="1138">
        <f>IF(BH86=0,"",VLOOKUP(BH86,'Tablas Magia'!$D$6:$Z$680,18,FALSE))</f>
        <v>30</v>
      </c>
      <c r="BM91" s="5589" t="str">
        <f>IF(BH86=0,"",VLOOKUP(BH86,'Tablas Magia'!$D$6:$Z$680,22,FALSE))</f>
        <v>Presencia 180 / Calidad +15</v>
      </c>
      <c r="BN91" s="5590"/>
      <c r="BO91" s="5590"/>
      <c r="BP91" s="5590"/>
      <c r="BQ91" s="5590"/>
      <c r="BR91" s="5590"/>
      <c r="BS91" s="5590"/>
      <c r="BT91" s="5590"/>
      <c r="BU91" s="5590"/>
      <c r="BV91" s="5591"/>
      <c r="BW91" s="1114"/>
      <c r="BX91" s="1108"/>
      <c r="BY91" s="1108"/>
      <c r="BZ91" s="2080"/>
      <c r="CA91" s="5587" t="s">
        <v>4572</v>
      </c>
      <c r="CB91" s="5588"/>
      <c r="CC91" s="1137">
        <f>IF(CA86=0,"",VLOOKUP(CA86,'Tablas Magia'!$D$6:$Z$680,10,FALSE))</f>
        <v>18</v>
      </c>
      <c r="CD91" s="1137">
        <f>IF(CA86=0,"",VLOOKUP(CA86,'Tablas Magia'!$D$6:$Z$680,14,FALSE))</f>
        <v>800</v>
      </c>
      <c r="CE91" s="1138" t="str">
        <f>IF(CA86=0,"",VLOOKUP(CA86,'Tablas Magia'!$D$6:$Z$680,18,FALSE))</f>
        <v>No</v>
      </c>
      <c r="CF91" s="5589" t="str">
        <f>IF(CA86=0,"",VLOOKUP(CA86,'Tablas Magia'!$D$6:$Z$680,22,FALSE))</f>
        <v>Un año</v>
      </c>
      <c r="CG91" s="5590"/>
      <c r="CH91" s="5590"/>
      <c r="CI91" s="5590"/>
      <c r="CJ91" s="5590"/>
      <c r="CK91" s="5590"/>
      <c r="CL91" s="5590"/>
      <c r="CM91" s="5590"/>
      <c r="CN91" s="5590"/>
      <c r="CO91" s="5591"/>
      <c r="CP91" s="1114"/>
      <c r="CQ91" s="1108"/>
    </row>
    <row r="92" spans="1:95" ht="12" customHeight="1">
      <c r="A92" s="1108"/>
      <c r="B92" s="2066"/>
      <c r="C92" s="5592"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93"/>
      <c r="E92" s="5593"/>
      <c r="F92" s="5593"/>
      <c r="G92" s="5593"/>
      <c r="H92" s="5593"/>
      <c r="I92" s="5593"/>
      <c r="J92" s="5593"/>
      <c r="K92" s="5593"/>
      <c r="L92" s="5593"/>
      <c r="M92" s="5593"/>
      <c r="N92" s="5593"/>
      <c r="O92" s="5593"/>
      <c r="P92" s="5593"/>
      <c r="Q92" s="5594"/>
      <c r="R92" s="1114"/>
      <c r="S92" s="1108"/>
      <c r="T92" s="1108"/>
      <c r="U92" s="2066"/>
      <c r="V92" s="5592"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93"/>
      <c r="X92" s="5593"/>
      <c r="Y92" s="5593"/>
      <c r="Z92" s="5593"/>
      <c r="AA92" s="5593"/>
      <c r="AB92" s="5593"/>
      <c r="AC92" s="5593"/>
      <c r="AD92" s="5593"/>
      <c r="AE92" s="5593"/>
      <c r="AF92" s="5593"/>
      <c r="AG92" s="5593"/>
      <c r="AH92" s="5593"/>
      <c r="AI92" s="5593"/>
      <c r="AJ92" s="5594"/>
      <c r="AK92" s="1114"/>
      <c r="AL92" s="1108"/>
      <c r="AM92" s="1108"/>
      <c r="AN92" s="2080"/>
      <c r="AO92" s="5592"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93"/>
      <c r="AQ92" s="5593"/>
      <c r="AR92" s="5593"/>
      <c r="AS92" s="5593"/>
      <c r="AT92" s="5593"/>
      <c r="AU92" s="5593"/>
      <c r="AV92" s="5593"/>
      <c r="AW92" s="5593"/>
      <c r="AX92" s="5593"/>
      <c r="AY92" s="5593"/>
      <c r="AZ92" s="5593"/>
      <c r="BA92" s="5593"/>
      <c r="BB92" s="5593"/>
      <c r="BC92" s="5594"/>
      <c r="BD92" s="1114"/>
      <c r="BE92" s="1108"/>
      <c r="BF92" s="1108"/>
      <c r="BG92" s="2080"/>
      <c r="BH92" s="5592" t="str">
        <f>IF(BH86=0,"",VLOOKUP(BH86,'Tablas Magia'!$D$6:$Z$680,23,FALSE))</f>
        <v>Forma un objeto físico de energía lumínica. Pese a estar hecho de luz, tiene consistencia física. La presencia máxima de dicho objeto y la calidad del mismo viene determinada por el grado del conjuro.</v>
      </c>
      <c r="BI92" s="5593"/>
      <c r="BJ92" s="5593"/>
      <c r="BK92" s="5593"/>
      <c r="BL92" s="5593"/>
      <c r="BM92" s="5593"/>
      <c r="BN92" s="5593"/>
      <c r="BO92" s="5593"/>
      <c r="BP92" s="5593"/>
      <c r="BQ92" s="5593"/>
      <c r="BR92" s="5593"/>
      <c r="BS92" s="5593"/>
      <c r="BT92" s="5593"/>
      <c r="BU92" s="5593"/>
      <c r="BV92" s="5594"/>
      <c r="BW92" s="1114"/>
      <c r="BX92" s="1108"/>
      <c r="BY92" s="1108"/>
      <c r="BZ92" s="2080"/>
      <c r="CA92" s="5592"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93"/>
      <c r="CC92" s="5593"/>
      <c r="CD92" s="5593"/>
      <c r="CE92" s="5593"/>
      <c r="CF92" s="5593"/>
      <c r="CG92" s="5593"/>
      <c r="CH92" s="5593"/>
      <c r="CI92" s="5593"/>
      <c r="CJ92" s="5593"/>
      <c r="CK92" s="5593"/>
      <c r="CL92" s="5593"/>
      <c r="CM92" s="5593"/>
      <c r="CN92" s="5593"/>
      <c r="CO92" s="5594"/>
      <c r="CP92" s="1114"/>
      <c r="CQ92" s="1108"/>
    </row>
    <row r="93" spans="1:95" ht="12" customHeight="1">
      <c r="A93" s="1108"/>
      <c r="B93" s="2066"/>
      <c r="C93" s="5595"/>
      <c r="D93" s="5596"/>
      <c r="E93" s="5596"/>
      <c r="F93" s="5596"/>
      <c r="G93" s="5596"/>
      <c r="H93" s="5596"/>
      <c r="I93" s="5596"/>
      <c r="J93" s="5596"/>
      <c r="K93" s="5596"/>
      <c r="L93" s="5596"/>
      <c r="M93" s="5596"/>
      <c r="N93" s="5596"/>
      <c r="O93" s="5596"/>
      <c r="P93" s="5596"/>
      <c r="Q93" s="5597"/>
      <c r="R93" s="1114"/>
      <c r="S93" s="1108"/>
      <c r="T93" s="1108"/>
      <c r="U93" s="2066"/>
      <c r="V93" s="5595"/>
      <c r="W93" s="5596"/>
      <c r="X93" s="5596"/>
      <c r="Y93" s="5596"/>
      <c r="Z93" s="5596"/>
      <c r="AA93" s="5596"/>
      <c r="AB93" s="5596"/>
      <c r="AC93" s="5596"/>
      <c r="AD93" s="5596"/>
      <c r="AE93" s="5596"/>
      <c r="AF93" s="5596"/>
      <c r="AG93" s="5596"/>
      <c r="AH93" s="5596"/>
      <c r="AI93" s="5596"/>
      <c r="AJ93" s="5597"/>
      <c r="AK93" s="1114"/>
      <c r="AL93" s="1108"/>
      <c r="AM93" s="1108"/>
      <c r="AN93" s="2080"/>
      <c r="AO93" s="5595"/>
      <c r="AP93" s="5596"/>
      <c r="AQ93" s="5596"/>
      <c r="AR93" s="5596"/>
      <c r="AS93" s="5596"/>
      <c r="AT93" s="5596"/>
      <c r="AU93" s="5596"/>
      <c r="AV93" s="5596"/>
      <c r="AW93" s="5596"/>
      <c r="AX93" s="5596"/>
      <c r="AY93" s="5596"/>
      <c r="AZ93" s="5596"/>
      <c r="BA93" s="5596"/>
      <c r="BB93" s="5596"/>
      <c r="BC93" s="5597"/>
      <c r="BD93" s="1114"/>
      <c r="BE93" s="1108"/>
      <c r="BF93" s="1108"/>
      <c r="BG93" s="2080"/>
      <c r="BH93" s="5595"/>
      <c r="BI93" s="5596"/>
      <c r="BJ93" s="5596"/>
      <c r="BK93" s="5596"/>
      <c r="BL93" s="5596"/>
      <c r="BM93" s="5596"/>
      <c r="BN93" s="5596"/>
      <c r="BO93" s="5596"/>
      <c r="BP93" s="5596"/>
      <c r="BQ93" s="5596"/>
      <c r="BR93" s="5596"/>
      <c r="BS93" s="5596"/>
      <c r="BT93" s="5596"/>
      <c r="BU93" s="5596"/>
      <c r="BV93" s="5597"/>
      <c r="BW93" s="1114"/>
      <c r="BX93" s="1108"/>
      <c r="BY93" s="1108"/>
      <c r="BZ93" s="2080"/>
      <c r="CA93" s="5595"/>
      <c r="CB93" s="5596"/>
      <c r="CC93" s="5596"/>
      <c r="CD93" s="5596"/>
      <c r="CE93" s="5596"/>
      <c r="CF93" s="5596"/>
      <c r="CG93" s="5596"/>
      <c r="CH93" s="5596"/>
      <c r="CI93" s="5596"/>
      <c r="CJ93" s="5596"/>
      <c r="CK93" s="5596"/>
      <c r="CL93" s="5596"/>
      <c r="CM93" s="5596"/>
      <c r="CN93" s="5596"/>
      <c r="CO93" s="5597"/>
      <c r="CP93" s="1114"/>
      <c r="CQ93" s="1108"/>
    </row>
    <row r="94" spans="1:95" ht="12" customHeight="1">
      <c r="A94" s="1108"/>
      <c r="B94" s="2066"/>
      <c r="C94" s="5595"/>
      <c r="D94" s="5596"/>
      <c r="E94" s="5596"/>
      <c r="F94" s="5596"/>
      <c r="G94" s="5596"/>
      <c r="H94" s="5596"/>
      <c r="I94" s="5596"/>
      <c r="J94" s="5596"/>
      <c r="K94" s="5596"/>
      <c r="L94" s="5596"/>
      <c r="M94" s="5596"/>
      <c r="N94" s="5596"/>
      <c r="O94" s="5596"/>
      <c r="P94" s="5596"/>
      <c r="Q94" s="5597"/>
      <c r="R94" s="1114"/>
      <c r="S94" s="1108"/>
      <c r="T94" s="1108"/>
      <c r="U94" s="2066"/>
      <c r="V94" s="5595"/>
      <c r="W94" s="5596"/>
      <c r="X94" s="5596"/>
      <c r="Y94" s="5596"/>
      <c r="Z94" s="5596"/>
      <c r="AA94" s="5596"/>
      <c r="AB94" s="5596"/>
      <c r="AC94" s="5596"/>
      <c r="AD94" s="5596"/>
      <c r="AE94" s="5596"/>
      <c r="AF94" s="5596"/>
      <c r="AG94" s="5596"/>
      <c r="AH94" s="5596"/>
      <c r="AI94" s="5596"/>
      <c r="AJ94" s="5597"/>
      <c r="AK94" s="1114"/>
      <c r="AL94" s="1108"/>
      <c r="AM94" s="1108"/>
      <c r="AN94" s="2080"/>
      <c r="AO94" s="5595"/>
      <c r="AP94" s="5596"/>
      <c r="AQ94" s="5596"/>
      <c r="AR94" s="5596"/>
      <c r="AS94" s="5596"/>
      <c r="AT94" s="5596"/>
      <c r="AU94" s="5596"/>
      <c r="AV94" s="5596"/>
      <c r="AW94" s="5596"/>
      <c r="AX94" s="5596"/>
      <c r="AY94" s="5596"/>
      <c r="AZ94" s="5596"/>
      <c r="BA94" s="5596"/>
      <c r="BB94" s="5596"/>
      <c r="BC94" s="5597"/>
      <c r="BD94" s="1114"/>
      <c r="BE94" s="1108"/>
      <c r="BF94" s="1108"/>
      <c r="BG94" s="2080"/>
      <c r="BH94" s="5595"/>
      <c r="BI94" s="5596"/>
      <c r="BJ94" s="5596"/>
      <c r="BK94" s="5596"/>
      <c r="BL94" s="5596"/>
      <c r="BM94" s="5596"/>
      <c r="BN94" s="5596"/>
      <c r="BO94" s="5596"/>
      <c r="BP94" s="5596"/>
      <c r="BQ94" s="5596"/>
      <c r="BR94" s="5596"/>
      <c r="BS94" s="5596"/>
      <c r="BT94" s="5596"/>
      <c r="BU94" s="5596"/>
      <c r="BV94" s="5597"/>
      <c r="BW94" s="1114"/>
      <c r="BX94" s="1108"/>
      <c r="BY94" s="1108"/>
      <c r="BZ94" s="2080"/>
      <c r="CA94" s="5595"/>
      <c r="CB94" s="5596"/>
      <c r="CC94" s="5596"/>
      <c r="CD94" s="5596"/>
      <c r="CE94" s="5596"/>
      <c r="CF94" s="5596"/>
      <c r="CG94" s="5596"/>
      <c r="CH94" s="5596"/>
      <c r="CI94" s="5596"/>
      <c r="CJ94" s="5596"/>
      <c r="CK94" s="5596"/>
      <c r="CL94" s="5596"/>
      <c r="CM94" s="5596"/>
      <c r="CN94" s="5596"/>
      <c r="CO94" s="5597"/>
      <c r="CP94" s="1114"/>
      <c r="CQ94" s="1108"/>
    </row>
    <row r="95" spans="1:95" ht="12" customHeight="1" thickBot="1">
      <c r="A95" s="1108"/>
      <c r="B95" s="2066"/>
      <c r="C95" s="5598"/>
      <c r="D95" s="5599"/>
      <c r="E95" s="5599"/>
      <c r="F95" s="5599"/>
      <c r="G95" s="5599"/>
      <c r="H95" s="5599"/>
      <c r="I95" s="5599"/>
      <c r="J95" s="5599"/>
      <c r="K95" s="5599"/>
      <c r="L95" s="5599"/>
      <c r="M95" s="5599"/>
      <c r="N95" s="5599"/>
      <c r="O95" s="5599"/>
      <c r="P95" s="5599"/>
      <c r="Q95" s="5600"/>
      <c r="R95" s="1114"/>
      <c r="S95" s="1108"/>
      <c r="T95" s="1108"/>
      <c r="U95" s="2066"/>
      <c r="V95" s="5598"/>
      <c r="W95" s="5599"/>
      <c r="X95" s="5599"/>
      <c r="Y95" s="5599"/>
      <c r="Z95" s="5599"/>
      <c r="AA95" s="5599"/>
      <c r="AB95" s="5599"/>
      <c r="AC95" s="5599"/>
      <c r="AD95" s="5599"/>
      <c r="AE95" s="5599"/>
      <c r="AF95" s="5599"/>
      <c r="AG95" s="5599"/>
      <c r="AH95" s="5599"/>
      <c r="AI95" s="5599"/>
      <c r="AJ95" s="5600"/>
      <c r="AK95" s="1114"/>
      <c r="AL95" s="1108"/>
      <c r="AM95" s="1108"/>
      <c r="AN95" s="2080"/>
      <c r="AO95" s="5598"/>
      <c r="AP95" s="5599"/>
      <c r="AQ95" s="5599"/>
      <c r="AR95" s="5599"/>
      <c r="AS95" s="5599"/>
      <c r="AT95" s="5599"/>
      <c r="AU95" s="5599"/>
      <c r="AV95" s="5599"/>
      <c r="AW95" s="5599"/>
      <c r="AX95" s="5599"/>
      <c r="AY95" s="5599"/>
      <c r="AZ95" s="5599"/>
      <c r="BA95" s="5599"/>
      <c r="BB95" s="5599"/>
      <c r="BC95" s="5600"/>
      <c r="BD95" s="1114"/>
      <c r="BE95" s="1108"/>
      <c r="BF95" s="1108"/>
      <c r="BG95" s="2080"/>
      <c r="BH95" s="5598"/>
      <c r="BI95" s="5599"/>
      <c r="BJ95" s="5599"/>
      <c r="BK95" s="5599"/>
      <c r="BL95" s="5599"/>
      <c r="BM95" s="5599"/>
      <c r="BN95" s="5599"/>
      <c r="BO95" s="5599"/>
      <c r="BP95" s="5599"/>
      <c r="BQ95" s="5599"/>
      <c r="BR95" s="5599"/>
      <c r="BS95" s="5599"/>
      <c r="BT95" s="5599"/>
      <c r="BU95" s="5599"/>
      <c r="BV95" s="5600"/>
      <c r="BW95" s="1114"/>
      <c r="BX95" s="1108"/>
      <c r="BY95" s="1108"/>
      <c r="BZ95" s="2080"/>
      <c r="CA95" s="5598"/>
      <c r="CB95" s="5599"/>
      <c r="CC95" s="5599"/>
      <c r="CD95" s="5599"/>
      <c r="CE95" s="5599"/>
      <c r="CF95" s="5599"/>
      <c r="CG95" s="5599"/>
      <c r="CH95" s="5599"/>
      <c r="CI95" s="5599"/>
      <c r="CJ95" s="5599"/>
      <c r="CK95" s="5599"/>
      <c r="CL95" s="5599"/>
      <c r="CM95" s="5599"/>
      <c r="CN95" s="5599"/>
      <c r="CO95" s="5600"/>
      <c r="CP95" s="1114"/>
      <c r="CQ95" s="1108"/>
    </row>
    <row r="96" spans="1:95" ht="12" customHeight="1" thickBot="1">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6">
        <f>B86+2</f>
        <v>18</v>
      </c>
      <c r="C97" s="560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02"/>
      <c r="E97" s="5602"/>
      <c r="F97" s="5602"/>
      <c r="G97" s="5602"/>
      <c r="H97" s="1128" t="s">
        <v>1627</v>
      </c>
      <c r="I97" s="1129">
        <f>B97</f>
        <v>18</v>
      </c>
      <c r="J97" s="5567" t="s">
        <v>7685</v>
      </c>
      <c r="K97" s="5567"/>
      <c r="L97" s="5567"/>
      <c r="M97" s="5568" t="str">
        <f>IF(C97=0,"",VLOOKUP(C97,'Tablas Magia'!$D$6:$Z$680,2,FALSE))</f>
        <v>Luz</v>
      </c>
      <c r="N97" s="5568"/>
      <c r="O97" s="5568"/>
      <c r="P97" s="5568"/>
      <c r="Q97" s="5569"/>
      <c r="R97" s="1114"/>
      <c r="S97" s="1108"/>
      <c r="T97" s="1108"/>
      <c r="U97" s="2066">
        <f>U86+2</f>
        <v>38</v>
      </c>
      <c r="V97" s="560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02"/>
      <c r="X97" s="5602"/>
      <c r="Y97" s="5602"/>
      <c r="Z97" s="5602"/>
      <c r="AA97" s="1128" t="s">
        <v>1627</v>
      </c>
      <c r="AB97" s="1129">
        <f>U97</f>
        <v>38</v>
      </c>
      <c r="AC97" s="5567" t="s">
        <v>7685</v>
      </c>
      <c r="AD97" s="5567"/>
      <c r="AE97" s="5567"/>
      <c r="AF97" s="5568" t="str">
        <f>IF(V97=0,"",VLOOKUP(V97,'Tablas Magia'!$D$6:$Z$680,2,FALSE))</f>
        <v>Luz</v>
      </c>
      <c r="AG97" s="5568"/>
      <c r="AH97" s="5568"/>
      <c r="AI97" s="5568"/>
      <c r="AJ97" s="5569"/>
      <c r="AK97" s="1114"/>
      <c r="AL97" s="1108"/>
      <c r="AM97" s="1108"/>
      <c r="AN97" s="2080">
        <f>AN86+2</f>
        <v>58</v>
      </c>
      <c r="AO97" s="560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02"/>
      <c r="AQ97" s="5602"/>
      <c r="AR97" s="5602"/>
      <c r="AS97" s="5602"/>
      <c r="AT97" s="1128" t="s">
        <v>1627</v>
      </c>
      <c r="AU97" s="1129">
        <f>AN97</f>
        <v>58</v>
      </c>
      <c r="AV97" s="5567" t="s">
        <v>7685</v>
      </c>
      <c r="AW97" s="5567"/>
      <c r="AX97" s="5567"/>
      <c r="AY97" s="5568" t="str">
        <f>IF(AO97=0,"",VLOOKUP(AO97,'Tablas Magia'!$D$6:$Z$680,2,FALSE))</f>
        <v>Luz</v>
      </c>
      <c r="AZ97" s="5568"/>
      <c r="BA97" s="5568"/>
      <c r="BB97" s="5568"/>
      <c r="BC97" s="5569"/>
      <c r="BD97" s="1114"/>
      <c r="BE97" s="1108"/>
      <c r="BF97" s="1108"/>
      <c r="BG97" s="2080">
        <f>BG86+2</f>
        <v>78</v>
      </c>
      <c r="BH97" s="560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02"/>
      <c r="BJ97" s="5602"/>
      <c r="BK97" s="5602"/>
      <c r="BL97" s="5602"/>
      <c r="BM97" s="1128" t="s">
        <v>1627</v>
      </c>
      <c r="BN97" s="1129">
        <f>BG97</f>
        <v>78</v>
      </c>
      <c r="BO97" s="5567" t="s">
        <v>7685</v>
      </c>
      <c r="BP97" s="5567"/>
      <c r="BQ97" s="5567"/>
      <c r="BR97" s="5568" t="str">
        <f>IF(BH97=0,"",VLOOKUP(BH97,'Tablas Magia'!$D$6:$Z$680,2,FALSE))</f>
        <v>Luz</v>
      </c>
      <c r="BS97" s="5568"/>
      <c r="BT97" s="5568"/>
      <c r="BU97" s="5568"/>
      <c r="BV97" s="5569"/>
      <c r="BW97" s="1114"/>
      <c r="BX97" s="1108"/>
      <c r="BY97" s="1108"/>
      <c r="BZ97" s="2080">
        <f>BZ86+2</f>
        <v>98</v>
      </c>
      <c r="CA97" s="560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02"/>
      <c r="CC97" s="5602"/>
      <c r="CD97" s="5602"/>
      <c r="CE97" s="5602"/>
      <c r="CF97" s="1128" t="s">
        <v>1627</v>
      </c>
      <c r="CG97" s="1129">
        <f>BZ97</f>
        <v>98</v>
      </c>
      <c r="CH97" s="5567" t="s">
        <v>7685</v>
      </c>
      <c r="CI97" s="5567"/>
      <c r="CJ97" s="5567"/>
      <c r="CK97" s="5568" t="str">
        <f>IF(CA97=0,"",VLOOKUP(CA97,'Tablas Magia'!$D$6:$Z$680,2,FALSE))</f>
        <v>Luz</v>
      </c>
      <c r="CL97" s="5568"/>
      <c r="CM97" s="5568"/>
      <c r="CN97" s="5568"/>
      <c r="CO97" s="5569"/>
      <c r="CP97" s="1114"/>
      <c r="CQ97" s="1108"/>
    </row>
    <row r="98" spans="1:95" ht="12" customHeight="1">
      <c r="A98" s="1108"/>
      <c r="B98" s="2066"/>
      <c r="C98" s="5585" t="s">
        <v>7686</v>
      </c>
      <c r="D98" s="5586"/>
      <c r="E98" s="1130" t="s">
        <v>7687</v>
      </c>
      <c r="F98" s="1130" t="s">
        <v>1820</v>
      </c>
      <c r="G98" s="1130" t="s">
        <v>3332</v>
      </c>
      <c r="H98" s="1131" t="s">
        <v>2165</v>
      </c>
      <c r="I98" s="5582" t="str">
        <f>IF(C97=0,"",VLOOKUP(C97,'Tablas Magia'!$D$6:$Z$680,5,FALSE))</f>
        <v>Efecto</v>
      </c>
      <c r="J98" s="5582"/>
      <c r="K98" s="5583" t="s">
        <v>7688</v>
      </c>
      <c r="L98" s="5583"/>
      <c r="M98" s="5582" t="str">
        <f>IF(C97=0,"",VLOOKUP(C97,'Tablas Magia'!$D$6:$Z$680,6,FALSE))</f>
        <v>Activa</v>
      </c>
      <c r="N98" s="5582"/>
      <c r="O98" s="5584" t="s">
        <v>7689</v>
      </c>
      <c r="P98" s="5584"/>
      <c r="Q98" s="1132" t="str">
        <f>IF(C97=0,"",VLOOKUP(C97,'Tablas Magia'!$D$6:$Z$680,4,FALSE))</f>
        <v>No</v>
      </c>
      <c r="R98" s="1114"/>
      <c r="S98" s="1108"/>
      <c r="T98" s="1108"/>
      <c r="U98" s="2066"/>
      <c r="V98" s="5585" t="s">
        <v>7686</v>
      </c>
      <c r="W98" s="5586"/>
      <c r="X98" s="1130" t="s">
        <v>7687</v>
      </c>
      <c r="Y98" s="1130" t="s">
        <v>1820</v>
      </c>
      <c r="Z98" s="1130" t="s">
        <v>3332</v>
      </c>
      <c r="AA98" s="1131" t="s">
        <v>2165</v>
      </c>
      <c r="AB98" s="5582" t="str">
        <f>IF(V97=0,"",VLOOKUP(V97,'Tablas Magia'!$D$6:$Z$680,5,FALSE))</f>
        <v>Anímico</v>
      </c>
      <c r="AC98" s="5582"/>
      <c r="AD98" s="5583" t="s">
        <v>7688</v>
      </c>
      <c r="AE98" s="5583"/>
      <c r="AF98" s="5582" t="str">
        <f>IF(V97=0,"",VLOOKUP(V97,'Tablas Magia'!$D$6:$Z$680,6,FALSE))</f>
        <v>Activa</v>
      </c>
      <c r="AG98" s="5582"/>
      <c r="AH98" s="5584" t="s">
        <v>7689</v>
      </c>
      <c r="AI98" s="5584"/>
      <c r="AJ98" s="1132" t="str">
        <f>IF(V97=0,"",VLOOKUP(V97,'Tablas Magia'!$D$6:$Z$680,4,FALSE))</f>
        <v>No</v>
      </c>
      <c r="AK98" s="1114"/>
      <c r="AL98" s="1108"/>
      <c r="AM98" s="1108"/>
      <c r="AN98" s="2080"/>
      <c r="AO98" s="5585" t="s">
        <v>7686</v>
      </c>
      <c r="AP98" s="5586"/>
      <c r="AQ98" s="1130" t="s">
        <v>7687</v>
      </c>
      <c r="AR98" s="1130" t="s">
        <v>1820</v>
      </c>
      <c r="AS98" s="1130" t="s">
        <v>3332</v>
      </c>
      <c r="AT98" s="1131" t="s">
        <v>2165</v>
      </c>
      <c r="AU98" s="5582" t="str">
        <f>IF(AO97=0,"",VLOOKUP(AO97,'Tablas Magia'!$D$6:$Z$680,5,FALSE))</f>
        <v>Anímico</v>
      </c>
      <c r="AV98" s="5582"/>
      <c r="AW98" s="5583" t="s">
        <v>7688</v>
      </c>
      <c r="AX98" s="5583"/>
      <c r="AY98" s="5582" t="str">
        <f>IF(AO97=0,"",VLOOKUP(AO97,'Tablas Magia'!$D$6:$Z$680,6,FALSE))</f>
        <v>Activa</v>
      </c>
      <c r="AZ98" s="5582"/>
      <c r="BA98" s="5584" t="s">
        <v>7689</v>
      </c>
      <c r="BB98" s="5584"/>
      <c r="BC98" s="1132" t="str">
        <f>IF(AO97=0,"",VLOOKUP(AO97,'Tablas Magia'!$D$6:$Z$680,4,FALSE))</f>
        <v>Si</v>
      </c>
      <c r="BD98" s="1114"/>
      <c r="BE98" s="1108"/>
      <c r="BF98" s="1108"/>
      <c r="BG98" s="2080"/>
      <c r="BH98" s="5585" t="s">
        <v>7686</v>
      </c>
      <c r="BI98" s="5586"/>
      <c r="BJ98" s="1130" t="s">
        <v>7687</v>
      </c>
      <c r="BK98" s="1130" t="s">
        <v>1820</v>
      </c>
      <c r="BL98" s="1130" t="s">
        <v>3332</v>
      </c>
      <c r="BM98" s="1131" t="s">
        <v>2165</v>
      </c>
      <c r="BN98" s="5582" t="str">
        <f>IF(BH97=0,"",VLOOKUP(BH97,'Tablas Magia'!$D$6:$Z$680,5,FALSE))</f>
        <v>Efecto</v>
      </c>
      <c r="BO98" s="5582"/>
      <c r="BP98" s="5583" t="s">
        <v>7688</v>
      </c>
      <c r="BQ98" s="5583"/>
      <c r="BR98" s="5582" t="str">
        <f>IF(BH97=0,"",VLOOKUP(BH97,'Tablas Magia'!$D$6:$Z$680,6,FALSE))</f>
        <v>Activa</v>
      </c>
      <c r="BS98" s="5582"/>
      <c r="BT98" s="5584" t="s">
        <v>7689</v>
      </c>
      <c r="BU98" s="5584"/>
      <c r="BV98" s="1132" t="str">
        <f>IF(BH97=0,"",VLOOKUP(BH97,'Tablas Magia'!$D$6:$Z$680,4,FALSE))</f>
        <v>No</v>
      </c>
      <c r="BW98" s="1114"/>
      <c r="BX98" s="1108"/>
      <c r="BY98" s="1108"/>
      <c r="BZ98" s="2080"/>
      <c r="CA98" s="5585" t="s">
        <v>7686</v>
      </c>
      <c r="CB98" s="5586"/>
      <c r="CC98" s="1130" t="s">
        <v>7687</v>
      </c>
      <c r="CD98" s="1130" t="s">
        <v>1820</v>
      </c>
      <c r="CE98" s="1130" t="s">
        <v>3332</v>
      </c>
      <c r="CF98" s="1131" t="s">
        <v>2165</v>
      </c>
      <c r="CG98" s="5582" t="str">
        <f>IF(CA97=0,"",VLOOKUP(CA97,'Tablas Magia'!$D$6:$Z$680,5,FALSE))</f>
        <v>Efecto</v>
      </c>
      <c r="CH98" s="5582"/>
      <c r="CI98" s="5583" t="s">
        <v>7688</v>
      </c>
      <c r="CJ98" s="5583"/>
      <c r="CK98" s="5582" t="str">
        <f>IF(CA97=0,"",VLOOKUP(CA97,'Tablas Magia'!$D$6:$Z$680,6,FALSE))</f>
        <v>Activa</v>
      </c>
      <c r="CL98" s="5582"/>
      <c r="CM98" s="5584" t="s">
        <v>7689</v>
      </c>
      <c r="CN98" s="5584"/>
      <c r="CO98" s="1132" t="str">
        <f>IF(CA97=0,"",VLOOKUP(CA97,'Tablas Magia'!$D$6:$Z$680,4,FALSE))</f>
        <v>Si</v>
      </c>
      <c r="CP98" s="1114"/>
      <c r="CQ98" s="1108"/>
    </row>
    <row r="99" spans="1:95" ht="12" customHeight="1">
      <c r="A99" s="1108"/>
      <c r="B99" s="2066"/>
      <c r="C99" s="5577" t="s">
        <v>1674</v>
      </c>
      <c r="D99" s="5578"/>
      <c r="E99" s="1133">
        <f>IF(C97=0,"",VLOOKUP(C97,'Tablas Magia'!$D$6:$Z$680,7,FALSE))</f>
        <v>6</v>
      </c>
      <c r="F99" s="1133">
        <f>IF(C97=0,"",VLOOKUP(C97,'Tablas Magia'!$D$6:$Z$680,11,FALSE))</f>
        <v>60</v>
      </c>
      <c r="G99" s="1134">
        <f>IF(C97=0,"",VLOOKUP(C97,'Tablas Magia'!$D$6:$Z$680,15,FALSE))</f>
        <v>10</v>
      </c>
      <c r="H99" s="5579" t="str">
        <f>IF(C97=0,"",VLOOKUP(C97,'Tablas Magia'!$D$6:$Z$680,19,FALSE))</f>
        <v>10 metros de radio / 140 RM.</v>
      </c>
      <c r="I99" s="5580"/>
      <c r="J99" s="5580"/>
      <c r="K99" s="5580"/>
      <c r="L99" s="5580"/>
      <c r="M99" s="5580"/>
      <c r="N99" s="5580"/>
      <c r="O99" s="5580"/>
      <c r="P99" s="5580"/>
      <c r="Q99" s="5581"/>
      <c r="R99" s="1114"/>
      <c r="S99" s="1108"/>
      <c r="T99" s="1108"/>
      <c r="U99" s="2066"/>
      <c r="V99" s="5577" t="s">
        <v>1674</v>
      </c>
      <c r="W99" s="5578"/>
      <c r="X99" s="1133">
        <f>IF(V97=0,"",VLOOKUP(V97,'Tablas Magia'!$D$6:$Z$680,7,FALSE))</f>
        <v>6</v>
      </c>
      <c r="Y99" s="1133">
        <f>IF(V97=0,"",VLOOKUP(V97,'Tablas Magia'!$D$6:$Z$680,11,FALSE))</f>
        <v>60</v>
      </c>
      <c r="Z99" s="1134">
        <f>IF(V97=0,"",VLOOKUP(V97,'Tablas Magia'!$D$6:$Z$680,15,FALSE))</f>
        <v>10</v>
      </c>
      <c r="AA99" s="5579" t="str">
        <f>IF(V97=0,"",VLOOKUP(V97,'Tablas Magia'!$D$6:$Z$680,19,FALSE))</f>
        <v>RM 80 / 10 metros de radio</v>
      </c>
      <c r="AB99" s="5580"/>
      <c r="AC99" s="5580"/>
      <c r="AD99" s="5580"/>
      <c r="AE99" s="5580"/>
      <c r="AF99" s="5580"/>
      <c r="AG99" s="5580"/>
      <c r="AH99" s="5580"/>
      <c r="AI99" s="5580"/>
      <c r="AJ99" s="5581"/>
      <c r="AK99" s="1114"/>
      <c r="AL99" s="1108"/>
      <c r="AM99" s="1108"/>
      <c r="AN99" s="2080"/>
      <c r="AO99" s="5577" t="s">
        <v>1674</v>
      </c>
      <c r="AP99" s="5578"/>
      <c r="AQ99" s="1133">
        <f>IF(AO97=0,"",VLOOKUP(AO97,'Tablas Magia'!$D$6:$Z$680,7,FALSE))</f>
        <v>8</v>
      </c>
      <c r="AR99" s="1133">
        <f>IF(AO97=0,"",VLOOKUP(AO97,'Tablas Magia'!$D$6:$Z$680,11,FALSE))</f>
        <v>100</v>
      </c>
      <c r="AS99" s="1134">
        <f>IF(AO97=0,"",VLOOKUP(AO97,'Tablas Magia'!$D$6:$Z$680,15,FALSE))</f>
        <v>10</v>
      </c>
      <c r="AT99" s="5579" t="str">
        <f>IF(AO97=0,"",VLOOKUP(AO97,'Tablas Magia'!$D$6:$Z$680,19,FALSE))</f>
        <v>Radio de 20 metros / RM o RP 120.</v>
      </c>
      <c r="AU99" s="5580"/>
      <c r="AV99" s="5580"/>
      <c r="AW99" s="5580"/>
      <c r="AX99" s="5580"/>
      <c r="AY99" s="5580"/>
      <c r="AZ99" s="5580"/>
      <c r="BA99" s="5580"/>
      <c r="BB99" s="5580"/>
      <c r="BC99" s="5581"/>
      <c r="BD99" s="1114"/>
      <c r="BE99" s="1108"/>
      <c r="BF99" s="1108"/>
      <c r="BG99" s="2080"/>
      <c r="BH99" s="5577" t="s">
        <v>1674</v>
      </c>
      <c r="BI99" s="5578"/>
      <c r="BJ99" s="1133">
        <f>IF(BH97=0,"",VLOOKUP(BH97,'Tablas Magia'!$D$6:$Z$680,7,FALSE))</f>
        <v>10</v>
      </c>
      <c r="BK99" s="1133">
        <f>IF(BH97=0,"",VLOOKUP(BH97,'Tablas Magia'!$D$6:$Z$680,11,FALSE))</f>
        <v>250</v>
      </c>
      <c r="BL99" s="1134" t="str">
        <f>IF(BH97=0,"",VLOOKUP(BH97,'Tablas Magia'!$D$6:$Z$680,15,FALSE))</f>
        <v>No</v>
      </c>
      <c r="BM99" s="5579" t="str">
        <f>IF(BH97=0,"",VLOOKUP(BH97,'Tablas Magia'!$D$6:$Z$680,19,FALSE))</f>
        <v>100 kilómetros / 250 de presencia / RM 120</v>
      </c>
      <c r="BN99" s="5580"/>
      <c r="BO99" s="5580"/>
      <c r="BP99" s="5580"/>
      <c r="BQ99" s="5580"/>
      <c r="BR99" s="5580"/>
      <c r="BS99" s="5580"/>
      <c r="BT99" s="5580"/>
      <c r="BU99" s="5580"/>
      <c r="BV99" s="5581"/>
      <c r="BW99" s="1114"/>
      <c r="BX99" s="1108"/>
      <c r="BY99" s="1108"/>
      <c r="BZ99" s="2080"/>
      <c r="CA99" s="5577" t="s">
        <v>1674</v>
      </c>
      <c r="CB99" s="5578"/>
      <c r="CC99" s="1133">
        <f>IF(CA97=0,"",VLOOKUP(CA97,'Tablas Magia'!$D$6:$Z$680,7,FALSE))</f>
        <v>14</v>
      </c>
      <c r="CD99" s="1133">
        <f>IF(CA97=0,"",VLOOKUP(CA97,'Tablas Magia'!$D$6:$Z$680,11,FALSE))</f>
        <v>500</v>
      </c>
      <c r="CE99" s="1134">
        <f>IF(CA97=0,"",VLOOKUP(CA97,'Tablas Magia'!$D$6:$Z$680,15,FALSE))</f>
        <v>30</v>
      </c>
      <c r="CF99" s="5579" t="str">
        <f>IF(CA97=0,"",VLOOKUP(CA97,'Tablas Magia'!$D$6:$Z$680,19,FALSE))</f>
        <v>Gnosis máximo 30</v>
      </c>
      <c r="CG99" s="5580"/>
      <c r="CH99" s="5580"/>
      <c r="CI99" s="5580"/>
      <c r="CJ99" s="5580"/>
      <c r="CK99" s="5580"/>
      <c r="CL99" s="5580"/>
      <c r="CM99" s="5580"/>
      <c r="CN99" s="5580"/>
      <c r="CO99" s="5581"/>
      <c r="CP99" s="1114"/>
      <c r="CQ99" s="1108"/>
    </row>
    <row r="100" spans="1:95" ht="12" customHeight="1">
      <c r="A100" s="1108"/>
      <c r="B100" s="2066"/>
      <c r="C100" s="5572" t="s">
        <v>4570</v>
      </c>
      <c r="D100" s="5573"/>
      <c r="E100" s="1135">
        <f>IF(C97=0,"",VLOOKUP(C97,'Tablas Magia'!$D$6:$Z$680,8,FALSE))</f>
        <v>9</v>
      </c>
      <c r="F100" s="1135">
        <f>IF(C97=0,"",VLOOKUP(C97,'Tablas Magia'!$D$6:$Z$680,12,FALSE))</f>
        <v>100</v>
      </c>
      <c r="G100" s="1136">
        <f>IF(C97=0,"",VLOOKUP(C97,'Tablas Magia'!$D$6:$Z$680,16,FALSE))</f>
        <v>10</v>
      </c>
      <c r="H100" s="5574" t="str">
        <f>IF(C97=0,"",VLOOKUP(C97,'Tablas Magia'!$D$6:$Z$680,20,FALSE))</f>
        <v>100 metros de radio / 180 RM</v>
      </c>
      <c r="I100" s="5575"/>
      <c r="J100" s="5575"/>
      <c r="K100" s="5575"/>
      <c r="L100" s="5575"/>
      <c r="M100" s="5575"/>
      <c r="N100" s="5575"/>
      <c r="O100" s="5575"/>
      <c r="P100" s="5575"/>
      <c r="Q100" s="5576"/>
      <c r="R100" s="1114"/>
      <c r="S100" s="1108"/>
      <c r="T100" s="1108"/>
      <c r="U100" s="2066"/>
      <c r="V100" s="5572" t="s">
        <v>4570</v>
      </c>
      <c r="W100" s="5573"/>
      <c r="X100" s="1135">
        <f>IF(V97=0,"",VLOOKUP(V97,'Tablas Magia'!$D$6:$Z$680,8,FALSE))</f>
        <v>9</v>
      </c>
      <c r="Y100" s="1135">
        <f>IF(V97=0,"",VLOOKUP(V97,'Tablas Magia'!$D$6:$Z$680,12,FALSE))</f>
        <v>90</v>
      </c>
      <c r="Z100" s="1136">
        <f>IF(V97=0,"",VLOOKUP(V97,'Tablas Magia'!$D$6:$Z$680,16,FALSE))</f>
        <v>10</v>
      </c>
      <c r="AA100" s="5574" t="str">
        <f>IF(V97=0,"",VLOOKUP(V97,'Tablas Magia'!$D$6:$Z$680,20,FALSE))</f>
        <v>RM 100 / 50 metros de radio.</v>
      </c>
      <c r="AB100" s="5575"/>
      <c r="AC100" s="5575"/>
      <c r="AD100" s="5575"/>
      <c r="AE100" s="5575"/>
      <c r="AF100" s="5575"/>
      <c r="AG100" s="5575"/>
      <c r="AH100" s="5575"/>
      <c r="AI100" s="5575"/>
      <c r="AJ100" s="5576"/>
      <c r="AK100" s="1114"/>
      <c r="AL100" s="1108"/>
      <c r="AM100" s="1108"/>
      <c r="AN100" s="2080"/>
      <c r="AO100" s="5572" t="s">
        <v>4570</v>
      </c>
      <c r="AP100" s="5573"/>
      <c r="AQ100" s="1135">
        <f>IF(AO97=0,"",VLOOKUP(AO97,'Tablas Magia'!$D$6:$Z$680,8,FALSE))</f>
        <v>10</v>
      </c>
      <c r="AR100" s="1135">
        <f>IF(AO97=0,"",VLOOKUP(AO97,'Tablas Magia'!$D$6:$Z$680,12,FALSE))</f>
        <v>180</v>
      </c>
      <c r="AS100" s="1136">
        <f>IF(AO97=0,"",VLOOKUP(AO97,'Tablas Magia'!$D$6:$Z$680,16,FALSE))</f>
        <v>20</v>
      </c>
      <c r="AT100" s="5574" t="str">
        <f>IF(AO97=0,"",VLOOKUP(AO97,'Tablas Magia'!$D$6:$Z$680,20,FALSE))</f>
        <v>Radio de 100 metros / RM o RP 160</v>
      </c>
      <c r="AU100" s="5575"/>
      <c r="AV100" s="5575"/>
      <c r="AW100" s="5575"/>
      <c r="AX100" s="5575"/>
      <c r="AY100" s="5575"/>
      <c r="AZ100" s="5575"/>
      <c r="BA100" s="5575"/>
      <c r="BB100" s="5575"/>
      <c r="BC100" s="5576"/>
      <c r="BD100" s="1114"/>
      <c r="BE100" s="1108"/>
      <c r="BF100" s="1108"/>
      <c r="BG100" s="2080"/>
      <c r="BH100" s="5572" t="s">
        <v>4570</v>
      </c>
      <c r="BI100" s="5573"/>
      <c r="BJ100" s="1135">
        <f>IF(BH97=0,"",VLOOKUP(BH97,'Tablas Magia'!$D$6:$Z$680,8,FALSE))</f>
        <v>12</v>
      </c>
      <c r="BK100" s="1135">
        <f>IF(BH97=0,"",VLOOKUP(BH97,'Tablas Magia'!$D$6:$Z$680,12,FALSE))</f>
        <v>360</v>
      </c>
      <c r="BL100" s="1136" t="str">
        <f>IF(BH97=0,"",VLOOKUP(BH97,'Tablas Magia'!$D$6:$Z$680,16,FALSE))</f>
        <v>No</v>
      </c>
      <c r="BM100" s="5574" t="str">
        <f>IF(BH97=0,"",VLOOKUP(BH97,'Tablas Magia'!$D$6:$Z$680,20,FALSE))</f>
        <v>1.000 kilómetros / 500 de presencia / RM 140</v>
      </c>
      <c r="BN100" s="5575"/>
      <c r="BO100" s="5575"/>
      <c r="BP100" s="5575"/>
      <c r="BQ100" s="5575"/>
      <c r="BR100" s="5575"/>
      <c r="BS100" s="5575"/>
      <c r="BT100" s="5575"/>
      <c r="BU100" s="5575"/>
      <c r="BV100" s="5576"/>
      <c r="BW100" s="1114"/>
      <c r="BX100" s="1108"/>
      <c r="BY100" s="1108"/>
      <c r="BZ100" s="2080"/>
      <c r="CA100" s="5572" t="s">
        <v>4570</v>
      </c>
      <c r="CB100" s="5573"/>
      <c r="CC100" s="1135">
        <f>IF(CA97=0,"",VLOOKUP(CA97,'Tablas Magia'!$D$6:$Z$680,8,FALSE))</f>
        <v>16</v>
      </c>
      <c r="CD100" s="1135">
        <f>IF(CA97=0,"",VLOOKUP(CA97,'Tablas Magia'!$D$6:$Z$680,12,FALSE))</f>
        <v>1000</v>
      </c>
      <c r="CE100" s="1136">
        <f>IF(CA97=0,"",VLOOKUP(CA97,'Tablas Magia'!$D$6:$Z$680,16,FALSE))</f>
        <v>40</v>
      </c>
      <c r="CF100" s="5574" t="str">
        <f>IF(CA97=0,"",VLOOKUP(CA97,'Tablas Magia'!$D$6:$Z$680,20,FALSE))</f>
        <v>Gnosis máximo 35</v>
      </c>
      <c r="CG100" s="5575"/>
      <c r="CH100" s="5575"/>
      <c r="CI100" s="5575"/>
      <c r="CJ100" s="5575"/>
      <c r="CK100" s="5575"/>
      <c r="CL100" s="5575"/>
      <c r="CM100" s="5575"/>
      <c r="CN100" s="5575"/>
      <c r="CO100" s="5576"/>
      <c r="CP100" s="1114"/>
      <c r="CQ100" s="1108"/>
    </row>
    <row r="101" spans="1:95" ht="12" customHeight="1">
      <c r="A101" s="1108"/>
      <c r="B101" s="2066"/>
      <c r="C101" s="5577" t="s">
        <v>4571</v>
      </c>
      <c r="D101" s="5578"/>
      <c r="E101" s="1133">
        <f>IF(C97=0,"",VLOOKUP(C97,'Tablas Magia'!$D$6:$Z$680,9,FALSE))</f>
        <v>12</v>
      </c>
      <c r="F101" s="1133">
        <f>IF(C97=0,"",VLOOKUP(C97,'Tablas Magia'!$D$6:$Z$680,13,FALSE))</f>
        <v>150</v>
      </c>
      <c r="G101" s="1134">
        <f>IF(C97=0,"",VLOOKUP(C97,'Tablas Magia'!$D$6:$Z$680,17,FALSE))</f>
        <v>15</v>
      </c>
      <c r="H101" s="5579" t="str">
        <f>IF(C97=0,"",VLOOKUP(C97,'Tablas Magia'!$D$6:$Z$680,21,FALSE))</f>
        <v>250 metros de radio / 220 RM.</v>
      </c>
      <c r="I101" s="5580"/>
      <c r="J101" s="5580"/>
      <c r="K101" s="5580"/>
      <c r="L101" s="5580"/>
      <c r="M101" s="5580"/>
      <c r="N101" s="5580"/>
      <c r="O101" s="5580"/>
      <c r="P101" s="5580"/>
      <c r="Q101" s="5581"/>
      <c r="R101" s="1114"/>
      <c r="S101" s="1108"/>
      <c r="T101" s="1108"/>
      <c r="U101" s="2066"/>
      <c r="V101" s="5577" t="s">
        <v>4571</v>
      </c>
      <c r="W101" s="5578"/>
      <c r="X101" s="1133">
        <f>IF(V97=0,"",VLOOKUP(V97,'Tablas Magia'!$D$6:$Z$680,9,FALSE))</f>
        <v>12</v>
      </c>
      <c r="Y101" s="1133">
        <f>IF(V97=0,"",VLOOKUP(V97,'Tablas Magia'!$D$6:$Z$680,13,FALSE))</f>
        <v>120</v>
      </c>
      <c r="Z101" s="1134">
        <f>IF(V97=0,"",VLOOKUP(V97,'Tablas Magia'!$D$6:$Z$680,17,FALSE))</f>
        <v>15</v>
      </c>
      <c r="AA101" s="5579" t="str">
        <f>IF(V97=0,"",VLOOKUP(V97,'Tablas Magia'!$D$6:$Z$680,21,FALSE))</f>
        <v>RM 120 / 100 metros de radio.</v>
      </c>
      <c r="AB101" s="5580"/>
      <c r="AC101" s="5580"/>
      <c r="AD101" s="5580"/>
      <c r="AE101" s="5580"/>
      <c r="AF101" s="5580"/>
      <c r="AG101" s="5580"/>
      <c r="AH101" s="5580"/>
      <c r="AI101" s="5580"/>
      <c r="AJ101" s="5581"/>
      <c r="AK101" s="1114"/>
      <c r="AL101" s="1108"/>
      <c r="AM101" s="1108"/>
      <c r="AN101" s="2080"/>
      <c r="AO101" s="5577" t="s">
        <v>4571</v>
      </c>
      <c r="AP101" s="5578"/>
      <c r="AQ101" s="1133">
        <f>IF(AO97=0,"",VLOOKUP(AO97,'Tablas Magia'!$D$6:$Z$680,9,FALSE))</f>
        <v>12</v>
      </c>
      <c r="AR101" s="1133">
        <f>IF(AO97=0,"",VLOOKUP(AO97,'Tablas Magia'!$D$6:$Z$680,13,FALSE))</f>
        <v>240</v>
      </c>
      <c r="AS101" s="1134">
        <f>IF(AO97=0,"",VLOOKUP(AO97,'Tablas Magia'!$D$6:$Z$680,17,FALSE))</f>
        <v>25</v>
      </c>
      <c r="AT101" s="5579" t="str">
        <f>IF(AO97=0,"",VLOOKUP(AO97,'Tablas Magia'!$D$6:$Z$680,21,FALSE))</f>
        <v>Radio de 250 metros / RM o RP 180.</v>
      </c>
      <c r="AU101" s="5580"/>
      <c r="AV101" s="5580"/>
      <c r="AW101" s="5580"/>
      <c r="AX101" s="5580"/>
      <c r="AY101" s="5580"/>
      <c r="AZ101" s="5580"/>
      <c r="BA101" s="5580"/>
      <c r="BB101" s="5580"/>
      <c r="BC101" s="5581"/>
      <c r="BD101" s="1114"/>
      <c r="BE101" s="1108"/>
      <c r="BF101" s="1108"/>
      <c r="BG101" s="2080"/>
      <c r="BH101" s="5577" t="s">
        <v>4571</v>
      </c>
      <c r="BI101" s="5578"/>
      <c r="BJ101" s="1133">
        <f>IF(BH97=0,"",VLOOKUP(BH97,'Tablas Magia'!$D$6:$Z$680,9,FALSE))</f>
        <v>14</v>
      </c>
      <c r="BK101" s="1133">
        <f>IF(BH97=0,"",VLOOKUP(BH97,'Tablas Magia'!$D$6:$Z$680,13,FALSE))</f>
        <v>450</v>
      </c>
      <c r="BL101" s="1134" t="str">
        <f>IF(BH97=0,"",VLOOKUP(BH97,'Tablas Magia'!$D$6:$Z$680,17,FALSE))</f>
        <v>No</v>
      </c>
      <c r="BM101" s="5579" t="str">
        <f>IF(BH97=0,"",VLOOKUP(BH97,'Tablas Magia'!$D$6:$Z$680,21,FALSE))</f>
        <v>5.000 kilómetros / 1.000 de presencia / RM 180</v>
      </c>
      <c r="BN101" s="5580"/>
      <c r="BO101" s="5580"/>
      <c r="BP101" s="5580"/>
      <c r="BQ101" s="5580"/>
      <c r="BR101" s="5580"/>
      <c r="BS101" s="5580"/>
      <c r="BT101" s="5580"/>
      <c r="BU101" s="5580"/>
      <c r="BV101" s="5581"/>
      <c r="BW101" s="1114"/>
      <c r="BX101" s="1108"/>
      <c r="BY101" s="1108"/>
      <c r="BZ101" s="2080"/>
      <c r="CA101" s="5577" t="s">
        <v>4571</v>
      </c>
      <c r="CB101" s="5578"/>
      <c r="CC101" s="1133">
        <f>IF(CA97=0,"",VLOOKUP(CA97,'Tablas Magia'!$D$6:$Z$680,9,FALSE))</f>
        <v>18</v>
      </c>
      <c r="CD101" s="1133">
        <f>IF(CA97=0,"",VLOOKUP(CA97,'Tablas Magia'!$D$6:$Z$680,13,FALSE))</f>
        <v>2000</v>
      </c>
      <c r="CE101" s="1134">
        <f>IF(CA97=0,"",VLOOKUP(CA97,'Tablas Magia'!$D$6:$Z$680,17,FALSE))</f>
        <v>45</v>
      </c>
      <c r="CF101" s="5579" t="str">
        <f>IF(CA97=0,"",VLOOKUP(CA97,'Tablas Magia'!$D$6:$Z$680,21,FALSE))</f>
        <v>Gnosis máximo 40</v>
      </c>
      <c r="CG101" s="5580"/>
      <c r="CH101" s="5580"/>
      <c r="CI101" s="5580"/>
      <c r="CJ101" s="5580"/>
      <c r="CK101" s="5580"/>
      <c r="CL101" s="5580"/>
      <c r="CM101" s="5580"/>
      <c r="CN101" s="5580"/>
      <c r="CO101" s="5581"/>
      <c r="CP101" s="1114"/>
      <c r="CQ101" s="1108"/>
    </row>
    <row r="102" spans="1:95" ht="12" customHeight="1" thickBot="1">
      <c r="A102" s="1108"/>
      <c r="B102" s="2066"/>
      <c r="C102" s="5587" t="s">
        <v>4572</v>
      </c>
      <c r="D102" s="5588"/>
      <c r="E102" s="1137">
        <f>IF(C97=0,"",VLOOKUP(C97,'Tablas Magia'!$D$6:$Z$680,10,FALSE))</f>
        <v>15</v>
      </c>
      <c r="F102" s="1137">
        <f>IF(C97=0,"",VLOOKUP(C97,'Tablas Magia'!$D$6:$Z$680,14,FALSE))</f>
        <v>250</v>
      </c>
      <c r="G102" s="1138">
        <f>IF(C97=0,"",VLOOKUP(C97,'Tablas Magia'!$D$6:$Z$680,18,FALSE))</f>
        <v>25</v>
      </c>
      <c r="H102" s="5589" t="str">
        <f>IF(C97=0,"",VLOOKUP(C97,'Tablas Magia'!$D$6:$Z$680,22,FALSE))</f>
        <v>500 metros de radio / 280 RM</v>
      </c>
      <c r="I102" s="5590"/>
      <c r="J102" s="5590"/>
      <c r="K102" s="5590"/>
      <c r="L102" s="5590"/>
      <c r="M102" s="5590"/>
      <c r="N102" s="5590"/>
      <c r="O102" s="5590"/>
      <c r="P102" s="5590"/>
      <c r="Q102" s="5591"/>
      <c r="R102" s="1114"/>
      <c r="S102" s="1108"/>
      <c r="T102" s="1108"/>
      <c r="U102" s="2066"/>
      <c r="V102" s="5587" t="s">
        <v>4572</v>
      </c>
      <c r="W102" s="5588"/>
      <c r="X102" s="1137">
        <f>IF(V97=0,"",VLOOKUP(V97,'Tablas Magia'!$D$6:$Z$680,10,FALSE))</f>
        <v>15</v>
      </c>
      <c r="Y102" s="1137">
        <f>IF(V97=0,"",VLOOKUP(V97,'Tablas Magia'!$D$6:$Z$680,14,FALSE))</f>
        <v>150</v>
      </c>
      <c r="Z102" s="1138">
        <f>IF(V97=0,"",VLOOKUP(V97,'Tablas Magia'!$D$6:$Z$680,18,FALSE))</f>
        <v>15</v>
      </c>
      <c r="AA102" s="5589" t="str">
        <f>IF(V97=0,"",VLOOKUP(V97,'Tablas Magia'!$D$6:$Z$680,22,FALSE))</f>
        <v>RM 160 / 250 metros de radio</v>
      </c>
      <c r="AB102" s="5590"/>
      <c r="AC102" s="5590"/>
      <c r="AD102" s="5590"/>
      <c r="AE102" s="5590"/>
      <c r="AF102" s="5590"/>
      <c r="AG102" s="5590"/>
      <c r="AH102" s="5590"/>
      <c r="AI102" s="5590"/>
      <c r="AJ102" s="5591"/>
      <c r="AK102" s="1114"/>
      <c r="AL102" s="1108"/>
      <c r="AM102" s="1108"/>
      <c r="AN102" s="2080"/>
      <c r="AO102" s="5587" t="s">
        <v>4572</v>
      </c>
      <c r="AP102" s="5588"/>
      <c r="AQ102" s="1137">
        <f>IF(AO97=0,"",VLOOKUP(AO97,'Tablas Magia'!$D$6:$Z$680,10,FALSE))</f>
        <v>15</v>
      </c>
      <c r="AR102" s="1137">
        <f>IF(AO97=0,"",VLOOKUP(AO97,'Tablas Magia'!$D$6:$Z$680,14,FALSE))</f>
        <v>300</v>
      </c>
      <c r="AS102" s="1138">
        <f>IF(AO97=0,"",VLOOKUP(AO97,'Tablas Magia'!$D$6:$Z$680,18,FALSE))</f>
        <v>30</v>
      </c>
      <c r="AT102" s="5589" t="str">
        <f>IF(AO97=0,"",VLOOKUP(AO97,'Tablas Magia'!$D$6:$Z$680,22,FALSE))</f>
        <v>Radio de 500 metros / RM o RP 220</v>
      </c>
      <c r="AU102" s="5590"/>
      <c r="AV102" s="5590"/>
      <c r="AW102" s="5590"/>
      <c r="AX102" s="5590"/>
      <c r="AY102" s="5590"/>
      <c r="AZ102" s="5590"/>
      <c r="BA102" s="5590"/>
      <c r="BB102" s="5590"/>
      <c r="BC102" s="5591"/>
      <c r="BD102" s="1114"/>
      <c r="BE102" s="1108"/>
      <c r="BF102" s="1108"/>
      <c r="BG102" s="2080"/>
      <c r="BH102" s="5587" t="s">
        <v>4572</v>
      </c>
      <c r="BI102" s="5588"/>
      <c r="BJ102" s="1137">
        <f>IF(BH97=0,"",VLOOKUP(BH97,'Tablas Magia'!$D$6:$Z$680,10,FALSE))</f>
        <v>16</v>
      </c>
      <c r="BK102" s="1137">
        <f>IF(BH97=0,"",VLOOKUP(BH97,'Tablas Magia'!$D$6:$Z$680,14,FALSE))</f>
        <v>600</v>
      </c>
      <c r="BL102" s="1138" t="str">
        <f>IF(BH97=0,"",VLOOKUP(BH97,'Tablas Magia'!$D$6:$Z$680,18,FALSE))</f>
        <v>No</v>
      </c>
      <c r="BM102" s="5589" t="str">
        <f>IF(BH97=0,"",VLOOKUP(BH97,'Tablas Magia'!$D$6:$Z$680,22,FALSE))</f>
        <v>15.000 kilómetros / 2.000 de presencia / RM contra 200</v>
      </c>
      <c r="BN102" s="5590"/>
      <c r="BO102" s="5590"/>
      <c r="BP102" s="5590"/>
      <c r="BQ102" s="5590"/>
      <c r="BR102" s="5590"/>
      <c r="BS102" s="5590"/>
      <c r="BT102" s="5590"/>
      <c r="BU102" s="5590"/>
      <c r="BV102" s="5591"/>
      <c r="BW102" s="1114"/>
      <c r="BX102" s="1108"/>
      <c r="BY102" s="1108"/>
      <c r="BZ102" s="2080"/>
      <c r="CA102" s="5587" t="s">
        <v>4572</v>
      </c>
      <c r="CB102" s="5588"/>
      <c r="CC102" s="1137">
        <f>IF(CA97=0,"",VLOOKUP(CA97,'Tablas Magia'!$D$6:$Z$680,10,FALSE))</f>
        <v>20</v>
      </c>
      <c r="CD102" s="1137">
        <f>IF(CA97=0,"",VLOOKUP(CA97,'Tablas Magia'!$D$6:$Z$680,14,FALSE))</f>
        <v>5000</v>
      </c>
      <c r="CE102" s="1138">
        <f>IF(CA97=0,"",VLOOKUP(CA97,'Tablas Magia'!$D$6:$Z$680,18,FALSE))</f>
        <v>50</v>
      </c>
      <c r="CF102" s="5589" t="str">
        <f>IF(CA97=0,"",VLOOKUP(CA97,'Tablas Magia'!$D$6:$Z$680,22,FALSE))</f>
        <v>Gnosis máximo 45.</v>
      </c>
      <c r="CG102" s="5590"/>
      <c r="CH102" s="5590"/>
      <c r="CI102" s="5590"/>
      <c r="CJ102" s="5590"/>
      <c r="CK102" s="5590"/>
      <c r="CL102" s="5590"/>
      <c r="CM102" s="5590"/>
      <c r="CN102" s="5590"/>
      <c r="CO102" s="5591"/>
      <c r="CP102" s="1114"/>
      <c r="CQ102" s="1108"/>
    </row>
    <row r="103" spans="1:95" ht="12" customHeight="1">
      <c r="A103" s="1108"/>
      <c r="B103" s="2066"/>
      <c r="C103" s="5592"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93"/>
      <c r="E103" s="5593"/>
      <c r="F103" s="5593"/>
      <c r="G103" s="5593"/>
      <c r="H103" s="5593"/>
      <c r="I103" s="5593"/>
      <c r="J103" s="5593"/>
      <c r="K103" s="5593"/>
      <c r="L103" s="5593"/>
      <c r="M103" s="5593"/>
      <c r="N103" s="5593"/>
      <c r="O103" s="5593"/>
      <c r="P103" s="5593"/>
      <c r="Q103" s="5594"/>
      <c r="R103" s="1114"/>
      <c r="S103" s="1108"/>
      <c r="T103" s="1108"/>
      <c r="U103" s="2066"/>
      <c r="V103" s="5592"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93"/>
      <c r="X103" s="5593"/>
      <c r="Y103" s="5593"/>
      <c r="Z103" s="5593"/>
      <c r="AA103" s="5593"/>
      <c r="AB103" s="5593"/>
      <c r="AC103" s="5593"/>
      <c r="AD103" s="5593"/>
      <c r="AE103" s="5593"/>
      <c r="AF103" s="5593"/>
      <c r="AG103" s="5593"/>
      <c r="AH103" s="5593"/>
      <c r="AI103" s="5593"/>
      <c r="AJ103" s="5594"/>
      <c r="AK103" s="1114"/>
      <c r="AL103" s="1108"/>
      <c r="AM103" s="1108"/>
      <c r="AN103" s="2080"/>
      <c r="AO103" s="5592" t="str">
        <f>IF(AO97=0,"",VLOOKUP(AO97,'Tablas Magia'!$D$6:$Z$680,23,FALSE))</f>
        <v>Introduce algún tipo de sentimiento positivo, como amor, placer o amistad, en los individuos designados por el hechicero que fallen la RM del conjuro. El afectado puede repetir el control una vez al día</v>
      </c>
      <c r="AP103" s="5593"/>
      <c r="AQ103" s="5593"/>
      <c r="AR103" s="5593"/>
      <c r="AS103" s="5593"/>
      <c r="AT103" s="5593"/>
      <c r="AU103" s="5593"/>
      <c r="AV103" s="5593"/>
      <c r="AW103" s="5593"/>
      <c r="AX103" s="5593"/>
      <c r="AY103" s="5593"/>
      <c r="AZ103" s="5593"/>
      <c r="BA103" s="5593"/>
      <c r="BB103" s="5593"/>
      <c r="BC103" s="5594"/>
      <c r="BD103" s="1114"/>
      <c r="BE103" s="1108"/>
      <c r="BF103" s="1108"/>
      <c r="BG103" s="2080"/>
      <c r="BH103" s="5592"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93"/>
      <c r="BJ103" s="5593"/>
      <c r="BK103" s="5593"/>
      <c r="BL103" s="5593"/>
      <c r="BM103" s="5593"/>
      <c r="BN103" s="5593"/>
      <c r="BO103" s="5593"/>
      <c r="BP103" s="5593"/>
      <c r="BQ103" s="5593"/>
      <c r="BR103" s="5593"/>
      <c r="BS103" s="5593"/>
      <c r="BT103" s="5593"/>
      <c r="BU103" s="5593"/>
      <c r="BV103" s="5594"/>
      <c r="BW103" s="1114"/>
      <c r="BX103" s="1108"/>
      <c r="BY103" s="1108"/>
      <c r="BZ103" s="2080"/>
      <c r="CA103" s="5592"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93"/>
      <c r="CC103" s="5593"/>
      <c r="CD103" s="5593"/>
      <c r="CE103" s="5593"/>
      <c r="CF103" s="5593"/>
      <c r="CG103" s="5593"/>
      <c r="CH103" s="5593"/>
      <c r="CI103" s="5593"/>
      <c r="CJ103" s="5593"/>
      <c r="CK103" s="5593"/>
      <c r="CL103" s="5593"/>
      <c r="CM103" s="5593"/>
      <c r="CN103" s="5593"/>
      <c r="CO103" s="5594"/>
      <c r="CP103" s="1114"/>
      <c r="CQ103" s="1108"/>
    </row>
    <row r="104" spans="1:95" ht="12" customHeight="1">
      <c r="A104" s="1108"/>
      <c r="B104" s="2066"/>
      <c r="C104" s="5595"/>
      <c r="D104" s="5596"/>
      <c r="E104" s="5596"/>
      <c r="F104" s="5596"/>
      <c r="G104" s="5596"/>
      <c r="H104" s="5596"/>
      <c r="I104" s="5596"/>
      <c r="J104" s="5596"/>
      <c r="K104" s="5596"/>
      <c r="L104" s="5596"/>
      <c r="M104" s="5596"/>
      <c r="N104" s="5596"/>
      <c r="O104" s="5596"/>
      <c r="P104" s="5596"/>
      <c r="Q104" s="5597"/>
      <c r="R104" s="1114"/>
      <c r="S104" s="1108"/>
      <c r="T104" s="1108"/>
      <c r="U104" s="2066"/>
      <c r="V104" s="5595"/>
      <c r="W104" s="5596"/>
      <c r="X104" s="5596"/>
      <c r="Y104" s="5596"/>
      <c r="Z104" s="5596"/>
      <c r="AA104" s="5596"/>
      <c r="AB104" s="5596"/>
      <c r="AC104" s="5596"/>
      <c r="AD104" s="5596"/>
      <c r="AE104" s="5596"/>
      <c r="AF104" s="5596"/>
      <c r="AG104" s="5596"/>
      <c r="AH104" s="5596"/>
      <c r="AI104" s="5596"/>
      <c r="AJ104" s="5597"/>
      <c r="AK104" s="1114"/>
      <c r="AL104" s="1108"/>
      <c r="AM104" s="1108"/>
      <c r="AN104" s="2080"/>
      <c r="AO104" s="5595"/>
      <c r="AP104" s="5596"/>
      <c r="AQ104" s="5596"/>
      <c r="AR104" s="5596"/>
      <c r="AS104" s="5596"/>
      <c r="AT104" s="5596"/>
      <c r="AU104" s="5596"/>
      <c r="AV104" s="5596"/>
      <c r="AW104" s="5596"/>
      <c r="AX104" s="5596"/>
      <c r="AY104" s="5596"/>
      <c r="AZ104" s="5596"/>
      <c r="BA104" s="5596"/>
      <c r="BB104" s="5596"/>
      <c r="BC104" s="5597"/>
      <c r="BD104" s="1114"/>
      <c r="BE104" s="1108"/>
      <c r="BF104" s="1108"/>
      <c r="BG104" s="2080"/>
      <c r="BH104" s="5595"/>
      <c r="BI104" s="5596"/>
      <c r="BJ104" s="5596"/>
      <c r="BK104" s="5596"/>
      <c r="BL104" s="5596"/>
      <c r="BM104" s="5596"/>
      <c r="BN104" s="5596"/>
      <c r="BO104" s="5596"/>
      <c r="BP104" s="5596"/>
      <c r="BQ104" s="5596"/>
      <c r="BR104" s="5596"/>
      <c r="BS104" s="5596"/>
      <c r="BT104" s="5596"/>
      <c r="BU104" s="5596"/>
      <c r="BV104" s="5597"/>
      <c r="BW104" s="1114"/>
      <c r="BX104" s="1108"/>
      <c r="BY104" s="1108"/>
      <c r="BZ104" s="2080"/>
      <c r="CA104" s="5595"/>
      <c r="CB104" s="5596"/>
      <c r="CC104" s="5596"/>
      <c r="CD104" s="5596"/>
      <c r="CE104" s="5596"/>
      <c r="CF104" s="5596"/>
      <c r="CG104" s="5596"/>
      <c r="CH104" s="5596"/>
      <c r="CI104" s="5596"/>
      <c r="CJ104" s="5596"/>
      <c r="CK104" s="5596"/>
      <c r="CL104" s="5596"/>
      <c r="CM104" s="5596"/>
      <c r="CN104" s="5596"/>
      <c r="CO104" s="5597"/>
      <c r="CP104" s="1114"/>
      <c r="CQ104" s="1108"/>
    </row>
    <row r="105" spans="1:95" ht="12" customHeight="1">
      <c r="A105" s="1108"/>
      <c r="B105" s="2066"/>
      <c r="C105" s="5595"/>
      <c r="D105" s="5596"/>
      <c r="E105" s="5596"/>
      <c r="F105" s="5596"/>
      <c r="G105" s="5596"/>
      <c r="H105" s="5596"/>
      <c r="I105" s="5596"/>
      <c r="J105" s="5596"/>
      <c r="K105" s="5596"/>
      <c r="L105" s="5596"/>
      <c r="M105" s="5596"/>
      <c r="N105" s="5596"/>
      <c r="O105" s="5596"/>
      <c r="P105" s="5596"/>
      <c r="Q105" s="5597"/>
      <c r="R105" s="1114"/>
      <c r="S105" s="1108"/>
      <c r="T105" s="1108"/>
      <c r="U105" s="2066"/>
      <c r="V105" s="5595"/>
      <c r="W105" s="5596"/>
      <c r="X105" s="5596"/>
      <c r="Y105" s="5596"/>
      <c r="Z105" s="5596"/>
      <c r="AA105" s="5596"/>
      <c r="AB105" s="5596"/>
      <c r="AC105" s="5596"/>
      <c r="AD105" s="5596"/>
      <c r="AE105" s="5596"/>
      <c r="AF105" s="5596"/>
      <c r="AG105" s="5596"/>
      <c r="AH105" s="5596"/>
      <c r="AI105" s="5596"/>
      <c r="AJ105" s="5597"/>
      <c r="AK105" s="1114"/>
      <c r="AL105" s="1108"/>
      <c r="AM105" s="1108"/>
      <c r="AN105" s="2080"/>
      <c r="AO105" s="5595"/>
      <c r="AP105" s="5596"/>
      <c r="AQ105" s="5596"/>
      <c r="AR105" s="5596"/>
      <c r="AS105" s="5596"/>
      <c r="AT105" s="5596"/>
      <c r="AU105" s="5596"/>
      <c r="AV105" s="5596"/>
      <c r="AW105" s="5596"/>
      <c r="AX105" s="5596"/>
      <c r="AY105" s="5596"/>
      <c r="AZ105" s="5596"/>
      <c r="BA105" s="5596"/>
      <c r="BB105" s="5596"/>
      <c r="BC105" s="5597"/>
      <c r="BD105" s="1114"/>
      <c r="BE105" s="1108"/>
      <c r="BF105" s="1108"/>
      <c r="BG105" s="2080"/>
      <c r="BH105" s="5595"/>
      <c r="BI105" s="5596"/>
      <c r="BJ105" s="5596"/>
      <c r="BK105" s="5596"/>
      <c r="BL105" s="5596"/>
      <c r="BM105" s="5596"/>
      <c r="BN105" s="5596"/>
      <c r="BO105" s="5596"/>
      <c r="BP105" s="5596"/>
      <c r="BQ105" s="5596"/>
      <c r="BR105" s="5596"/>
      <c r="BS105" s="5596"/>
      <c r="BT105" s="5596"/>
      <c r="BU105" s="5596"/>
      <c r="BV105" s="5597"/>
      <c r="BW105" s="1114"/>
      <c r="BX105" s="1108"/>
      <c r="BY105" s="1108"/>
      <c r="BZ105" s="2080"/>
      <c r="CA105" s="5595"/>
      <c r="CB105" s="5596"/>
      <c r="CC105" s="5596"/>
      <c r="CD105" s="5596"/>
      <c r="CE105" s="5596"/>
      <c r="CF105" s="5596"/>
      <c r="CG105" s="5596"/>
      <c r="CH105" s="5596"/>
      <c r="CI105" s="5596"/>
      <c r="CJ105" s="5596"/>
      <c r="CK105" s="5596"/>
      <c r="CL105" s="5596"/>
      <c r="CM105" s="5596"/>
      <c r="CN105" s="5596"/>
      <c r="CO105" s="5597"/>
      <c r="CP105" s="1114"/>
      <c r="CQ105" s="1108"/>
    </row>
    <row r="106" spans="1:95" ht="13.5" thickBot="1">
      <c r="A106" s="1108"/>
      <c r="B106" s="2066"/>
      <c r="C106" s="5598"/>
      <c r="D106" s="5599"/>
      <c r="E106" s="5599"/>
      <c r="F106" s="5599"/>
      <c r="G106" s="5599"/>
      <c r="H106" s="5599"/>
      <c r="I106" s="5599"/>
      <c r="J106" s="5599"/>
      <c r="K106" s="5599"/>
      <c r="L106" s="5599"/>
      <c r="M106" s="5599"/>
      <c r="N106" s="5599"/>
      <c r="O106" s="5599"/>
      <c r="P106" s="5599"/>
      <c r="Q106" s="5600"/>
      <c r="R106" s="1114"/>
      <c r="S106" s="1108"/>
      <c r="T106" s="1108"/>
      <c r="U106" s="2066"/>
      <c r="V106" s="5598"/>
      <c r="W106" s="5599"/>
      <c r="X106" s="5599"/>
      <c r="Y106" s="5599"/>
      <c r="Z106" s="5599"/>
      <c r="AA106" s="5599"/>
      <c r="AB106" s="5599"/>
      <c r="AC106" s="5599"/>
      <c r="AD106" s="5599"/>
      <c r="AE106" s="5599"/>
      <c r="AF106" s="5599"/>
      <c r="AG106" s="5599"/>
      <c r="AH106" s="5599"/>
      <c r="AI106" s="5599"/>
      <c r="AJ106" s="5600"/>
      <c r="AK106" s="1114"/>
      <c r="AL106" s="1108"/>
      <c r="AM106" s="1108"/>
      <c r="AN106" s="2080"/>
      <c r="AO106" s="5598"/>
      <c r="AP106" s="5599"/>
      <c r="AQ106" s="5599"/>
      <c r="AR106" s="5599"/>
      <c r="AS106" s="5599"/>
      <c r="AT106" s="5599"/>
      <c r="AU106" s="5599"/>
      <c r="AV106" s="5599"/>
      <c r="AW106" s="5599"/>
      <c r="AX106" s="5599"/>
      <c r="AY106" s="5599"/>
      <c r="AZ106" s="5599"/>
      <c r="BA106" s="5599"/>
      <c r="BB106" s="5599"/>
      <c r="BC106" s="5600"/>
      <c r="BD106" s="1114"/>
      <c r="BE106" s="1108"/>
      <c r="BF106" s="1108"/>
      <c r="BG106" s="2080"/>
      <c r="BH106" s="5598"/>
      <c r="BI106" s="5599"/>
      <c r="BJ106" s="5599"/>
      <c r="BK106" s="5599"/>
      <c r="BL106" s="5599"/>
      <c r="BM106" s="5599"/>
      <c r="BN106" s="5599"/>
      <c r="BO106" s="5599"/>
      <c r="BP106" s="5599"/>
      <c r="BQ106" s="5599"/>
      <c r="BR106" s="5599"/>
      <c r="BS106" s="5599"/>
      <c r="BT106" s="5599"/>
      <c r="BU106" s="5599"/>
      <c r="BV106" s="5600"/>
      <c r="BW106" s="1114"/>
      <c r="BX106" s="1108"/>
      <c r="BY106" s="1108"/>
      <c r="BZ106" s="2080"/>
      <c r="CA106" s="5598"/>
      <c r="CB106" s="5599"/>
      <c r="CC106" s="5599"/>
      <c r="CD106" s="5599"/>
      <c r="CE106" s="5599"/>
      <c r="CF106" s="5599"/>
      <c r="CG106" s="5599"/>
      <c r="CH106" s="5599"/>
      <c r="CI106" s="5599"/>
      <c r="CJ106" s="5599"/>
      <c r="CK106" s="5599"/>
      <c r="CL106" s="5599"/>
      <c r="CM106" s="5599"/>
      <c r="CN106" s="5599"/>
      <c r="CO106" s="5600"/>
      <c r="CP106" s="1114"/>
      <c r="CQ106" s="1108"/>
    </row>
    <row r="107" spans="1:95" ht="13.5" thickBot="1">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6">
        <f>B97+2</f>
        <v>20</v>
      </c>
      <c r="C108" s="560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02"/>
      <c r="E108" s="5602"/>
      <c r="F108" s="5602"/>
      <c r="G108" s="5602"/>
      <c r="H108" s="1128" t="s">
        <v>1627</v>
      </c>
      <c r="I108" s="1129">
        <f>B108</f>
        <v>20</v>
      </c>
      <c r="J108" s="5567" t="s">
        <v>7685</v>
      </c>
      <c r="K108" s="5567"/>
      <c r="L108" s="5567"/>
      <c r="M108" s="5568" t="str">
        <f>IF(C108=0,"",VLOOKUP(C108,'Tablas Magia'!$D$6:$Z$680,2,FALSE))</f>
        <v>Luz</v>
      </c>
      <c r="N108" s="5568"/>
      <c r="O108" s="5568"/>
      <c r="P108" s="5568"/>
      <c r="Q108" s="5569"/>
      <c r="R108" s="1114"/>
      <c r="S108" s="1108"/>
      <c r="T108" s="1108"/>
      <c r="U108" s="2066">
        <f>U97+2</f>
        <v>40</v>
      </c>
      <c r="V108" s="560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02"/>
      <c r="X108" s="5602"/>
      <c r="Y108" s="5602"/>
      <c r="Z108" s="5602"/>
      <c r="AA108" s="1128" t="s">
        <v>1627</v>
      </c>
      <c r="AB108" s="1129">
        <f>U108</f>
        <v>40</v>
      </c>
      <c r="AC108" s="5567" t="s">
        <v>7685</v>
      </c>
      <c r="AD108" s="5567"/>
      <c r="AE108" s="5567"/>
      <c r="AF108" s="5568" t="str">
        <f>IF(V108=0,"",VLOOKUP(V108,'Tablas Magia'!$D$6:$Z$680,2,FALSE))</f>
        <v>Luz</v>
      </c>
      <c r="AG108" s="5568"/>
      <c r="AH108" s="5568"/>
      <c r="AI108" s="5568"/>
      <c r="AJ108" s="5569"/>
      <c r="AK108" s="1114"/>
      <c r="AL108" s="1108"/>
      <c r="AM108" s="1108"/>
      <c r="AN108" s="2080">
        <f>AN97+2</f>
        <v>60</v>
      </c>
      <c r="AO108" s="560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02"/>
      <c r="AQ108" s="5602"/>
      <c r="AR108" s="5602"/>
      <c r="AS108" s="5602"/>
      <c r="AT108" s="1128" t="s">
        <v>1627</v>
      </c>
      <c r="AU108" s="1129">
        <f>AN108</f>
        <v>60</v>
      </c>
      <c r="AV108" s="5567" t="s">
        <v>7685</v>
      </c>
      <c r="AW108" s="5567"/>
      <c r="AX108" s="5567"/>
      <c r="AY108" s="5568" t="str">
        <f>IF(AO108=0,"",VLOOKUP(AO108,'Tablas Magia'!$D$6:$Z$680,2,FALSE))</f>
        <v>Luz</v>
      </c>
      <c r="AZ108" s="5568"/>
      <c r="BA108" s="5568"/>
      <c r="BB108" s="5568"/>
      <c r="BC108" s="5569"/>
      <c r="BD108" s="1114"/>
      <c r="BE108" s="1108"/>
      <c r="BF108" s="1108"/>
      <c r="BG108" s="2080">
        <f>BG97+2</f>
        <v>80</v>
      </c>
      <c r="BH108" s="560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02"/>
      <c r="BJ108" s="5602"/>
      <c r="BK108" s="5602"/>
      <c r="BL108" s="5602"/>
      <c r="BM108" s="1128" t="s">
        <v>1627</v>
      </c>
      <c r="BN108" s="1129">
        <f>BG108</f>
        <v>80</v>
      </c>
      <c r="BO108" s="5567" t="s">
        <v>7685</v>
      </c>
      <c r="BP108" s="5567"/>
      <c r="BQ108" s="5567"/>
      <c r="BR108" s="5568" t="str">
        <f>IF(BH108=0,"",VLOOKUP(BH108,'Tablas Magia'!$D$6:$Z$680,2,FALSE))</f>
        <v>Luz</v>
      </c>
      <c r="BS108" s="5568"/>
      <c r="BT108" s="5568"/>
      <c r="BU108" s="5568"/>
      <c r="BV108" s="5569"/>
      <c r="BW108" s="1114"/>
      <c r="BX108" s="1108"/>
      <c r="BY108" s="1108"/>
      <c r="BZ108" s="2080">
        <f>BZ97+2</f>
        <v>100</v>
      </c>
      <c r="CA108" s="560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02"/>
      <c r="CC108" s="5602"/>
      <c r="CD108" s="5602"/>
      <c r="CE108" s="5602"/>
      <c r="CF108" s="1128" t="s">
        <v>1627</v>
      </c>
      <c r="CG108" s="1129">
        <f>BZ108</f>
        <v>100</v>
      </c>
      <c r="CH108" s="5567" t="s">
        <v>7685</v>
      </c>
      <c r="CI108" s="5567"/>
      <c r="CJ108" s="5567"/>
      <c r="CK108" s="5568" t="str">
        <f>IF(CA108=0,"",VLOOKUP(CA108,'Tablas Magia'!$D$6:$Z$680,2,FALSE))</f>
        <v>Luz</v>
      </c>
      <c r="CL108" s="5568"/>
      <c r="CM108" s="5568"/>
      <c r="CN108" s="5568"/>
      <c r="CO108" s="5569"/>
      <c r="CP108" s="1114"/>
      <c r="CQ108" s="1108"/>
    </row>
    <row r="109" spans="1:95" ht="12.75" customHeight="1">
      <c r="A109" s="1108"/>
      <c r="B109" s="2066"/>
      <c r="C109" s="5585" t="s">
        <v>7686</v>
      </c>
      <c r="D109" s="5586"/>
      <c r="E109" s="1130" t="s">
        <v>7687</v>
      </c>
      <c r="F109" s="1130" t="s">
        <v>1820</v>
      </c>
      <c r="G109" s="1130" t="s">
        <v>3332</v>
      </c>
      <c r="H109" s="1131" t="s">
        <v>2165</v>
      </c>
      <c r="I109" s="5582" t="str">
        <f>IF(C108=0,"",VLOOKUP(C108,'Tablas Magia'!$D$6:$Z$680,5,FALSE))</f>
        <v>Detección</v>
      </c>
      <c r="J109" s="5582"/>
      <c r="K109" s="5583" t="s">
        <v>7688</v>
      </c>
      <c r="L109" s="5583"/>
      <c r="M109" s="5582" t="str">
        <f>IF(C108=0,"",VLOOKUP(C108,'Tablas Magia'!$D$6:$Z$680,6,FALSE))</f>
        <v>Activa</v>
      </c>
      <c r="N109" s="5582"/>
      <c r="O109" s="5584" t="s">
        <v>7689</v>
      </c>
      <c r="P109" s="5584"/>
      <c r="Q109" s="1132" t="str">
        <f>IF(C108=0,"",VLOOKUP(C108,'Tablas Magia'!$D$6:$Z$680,4,FALSE))</f>
        <v>No</v>
      </c>
      <c r="R109" s="1114"/>
      <c r="S109" s="1108"/>
      <c r="T109" s="1108"/>
      <c r="U109" s="2066"/>
      <c r="V109" s="5585" t="s">
        <v>7686</v>
      </c>
      <c r="W109" s="5586"/>
      <c r="X109" s="1130" t="s">
        <v>7687</v>
      </c>
      <c r="Y109" s="1130" t="s">
        <v>1820</v>
      </c>
      <c r="Z109" s="1130" t="s">
        <v>3332</v>
      </c>
      <c r="AA109" s="1131" t="s">
        <v>2165</v>
      </c>
      <c r="AB109" s="5582" t="str">
        <f>IF(V108=0,"",VLOOKUP(V108,'Tablas Magia'!$D$6:$Z$680,5,FALSE))</f>
        <v>Anímico</v>
      </c>
      <c r="AC109" s="5582"/>
      <c r="AD109" s="5583" t="s">
        <v>7688</v>
      </c>
      <c r="AE109" s="5583"/>
      <c r="AF109" s="5582" t="str">
        <f>IF(V108=0,"",VLOOKUP(V108,'Tablas Magia'!$D$6:$Z$680,6,FALSE))</f>
        <v>Activa</v>
      </c>
      <c r="AG109" s="5582"/>
      <c r="AH109" s="5584" t="s">
        <v>7689</v>
      </c>
      <c r="AI109" s="5584"/>
      <c r="AJ109" s="1132" t="str">
        <f>IF(V108=0,"",VLOOKUP(V108,'Tablas Magia'!$D$6:$Z$680,4,FALSE))</f>
        <v>No</v>
      </c>
      <c r="AK109" s="1114"/>
      <c r="AL109" s="1108"/>
      <c r="AM109" s="1108"/>
      <c r="AN109" s="2080"/>
      <c r="AO109" s="5585" t="s">
        <v>7686</v>
      </c>
      <c r="AP109" s="5586"/>
      <c r="AQ109" s="1130" t="s">
        <v>7687</v>
      </c>
      <c r="AR109" s="1130" t="s">
        <v>1820</v>
      </c>
      <c r="AS109" s="1130" t="s">
        <v>3332</v>
      </c>
      <c r="AT109" s="1131" t="s">
        <v>2165</v>
      </c>
      <c r="AU109" s="5582" t="str">
        <f>IF(AO108=0,"",VLOOKUP(AO108,'Tablas Magia'!$D$6:$Z$680,5,FALSE))</f>
        <v>Efecto</v>
      </c>
      <c r="AV109" s="5582"/>
      <c r="AW109" s="5583" t="s">
        <v>7688</v>
      </c>
      <c r="AX109" s="5583"/>
      <c r="AY109" s="5582" t="str">
        <f>IF(AO108=0,"",VLOOKUP(AO108,'Tablas Magia'!$D$6:$Z$680,6,FALSE))</f>
        <v>Activa</v>
      </c>
      <c r="AZ109" s="5582"/>
      <c r="BA109" s="5584" t="s">
        <v>7689</v>
      </c>
      <c r="BB109" s="5584"/>
      <c r="BC109" s="1132" t="str">
        <f>IF(AO108=0,"",VLOOKUP(AO108,'Tablas Magia'!$D$6:$Z$680,4,FALSE))</f>
        <v>Si</v>
      </c>
      <c r="BD109" s="1114"/>
      <c r="BE109" s="1108"/>
      <c r="BF109" s="1108"/>
      <c r="BG109" s="2080"/>
      <c r="BH109" s="5585" t="s">
        <v>7686</v>
      </c>
      <c r="BI109" s="5586"/>
      <c r="BJ109" s="1130" t="s">
        <v>7687</v>
      </c>
      <c r="BK109" s="1130" t="s">
        <v>1820</v>
      </c>
      <c r="BL109" s="1130" t="s">
        <v>3332</v>
      </c>
      <c r="BM109" s="1131" t="s">
        <v>2165</v>
      </c>
      <c r="BN109" s="5582" t="str">
        <f>IF(BH108=0,"",VLOOKUP(BH108,'Tablas Magia'!$D$6:$Z$680,5,FALSE))</f>
        <v>Animíco</v>
      </c>
      <c r="BO109" s="5582"/>
      <c r="BP109" s="5583" t="s">
        <v>7688</v>
      </c>
      <c r="BQ109" s="5583"/>
      <c r="BR109" s="5582" t="str">
        <f>IF(BH108=0,"",VLOOKUP(BH108,'Tablas Magia'!$D$6:$Z$680,6,FALSE))</f>
        <v>Activa</v>
      </c>
      <c r="BS109" s="5582"/>
      <c r="BT109" s="5584" t="s">
        <v>7689</v>
      </c>
      <c r="BU109" s="5584"/>
      <c r="BV109" s="1132" t="str">
        <f>IF(BH108=0,"",VLOOKUP(BH108,'Tablas Magia'!$D$6:$Z$680,4,FALSE))</f>
        <v>Si</v>
      </c>
      <c r="BW109" s="1114"/>
      <c r="BX109" s="1108"/>
      <c r="BY109" s="1108"/>
      <c r="BZ109" s="2080"/>
      <c r="CA109" s="5585" t="s">
        <v>7686</v>
      </c>
      <c r="CB109" s="5586"/>
      <c r="CC109" s="1130" t="s">
        <v>7687</v>
      </c>
      <c r="CD109" s="1130" t="s">
        <v>1820</v>
      </c>
      <c r="CE109" s="1130" t="s">
        <v>3332</v>
      </c>
      <c r="CF109" s="1131" t="s">
        <v>2165</v>
      </c>
      <c r="CG109" s="5582" t="str">
        <f>IF(CA108=0,"",VLOOKUP(CA108,'Tablas Magia'!$D$6:$Z$680,5,FALSE))</f>
        <v>Ataque</v>
      </c>
      <c r="CH109" s="5582"/>
      <c r="CI109" s="5583" t="s">
        <v>7688</v>
      </c>
      <c r="CJ109" s="5583"/>
      <c r="CK109" s="5582" t="str">
        <f>IF(CA108=0,"",VLOOKUP(CA108,'Tablas Magia'!$D$6:$Z$680,6,FALSE))</f>
        <v>Activa</v>
      </c>
      <c r="CL109" s="5582"/>
      <c r="CM109" s="5584" t="s">
        <v>7689</v>
      </c>
      <c r="CN109" s="5584"/>
      <c r="CO109" s="1132" t="str">
        <f>IF(CA108=0,"",VLOOKUP(CA108,'Tablas Magia'!$D$6:$Z$680,4,FALSE))</f>
        <v>No</v>
      </c>
      <c r="CP109" s="1114"/>
      <c r="CQ109" s="1108"/>
    </row>
    <row r="110" spans="1:95" ht="12.75" customHeight="1">
      <c r="A110" s="1108"/>
      <c r="B110" s="2066"/>
      <c r="C110" s="5577" t="s">
        <v>1674</v>
      </c>
      <c r="D110" s="5578"/>
      <c r="E110" s="1133">
        <f>IF(C108=0,"",VLOOKUP(C108,'Tablas Magia'!$D$6:$Z$680,7,FALSE))</f>
        <v>6</v>
      </c>
      <c r="F110" s="1133">
        <f>IF(C108=0,"",VLOOKUP(C108,'Tablas Magia'!$D$6:$Z$680,11,FALSE))</f>
        <v>50</v>
      </c>
      <c r="G110" s="1134">
        <f>IF(C108=0,"",VLOOKUP(C108,'Tablas Magia'!$D$6:$Z$680,15,FALSE))</f>
        <v>5</v>
      </c>
      <c r="H110" s="5579" t="str">
        <f>IF(C108=0,"",VLOOKUP(C108,'Tablas Magia'!$D$6:$Z$680,19,FALSE))</f>
        <v>25 metros de radio / 80 RM para resistirse.</v>
      </c>
      <c r="I110" s="5580"/>
      <c r="J110" s="5580"/>
      <c r="K110" s="5580"/>
      <c r="L110" s="5580"/>
      <c r="M110" s="5580"/>
      <c r="N110" s="5580"/>
      <c r="O110" s="5580"/>
      <c r="P110" s="5580"/>
      <c r="Q110" s="5581"/>
      <c r="R110" s="1114"/>
      <c r="S110" s="1108"/>
      <c r="T110" s="1108"/>
      <c r="U110" s="2066"/>
      <c r="V110" s="5577" t="s">
        <v>1674</v>
      </c>
      <c r="W110" s="5578"/>
      <c r="X110" s="1133">
        <f>IF(V108=0,"",VLOOKUP(V108,'Tablas Magia'!$D$6:$Z$680,7,FALSE))</f>
        <v>6</v>
      </c>
      <c r="Y110" s="1133">
        <f>IF(V108=0,"",VLOOKUP(V108,'Tablas Magia'!$D$6:$Z$680,11,FALSE))</f>
        <v>80</v>
      </c>
      <c r="Z110" s="1134" t="str">
        <f>IF(V108=0,"",VLOOKUP(V108,'Tablas Magia'!$D$6:$Z$680,15,FALSE))</f>
        <v>No</v>
      </c>
      <c r="AA110" s="5579" t="str">
        <f>IF(V108=0,"",VLOOKUP(V108,'Tablas Magia'!$D$6:$Z$680,19,FALSE))</f>
        <v>RM o RP 100 / 100 metros de radio</v>
      </c>
      <c r="AB110" s="5580"/>
      <c r="AC110" s="5580"/>
      <c r="AD110" s="5580"/>
      <c r="AE110" s="5580"/>
      <c r="AF110" s="5580"/>
      <c r="AG110" s="5580"/>
      <c r="AH110" s="5580"/>
      <c r="AI110" s="5580"/>
      <c r="AJ110" s="5581"/>
      <c r="AK110" s="1114"/>
      <c r="AL110" s="1108"/>
      <c r="AM110" s="1108"/>
      <c r="AN110" s="2080"/>
      <c r="AO110" s="5577" t="s">
        <v>1674</v>
      </c>
      <c r="AP110" s="5578"/>
      <c r="AQ110" s="1133">
        <f>IF(AO108=0,"",VLOOKUP(AO108,'Tablas Magia'!$D$6:$Z$680,7,FALSE))</f>
        <v>8</v>
      </c>
      <c r="AR110" s="1133">
        <f>IF(AO108=0,"",VLOOKUP(AO108,'Tablas Magia'!$D$6:$Z$680,11,FALSE))</f>
        <v>100</v>
      </c>
      <c r="AS110" s="1134">
        <f>IF(AO108=0,"",VLOOKUP(AO108,'Tablas Magia'!$D$6:$Z$680,15,FALSE))</f>
        <v>10</v>
      </c>
      <c r="AT110" s="5579" t="str">
        <f>IF(AO108=0,"",VLOOKUP(AO108,'Tablas Magia'!$D$6:$Z$680,19,FALSE))</f>
        <v>Verá magia, matrices psíquicas y seres invisibles / +50 RM contra Ilusiónes.</v>
      </c>
      <c r="AU110" s="5580"/>
      <c r="AV110" s="5580"/>
      <c r="AW110" s="5580"/>
      <c r="AX110" s="5580"/>
      <c r="AY110" s="5580"/>
      <c r="AZ110" s="5580"/>
      <c r="BA110" s="5580"/>
      <c r="BB110" s="5580"/>
      <c r="BC110" s="5581"/>
      <c r="BD110" s="1114"/>
      <c r="BE110" s="1108"/>
      <c r="BF110" s="1108"/>
      <c r="BG110" s="2080"/>
      <c r="BH110" s="5577" t="s">
        <v>1674</v>
      </c>
      <c r="BI110" s="5578"/>
      <c r="BJ110" s="1133">
        <f>IF(BH108=0,"",VLOOKUP(BH108,'Tablas Magia'!$D$6:$Z$680,7,FALSE))</f>
        <v>12</v>
      </c>
      <c r="BK110" s="1133">
        <f>IF(BH108=0,"",VLOOKUP(BH108,'Tablas Magia'!$D$6:$Z$680,11,FALSE))</f>
        <v>300</v>
      </c>
      <c r="BL110" s="1134">
        <f>IF(BH108=0,"",VLOOKUP(BH108,'Tablas Magia'!$D$6:$Z$680,15,FALSE))</f>
        <v>60</v>
      </c>
      <c r="BM110" s="5579" t="str">
        <f>IF(BH108=0,"",VLOOKUP(BH108,'Tablas Magia'!$D$6:$Z$680,19,FALSE))</f>
        <v>RM 140.</v>
      </c>
      <c r="BN110" s="5580"/>
      <c r="BO110" s="5580"/>
      <c r="BP110" s="5580"/>
      <c r="BQ110" s="5580"/>
      <c r="BR110" s="5580"/>
      <c r="BS110" s="5580"/>
      <c r="BT110" s="5580"/>
      <c r="BU110" s="5580"/>
      <c r="BV110" s="5581"/>
      <c r="BW110" s="1114"/>
      <c r="BX110" s="1108"/>
      <c r="BY110" s="1108"/>
      <c r="BZ110" s="2080"/>
      <c r="CA110" s="5577" t="s">
        <v>1674</v>
      </c>
      <c r="CB110" s="5578"/>
      <c r="CC110" s="1133">
        <f>IF(CA108=0,"",VLOOKUP(CA108,'Tablas Magia'!$D$6:$Z$680,7,FALSE))</f>
        <v>14</v>
      </c>
      <c r="CD110" s="1133">
        <f>IF(CA108=0,"",VLOOKUP(CA108,'Tablas Magia'!$D$6:$Z$680,11,FALSE))</f>
        <v>600</v>
      </c>
      <c r="CE110" s="1134" t="str">
        <f>IF(CA108=0,"",VLOOKUP(CA108,'Tablas Magia'!$D$6:$Z$680,15,FALSE))</f>
        <v>No</v>
      </c>
      <c r="CF110" s="5579" t="str">
        <f>IF(CA108=0,"",VLOOKUP(CA108,'Tablas Magia'!$D$6:$Z$680,19,FALSE))</f>
        <v>Daño 350 / 100 metros de radio</v>
      </c>
      <c r="CG110" s="5580"/>
      <c r="CH110" s="5580"/>
      <c r="CI110" s="5580"/>
      <c r="CJ110" s="5580"/>
      <c r="CK110" s="5580"/>
      <c r="CL110" s="5580"/>
      <c r="CM110" s="5580"/>
      <c r="CN110" s="5580"/>
      <c r="CO110" s="5581"/>
      <c r="CP110" s="1114"/>
      <c r="CQ110" s="1108"/>
    </row>
    <row r="111" spans="1:95">
      <c r="A111" s="1108"/>
      <c r="B111" s="2066"/>
      <c r="C111" s="5572" t="s">
        <v>4570</v>
      </c>
      <c r="D111" s="5573"/>
      <c r="E111" s="1135">
        <f>IF(C108=0,"",VLOOKUP(C108,'Tablas Magia'!$D$6:$Z$680,8,FALSE))</f>
        <v>9</v>
      </c>
      <c r="F111" s="1135">
        <f>IF(C108=0,"",VLOOKUP(C108,'Tablas Magia'!$D$6:$Z$680,12,FALSE))</f>
        <v>100</v>
      </c>
      <c r="G111" s="1136">
        <f>IF(C108=0,"",VLOOKUP(C108,'Tablas Magia'!$D$6:$Z$680,16,FALSE))</f>
        <v>10</v>
      </c>
      <c r="H111" s="5574" t="str">
        <f>IF(C108=0,"",VLOOKUP(C108,'Tablas Magia'!$D$6:$Z$680,20,FALSE))</f>
        <v>150 metros de radio / 140 RM para resistirse</v>
      </c>
      <c r="I111" s="5575"/>
      <c r="J111" s="5575"/>
      <c r="K111" s="5575"/>
      <c r="L111" s="5575"/>
      <c r="M111" s="5575"/>
      <c r="N111" s="5575"/>
      <c r="O111" s="5575"/>
      <c r="P111" s="5575"/>
      <c r="Q111" s="5576"/>
      <c r="R111" s="1114"/>
      <c r="S111" s="1108"/>
      <c r="T111" s="1108"/>
      <c r="U111" s="2066"/>
      <c r="V111" s="5572" t="s">
        <v>4570</v>
      </c>
      <c r="W111" s="5573"/>
      <c r="X111" s="1135">
        <f>IF(V108=0,"",VLOOKUP(V108,'Tablas Magia'!$D$6:$Z$680,8,FALSE))</f>
        <v>9</v>
      </c>
      <c r="Y111" s="1135">
        <f>IF(V108=0,"",VLOOKUP(V108,'Tablas Magia'!$D$6:$Z$680,12,FALSE))</f>
        <v>180</v>
      </c>
      <c r="Z111" s="1136" t="str">
        <f>IF(V108=0,"",VLOOKUP(V108,'Tablas Magia'!$D$6:$Z$680,16,FALSE))</f>
        <v>No</v>
      </c>
      <c r="AA111" s="5574" t="str">
        <f>IF(V108=0,"",VLOOKUP(V108,'Tablas Magia'!$D$6:$Z$680,20,FALSE))</f>
        <v>RM o RP 150 / 500 metros de radio</v>
      </c>
      <c r="AB111" s="5575"/>
      <c r="AC111" s="5575"/>
      <c r="AD111" s="5575"/>
      <c r="AE111" s="5575"/>
      <c r="AF111" s="5575"/>
      <c r="AG111" s="5575"/>
      <c r="AH111" s="5575"/>
      <c r="AI111" s="5575"/>
      <c r="AJ111" s="5576"/>
      <c r="AK111" s="1114"/>
      <c r="AL111" s="1108"/>
      <c r="AM111" s="1108"/>
      <c r="AN111" s="2080"/>
      <c r="AO111" s="5572" t="s">
        <v>4570</v>
      </c>
      <c r="AP111" s="5573"/>
      <c r="AQ111" s="1135">
        <f>IF(AO108=0,"",VLOOKUP(AO108,'Tablas Magia'!$D$6:$Z$680,8,FALSE))</f>
        <v>12</v>
      </c>
      <c r="AR111" s="1135">
        <f>IF(AO108=0,"",VLOOKUP(AO108,'Tablas Magia'!$D$6:$Z$680,12,FALSE))</f>
        <v>120</v>
      </c>
      <c r="AS111" s="1136">
        <f>IF(AO108=0,"",VLOOKUP(AO108,'Tablas Magia'!$D$6:$Z$680,16,FALSE))</f>
        <v>15</v>
      </c>
      <c r="AT111" s="5574" t="str">
        <f>IF(AO108=0,"",VLOOKUP(AO108,'Tablas Magia'!$D$6:$Z$680,20,FALSE))</f>
        <v>Como en Base, pero permite ver también seres espirituales</v>
      </c>
      <c r="AU111" s="5575"/>
      <c r="AV111" s="5575"/>
      <c r="AW111" s="5575"/>
      <c r="AX111" s="5575"/>
      <c r="AY111" s="5575"/>
      <c r="AZ111" s="5575"/>
      <c r="BA111" s="5575"/>
      <c r="BB111" s="5575"/>
      <c r="BC111" s="5576"/>
      <c r="BD111" s="1114"/>
      <c r="BE111" s="1108"/>
      <c r="BF111" s="1108"/>
      <c r="BG111" s="2080"/>
      <c r="BH111" s="5572" t="s">
        <v>4570</v>
      </c>
      <c r="BI111" s="5573"/>
      <c r="BJ111" s="1135">
        <f>IF(BH108=0,"",VLOOKUP(BH108,'Tablas Magia'!$D$6:$Z$680,8,FALSE))</f>
        <v>14</v>
      </c>
      <c r="BK111" s="1135">
        <f>IF(BH108=0,"",VLOOKUP(BH108,'Tablas Magia'!$D$6:$Z$680,12,FALSE))</f>
        <v>400</v>
      </c>
      <c r="BL111" s="1136">
        <f>IF(BH108=0,"",VLOOKUP(BH108,'Tablas Magia'!$D$6:$Z$680,16,FALSE))</f>
        <v>65</v>
      </c>
      <c r="BM111" s="5574" t="str">
        <f>IF(BH108=0,"",VLOOKUP(BH108,'Tablas Magia'!$D$6:$Z$680,20,FALSE))</f>
        <v>RM 150 / En Vigilia, obtiene Gnosis 40. En zona neutra, 30.</v>
      </c>
      <c r="BN111" s="5575"/>
      <c r="BO111" s="5575"/>
      <c r="BP111" s="5575"/>
      <c r="BQ111" s="5575"/>
      <c r="BR111" s="5575"/>
      <c r="BS111" s="5575"/>
      <c r="BT111" s="5575"/>
      <c r="BU111" s="5575"/>
      <c r="BV111" s="5576"/>
      <c r="BW111" s="1114"/>
      <c r="BX111" s="1108"/>
      <c r="BY111" s="1108"/>
      <c r="BZ111" s="2080"/>
      <c r="CA111" s="5572" t="s">
        <v>4570</v>
      </c>
      <c r="CB111" s="5573"/>
      <c r="CC111" s="1135">
        <f>IF(CA108=0,"",VLOOKUP(CA108,'Tablas Magia'!$D$6:$Z$680,8,FALSE))</f>
        <v>16</v>
      </c>
      <c r="CD111" s="1135">
        <f>IF(CA108=0,"",VLOOKUP(CA108,'Tablas Magia'!$D$6:$Z$680,12,FALSE))</f>
        <v>1000</v>
      </c>
      <c r="CE111" s="1136" t="str">
        <f>IF(CA108=0,"",VLOOKUP(CA108,'Tablas Magia'!$D$6:$Z$680,16,FALSE))</f>
        <v>No</v>
      </c>
      <c r="CF111" s="5574" t="str">
        <f>IF(CA108=0,"",VLOOKUP(CA108,'Tablas Magia'!$D$6:$Z$680,20,FALSE))</f>
        <v>Daño 500 / 100 kilómetros de radio</v>
      </c>
      <c r="CG111" s="5575"/>
      <c r="CH111" s="5575"/>
      <c r="CI111" s="5575"/>
      <c r="CJ111" s="5575"/>
      <c r="CK111" s="5575"/>
      <c r="CL111" s="5575"/>
      <c r="CM111" s="5575"/>
      <c r="CN111" s="5575"/>
      <c r="CO111" s="5576"/>
      <c r="CP111" s="1114"/>
      <c r="CQ111" s="1108"/>
    </row>
    <row r="112" spans="1:95">
      <c r="A112" s="1108"/>
      <c r="B112" s="2066"/>
      <c r="C112" s="5577" t="s">
        <v>4571</v>
      </c>
      <c r="D112" s="5578"/>
      <c r="E112" s="1133">
        <f>IF(C108=0,"",VLOOKUP(C108,'Tablas Magia'!$D$6:$Z$680,9,FALSE))</f>
        <v>12</v>
      </c>
      <c r="F112" s="1133">
        <f>IF(C108=0,"",VLOOKUP(C108,'Tablas Magia'!$D$6:$Z$680,13,FALSE))</f>
        <v>160</v>
      </c>
      <c r="G112" s="1134">
        <f>IF(C108=0,"",VLOOKUP(C108,'Tablas Magia'!$D$6:$Z$680,17,FALSE))</f>
        <v>20</v>
      </c>
      <c r="H112" s="5579" t="str">
        <f>IF(C108=0,"",VLOOKUP(C108,'Tablas Magia'!$D$6:$Z$680,21,FALSE))</f>
        <v>500 metros de radio / 160 RM para resistirse.</v>
      </c>
      <c r="I112" s="5580"/>
      <c r="J112" s="5580"/>
      <c r="K112" s="5580"/>
      <c r="L112" s="5580"/>
      <c r="M112" s="5580"/>
      <c r="N112" s="5580"/>
      <c r="O112" s="5580"/>
      <c r="P112" s="5580"/>
      <c r="Q112" s="5581"/>
      <c r="R112" s="1114"/>
      <c r="S112" s="1108"/>
      <c r="T112" s="1108"/>
      <c r="U112" s="2066"/>
      <c r="V112" s="5577" t="s">
        <v>4571</v>
      </c>
      <c r="W112" s="5578"/>
      <c r="X112" s="1133">
        <f>IF(V108=0,"",VLOOKUP(V108,'Tablas Magia'!$D$6:$Z$680,9,FALSE))</f>
        <v>12</v>
      </c>
      <c r="Y112" s="1133">
        <f>IF(V108=0,"",VLOOKUP(V108,'Tablas Magia'!$D$6:$Z$680,13,FALSE))</f>
        <v>240</v>
      </c>
      <c r="Z112" s="1134" t="str">
        <f>IF(V108=0,"",VLOOKUP(V108,'Tablas Magia'!$D$6:$Z$680,17,FALSE))</f>
        <v>No</v>
      </c>
      <c r="AA112" s="5579" t="str">
        <f>IF(V108=0,"",VLOOKUP(V108,'Tablas Magia'!$D$6:$Z$680,21,FALSE))</f>
        <v>RM o RP 180 / 1 kilómetro de radio</v>
      </c>
      <c r="AB112" s="5580"/>
      <c r="AC112" s="5580"/>
      <c r="AD112" s="5580"/>
      <c r="AE112" s="5580"/>
      <c r="AF112" s="5580"/>
      <c r="AG112" s="5580"/>
      <c r="AH112" s="5580"/>
      <c r="AI112" s="5580"/>
      <c r="AJ112" s="5581"/>
      <c r="AK112" s="1114"/>
      <c r="AL112" s="1108"/>
      <c r="AM112" s="1108"/>
      <c r="AN112" s="2080"/>
      <c r="AO112" s="5577" t="s">
        <v>4571</v>
      </c>
      <c r="AP112" s="5578"/>
      <c r="AQ112" s="1133">
        <f>IF(AO108=0,"",VLOOKUP(AO108,'Tablas Magia'!$D$6:$Z$680,9,FALSE))</f>
        <v>14</v>
      </c>
      <c r="AR112" s="1133">
        <f>IF(AO108=0,"",VLOOKUP(AO108,'Tablas Magia'!$D$6:$Z$680,13,FALSE))</f>
        <v>180</v>
      </c>
      <c r="AS112" s="1134">
        <f>IF(AO108=0,"",VLOOKUP(AO108,'Tablas Magia'!$D$6:$Z$680,17,FALSE))</f>
        <v>15</v>
      </c>
      <c r="AT112" s="5579" t="str">
        <f>IF(AO108=0,"",VLOOKUP(AO108,'Tablas Magia'!$D$6:$Z$680,21,FALSE))</f>
        <v>Como en Intermedio, pero obtiene un +75 RM contra Ilusiónes.</v>
      </c>
      <c r="AU112" s="5580"/>
      <c r="AV112" s="5580"/>
      <c r="AW112" s="5580"/>
      <c r="AX112" s="5580"/>
      <c r="AY112" s="5580"/>
      <c r="AZ112" s="5580"/>
      <c r="BA112" s="5580"/>
      <c r="BB112" s="5580"/>
      <c r="BC112" s="5581"/>
      <c r="BD112" s="1114"/>
      <c r="BE112" s="1108"/>
      <c r="BF112" s="1108"/>
      <c r="BG112" s="2080"/>
      <c r="BH112" s="5577" t="s">
        <v>4571</v>
      </c>
      <c r="BI112" s="5578"/>
      <c r="BJ112" s="1133">
        <f>IF(BH108=0,"",VLOOKUP(BH108,'Tablas Magia'!$D$6:$Z$680,9,FALSE))</f>
        <v>16</v>
      </c>
      <c r="BK112" s="1133">
        <f>IF(BH108=0,"",VLOOKUP(BH108,'Tablas Magia'!$D$6:$Z$680,13,FALSE))</f>
        <v>500</v>
      </c>
      <c r="BL112" s="1134">
        <f>IF(BH108=0,"",VLOOKUP(BH108,'Tablas Magia'!$D$6:$Z$680,17,FALSE))</f>
        <v>70</v>
      </c>
      <c r="BM112" s="5579" t="str">
        <f>IF(BH108=0,"",VLOOKUP(BH108,'Tablas Magia'!$D$6:$Z$680,21,FALSE))</f>
        <v>RM 160 / como intermedio, pero el Gnosis en zonas neutras es de 35.</v>
      </c>
      <c r="BN112" s="5580"/>
      <c r="BO112" s="5580"/>
      <c r="BP112" s="5580"/>
      <c r="BQ112" s="5580"/>
      <c r="BR112" s="5580"/>
      <c r="BS112" s="5580"/>
      <c r="BT112" s="5580"/>
      <c r="BU112" s="5580"/>
      <c r="BV112" s="5581"/>
      <c r="BW112" s="1114"/>
      <c r="BX112" s="1108"/>
      <c r="BY112" s="1108"/>
      <c r="BZ112" s="2080"/>
      <c r="CA112" s="5577" t="s">
        <v>4571</v>
      </c>
      <c r="CB112" s="5578"/>
      <c r="CC112" s="1133">
        <f>IF(CA108=0,"",VLOOKUP(CA108,'Tablas Magia'!$D$6:$Z$680,9,FALSE))</f>
        <v>18</v>
      </c>
      <c r="CD112" s="1133">
        <f>IF(CA108=0,"",VLOOKUP(CA108,'Tablas Magia'!$D$6:$Z$680,13,FALSE))</f>
        <v>2500</v>
      </c>
      <c r="CE112" s="1134" t="str">
        <f>IF(CA108=0,"",VLOOKUP(CA108,'Tablas Magia'!$D$6:$Z$680,17,FALSE))</f>
        <v>No</v>
      </c>
      <c r="CF112" s="5579" t="str">
        <f>IF(CA108=0,"",VLOOKUP(CA108,'Tablas Magia'!$D$6:$Z$680,21,FALSE))</f>
        <v>Daño 800 / 10.000 kilómetros de radio</v>
      </c>
      <c r="CG112" s="5580"/>
      <c r="CH112" s="5580"/>
      <c r="CI112" s="5580"/>
      <c r="CJ112" s="5580"/>
      <c r="CK112" s="5580"/>
      <c r="CL112" s="5580"/>
      <c r="CM112" s="5580"/>
      <c r="CN112" s="5580"/>
      <c r="CO112" s="5581"/>
      <c r="CP112" s="1114"/>
      <c r="CQ112" s="1108"/>
    </row>
    <row r="113" spans="1:95" ht="13.5" thickBot="1">
      <c r="A113" s="1108"/>
      <c r="B113" s="2066"/>
      <c r="C113" s="5587" t="s">
        <v>4572</v>
      </c>
      <c r="D113" s="5588"/>
      <c r="E113" s="1137">
        <f>IF(C108=0,"",VLOOKUP(C108,'Tablas Magia'!$D$6:$Z$680,10,FALSE))</f>
        <v>15</v>
      </c>
      <c r="F113" s="1137">
        <f>IF(C108=0,"",VLOOKUP(C108,'Tablas Magia'!$D$6:$Z$680,14,FALSE))</f>
        <v>280</v>
      </c>
      <c r="G113" s="1138">
        <f>IF(C108=0,"",VLOOKUP(C108,'Tablas Magia'!$D$6:$Z$680,18,FALSE))</f>
        <v>30</v>
      </c>
      <c r="H113" s="5589" t="str">
        <f>IF(C108=0,"",VLOOKUP(C108,'Tablas Magia'!$D$6:$Z$680,22,FALSE))</f>
        <v>1 kilómetro de radio / 200 RM para resistirse</v>
      </c>
      <c r="I113" s="5590"/>
      <c r="J113" s="5590"/>
      <c r="K113" s="5590"/>
      <c r="L113" s="5590"/>
      <c r="M113" s="5590"/>
      <c r="N113" s="5590"/>
      <c r="O113" s="5590"/>
      <c r="P113" s="5590"/>
      <c r="Q113" s="5591"/>
      <c r="R113" s="1114"/>
      <c r="S113" s="1108"/>
      <c r="T113" s="1108"/>
      <c r="U113" s="2066"/>
      <c r="V113" s="5587" t="s">
        <v>4572</v>
      </c>
      <c r="W113" s="5588"/>
      <c r="X113" s="1137">
        <f>IF(V108=0,"",VLOOKUP(V108,'Tablas Magia'!$D$6:$Z$680,10,FALSE))</f>
        <v>15</v>
      </c>
      <c r="Y113" s="1137">
        <f>IF(V108=0,"",VLOOKUP(V108,'Tablas Magia'!$D$6:$Z$680,14,FALSE))</f>
        <v>350</v>
      </c>
      <c r="Z113" s="1138" t="str">
        <f>IF(V108=0,"",VLOOKUP(V108,'Tablas Magia'!$D$6:$Z$680,18,FALSE))</f>
        <v>No</v>
      </c>
      <c r="AA113" s="5589" t="str">
        <f>IF(V108=0,"",VLOOKUP(V108,'Tablas Magia'!$D$6:$Z$680,22,FALSE))</f>
        <v>RM o RP 220 / 5 Kilómetros de radio</v>
      </c>
      <c r="AB113" s="5590"/>
      <c r="AC113" s="5590"/>
      <c r="AD113" s="5590"/>
      <c r="AE113" s="5590"/>
      <c r="AF113" s="5590"/>
      <c r="AG113" s="5590"/>
      <c r="AH113" s="5590"/>
      <c r="AI113" s="5590"/>
      <c r="AJ113" s="5591"/>
      <c r="AK113" s="1114"/>
      <c r="AL113" s="1108"/>
      <c r="AM113" s="1108"/>
      <c r="AN113" s="2080"/>
      <c r="AO113" s="5587" t="s">
        <v>4572</v>
      </c>
      <c r="AP113" s="5588"/>
      <c r="AQ113" s="1137">
        <f>IF(AO108=0,"",VLOOKUP(AO108,'Tablas Magia'!$D$6:$Z$680,10,FALSE))</f>
        <v>16</v>
      </c>
      <c r="AR113" s="1137">
        <f>IF(AO108=0,"",VLOOKUP(AO108,'Tablas Magia'!$D$6:$Z$680,14,FALSE))</f>
        <v>250</v>
      </c>
      <c r="AS113" s="1138">
        <f>IF(AO108=0,"",VLOOKUP(AO108,'Tablas Magia'!$D$6:$Z$680,18,FALSE))</f>
        <v>25</v>
      </c>
      <c r="AT113" s="5589" t="str">
        <f>IF(AO108=0,"",VLOOKUP(AO108,'Tablas Magia'!$D$6:$Z$680,22,FALSE))</f>
        <v>Como avanzado, pero obtiene un +100 RM contra Ilusiónes</v>
      </c>
      <c r="AU113" s="5590"/>
      <c r="AV113" s="5590"/>
      <c r="AW113" s="5590"/>
      <c r="AX113" s="5590"/>
      <c r="AY113" s="5590"/>
      <c r="AZ113" s="5590"/>
      <c r="BA113" s="5590"/>
      <c r="BB113" s="5590"/>
      <c r="BC113" s="5591"/>
      <c r="BD113" s="1114"/>
      <c r="BE113" s="1108"/>
      <c r="BF113" s="1108"/>
      <c r="BG113" s="2080"/>
      <c r="BH113" s="5587" t="s">
        <v>4572</v>
      </c>
      <c r="BI113" s="5588"/>
      <c r="BJ113" s="1137">
        <f>IF(BH108=0,"",VLOOKUP(BH108,'Tablas Magia'!$D$6:$Z$680,10,FALSE))</f>
        <v>18</v>
      </c>
      <c r="BK113" s="1137">
        <f>IF(BH108=0,"",VLOOKUP(BH108,'Tablas Magia'!$D$6:$Z$680,14,FALSE))</f>
        <v>750</v>
      </c>
      <c r="BL113" s="1138">
        <f>IF(BH108=0,"",VLOOKUP(BH108,'Tablas Magia'!$D$6:$Z$680,18,FALSE))</f>
        <v>80</v>
      </c>
      <c r="BM113" s="5589" t="str">
        <f>IF(BH108=0,"",VLOOKUP(BH108,'Tablas Magia'!$D$6:$Z$680,22,FALSE))</f>
        <v>RM 180 / Como Avanzado, sin límites espacial.</v>
      </c>
      <c r="BN113" s="5590"/>
      <c r="BO113" s="5590"/>
      <c r="BP113" s="5590"/>
      <c r="BQ113" s="5590"/>
      <c r="BR113" s="5590"/>
      <c r="BS113" s="5590"/>
      <c r="BT113" s="5590"/>
      <c r="BU113" s="5590"/>
      <c r="BV113" s="5591"/>
      <c r="BW113" s="1114"/>
      <c r="BX113" s="1108"/>
      <c r="BY113" s="1108"/>
      <c r="BZ113" s="2080"/>
      <c r="CA113" s="5587" t="s">
        <v>4572</v>
      </c>
      <c r="CB113" s="5588"/>
      <c r="CC113" s="1137">
        <f>IF(CA108=0,"",VLOOKUP(CA108,'Tablas Magia'!$D$6:$Z$680,10,FALSE))</f>
        <v>20</v>
      </c>
      <c r="CD113" s="1137">
        <f>IF(CA108=0,"",VLOOKUP(CA108,'Tablas Magia'!$D$6:$Z$680,14,FALSE))</f>
        <v>10000</v>
      </c>
      <c r="CE113" s="1138" t="str">
        <f>IF(CA108=0,"",VLOOKUP(CA108,'Tablas Magia'!$D$6:$Z$680,18,FALSE))</f>
        <v>No</v>
      </c>
      <c r="CF113" s="5589" t="str">
        <f>IF(CA108=0,"",VLOOKUP(CA108,'Tablas Magia'!$D$6:$Z$680,22,FALSE))</f>
        <v>Daño 1.000 / 1 ua de radio</v>
      </c>
      <c r="CG113" s="5590"/>
      <c r="CH113" s="5590"/>
      <c r="CI113" s="5590"/>
      <c r="CJ113" s="5590"/>
      <c r="CK113" s="5590"/>
      <c r="CL113" s="5590"/>
      <c r="CM113" s="5590"/>
      <c r="CN113" s="5590"/>
      <c r="CO113" s="5591"/>
      <c r="CP113" s="1114"/>
      <c r="CQ113" s="1108"/>
    </row>
    <row r="114" spans="1:95" ht="12.75" customHeight="1">
      <c r="A114" s="1108"/>
      <c r="B114" s="2066"/>
      <c r="C114" s="5592"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93"/>
      <c r="E114" s="5593"/>
      <c r="F114" s="5593"/>
      <c r="G114" s="5593"/>
      <c r="H114" s="5593"/>
      <c r="I114" s="5593"/>
      <c r="J114" s="5593"/>
      <c r="K114" s="5593"/>
      <c r="L114" s="5593"/>
      <c r="M114" s="5593"/>
      <c r="N114" s="5593"/>
      <c r="O114" s="5593"/>
      <c r="P114" s="5593"/>
      <c r="Q114" s="5594"/>
      <c r="R114" s="1114"/>
      <c r="S114" s="1108"/>
      <c r="T114" s="1108"/>
      <c r="U114" s="2066"/>
      <c r="V114" s="5592" t="str">
        <f>IF(V108=0,"",VLOOKUP(V108,'Tablas Magia'!$D$6:$Z$680,23,FALSE))</f>
        <v>Destruye temporalmente cualquier sentimiento negativo, como odio, miedo o ira, de aquellos individuos que se encuentren alrededor del hechicero y no superen la RM del conjuro.</v>
      </c>
      <c r="W114" s="5593"/>
      <c r="X114" s="5593"/>
      <c r="Y114" s="5593"/>
      <c r="Z114" s="5593"/>
      <c r="AA114" s="5593"/>
      <c r="AB114" s="5593"/>
      <c r="AC114" s="5593"/>
      <c r="AD114" s="5593"/>
      <c r="AE114" s="5593"/>
      <c r="AF114" s="5593"/>
      <c r="AG114" s="5593"/>
      <c r="AH114" s="5593"/>
      <c r="AI114" s="5593"/>
      <c r="AJ114" s="5594"/>
      <c r="AK114" s="1114"/>
      <c r="AL114" s="1108"/>
      <c r="AM114" s="1108"/>
      <c r="AN114" s="2080"/>
      <c r="AO114" s="5592"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93"/>
      <c r="AQ114" s="5593"/>
      <c r="AR114" s="5593"/>
      <c r="AS114" s="5593"/>
      <c r="AT114" s="5593"/>
      <c r="AU114" s="5593"/>
      <c r="AV114" s="5593"/>
      <c r="AW114" s="5593"/>
      <c r="AX114" s="5593"/>
      <c r="AY114" s="5593"/>
      <c r="AZ114" s="5593"/>
      <c r="BA114" s="5593"/>
      <c r="BB114" s="5593"/>
      <c r="BC114" s="5594"/>
      <c r="BD114" s="1114"/>
      <c r="BE114" s="1108"/>
      <c r="BF114" s="1108"/>
      <c r="BG114" s="2080"/>
      <c r="BH114" s="5592"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93"/>
      <c r="BJ114" s="5593"/>
      <c r="BK114" s="5593"/>
      <c r="BL114" s="5593"/>
      <c r="BM114" s="5593"/>
      <c r="BN114" s="5593"/>
      <c r="BO114" s="5593"/>
      <c r="BP114" s="5593"/>
      <c r="BQ114" s="5593"/>
      <c r="BR114" s="5593"/>
      <c r="BS114" s="5593"/>
      <c r="BT114" s="5593"/>
      <c r="BU114" s="5593"/>
      <c r="BV114" s="5594"/>
      <c r="BW114" s="1114"/>
      <c r="BX114" s="1108"/>
      <c r="BY114" s="1108"/>
      <c r="BZ114" s="2080"/>
      <c r="CA114" s="5592"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93"/>
      <c r="CC114" s="5593"/>
      <c r="CD114" s="5593"/>
      <c r="CE114" s="5593"/>
      <c r="CF114" s="5593"/>
      <c r="CG114" s="5593"/>
      <c r="CH114" s="5593"/>
      <c r="CI114" s="5593"/>
      <c r="CJ114" s="5593"/>
      <c r="CK114" s="5593"/>
      <c r="CL114" s="5593"/>
      <c r="CM114" s="5593"/>
      <c r="CN114" s="5593"/>
      <c r="CO114" s="5594"/>
      <c r="CP114" s="1114"/>
      <c r="CQ114" s="1108"/>
    </row>
    <row r="115" spans="1:95">
      <c r="A115" s="1108"/>
      <c r="B115" s="2066"/>
      <c r="C115" s="5595"/>
      <c r="D115" s="5596"/>
      <c r="E115" s="5596"/>
      <c r="F115" s="5596"/>
      <c r="G115" s="5596"/>
      <c r="H115" s="5596"/>
      <c r="I115" s="5596"/>
      <c r="J115" s="5596"/>
      <c r="K115" s="5596"/>
      <c r="L115" s="5596"/>
      <c r="M115" s="5596"/>
      <c r="N115" s="5596"/>
      <c r="O115" s="5596"/>
      <c r="P115" s="5596"/>
      <c r="Q115" s="5597"/>
      <c r="R115" s="1114"/>
      <c r="S115" s="1108"/>
      <c r="T115" s="1108"/>
      <c r="U115" s="2066"/>
      <c r="V115" s="5595"/>
      <c r="W115" s="5596"/>
      <c r="X115" s="5596"/>
      <c r="Y115" s="5596"/>
      <c r="Z115" s="5596"/>
      <c r="AA115" s="5596"/>
      <c r="AB115" s="5596"/>
      <c r="AC115" s="5596"/>
      <c r="AD115" s="5596"/>
      <c r="AE115" s="5596"/>
      <c r="AF115" s="5596"/>
      <c r="AG115" s="5596"/>
      <c r="AH115" s="5596"/>
      <c r="AI115" s="5596"/>
      <c r="AJ115" s="5597"/>
      <c r="AK115" s="1114"/>
      <c r="AL115" s="1108"/>
      <c r="AM115" s="1108"/>
      <c r="AN115" s="2080"/>
      <c r="AO115" s="5595"/>
      <c r="AP115" s="5596"/>
      <c r="AQ115" s="5596"/>
      <c r="AR115" s="5596"/>
      <c r="AS115" s="5596"/>
      <c r="AT115" s="5596"/>
      <c r="AU115" s="5596"/>
      <c r="AV115" s="5596"/>
      <c r="AW115" s="5596"/>
      <c r="AX115" s="5596"/>
      <c r="AY115" s="5596"/>
      <c r="AZ115" s="5596"/>
      <c r="BA115" s="5596"/>
      <c r="BB115" s="5596"/>
      <c r="BC115" s="5597"/>
      <c r="BD115" s="1114"/>
      <c r="BE115" s="1108"/>
      <c r="BF115" s="1108"/>
      <c r="BG115" s="2080"/>
      <c r="BH115" s="5595"/>
      <c r="BI115" s="5596"/>
      <c r="BJ115" s="5596"/>
      <c r="BK115" s="5596"/>
      <c r="BL115" s="5596"/>
      <c r="BM115" s="5596"/>
      <c r="BN115" s="5596"/>
      <c r="BO115" s="5596"/>
      <c r="BP115" s="5596"/>
      <c r="BQ115" s="5596"/>
      <c r="BR115" s="5596"/>
      <c r="BS115" s="5596"/>
      <c r="BT115" s="5596"/>
      <c r="BU115" s="5596"/>
      <c r="BV115" s="5597"/>
      <c r="BW115" s="1114"/>
      <c r="BX115" s="1108"/>
      <c r="BY115" s="1108"/>
      <c r="BZ115" s="2080"/>
      <c r="CA115" s="5595"/>
      <c r="CB115" s="5596"/>
      <c r="CC115" s="5596"/>
      <c r="CD115" s="5596"/>
      <c r="CE115" s="5596"/>
      <c r="CF115" s="5596"/>
      <c r="CG115" s="5596"/>
      <c r="CH115" s="5596"/>
      <c r="CI115" s="5596"/>
      <c r="CJ115" s="5596"/>
      <c r="CK115" s="5596"/>
      <c r="CL115" s="5596"/>
      <c r="CM115" s="5596"/>
      <c r="CN115" s="5596"/>
      <c r="CO115" s="5597"/>
      <c r="CP115" s="1114"/>
      <c r="CQ115" s="1108"/>
    </row>
    <row r="116" spans="1:95">
      <c r="A116" s="1108"/>
      <c r="B116" s="2066"/>
      <c r="C116" s="5595"/>
      <c r="D116" s="5596"/>
      <c r="E116" s="5596"/>
      <c r="F116" s="5596"/>
      <c r="G116" s="5596"/>
      <c r="H116" s="5596"/>
      <c r="I116" s="5596"/>
      <c r="J116" s="5596"/>
      <c r="K116" s="5596"/>
      <c r="L116" s="5596"/>
      <c r="M116" s="5596"/>
      <c r="N116" s="5596"/>
      <c r="O116" s="5596"/>
      <c r="P116" s="5596"/>
      <c r="Q116" s="5597"/>
      <c r="R116" s="1114"/>
      <c r="S116" s="1108"/>
      <c r="T116" s="1108"/>
      <c r="U116" s="2066"/>
      <c r="V116" s="5595"/>
      <c r="W116" s="5596"/>
      <c r="X116" s="5596"/>
      <c r="Y116" s="5596"/>
      <c r="Z116" s="5596"/>
      <c r="AA116" s="5596"/>
      <c r="AB116" s="5596"/>
      <c r="AC116" s="5596"/>
      <c r="AD116" s="5596"/>
      <c r="AE116" s="5596"/>
      <c r="AF116" s="5596"/>
      <c r="AG116" s="5596"/>
      <c r="AH116" s="5596"/>
      <c r="AI116" s="5596"/>
      <c r="AJ116" s="5597"/>
      <c r="AK116" s="1114"/>
      <c r="AL116" s="1108"/>
      <c r="AM116" s="1108"/>
      <c r="AN116" s="2080"/>
      <c r="AO116" s="5595"/>
      <c r="AP116" s="5596"/>
      <c r="AQ116" s="5596"/>
      <c r="AR116" s="5596"/>
      <c r="AS116" s="5596"/>
      <c r="AT116" s="5596"/>
      <c r="AU116" s="5596"/>
      <c r="AV116" s="5596"/>
      <c r="AW116" s="5596"/>
      <c r="AX116" s="5596"/>
      <c r="AY116" s="5596"/>
      <c r="AZ116" s="5596"/>
      <c r="BA116" s="5596"/>
      <c r="BB116" s="5596"/>
      <c r="BC116" s="5597"/>
      <c r="BD116" s="1114"/>
      <c r="BE116" s="1108"/>
      <c r="BF116" s="1108"/>
      <c r="BG116" s="2080"/>
      <c r="BH116" s="5595"/>
      <c r="BI116" s="5596"/>
      <c r="BJ116" s="5596"/>
      <c r="BK116" s="5596"/>
      <c r="BL116" s="5596"/>
      <c r="BM116" s="5596"/>
      <c r="BN116" s="5596"/>
      <c r="BO116" s="5596"/>
      <c r="BP116" s="5596"/>
      <c r="BQ116" s="5596"/>
      <c r="BR116" s="5596"/>
      <c r="BS116" s="5596"/>
      <c r="BT116" s="5596"/>
      <c r="BU116" s="5596"/>
      <c r="BV116" s="5597"/>
      <c r="BW116" s="1114"/>
      <c r="BX116" s="1108"/>
      <c r="BY116" s="1108"/>
      <c r="BZ116" s="2080"/>
      <c r="CA116" s="5595"/>
      <c r="CB116" s="5596"/>
      <c r="CC116" s="5596"/>
      <c r="CD116" s="5596"/>
      <c r="CE116" s="5596"/>
      <c r="CF116" s="5596"/>
      <c r="CG116" s="5596"/>
      <c r="CH116" s="5596"/>
      <c r="CI116" s="5596"/>
      <c r="CJ116" s="5596"/>
      <c r="CK116" s="5596"/>
      <c r="CL116" s="5596"/>
      <c r="CM116" s="5596"/>
      <c r="CN116" s="5596"/>
      <c r="CO116" s="5597"/>
      <c r="CP116" s="1114"/>
      <c r="CQ116" s="1108"/>
    </row>
    <row r="117" spans="1:95" ht="13.5" thickBot="1">
      <c r="A117" s="1108"/>
      <c r="B117" s="2066"/>
      <c r="C117" s="5598"/>
      <c r="D117" s="5599"/>
      <c r="E117" s="5599"/>
      <c r="F117" s="5599"/>
      <c r="G117" s="5599"/>
      <c r="H117" s="5599"/>
      <c r="I117" s="5599"/>
      <c r="J117" s="5599"/>
      <c r="K117" s="5599"/>
      <c r="L117" s="5599"/>
      <c r="M117" s="5599"/>
      <c r="N117" s="5599"/>
      <c r="O117" s="5599"/>
      <c r="P117" s="5599"/>
      <c r="Q117" s="5600"/>
      <c r="R117" s="1114"/>
      <c r="S117" s="1108"/>
      <c r="T117" s="1108"/>
      <c r="U117" s="2066"/>
      <c r="V117" s="5598"/>
      <c r="W117" s="5599"/>
      <c r="X117" s="5599"/>
      <c r="Y117" s="5599"/>
      <c r="Z117" s="5599"/>
      <c r="AA117" s="5599"/>
      <c r="AB117" s="5599"/>
      <c r="AC117" s="5599"/>
      <c r="AD117" s="5599"/>
      <c r="AE117" s="5599"/>
      <c r="AF117" s="5599"/>
      <c r="AG117" s="5599"/>
      <c r="AH117" s="5599"/>
      <c r="AI117" s="5599"/>
      <c r="AJ117" s="5600"/>
      <c r="AK117" s="1114"/>
      <c r="AL117" s="1108"/>
      <c r="AM117" s="1108"/>
      <c r="AN117" s="2080"/>
      <c r="AO117" s="5598"/>
      <c r="AP117" s="5599"/>
      <c r="AQ117" s="5599"/>
      <c r="AR117" s="5599"/>
      <c r="AS117" s="5599"/>
      <c r="AT117" s="5599"/>
      <c r="AU117" s="5599"/>
      <c r="AV117" s="5599"/>
      <c r="AW117" s="5599"/>
      <c r="AX117" s="5599"/>
      <c r="AY117" s="5599"/>
      <c r="AZ117" s="5599"/>
      <c r="BA117" s="5599"/>
      <c r="BB117" s="5599"/>
      <c r="BC117" s="5600"/>
      <c r="BD117" s="1114"/>
      <c r="BE117" s="1108"/>
      <c r="BF117" s="1108"/>
      <c r="BG117" s="2080"/>
      <c r="BH117" s="5598"/>
      <c r="BI117" s="5599"/>
      <c r="BJ117" s="5599"/>
      <c r="BK117" s="5599"/>
      <c r="BL117" s="5599"/>
      <c r="BM117" s="5599"/>
      <c r="BN117" s="5599"/>
      <c r="BO117" s="5599"/>
      <c r="BP117" s="5599"/>
      <c r="BQ117" s="5599"/>
      <c r="BR117" s="5599"/>
      <c r="BS117" s="5599"/>
      <c r="BT117" s="5599"/>
      <c r="BU117" s="5599"/>
      <c r="BV117" s="5600"/>
      <c r="BW117" s="1114"/>
      <c r="BX117" s="1108"/>
      <c r="BY117" s="1108"/>
      <c r="BZ117" s="2080"/>
      <c r="CA117" s="5598"/>
      <c r="CB117" s="5599"/>
      <c r="CC117" s="5599"/>
      <c r="CD117" s="5599"/>
      <c r="CE117" s="5599"/>
      <c r="CF117" s="5599"/>
      <c r="CG117" s="5599"/>
      <c r="CH117" s="5599"/>
      <c r="CI117" s="5599"/>
      <c r="CJ117" s="5599"/>
      <c r="CK117" s="5599"/>
      <c r="CL117" s="5599"/>
      <c r="CM117" s="5599"/>
      <c r="CN117" s="5599"/>
      <c r="CO117" s="5600"/>
      <c r="CP117" s="1114"/>
      <c r="CQ117" s="1108"/>
    </row>
    <row r="118" spans="1:95">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5"/>
      <c r="C3" s="704"/>
      <c r="D3" s="705"/>
      <c r="E3" s="705"/>
      <c r="F3" s="705"/>
      <c r="G3" s="705"/>
      <c r="H3" s="705"/>
      <c r="I3" s="706"/>
      <c r="J3" s="706"/>
      <c r="K3" s="706"/>
      <c r="L3" s="706"/>
      <c r="M3" s="706"/>
      <c r="N3" s="706"/>
      <c r="O3" s="706"/>
      <c r="P3" s="706"/>
      <c r="Q3" s="706"/>
      <c r="R3" s="707"/>
      <c r="S3" s="708"/>
      <c r="T3" s="676"/>
      <c r="U3" s="677"/>
      <c r="V3" s="1245"/>
      <c r="W3" s="5616"/>
      <c r="X3" s="5617"/>
      <c r="Y3" s="5617"/>
      <c r="Z3" s="5617"/>
      <c r="AA3" s="5617"/>
      <c r="AB3" s="5617"/>
      <c r="AC3" s="1239"/>
      <c r="AD3" s="1239"/>
      <c r="AE3" s="1239"/>
      <c r="AF3" s="1239"/>
      <c r="AG3" s="1239"/>
      <c r="AH3" s="1239"/>
      <c r="AI3" s="1239"/>
      <c r="AJ3" s="1239"/>
      <c r="AK3" s="1239"/>
      <c r="AL3" s="709"/>
      <c r="AM3" s="708"/>
      <c r="AN3" s="678"/>
      <c r="AO3" s="867"/>
    </row>
    <row r="4" spans="1:41" ht="12" customHeight="1">
      <c r="A4" s="676"/>
      <c r="B4" s="1245"/>
      <c r="C4" s="717"/>
      <c r="D4" s="5613" t="s">
        <v>3317</v>
      </c>
      <c r="E4" s="5613"/>
      <c r="F4" s="5613"/>
      <c r="G4" s="5613"/>
      <c r="H4" s="5622" t="str">
        <f>Principal!L4</f>
        <v/>
      </c>
      <c r="I4" s="5622"/>
      <c r="J4" s="5622"/>
      <c r="K4" s="5622"/>
      <c r="L4" s="5622"/>
      <c r="M4" s="5623" t="s">
        <v>7702</v>
      </c>
      <c r="N4" s="5623"/>
      <c r="O4" s="5623"/>
      <c r="P4" s="5623"/>
      <c r="Q4" s="5623"/>
      <c r="R4" s="718"/>
      <c r="S4" s="708"/>
      <c r="T4" s="676"/>
      <c r="U4" s="677"/>
      <c r="V4" s="1245"/>
      <c r="W4" s="5618"/>
      <c r="X4" s="5619"/>
      <c r="Y4" s="5619"/>
      <c r="Z4" s="5619"/>
      <c r="AA4" s="5619"/>
      <c r="AB4" s="5619"/>
      <c r="AC4" s="1240"/>
      <c r="AD4" s="5624" t="s">
        <v>7702</v>
      </c>
      <c r="AE4" s="5624"/>
      <c r="AF4" s="5624"/>
      <c r="AG4" s="5624"/>
      <c r="AH4" s="5624"/>
      <c r="AI4" s="5624"/>
      <c r="AJ4" s="5624"/>
      <c r="AK4" s="5624"/>
      <c r="AL4" s="719"/>
      <c r="AM4" s="708"/>
      <c r="AN4" s="678"/>
      <c r="AO4" s="867"/>
    </row>
    <row r="5" spans="1:41" ht="12" customHeight="1">
      <c r="A5" s="676"/>
      <c r="B5" s="1245"/>
      <c r="C5" s="5625"/>
      <c r="D5" s="5615"/>
      <c r="E5" s="5615"/>
      <c r="F5" s="5615"/>
      <c r="G5" s="5615"/>
      <c r="H5" s="5615"/>
      <c r="I5" s="5626"/>
      <c r="J5" s="5626"/>
      <c r="K5" s="5626"/>
      <c r="L5" s="5626"/>
      <c r="M5" s="5623"/>
      <c r="N5" s="5623"/>
      <c r="O5" s="5623"/>
      <c r="P5" s="5623"/>
      <c r="Q5" s="5623"/>
      <c r="R5" s="735"/>
      <c r="S5" s="708"/>
      <c r="T5" s="676"/>
      <c r="U5" s="677"/>
      <c r="V5" s="1245"/>
      <c r="W5" s="5618"/>
      <c r="X5" s="5619"/>
      <c r="Y5" s="5619"/>
      <c r="Z5" s="5619"/>
      <c r="AA5" s="5619"/>
      <c r="AB5" s="5619"/>
      <c r="AC5" s="1240"/>
      <c r="AD5" s="5624"/>
      <c r="AE5" s="5624"/>
      <c r="AF5" s="5624"/>
      <c r="AG5" s="5624"/>
      <c r="AH5" s="5624"/>
      <c r="AI5" s="5624"/>
      <c r="AJ5" s="5624"/>
      <c r="AK5" s="5624"/>
      <c r="AL5" s="719"/>
      <c r="AM5" s="708"/>
      <c r="AN5" s="678"/>
      <c r="AO5" s="867"/>
    </row>
    <row r="6" spans="1:41" ht="12" customHeight="1">
      <c r="A6" s="676"/>
      <c r="B6" s="1245"/>
      <c r="C6" s="717"/>
      <c r="D6" s="5614" t="s">
        <v>3324</v>
      </c>
      <c r="E6" s="5614"/>
      <c r="F6" s="5615" t="str">
        <f>Principal!L5</f>
        <v>Guerrero</v>
      </c>
      <c r="G6" s="5615"/>
      <c r="H6" s="5615"/>
      <c r="I6" s="738"/>
      <c r="J6" s="738"/>
      <c r="K6" s="5614"/>
      <c r="L6" s="5614"/>
      <c r="M6" s="1236"/>
      <c r="N6" s="1234"/>
      <c r="O6" s="5612"/>
      <c r="P6" s="5612"/>
      <c r="Q6" s="739"/>
      <c r="R6" s="735"/>
      <c r="S6" s="708"/>
      <c r="T6" s="676"/>
      <c r="U6" s="677"/>
      <c r="V6" s="1245"/>
      <c r="W6" s="5618"/>
      <c r="X6" s="5619"/>
      <c r="Y6" s="5619"/>
      <c r="Z6" s="5619"/>
      <c r="AA6" s="5619"/>
      <c r="AB6" s="5619"/>
      <c r="AC6" s="1240"/>
      <c r="AD6" s="5613"/>
      <c r="AE6" s="5613"/>
      <c r="AF6" s="5613"/>
      <c r="AG6" s="5613"/>
      <c r="AH6" s="5613"/>
      <c r="AI6" s="5613"/>
      <c r="AJ6" s="5613"/>
      <c r="AK6" s="5613"/>
      <c r="AL6" s="719"/>
      <c r="AM6" s="708"/>
      <c r="AN6" s="678"/>
      <c r="AO6" s="867"/>
    </row>
    <row r="7" spans="1:41" ht="12" customHeight="1">
      <c r="A7" s="676"/>
      <c r="B7" s="1245"/>
      <c r="C7" s="717"/>
      <c r="D7" s="5614" t="s">
        <v>1627</v>
      </c>
      <c r="E7" s="5614"/>
      <c r="F7" s="5615" t="str">
        <f>Principal!P5</f>
        <v>1 + 2</v>
      </c>
      <c r="G7" s="5615"/>
      <c r="H7" s="5615"/>
      <c r="I7" s="742"/>
      <c r="J7" s="742"/>
      <c r="K7" s="742"/>
      <c r="L7" s="742"/>
      <c r="M7" s="5614"/>
      <c r="N7" s="5614"/>
      <c r="O7" s="743"/>
      <c r="P7" s="1234"/>
      <c r="Q7" s="1234"/>
      <c r="R7" s="735"/>
      <c r="S7" s="708"/>
      <c r="T7" s="676"/>
      <c r="U7" s="677"/>
      <c r="V7" s="1245"/>
      <c r="W7" s="5618"/>
      <c r="X7" s="5619"/>
      <c r="Y7" s="5619"/>
      <c r="Z7" s="5619"/>
      <c r="AA7" s="5619"/>
      <c r="AB7" s="5619"/>
      <c r="AC7" s="1240"/>
      <c r="AD7" s="5615" t="str">
        <f>IF(C5&lt;1,"",C5)</f>
        <v/>
      </c>
      <c r="AE7" s="5615"/>
      <c r="AF7" s="5615"/>
      <c r="AG7" s="5615"/>
      <c r="AH7" s="5615"/>
      <c r="AI7" s="5615"/>
      <c r="AJ7" s="5615"/>
      <c r="AK7" s="5615"/>
      <c r="AL7" s="719"/>
      <c r="AM7" s="708"/>
      <c r="AN7" s="678"/>
      <c r="AO7" s="867"/>
    </row>
    <row r="8" spans="1:41" ht="12" customHeight="1" thickBot="1">
      <c r="A8" s="676"/>
      <c r="B8" s="1245"/>
      <c r="C8" s="746"/>
      <c r="D8" s="747"/>
      <c r="E8" s="747"/>
      <c r="F8" s="747"/>
      <c r="G8" s="747"/>
      <c r="H8" s="747"/>
      <c r="I8" s="748"/>
      <c r="J8" s="749"/>
      <c r="K8" s="749"/>
      <c r="L8" s="749"/>
      <c r="M8" s="749"/>
      <c r="N8" s="750"/>
      <c r="O8" s="748"/>
      <c r="P8" s="748"/>
      <c r="Q8" s="748"/>
      <c r="R8" s="751"/>
      <c r="S8" s="708"/>
      <c r="T8" s="676"/>
      <c r="U8" s="677"/>
      <c r="V8" s="1245"/>
      <c r="W8" s="5620"/>
      <c r="X8" s="5621"/>
      <c r="Y8" s="5621"/>
      <c r="Z8" s="5621"/>
      <c r="AA8" s="5621"/>
      <c r="AB8" s="5621"/>
      <c r="AC8" s="1241"/>
      <c r="AD8" s="1241"/>
      <c r="AE8" s="1241"/>
      <c r="AF8" s="1241"/>
      <c r="AG8" s="1241"/>
      <c r="AH8" s="1241"/>
      <c r="AI8" s="1241"/>
      <c r="AJ8" s="1241"/>
      <c r="AK8" s="1241"/>
      <c r="AL8" s="752"/>
      <c r="AM8" s="708"/>
      <c r="AN8" s="678"/>
      <c r="AO8" s="867"/>
    </row>
    <row r="9" spans="1:41" ht="12" customHeight="1">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2">
        <v>1</v>
      </c>
      <c r="C11" s="5627" t="s">
        <v>7700</v>
      </c>
      <c r="D11" s="5628"/>
      <c r="E11" s="5628"/>
      <c r="F11" s="5628"/>
      <c r="G11" s="5628"/>
      <c r="H11" s="5628"/>
      <c r="I11" s="5628"/>
      <c r="J11" s="5628"/>
      <c r="K11" s="5628"/>
      <c r="L11" s="5628"/>
      <c r="M11" s="5628"/>
      <c r="N11" s="5628"/>
      <c r="O11" s="5628"/>
      <c r="P11" s="5628"/>
      <c r="Q11" s="5629"/>
      <c r="R11" s="5630">
        <f>IF(C11="","",IF(ISNA(VLOOKUP(C11,TablasTec!$AD$6:$AJ$188,3,FALSE)),"-",VLOOKUP(C11,TablasTec!$AD$6:$AJ$188,3,FALSE)))</f>
        <v>20</v>
      </c>
      <c r="S11" s="763"/>
      <c r="T11" s="676"/>
      <c r="U11" s="676"/>
      <c r="V11" s="1242">
        <v>6</v>
      </c>
      <c r="W11" s="5627" t="s">
        <v>7700</v>
      </c>
      <c r="X11" s="5628"/>
      <c r="Y11" s="5628"/>
      <c r="Z11" s="5628"/>
      <c r="AA11" s="5628"/>
      <c r="AB11" s="5628"/>
      <c r="AC11" s="5628"/>
      <c r="AD11" s="5628"/>
      <c r="AE11" s="5628"/>
      <c r="AF11" s="5628"/>
      <c r="AG11" s="5628"/>
      <c r="AH11" s="5628"/>
      <c r="AI11" s="5628"/>
      <c r="AJ11" s="5628"/>
      <c r="AK11" s="5629"/>
      <c r="AL11" s="5630">
        <f>IF(W11="","",IF(ISNA(VLOOKUP(W11,TablasTec!$AD$6:$AJ$188,3,FALSE)),"-",VLOOKUP(W11,TablasTec!$AD$6:$AJ$188,3,FALSE)))</f>
        <v>20</v>
      </c>
      <c r="AM11" s="764"/>
      <c r="AN11" s="678"/>
      <c r="AO11" s="867"/>
    </row>
    <row r="12" spans="1:41" ht="12" customHeight="1">
      <c r="A12" s="676"/>
      <c r="B12" s="1242"/>
      <c r="C12" s="769" t="s">
        <v>1627</v>
      </c>
      <c r="D12" s="770">
        <f>IF(C11="","",IF(ISNA(VLOOKUP(C11,TablasTec!$AD$6:$AJ$188,2,FALSE)),"-",VLOOKUP(C11,TablasTec!$AD$6:$AJ$188,2,FALSE)))</f>
        <v>1</v>
      </c>
      <c r="E12" s="771" t="s">
        <v>2165</v>
      </c>
      <c r="F12" s="5632"/>
      <c r="G12" s="5632"/>
      <c r="H12" s="5632"/>
      <c r="I12" s="5633" t="s">
        <v>3345</v>
      </c>
      <c r="J12" s="5633"/>
      <c r="K12" s="5633"/>
      <c r="L12" s="5634" t="str">
        <f>IF(C11="","",IF(ISNA(VLOOKUP(C11,TablasTec!$AD$6:$AJ$188,7,FALSE)),"-",VLOOKUP(C11,TablasTec!$AD$6:$AJ$188,7,FALSE)))</f>
        <v xml:space="preserve">Aire </v>
      </c>
      <c r="M12" s="5634"/>
      <c r="N12" s="5634"/>
      <c r="O12" s="5634"/>
      <c r="P12" s="5634"/>
      <c r="Q12" s="5635"/>
      <c r="R12" s="5631"/>
      <c r="S12" s="708"/>
      <c r="T12" s="676"/>
      <c r="U12" s="676"/>
      <c r="V12" s="1242"/>
      <c r="W12" s="769" t="s">
        <v>1627</v>
      </c>
      <c r="X12" s="770">
        <f>IF(W11="","",IF(ISNA(VLOOKUP(W11,TablasTec!$AD$6:$AJ$188,2,FALSE)),"-",VLOOKUP(W11,TablasTec!$AD$6:$AJ$188,2,FALSE)))</f>
        <v>1</v>
      </c>
      <c r="Y12" s="771" t="s">
        <v>2165</v>
      </c>
      <c r="Z12" s="5632"/>
      <c r="AA12" s="5632"/>
      <c r="AB12" s="5632"/>
      <c r="AC12" s="5633" t="s">
        <v>3345</v>
      </c>
      <c r="AD12" s="5633"/>
      <c r="AE12" s="5633"/>
      <c r="AF12" s="5634" t="str">
        <f>IF(W11="","",IF(ISNA(VLOOKUP(W11,TablasTec!$AD$6:$AJ$188,7,FALSE)),"-",VLOOKUP(W11,TablasTec!$AD$6:$AJ$188,7,FALSE)))</f>
        <v xml:space="preserve">Aire </v>
      </c>
      <c r="AG12" s="5634"/>
      <c r="AH12" s="5634"/>
      <c r="AI12" s="5634"/>
      <c r="AJ12" s="5634"/>
      <c r="AK12" s="5635"/>
      <c r="AL12" s="5631"/>
      <c r="AM12" s="708"/>
      <c r="AN12" s="678"/>
      <c r="AO12" s="867"/>
    </row>
    <row r="13" spans="1:41" ht="12" customHeight="1">
      <c r="A13" s="676"/>
      <c r="B13" s="1242"/>
      <c r="C13" s="5636" t="str">
        <f>IF(C11="","",IF(ISNA(VLOOKUP(C11,TablasTec!$AD$6:$AJ$188,5,FALSE)),"-",VLOOKUP(C11,TablasTec!$AD$6:$AJ$188,5,FALSE)))</f>
        <v>Maniobras de Combate y Apuntar Reales -10 (Mant.)</v>
      </c>
      <c r="D13" s="5637"/>
      <c r="E13" s="5637"/>
      <c r="F13" s="5637"/>
      <c r="G13" s="5637"/>
      <c r="H13" s="5637"/>
      <c r="I13" s="5637"/>
      <c r="J13" s="5637"/>
      <c r="K13" s="5637"/>
      <c r="L13" s="5637"/>
      <c r="M13" s="5637"/>
      <c r="N13" s="5637"/>
      <c r="O13" s="5637"/>
      <c r="P13" s="5637"/>
      <c r="Q13" s="5637"/>
      <c r="R13" s="5638"/>
      <c r="S13" s="776"/>
      <c r="T13" s="775"/>
      <c r="U13" s="676"/>
      <c r="V13" s="1242"/>
      <c r="W13" s="5636" t="str">
        <f>IF(W11="","",IF(ISNA(VLOOKUP(W11,TablasTec!$AD$6:$AJ$188,5,FALSE)),"-",VLOOKUP(W11,TablasTec!$AD$6:$AJ$188,5,FALSE)))</f>
        <v>Maniobras de Combate y Apuntar Reales -10 (Mant.)</v>
      </c>
      <c r="X13" s="5637"/>
      <c r="Y13" s="5637"/>
      <c r="Z13" s="5637"/>
      <c r="AA13" s="5637"/>
      <c r="AB13" s="5637"/>
      <c r="AC13" s="5637"/>
      <c r="AD13" s="5637"/>
      <c r="AE13" s="5637"/>
      <c r="AF13" s="5637"/>
      <c r="AG13" s="5637"/>
      <c r="AH13" s="5637"/>
      <c r="AI13" s="5637"/>
      <c r="AJ13" s="5637"/>
      <c r="AK13" s="5637"/>
      <c r="AL13" s="5638"/>
      <c r="AM13" s="776"/>
      <c r="AN13" s="678"/>
      <c r="AO13" s="867"/>
    </row>
    <row r="14" spans="1:41" ht="12" customHeight="1">
      <c r="A14" s="676"/>
      <c r="B14" s="1242"/>
      <c r="C14" s="5639"/>
      <c r="D14" s="5640"/>
      <c r="E14" s="5640"/>
      <c r="F14" s="5640"/>
      <c r="G14" s="5640"/>
      <c r="H14" s="5640"/>
      <c r="I14" s="5640"/>
      <c r="J14" s="5640"/>
      <c r="K14" s="5640"/>
      <c r="L14" s="5640"/>
      <c r="M14" s="5640"/>
      <c r="N14" s="5640"/>
      <c r="O14" s="5640"/>
      <c r="P14" s="5640"/>
      <c r="Q14" s="5640"/>
      <c r="R14" s="5641"/>
      <c r="S14" s="785"/>
      <c r="T14" s="775"/>
      <c r="U14" s="676"/>
      <c r="V14" s="1242"/>
      <c r="W14" s="5639"/>
      <c r="X14" s="5640"/>
      <c r="Y14" s="5640"/>
      <c r="Z14" s="5640"/>
      <c r="AA14" s="5640"/>
      <c r="AB14" s="5640"/>
      <c r="AC14" s="5640"/>
      <c r="AD14" s="5640"/>
      <c r="AE14" s="5640"/>
      <c r="AF14" s="5640"/>
      <c r="AG14" s="5640"/>
      <c r="AH14" s="5640"/>
      <c r="AI14" s="5640"/>
      <c r="AJ14" s="5640"/>
      <c r="AK14" s="5640"/>
      <c r="AL14" s="5641"/>
      <c r="AM14" s="785"/>
      <c r="AN14" s="678"/>
      <c r="AO14" s="867"/>
    </row>
    <row r="15" spans="1:41" ht="12" customHeight="1">
      <c r="A15" s="676"/>
      <c r="B15" s="1242"/>
      <c r="C15" s="5639"/>
      <c r="D15" s="5640"/>
      <c r="E15" s="5640"/>
      <c r="F15" s="5640"/>
      <c r="G15" s="5640"/>
      <c r="H15" s="5640"/>
      <c r="I15" s="5640"/>
      <c r="J15" s="5640"/>
      <c r="K15" s="5640"/>
      <c r="L15" s="5640"/>
      <c r="M15" s="5640"/>
      <c r="N15" s="5640"/>
      <c r="O15" s="5640"/>
      <c r="P15" s="5640"/>
      <c r="Q15" s="5640"/>
      <c r="R15" s="5641"/>
      <c r="S15" s="785"/>
      <c r="T15" s="775"/>
      <c r="U15" s="676"/>
      <c r="V15" s="1242"/>
      <c r="W15" s="5639"/>
      <c r="X15" s="5640"/>
      <c r="Y15" s="5640"/>
      <c r="Z15" s="5640"/>
      <c r="AA15" s="5640"/>
      <c r="AB15" s="5640"/>
      <c r="AC15" s="5640"/>
      <c r="AD15" s="5640"/>
      <c r="AE15" s="5640"/>
      <c r="AF15" s="5640"/>
      <c r="AG15" s="5640"/>
      <c r="AH15" s="5640"/>
      <c r="AI15" s="5640"/>
      <c r="AJ15" s="5640"/>
      <c r="AK15" s="5640"/>
      <c r="AL15" s="5641"/>
      <c r="AM15" s="785"/>
      <c r="AN15" s="678"/>
      <c r="AO15" s="867"/>
    </row>
    <row r="16" spans="1:41" ht="12" customHeight="1">
      <c r="A16" s="676"/>
      <c r="B16" s="1242"/>
      <c r="C16" s="5642"/>
      <c r="D16" s="5643"/>
      <c r="E16" s="5643"/>
      <c r="F16" s="5643"/>
      <c r="G16" s="5643"/>
      <c r="H16" s="5643"/>
      <c r="I16" s="5643"/>
      <c r="J16" s="5643"/>
      <c r="K16" s="5643"/>
      <c r="L16" s="5643"/>
      <c r="M16" s="5643"/>
      <c r="N16" s="5643"/>
      <c r="O16" s="5643"/>
      <c r="P16" s="5643"/>
      <c r="Q16" s="5643"/>
      <c r="R16" s="5644"/>
      <c r="S16" s="785"/>
      <c r="T16" s="775"/>
      <c r="U16" s="676"/>
      <c r="V16" s="1242"/>
      <c r="W16" s="5642"/>
      <c r="X16" s="5643"/>
      <c r="Y16" s="5643"/>
      <c r="Z16" s="5643"/>
      <c r="AA16" s="5643"/>
      <c r="AB16" s="5643"/>
      <c r="AC16" s="5643"/>
      <c r="AD16" s="5643"/>
      <c r="AE16" s="5643"/>
      <c r="AF16" s="5643"/>
      <c r="AG16" s="5643"/>
      <c r="AH16" s="5643"/>
      <c r="AI16" s="5643"/>
      <c r="AJ16" s="5643"/>
      <c r="AK16" s="5643"/>
      <c r="AL16" s="5644"/>
      <c r="AM16" s="785"/>
      <c r="AN16" s="678"/>
      <c r="AO16" s="867"/>
    </row>
    <row r="17" spans="1:43" ht="12" customHeight="1">
      <c r="A17" s="676"/>
      <c r="B17" s="1246"/>
      <c r="C17" s="5645" t="str">
        <f>"Desventajas: "&amp;IF(C11="","",IF(ISNA(VLOOKUP(C11,TablasTec!$AD$6:$AJ$188,6,FALSE)),"-",VLOOKUP(C11,TablasTec!$AD$6:$AJ$188,6,FALSE)))</f>
        <v xml:space="preserve">Desventajas: </v>
      </c>
      <c r="D17" s="5646"/>
      <c r="E17" s="5646"/>
      <c r="F17" s="5646"/>
      <c r="G17" s="5646"/>
      <c r="H17" s="5646"/>
      <c r="I17" s="5646"/>
      <c r="J17" s="5646"/>
      <c r="K17" s="5646"/>
      <c r="L17" s="5646"/>
      <c r="M17" s="5646"/>
      <c r="N17" s="5647"/>
      <c r="O17" s="5651" t="s">
        <v>3365</v>
      </c>
      <c r="P17" s="5652"/>
      <c r="Q17" s="5652"/>
      <c r="R17" s="5653"/>
      <c r="S17" s="708"/>
      <c r="T17" s="676"/>
      <c r="U17" s="676"/>
      <c r="V17" s="1246"/>
      <c r="W17" s="5645" t="str">
        <f>"Desventajas: "&amp;IF(W11="","",IF(ISNA(VLOOKUP(W11,TablasTec!$AD$6:$AJ$188,6,FALSE)),"-",VLOOKUP(W11,TablasTec!$AD$6:$AJ$188,6,FALSE)))</f>
        <v xml:space="preserve">Desventajas: </v>
      </c>
      <c r="X17" s="5646"/>
      <c r="Y17" s="5646"/>
      <c r="Z17" s="5646"/>
      <c r="AA17" s="5646"/>
      <c r="AB17" s="5646"/>
      <c r="AC17" s="5646"/>
      <c r="AD17" s="5646"/>
      <c r="AE17" s="5646"/>
      <c r="AF17" s="5646"/>
      <c r="AG17" s="5646"/>
      <c r="AH17" s="5647"/>
      <c r="AI17" s="5651" t="s">
        <v>3365</v>
      </c>
      <c r="AJ17" s="5652"/>
      <c r="AK17" s="5652"/>
      <c r="AL17" s="5653"/>
      <c r="AM17" s="708"/>
      <c r="AN17" s="678"/>
      <c r="AO17" s="867"/>
      <c r="AQ17" s="1357"/>
    </row>
    <row r="18" spans="1:43" ht="12" customHeight="1">
      <c r="A18" s="676"/>
      <c r="B18" s="1242"/>
      <c r="C18" s="5648"/>
      <c r="D18" s="5649"/>
      <c r="E18" s="5649"/>
      <c r="F18" s="5649"/>
      <c r="G18" s="5649"/>
      <c r="H18" s="5649"/>
      <c r="I18" s="5649"/>
      <c r="J18" s="5649"/>
      <c r="K18" s="5649"/>
      <c r="L18" s="5649"/>
      <c r="M18" s="5649"/>
      <c r="N18" s="5650"/>
      <c r="O18" s="5654"/>
      <c r="P18" s="5655"/>
      <c r="Q18" s="5655"/>
      <c r="R18" s="5656"/>
      <c r="S18" s="708"/>
      <c r="T18" s="676"/>
      <c r="U18" s="676"/>
      <c r="V18" s="1242"/>
      <c r="W18" s="5648"/>
      <c r="X18" s="5649"/>
      <c r="Y18" s="5649"/>
      <c r="Z18" s="5649"/>
      <c r="AA18" s="5649"/>
      <c r="AB18" s="5649"/>
      <c r="AC18" s="5649"/>
      <c r="AD18" s="5649"/>
      <c r="AE18" s="5649"/>
      <c r="AF18" s="5649"/>
      <c r="AG18" s="5649"/>
      <c r="AH18" s="5650"/>
      <c r="AI18" s="5654"/>
      <c r="AJ18" s="5655"/>
      <c r="AK18" s="5655"/>
      <c r="AL18" s="5656"/>
      <c r="AM18" s="708"/>
      <c r="AN18" s="678"/>
      <c r="AO18" s="867"/>
    </row>
    <row r="19" spans="1:43" ht="12" customHeight="1">
      <c r="A19" s="676"/>
      <c r="B19" s="1246"/>
      <c r="C19" s="5663" t="str">
        <f>IF(C11="","",IF(ISNA(VLOOKUP(C11,TablasTec!$AD$6:$AJ$188,4,FALSE)),"-",VLOOKUP(C11,TablasTec!$AD$6:$AJ$188,4,FALSE)))</f>
        <v/>
      </c>
      <c r="D19" s="5664"/>
      <c r="E19" s="5664"/>
      <c r="F19" s="5664"/>
      <c r="G19" s="5664"/>
      <c r="H19" s="5664"/>
      <c r="I19" s="5664"/>
      <c r="J19" s="5664"/>
      <c r="K19" s="5664"/>
      <c r="L19" s="5664"/>
      <c r="M19" s="5664"/>
      <c r="N19" s="5664"/>
      <c r="O19" s="5657"/>
      <c r="P19" s="5658"/>
      <c r="Q19" s="5658"/>
      <c r="R19" s="5659"/>
      <c r="S19" s="708"/>
      <c r="T19" s="676"/>
      <c r="U19" s="676"/>
      <c r="V19" s="1246"/>
      <c r="W19" s="5663" t="str">
        <f>IF(W11="","",IF(ISNA(VLOOKUP(W11,TablasTec!$AD$6:$AJ$188,4,FALSE)),"-",VLOOKUP(W11,TablasTec!$AD$6:$AJ$188,4,FALSE)))</f>
        <v/>
      </c>
      <c r="X19" s="5664"/>
      <c r="Y19" s="5664"/>
      <c r="Z19" s="5664"/>
      <c r="AA19" s="5664"/>
      <c r="AB19" s="5664"/>
      <c r="AC19" s="5664"/>
      <c r="AD19" s="5664"/>
      <c r="AE19" s="5664"/>
      <c r="AF19" s="5664"/>
      <c r="AG19" s="5664"/>
      <c r="AH19" s="5664"/>
      <c r="AI19" s="5657"/>
      <c r="AJ19" s="5658"/>
      <c r="AK19" s="5658"/>
      <c r="AL19" s="5659"/>
      <c r="AM19" s="708"/>
      <c r="AN19" s="678"/>
      <c r="AO19" s="867"/>
    </row>
    <row r="20" spans="1:43" ht="12" customHeight="1" thickBot="1">
      <c r="A20" s="676"/>
      <c r="B20" s="1242"/>
      <c r="C20" s="5665"/>
      <c r="D20" s="5666"/>
      <c r="E20" s="5666"/>
      <c r="F20" s="5666"/>
      <c r="G20" s="5666"/>
      <c r="H20" s="5666"/>
      <c r="I20" s="5666"/>
      <c r="J20" s="5666"/>
      <c r="K20" s="5666"/>
      <c r="L20" s="5666"/>
      <c r="M20" s="5666"/>
      <c r="N20" s="5666"/>
      <c r="O20" s="5660"/>
      <c r="P20" s="5661"/>
      <c r="Q20" s="5661"/>
      <c r="R20" s="5662"/>
      <c r="S20" s="708"/>
      <c r="T20" s="676"/>
      <c r="U20" s="676"/>
      <c r="V20" s="1242"/>
      <c r="W20" s="5665"/>
      <c r="X20" s="5666"/>
      <c r="Y20" s="5666"/>
      <c r="Z20" s="5666"/>
      <c r="AA20" s="5666"/>
      <c r="AB20" s="5666"/>
      <c r="AC20" s="5666"/>
      <c r="AD20" s="5666"/>
      <c r="AE20" s="5666"/>
      <c r="AF20" s="5666"/>
      <c r="AG20" s="5666"/>
      <c r="AH20" s="5666"/>
      <c r="AI20" s="5660"/>
      <c r="AJ20" s="5661"/>
      <c r="AK20" s="5661"/>
      <c r="AL20" s="5662"/>
      <c r="AM20" s="708"/>
      <c r="AN20" s="678"/>
      <c r="AO20" s="867"/>
    </row>
    <row r="21" spans="1:43" ht="12" customHeight="1" thickBot="1">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2">
        <v>2</v>
      </c>
      <c r="C22" s="5627" t="s">
        <v>7700</v>
      </c>
      <c r="D22" s="5628"/>
      <c r="E22" s="5628"/>
      <c r="F22" s="5628"/>
      <c r="G22" s="5628"/>
      <c r="H22" s="5628"/>
      <c r="I22" s="5628"/>
      <c r="J22" s="5628"/>
      <c r="K22" s="5628"/>
      <c r="L22" s="5628"/>
      <c r="M22" s="5628"/>
      <c r="N22" s="5628"/>
      <c r="O22" s="5628"/>
      <c r="P22" s="5628"/>
      <c r="Q22" s="5629"/>
      <c r="R22" s="5630">
        <f>IF(C22="","",IF(ISNA(VLOOKUP(C22,TablasTec!$AD$6:$AJ$188,3,FALSE)),"-",VLOOKUP(C22,TablasTec!$AD$6:$AJ$188,3,FALSE)))</f>
        <v>20</v>
      </c>
      <c r="S22" s="763"/>
      <c r="T22" s="676"/>
      <c r="U22" s="676"/>
      <c r="V22" s="1242">
        <v>7</v>
      </c>
      <c r="W22" s="5627" t="s">
        <v>7700</v>
      </c>
      <c r="X22" s="5628"/>
      <c r="Y22" s="5628"/>
      <c r="Z22" s="5628"/>
      <c r="AA22" s="5628"/>
      <c r="AB22" s="5628"/>
      <c r="AC22" s="5628"/>
      <c r="AD22" s="5628"/>
      <c r="AE22" s="5628"/>
      <c r="AF22" s="5628"/>
      <c r="AG22" s="5628"/>
      <c r="AH22" s="5628"/>
      <c r="AI22" s="5628"/>
      <c r="AJ22" s="5628"/>
      <c r="AK22" s="5629"/>
      <c r="AL22" s="5630">
        <f>IF(W22="","",IF(ISNA(VLOOKUP(W22,TablasTec!$AD$6:$AJ$188,3,FALSE)),"-",VLOOKUP(W22,TablasTec!$AD$6:$AJ$188,3,FALSE)))</f>
        <v>20</v>
      </c>
      <c r="AM22" s="763"/>
      <c r="AN22" s="678"/>
      <c r="AO22" s="867"/>
    </row>
    <row r="23" spans="1:43" ht="12" customHeight="1">
      <c r="A23" s="676"/>
      <c r="B23" s="1242"/>
      <c r="C23" s="769" t="s">
        <v>1627</v>
      </c>
      <c r="D23" s="770">
        <f>IF(C22="","",IF(ISNA(VLOOKUP(C22,TablasTec!$AD$6:$AJ$188,2,FALSE)),"-",VLOOKUP(C22,TablasTec!$AD$6:$AJ$188,2,FALSE)))</f>
        <v>1</v>
      </c>
      <c r="E23" s="771" t="s">
        <v>2165</v>
      </c>
      <c r="F23" s="5632"/>
      <c r="G23" s="5632"/>
      <c r="H23" s="5632"/>
      <c r="I23" s="5633" t="s">
        <v>3345</v>
      </c>
      <c r="J23" s="5633"/>
      <c r="K23" s="5633"/>
      <c r="L23" s="5634" t="str">
        <f>IF(C22="","",IF(ISNA(VLOOKUP(C22,TablasTec!$AD$6:$AJ$188,7,FALSE)),"-",VLOOKUP(C22,TablasTec!$AD$6:$AJ$188,7,FALSE)))</f>
        <v xml:space="preserve">Aire </v>
      </c>
      <c r="M23" s="5634"/>
      <c r="N23" s="5634"/>
      <c r="O23" s="5634"/>
      <c r="P23" s="5634"/>
      <c r="Q23" s="5635"/>
      <c r="R23" s="5631"/>
      <c r="S23" s="708"/>
      <c r="T23" s="676"/>
      <c r="U23" s="676"/>
      <c r="V23" s="1242"/>
      <c r="W23" s="769" t="s">
        <v>1627</v>
      </c>
      <c r="X23" s="770">
        <f>IF(W22="","",IF(ISNA(VLOOKUP(W22,TablasTec!$AD$6:$AJ$188,2,FALSE)),"-",VLOOKUP(W22,TablasTec!$AD$6:$AJ$188,2,FALSE)))</f>
        <v>1</v>
      </c>
      <c r="Y23" s="771" t="s">
        <v>2165</v>
      </c>
      <c r="Z23" s="5632"/>
      <c r="AA23" s="5632"/>
      <c r="AB23" s="5632"/>
      <c r="AC23" s="5633" t="s">
        <v>3345</v>
      </c>
      <c r="AD23" s="5633"/>
      <c r="AE23" s="5633"/>
      <c r="AF23" s="5634" t="str">
        <f>IF(W22="","",IF(ISNA(VLOOKUP(W22,TablasTec!$AD$6:$AJ$188,7,FALSE)),"-",VLOOKUP(W22,TablasTec!$AD$6:$AJ$188,7,FALSE)))</f>
        <v xml:space="preserve">Aire </v>
      </c>
      <c r="AG23" s="5634"/>
      <c r="AH23" s="5634"/>
      <c r="AI23" s="5634"/>
      <c r="AJ23" s="5634"/>
      <c r="AK23" s="5635"/>
      <c r="AL23" s="5631"/>
      <c r="AM23" s="708"/>
      <c r="AN23" s="678"/>
      <c r="AO23" s="867"/>
    </row>
    <row r="24" spans="1:43" ht="12" customHeight="1">
      <c r="A24" s="676"/>
      <c r="B24" s="1242"/>
      <c r="C24" s="5636" t="str">
        <f>IF(C22="","",IF(ISNA(VLOOKUP(C22,TablasTec!$AD$6:$AJ$188,5,FALSE)),"-",VLOOKUP(C22,TablasTec!$AD$6:$AJ$188,5,FALSE)))</f>
        <v>Maniobras de Combate y Apuntar Reales -10 (Mant.)</v>
      </c>
      <c r="D24" s="5637"/>
      <c r="E24" s="5637"/>
      <c r="F24" s="5637"/>
      <c r="G24" s="5637"/>
      <c r="H24" s="5637"/>
      <c r="I24" s="5637"/>
      <c r="J24" s="5637"/>
      <c r="K24" s="5637"/>
      <c r="L24" s="5637"/>
      <c r="M24" s="5637"/>
      <c r="N24" s="5637"/>
      <c r="O24" s="5637"/>
      <c r="P24" s="5637"/>
      <c r="Q24" s="5637"/>
      <c r="R24" s="5638"/>
      <c r="S24" s="776"/>
      <c r="T24" s="775"/>
      <c r="U24" s="676"/>
      <c r="V24" s="1242"/>
      <c r="W24" s="5636" t="str">
        <f>IF(W22="","",IF(ISNA(VLOOKUP(W22,TablasTec!$AD$6:$AJ$188,5,FALSE)),"-",VLOOKUP(W22,TablasTec!$AD$6:$AJ$188,5,FALSE)))</f>
        <v>Maniobras de Combate y Apuntar Reales -10 (Mant.)</v>
      </c>
      <c r="X24" s="5637"/>
      <c r="Y24" s="5637"/>
      <c r="Z24" s="5637"/>
      <c r="AA24" s="5637"/>
      <c r="AB24" s="5637"/>
      <c r="AC24" s="5637"/>
      <c r="AD24" s="5637"/>
      <c r="AE24" s="5637"/>
      <c r="AF24" s="5637"/>
      <c r="AG24" s="5637"/>
      <c r="AH24" s="5637"/>
      <c r="AI24" s="5637"/>
      <c r="AJ24" s="5637"/>
      <c r="AK24" s="5637"/>
      <c r="AL24" s="5638"/>
      <c r="AM24" s="776"/>
      <c r="AN24" s="678"/>
      <c r="AO24" s="867"/>
    </row>
    <row r="25" spans="1:43" ht="12" customHeight="1">
      <c r="A25" s="676"/>
      <c r="B25" s="1242"/>
      <c r="C25" s="5639"/>
      <c r="D25" s="5640"/>
      <c r="E25" s="5640"/>
      <c r="F25" s="5640"/>
      <c r="G25" s="5640"/>
      <c r="H25" s="5640"/>
      <c r="I25" s="5640"/>
      <c r="J25" s="5640"/>
      <c r="K25" s="5640"/>
      <c r="L25" s="5640"/>
      <c r="M25" s="5640"/>
      <c r="N25" s="5640"/>
      <c r="O25" s="5640"/>
      <c r="P25" s="5640"/>
      <c r="Q25" s="5640"/>
      <c r="R25" s="5641"/>
      <c r="S25" s="785"/>
      <c r="T25" s="775"/>
      <c r="U25" s="676"/>
      <c r="V25" s="1242"/>
      <c r="W25" s="5639"/>
      <c r="X25" s="5640"/>
      <c r="Y25" s="5640"/>
      <c r="Z25" s="5640"/>
      <c r="AA25" s="5640"/>
      <c r="AB25" s="5640"/>
      <c r="AC25" s="5640"/>
      <c r="AD25" s="5640"/>
      <c r="AE25" s="5640"/>
      <c r="AF25" s="5640"/>
      <c r="AG25" s="5640"/>
      <c r="AH25" s="5640"/>
      <c r="AI25" s="5640"/>
      <c r="AJ25" s="5640"/>
      <c r="AK25" s="5640"/>
      <c r="AL25" s="5641"/>
      <c r="AM25" s="785"/>
      <c r="AN25" s="678"/>
      <c r="AO25" s="867"/>
    </row>
    <row r="26" spans="1:43" ht="12" customHeight="1">
      <c r="A26" s="676"/>
      <c r="B26" s="1242"/>
      <c r="C26" s="5639"/>
      <c r="D26" s="5640"/>
      <c r="E26" s="5640"/>
      <c r="F26" s="5640"/>
      <c r="G26" s="5640"/>
      <c r="H26" s="5640"/>
      <c r="I26" s="5640"/>
      <c r="J26" s="5640"/>
      <c r="K26" s="5640"/>
      <c r="L26" s="5640"/>
      <c r="M26" s="5640"/>
      <c r="N26" s="5640"/>
      <c r="O26" s="5640"/>
      <c r="P26" s="5640"/>
      <c r="Q26" s="5640"/>
      <c r="R26" s="5641"/>
      <c r="S26" s="785"/>
      <c r="T26" s="775"/>
      <c r="U26" s="676"/>
      <c r="V26" s="1242"/>
      <c r="W26" s="5639"/>
      <c r="X26" s="5640"/>
      <c r="Y26" s="5640"/>
      <c r="Z26" s="5640"/>
      <c r="AA26" s="5640"/>
      <c r="AB26" s="5640"/>
      <c r="AC26" s="5640"/>
      <c r="AD26" s="5640"/>
      <c r="AE26" s="5640"/>
      <c r="AF26" s="5640"/>
      <c r="AG26" s="5640"/>
      <c r="AH26" s="5640"/>
      <c r="AI26" s="5640"/>
      <c r="AJ26" s="5640"/>
      <c r="AK26" s="5640"/>
      <c r="AL26" s="5641"/>
      <c r="AM26" s="785"/>
      <c r="AN26" s="678"/>
      <c r="AO26" s="867"/>
    </row>
    <row r="27" spans="1:43" ht="12" customHeight="1">
      <c r="A27" s="676"/>
      <c r="B27" s="1242"/>
      <c r="C27" s="5642"/>
      <c r="D27" s="5643"/>
      <c r="E27" s="5643"/>
      <c r="F27" s="5643"/>
      <c r="G27" s="5643"/>
      <c r="H27" s="5643"/>
      <c r="I27" s="5643"/>
      <c r="J27" s="5643"/>
      <c r="K27" s="5643"/>
      <c r="L27" s="5643"/>
      <c r="M27" s="5643"/>
      <c r="N27" s="5643"/>
      <c r="O27" s="5643"/>
      <c r="P27" s="5643"/>
      <c r="Q27" s="5643"/>
      <c r="R27" s="5644"/>
      <c r="S27" s="785"/>
      <c r="T27" s="775"/>
      <c r="U27" s="676"/>
      <c r="V27" s="1242"/>
      <c r="W27" s="5642"/>
      <c r="X27" s="5643"/>
      <c r="Y27" s="5643"/>
      <c r="Z27" s="5643"/>
      <c r="AA27" s="5643"/>
      <c r="AB27" s="5643"/>
      <c r="AC27" s="5643"/>
      <c r="AD27" s="5643"/>
      <c r="AE27" s="5643"/>
      <c r="AF27" s="5643"/>
      <c r="AG27" s="5643"/>
      <c r="AH27" s="5643"/>
      <c r="AI27" s="5643"/>
      <c r="AJ27" s="5643"/>
      <c r="AK27" s="5643"/>
      <c r="AL27" s="5644"/>
      <c r="AM27" s="785"/>
      <c r="AN27" s="678"/>
      <c r="AO27" s="867"/>
    </row>
    <row r="28" spans="1:43" ht="12" customHeight="1">
      <c r="A28" s="676"/>
      <c r="B28" s="1246"/>
      <c r="C28" s="5645" t="str">
        <f>"Desventajas: "&amp;IF(C22="","",IF(ISNA(VLOOKUP(C22,TablasTec!$AD$6:$AJ$188,6,FALSE)),"-",VLOOKUP(C22,TablasTec!$AD$6:$AJ$188,6,FALSE)))</f>
        <v xml:space="preserve">Desventajas: </v>
      </c>
      <c r="D28" s="5646"/>
      <c r="E28" s="5646"/>
      <c r="F28" s="5646"/>
      <c r="G28" s="5646"/>
      <c r="H28" s="5646"/>
      <c r="I28" s="5646"/>
      <c r="J28" s="5646"/>
      <c r="K28" s="5646"/>
      <c r="L28" s="5646"/>
      <c r="M28" s="5646"/>
      <c r="N28" s="5647"/>
      <c r="O28" s="5651" t="s">
        <v>3365</v>
      </c>
      <c r="P28" s="5652"/>
      <c r="Q28" s="5652"/>
      <c r="R28" s="5653"/>
      <c r="S28" s="708"/>
      <c r="T28" s="676"/>
      <c r="U28" s="676"/>
      <c r="V28" s="1246"/>
      <c r="W28" s="5645" t="str">
        <f>"Desventajas: "&amp;IF(W22="","",IF(ISNA(VLOOKUP(W22,TablasTec!$AD$6:$AJ$188,6,FALSE)),"-",VLOOKUP(W22,TablasTec!$AD$6:$AJ$188,6,FALSE)))</f>
        <v xml:space="preserve">Desventajas: </v>
      </c>
      <c r="X28" s="5646"/>
      <c r="Y28" s="5646"/>
      <c r="Z28" s="5646"/>
      <c r="AA28" s="5646"/>
      <c r="AB28" s="5646"/>
      <c r="AC28" s="5646"/>
      <c r="AD28" s="5646"/>
      <c r="AE28" s="5646"/>
      <c r="AF28" s="5646"/>
      <c r="AG28" s="5646"/>
      <c r="AH28" s="5647"/>
      <c r="AI28" s="5651" t="s">
        <v>3365</v>
      </c>
      <c r="AJ28" s="5652"/>
      <c r="AK28" s="5652"/>
      <c r="AL28" s="5653"/>
      <c r="AM28" s="708"/>
      <c r="AN28" s="678"/>
      <c r="AO28" s="867"/>
    </row>
    <row r="29" spans="1:43" ht="12" customHeight="1">
      <c r="A29" s="676"/>
      <c r="B29" s="1242"/>
      <c r="C29" s="5648"/>
      <c r="D29" s="5649"/>
      <c r="E29" s="5649"/>
      <c r="F29" s="5649"/>
      <c r="G29" s="5649"/>
      <c r="H29" s="5649"/>
      <c r="I29" s="5649"/>
      <c r="J29" s="5649"/>
      <c r="K29" s="5649"/>
      <c r="L29" s="5649"/>
      <c r="M29" s="5649"/>
      <c r="N29" s="5650"/>
      <c r="O29" s="5654"/>
      <c r="P29" s="5655"/>
      <c r="Q29" s="5655"/>
      <c r="R29" s="5656"/>
      <c r="S29" s="708"/>
      <c r="T29" s="676"/>
      <c r="U29" s="676"/>
      <c r="V29" s="1242"/>
      <c r="W29" s="5648"/>
      <c r="X29" s="5649"/>
      <c r="Y29" s="5649"/>
      <c r="Z29" s="5649"/>
      <c r="AA29" s="5649"/>
      <c r="AB29" s="5649"/>
      <c r="AC29" s="5649"/>
      <c r="AD29" s="5649"/>
      <c r="AE29" s="5649"/>
      <c r="AF29" s="5649"/>
      <c r="AG29" s="5649"/>
      <c r="AH29" s="5650"/>
      <c r="AI29" s="5654"/>
      <c r="AJ29" s="5655"/>
      <c r="AK29" s="5655"/>
      <c r="AL29" s="5656"/>
      <c r="AM29" s="708"/>
      <c r="AN29" s="678"/>
      <c r="AO29" s="867"/>
    </row>
    <row r="30" spans="1:43" ht="12" customHeight="1">
      <c r="A30" s="676"/>
      <c r="B30" s="1246"/>
      <c r="C30" s="5663" t="str">
        <f>IF(C22="","",IF(ISNA(VLOOKUP(C22,TablasTec!$AD$6:$AJ$188,4,FALSE)),"-",VLOOKUP(C22,TablasTec!$AD$6:$AJ$188,4,FALSE)))</f>
        <v/>
      </c>
      <c r="D30" s="5664"/>
      <c r="E30" s="5664"/>
      <c r="F30" s="5664"/>
      <c r="G30" s="5664"/>
      <c r="H30" s="5664"/>
      <c r="I30" s="5664"/>
      <c r="J30" s="5664"/>
      <c r="K30" s="5664"/>
      <c r="L30" s="5664"/>
      <c r="M30" s="5664"/>
      <c r="N30" s="5664"/>
      <c r="O30" s="5657"/>
      <c r="P30" s="5658"/>
      <c r="Q30" s="5658"/>
      <c r="R30" s="5659"/>
      <c r="S30" s="708"/>
      <c r="T30" s="676"/>
      <c r="U30" s="676"/>
      <c r="V30" s="1246"/>
      <c r="W30" s="5663" t="str">
        <f>IF(W22="","",IF(ISNA(VLOOKUP(W22,TablasTec!$AD$6:$AJ$188,4,FALSE)),"-",VLOOKUP(W22,TablasTec!$AD$6:$AJ$188,4,FALSE)))</f>
        <v/>
      </c>
      <c r="X30" s="5664"/>
      <c r="Y30" s="5664"/>
      <c r="Z30" s="5664"/>
      <c r="AA30" s="5664"/>
      <c r="AB30" s="5664"/>
      <c r="AC30" s="5664"/>
      <c r="AD30" s="5664"/>
      <c r="AE30" s="5664"/>
      <c r="AF30" s="5664"/>
      <c r="AG30" s="5664"/>
      <c r="AH30" s="5664"/>
      <c r="AI30" s="5657"/>
      <c r="AJ30" s="5658"/>
      <c r="AK30" s="5658"/>
      <c r="AL30" s="5659"/>
      <c r="AM30" s="708"/>
      <c r="AN30" s="678"/>
      <c r="AO30" s="867"/>
    </row>
    <row r="31" spans="1:43" ht="12" customHeight="1" thickBot="1">
      <c r="A31" s="676"/>
      <c r="B31" s="1242"/>
      <c r="C31" s="5665"/>
      <c r="D31" s="5666"/>
      <c r="E31" s="5666"/>
      <c r="F31" s="5666"/>
      <c r="G31" s="5666"/>
      <c r="H31" s="5666"/>
      <c r="I31" s="5666"/>
      <c r="J31" s="5666"/>
      <c r="K31" s="5666"/>
      <c r="L31" s="5666"/>
      <c r="M31" s="5666"/>
      <c r="N31" s="5666"/>
      <c r="O31" s="5660"/>
      <c r="P31" s="5661"/>
      <c r="Q31" s="5661"/>
      <c r="R31" s="5662"/>
      <c r="S31" s="708"/>
      <c r="T31" s="676"/>
      <c r="U31" s="676"/>
      <c r="V31" s="1242"/>
      <c r="W31" s="5665"/>
      <c r="X31" s="5666"/>
      <c r="Y31" s="5666"/>
      <c r="Z31" s="5666"/>
      <c r="AA31" s="5666"/>
      <c r="AB31" s="5666"/>
      <c r="AC31" s="5666"/>
      <c r="AD31" s="5666"/>
      <c r="AE31" s="5666"/>
      <c r="AF31" s="5666"/>
      <c r="AG31" s="5666"/>
      <c r="AH31" s="5666"/>
      <c r="AI31" s="5660"/>
      <c r="AJ31" s="5661"/>
      <c r="AK31" s="5661"/>
      <c r="AL31" s="5662"/>
      <c r="AM31" s="708"/>
      <c r="AN31" s="678"/>
      <c r="AO31" s="867"/>
    </row>
    <row r="32" spans="1:43" ht="12" customHeight="1" thickBot="1">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2">
        <v>3</v>
      </c>
      <c r="C33" s="5627" t="s">
        <v>7700</v>
      </c>
      <c r="D33" s="5628"/>
      <c r="E33" s="5628"/>
      <c r="F33" s="5628"/>
      <c r="G33" s="5628"/>
      <c r="H33" s="5628"/>
      <c r="I33" s="5628"/>
      <c r="J33" s="5628"/>
      <c r="K33" s="5628"/>
      <c r="L33" s="5628"/>
      <c r="M33" s="5628"/>
      <c r="N33" s="5628"/>
      <c r="O33" s="5628"/>
      <c r="P33" s="5628"/>
      <c r="Q33" s="5629"/>
      <c r="R33" s="5630">
        <f>IF(C33="","",IF(ISNA(VLOOKUP(C33,TablasTec!$AD$6:$AJ$188,3,FALSE)),"-",VLOOKUP(C33,TablasTec!$AD$6:$AJ$188,3,FALSE)))</f>
        <v>20</v>
      </c>
      <c r="S33" s="763"/>
      <c r="T33" s="676"/>
      <c r="U33" s="676"/>
      <c r="V33" s="1242">
        <v>8</v>
      </c>
      <c r="W33" s="5627" t="s">
        <v>7700</v>
      </c>
      <c r="X33" s="5628"/>
      <c r="Y33" s="5628"/>
      <c r="Z33" s="5628"/>
      <c r="AA33" s="5628"/>
      <c r="AB33" s="5628"/>
      <c r="AC33" s="5628"/>
      <c r="AD33" s="5628"/>
      <c r="AE33" s="5628"/>
      <c r="AF33" s="5628"/>
      <c r="AG33" s="5628"/>
      <c r="AH33" s="5628"/>
      <c r="AI33" s="5628"/>
      <c r="AJ33" s="5628"/>
      <c r="AK33" s="5629"/>
      <c r="AL33" s="5630">
        <f>IF(W33="","",IF(ISNA(VLOOKUP(W33,TablasTec!$AD$6:$AJ$188,3,FALSE)),"-",VLOOKUP(W33,TablasTec!$AD$6:$AJ$188,3,FALSE)))</f>
        <v>20</v>
      </c>
      <c r="AM33" s="763"/>
      <c r="AN33" s="678"/>
      <c r="AO33" s="867"/>
    </row>
    <row r="34" spans="1:41" ht="12" customHeight="1">
      <c r="A34" s="676"/>
      <c r="B34" s="1242"/>
      <c r="C34" s="769" t="s">
        <v>1627</v>
      </c>
      <c r="D34" s="770">
        <f>IF(C33="","",IF(ISNA(VLOOKUP(C33,TablasTec!$AD$6:$AJ$188,2,FALSE)),"-",VLOOKUP(C33,TablasTec!$AD$6:$AJ$188,2,FALSE)))</f>
        <v>1</v>
      </c>
      <c r="E34" s="771" t="s">
        <v>2165</v>
      </c>
      <c r="F34" s="5632"/>
      <c r="G34" s="5632"/>
      <c r="H34" s="5632"/>
      <c r="I34" s="5633" t="s">
        <v>3345</v>
      </c>
      <c r="J34" s="5633"/>
      <c r="K34" s="5633"/>
      <c r="L34" s="5634" t="str">
        <f>IF(C33="","",IF(ISNA(VLOOKUP(C33,TablasTec!$AD$6:$AJ$188,7,FALSE)),"-",VLOOKUP(C33,TablasTec!$AD$6:$AJ$188,7,FALSE)))</f>
        <v xml:space="preserve">Aire </v>
      </c>
      <c r="M34" s="5634"/>
      <c r="N34" s="5634"/>
      <c r="O34" s="5634"/>
      <c r="P34" s="5634"/>
      <c r="Q34" s="5635"/>
      <c r="R34" s="5631"/>
      <c r="S34" s="708"/>
      <c r="T34" s="676"/>
      <c r="U34" s="676"/>
      <c r="V34" s="1242"/>
      <c r="W34" s="769" t="s">
        <v>1627</v>
      </c>
      <c r="X34" s="770">
        <f>IF(W33="","",IF(ISNA(VLOOKUP(W33,TablasTec!$AD$6:$AJ$188,2,FALSE)),"-",VLOOKUP(W33,TablasTec!$AD$6:$AJ$188,2,FALSE)))</f>
        <v>1</v>
      </c>
      <c r="Y34" s="771" t="s">
        <v>2165</v>
      </c>
      <c r="Z34" s="5632"/>
      <c r="AA34" s="5632"/>
      <c r="AB34" s="5632"/>
      <c r="AC34" s="5633" t="s">
        <v>3345</v>
      </c>
      <c r="AD34" s="5633"/>
      <c r="AE34" s="5633"/>
      <c r="AF34" s="5634" t="str">
        <f>IF(W33="","",IF(ISNA(VLOOKUP(W33,TablasTec!$AD$6:$AJ$188,7,FALSE)),"-",VLOOKUP(W33,TablasTec!$AD$6:$AJ$188,7,FALSE)))</f>
        <v xml:space="preserve">Aire </v>
      </c>
      <c r="AG34" s="5634"/>
      <c r="AH34" s="5634"/>
      <c r="AI34" s="5634"/>
      <c r="AJ34" s="5634"/>
      <c r="AK34" s="5635"/>
      <c r="AL34" s="5631"/>
      <c r="AM34" s="708"/>
      <c r="AN34" s="678"/>
      <c r="AO34" s="867"/>
    </row>
    <row r="35" spans="1:41" ht="12" customHeight="1">
      <c r="A35" s="676"/>
      <c r="B35" s="1242"/>
      <c r="C35" s="5636" t="str">
        <f>IF(C33="","",IF(ISNA(VLOOKUP(C33,TablasTec!$AD$6:$AJ$188,5,FALSE)),"-",VLOOKUP(C33,TablasTec!$AD$6:$AJ$188,5,FALSE)))</f>
        <v>Maniobras de Combate y Apuntar Reales -10 (Mant.)</v>
      </c>
      <c r="D35" s="5637"/>
      <c r="E35" s="5637"/>
      <c r="F35" s="5637"/>
      <c r="G35" s="5637"/>
      <c r="H35" s="5637"/>
      <c r="I35" s="5637"/>
      <c r="J35" s="5637"/>
      <c r="K35" s="5637"/>
      <c r="L35" s="5637"/>
      <c r="M35" s="5637"/>
      <c r="N35" s="5637"/>
      <c r="O35" s="5637"/>
      <c r="P35" s="5637"/>
      <c r="Q35" s="5637"/>
      <c r="R35" s="5638"/>
      <c r="S35" s="776"/>
      <c r="T35" s="775"/>
      <c r="U35" s="676"/>
      <c r="V35" s="1242"/>
      <c r="W35" s="5636" t="str">
        <f>IF(W33="","",IF(ISNA(VLOOKUP(W33,TablasTec!$AD$6:$AJ$188,5,FALSE)),"-",VLOOKUP(W33,TablasTec!$AD$6:$AJ$188,5,FALSE)))</f>
        <v>Maniobras de Combate y Apuntar Reales -10 (Mant.)</v>
      </c>
      <c r="X35" s="5637"/>
      <c r="Y35" s="5637"/>
      <c r="Z35" s="5637"/>
      <c r="AA35" s="5637"/>
      <c r="AB35" s="5637"/>
      <c r="AC35" s="5637"/>
      <c r="AD35" s="5637"/>
      <c r="AE35" s="5637"/>
      <c r="AF35" s="5637"/>
      <c r="AG35" s="5637"/>
      <c r="AH35" s="5637"/>
      <c r="AI35" s="5637"/>
      <c r="AJ35" s="5637"/>
      <c r="AK35" s="5637"/>
      <c r="AL35" s="5638"/>
      <c r="AM35" s="776"/>
      <c r="AN35" s="678"/>
      <c r="AO35" s="867"/>
    </row>
    <row r="36" spans="1:41" ht="12" customHeight="1">
      <c r="A36" s="676"/>
      <c r="B36" s="1242"/>
      <c r="C36" s="5639"/>
      <c r="D36" s="5640"/>
      <c r="E36" s="5640"/>
      <c r="F36" s="5640"/>
      <c r="G36" s="5640"/>
      <c r="H36" s="5640"/>
      <c r="I36" s="5640"/>
      <c r="J36" s="5640"/>
      <c r="K36" s="5640"/>
      <c r="L36" s="5640"/>
      <c r="M36" s="5640"/>
      <c r="N36" s="5640"/>
      <c r="O36" s="5640"/>
      <c r="P36" s="5640"/>
      <c r="Q36" s="5640"/>
      <c r="R36" s="5641"/>
      <c r="S36" s="785"/>
      <c r="T36" s="775"/>
      <c r="U36" s="676"/>
      <c r="V36" s="1242"/>
      <c r="W36" s="5639"/>
      <c r="X36" s="5640"/>
      <c r="Y36" s="5640"/>
      <c r="Z36" s="5640"/>
      <c r="AA36" s="5640"/>
      <c r="AB36" s="5640"/>
      <c r="AC36" s="5640"/>
      <c r="AD36" s="5640"/>
      <c r="AE36" s="5640"/>
      <c r="AF36" s="5640"/>
      <c r="AG36" s="5640"/>
      <c r="AH36" s="5640"/>
      <c r="AI36" s="5640"/>
      <c r="AJ36" s="5640"/>
      <c r="AK36" s="5640"/>
      <c r="AL36" s="5641"/>
      <c r="AM36" s="785"/>
      <c r="AN36" s="678"/>
      <c r="AO36" s="867"/>
    </row>
    <row r="37" spans="1:41" ht="12" customHeight="1">
      <c r="A37" s="676"/>
      <c r="B37" s="1242"/>
      <c r="C37" s="5639"/>
      <c r="D37" s="5640"/>
      <c r="E37" s="5640"/>
      <c r="F37" s="5640"/>
      <c r="G37" s="5640"/>
      <c r="H37" s="5640"/>
      <c r="I37" s="5640"/>
      <c r="J37" s="5640"/>
      <c r="K37" s="5640"/>
      <c r="L37" s="5640"/>
      <c r="M37" s="5640"/>
      <c r="N37" s="5640"/>
      <c r="O37" s="5640"/>
      <c r="P37" s="5640"/>
      <c r="Q37" s="5640"/>
      <c r="R37" s="5641"/>
      <c r="S37" s="785"/>
      <c r="T37" s="775"/>
      <c r="U37" s="676"/>
      <c r="V37" s="1242"/>
      <c r="W37" s="5639"/>
      <c r="X37" s="5640"/>
      <c r="Y37" s="5640"/>
      <c r="Z37" s="5640"/>
      <c r="AA37" s="5640"/>
      <c r="AB37" s="5640"/>
      <c r="AC37" s="5640"/>
      <c r="AD37" s="5640"/>
      <c r="AE37" s="5640"/>
      <c r="AF37" s="5640"/>
      <c r="AG37" s="5640"/>
      <c r="AH37" s="5640"/>
      <c r="AI37" s="5640"/>
      <c r="AJ37" s="5640"/>
      <c r="AK37" s="5640"/>
      <c r="AL37" s="5641"/>
      <c r="AM37" s="785"/>
      <c r="AN37" s="678"/>
      <c r="AO37" s="867"/>
    </row>
    <row r="38" spans="1:41" ht="12" customHeight="1">
      <c r="A38" s="676"/>
      <c r="B38" s="1242"/>
      <c r="C38" s="5642"/>
      <c r="D38" s="5643"/>
      <c r="E38" s="5643"/>
      <c r="F38" s="5643"/>
      <c r="G38" s="5643"/>
      <c r="H38" s="5643"/>
      <c r="I38" s="5643"/>
      <c r="J38" s="5643"/>
      <c r="K38" s="5643"/>
      <c r="L38" s="5643"/>
      <c r="M38" s="5643"/>
      <c r="N38" s="5643"/>
      <c r="O38" s="5643"/>
      <c r="P38" s="5643"/>
      <c r="Q38" s="5643"/>
      <c r="R38" s="5644"/>
      <c r="S38" s="785"/>
      <c r="T38" s="775"/>
      <c r="U38" s="676"/>
      <c r="V38" s="1242"/>
      <c r="W38" s="5642"/>
      <c r="X38" s="5643"/>
      <c r="Y38" s="5643"/>
      <c r="Z38" s="5643"/>
      <c r="AA38" s="5643"/>
      <c r="AB38" s="5643"/>
      <c r="AC38" s="5643"/>
      <c r="AD38" s="5643"/>
      <c r="AE38" s="5643"/>
      <c r="AF38" s="5643"/>
      <c r="AG38" s="5643"/>
      <c r="AH38" s="5643"/>
      <c r="AI38" s="5643"/>
      <c r="AJ38" s="5643"/>
      <c r="AK38" s="5643"/>
      <c r="AL38" s="5644"/>
      <c r="AM38" s="785"/>
      <c r="AN38" s="678"/>
      <c r="AO38" s="867"/>
    </row>
    <row r="39" spans="1:41" ht="12" customHeight="1">
      <c r="A39" s="676"/>
      <c r="B39" s="1246"/>
      <c r="C39" s="5645" t="str">
        <f>"Desventajas: "&amp;IF(C33="","",IF(ISNA(VLOOKUP(C33,TablasTec!$AD$6:$AJ$188,6,FALSE)),"-",VLOOKUP(C33,TablasTec!$AD$6:$AJ$188,6,FALSE)))</f>
        <v xml:space="preserve">Desventajas: </v>
      </c>
      <c r="D39" s="5646"/>
      <c r="E39" s="5646"/>
      <c r="F39" s="5646"/>
      <c r="G39" s="5646"/>
      <c r="H39" s="5646"/>
      <c r="I39" s="5646"/>
      <c r="J39" s="5646"/>
      <c r="K39" s="5646"/>
      <c r="L39" s="5646"/>
      <c r="M39" s="5646"/>
      <c r="N39" s="5647"/>
      <c r="O39" s="5651" t="s">
        <v>3365</v>
      </c>
      <c r="P39" s="5652"/>
      <c r="Q39" s="5652"/>
      <c r="R39" s="5653"/>
      <c r="S39" s="708"/>
      <c r="T39" s="676"/>
      <c r="U39" s="676"/>
      <c r="V39" s="1246"/>
      <c r="W39" s="5645" t="str">
        <f>"Desventajas: "&amp;IF(W33="","",IF(ISNA(VLOOKUP(W33,TablasTec!$AD$6:$AJ$188,6,FALSE)),"-",VLOOKUP(W33,TablasTec!$AD$6:$AJ$188,6,FALSE)))</f>
        <v xml:space="preserve">Desventajas: </v>
      </c>
      <c r="X39" s="5646"/>
      <c r="Y39" s="5646"/>
      <c r="Z39" s="5646"/>
      <c r="AA39" s="5646"/>
      <c r="AB39" s="5646"/>
      <c r="AC39" s="5646"/>
      <c r="AD39" s="5646"/>
      <c r="AE39" s="5646"/>
      <c r="AF39" s="5646"/>
      <c r="AG39" s="5646"/>
      <c r="AH39" s="5647"/>
      <c r="AI39" s="5651" t="s">
        <v>3365</v>
      </c>
      <c r="AJ39" s="5652"/>
      <c r="AK39" s="5652"/>
      <c r="AL39" s="5653"/>
      <c r="AM39" s="708"/>
      <c r="AN39" s="678"/>
      <c r="AO39" s="867"/>
    </row>
    <row r="40" spans="1:41" ht="12" customHeight="1">
      <c r="A40" s="676"/>
      <c r="B40" s="1242"/>
      <c r="C40" s="5648"/>
      <c r="D40" s="5649"/>
      <c r="E40" s="5649"/>
      <c r="F40" s="5649"/>
      <c r="G40" s="5649"/>
      <c r="H40" s="5649"/>
      <c r="I40" s="5649"/>
      <c r="J40" s="5649"/>
      <c r="K40" s="5649"/>
      <c r="L40" s="5649"/>
      <c r="M40" s="5649"/>
      <c r="N40" s="5650"/>
      <c r="O40" s="5654"/>
      <c r="P40" s="5655"/>
      <c r="Q40" s="5655"/>
      <c r="R40" s="5656"/>
      <c r="S40" s="708"/>
      <c r="T40" s="676"/>
      <c r="U40" s="676"/>
      <c r="V40" s="1242"/>
      <c r="W40" s="5648"/>
      <c r="X40" s="5649"/>
      <c r="Y40" s="5649"/>
      <c r="Z40" s="5649"/>
      <c r="AA40" s="5649"/>
      <c r="AB40" s="5649"/>
      <c r="AC40" s="5649"/>
      <c r="AD40" s="5649"/>
      <c r="AE40" s="5649"/>
      <c r="AF40" s="5649"/>
      <c r="AG40" s="5649"/>
      <c r="AH40" s="5650"/>
      <c r="AI40" s="5654"/>
      <c r="AJ40" s="5655"/>
      <c r="AK40" s="5655"/>
      <c r="AL40" s="5656"/>
      <c r="AM40" s="708"/>
      <c r="AN40" s="678"/>
      <c r="AO40" s="867"/>
    </row>
    <row r="41" spans="1:41" ht="12" customHeight="1">
      <c r="A41" s="676"/>
      <c r="B41" s="1246"/>
      <c r="C41" s="5663" t="str">
        <f>IF(C33="","",IF(ISNA(VLOOKUP(C33,TablasTec!$AD$6:$AJ$188,4,FALSE)),"-",VLOOKUP(C33,TablasTec!$AD$6:$AJ$188,4,FALSE)))</f>
        <v/>
      </c>
      <c r="D41" s="5664"/>
      <c r="E41" s="5664"/>
      <c r="F41" s="5664"/>
      <c r="G41" s="5664"/>
      <c r="H41" s="5664"/>
      <c r="I41" s="5664"/>
      <c r="J41" s="5664"/>
      <c r="K41" s="5664"/>
      <c r="L41" s="5664"/>
      <c r="M41" s="5664"/>
      <c r="N41" s="5664"/>
      <c r="O41" s="5657"/>
      <c r="P41" s="5658"/>
      <c r="Q41" s="5658"/>
      <c r="R41" s="5659"/>
      <c r="S41" s="708"/>
      <c r="T41" s="676"/>
      <c r="U41" s="676"/>
      <c r="V41" s="1246"/>
      <c r="W41" s="5663" t="str">
        <f>IF(W33="","",IF(ISNA(VLOOKUP(W33,TablasTec!$AD$6:$AJ$188,4,FALSE)),"-",VLOOKUP(W33,TablasTec!$AD$6:$AJ$188,4,FALSE)))</f>
        <v/>
      </c>
      <c r="X41" s="5664"/>
      <c r="Y41" s="5664"/>
      <c r="Z41" s="5664"/>
      <c r="AA41" s="5664"/>
      <c r="AB41" s="5664"/>
      <c r="AC41" s="5664"/>
      <c r="AD41" s="5664"/>
      <c r="AE41" s="5664"/>
      <c r="AF41" s="5664"/>
      <c r="AG41" s="5664"/>
      <c r="AH41" s="5664"/>
      <c r="AI41" s="5657"/>
      <c r="AJ41" s="5658"/>
      <c r="AK41" s="5658"/>
      <c r="AL41" s="5659"/>
      <c r="AM41" s="708"/>
      <c r="AN41" s="678"/>
      <c r="AO41" s="867"/>
    </row>
    <row r="42" spans="1:41" ht="12" customHeight="1" thickBot="1">
      <c r="A42" s="676"/>
      <c r="B42" s="1242"/>
      <c r="C42" s="5665"/>
      <c r="D42" s="5666"/>
      <c r="E42" s="5666"/>
      <c r="F42" s="5666"/>
      <c r="G42" s="5666"/>
      <c r="H42" s="5666"/>
      <c r="I42" s="5666"/>
      <c r="J42" s="5666"/>
      <c r="K42" s="5666"/>
      <c r="L42" s="5666"/>
      <c r="M42" s="5666"/>
      <c r="N42" s="5666"/>
      <c r="O42" s="5660"/>
      <c r="P42" s="5661"/>
      <c r="Q42" s="5661"/>
      <c r="R42" s="5662"/>
      <c r="S42" s="708"/>
      <c r="T42" s="676"/>
      <c r="U42" s="676"/>
      <c r="V42" s="1242"/>
      <c r="W42" s="5665"/>
      <c r="X42" s="5666"/>
      <c r="Y42" s="5666"/>
      <c r="Z42" s="5666"/>
      <c r="AA42" s="5666"/>
      <c r="AB42" s="5666"/>
      <c r="AC42" s="5666"/>
      <c r="AD42" s="5666"/>
      <c r="AE42" s="5666"/>
      <c r="AF42" s="5666"/>
      <c r="AG42" s="5666"/>
      <c r="AH42" s="5666"/>
      <c r="AI42" s="5660"/>
      <c r="AJ42" s="5661"/>
      <c r="AK42" s="5661"/>
      <c r="AL42" s="5662"/>
      <c r="AM42" s="708"/>
      <c r="AN42" s="678"/>
      <c r="AO42" s="867"/>
    </row>
    <row r="43" spans="1:41" ht="12" customHeight="1" thickBot="1">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2">
        <v>4</v>
      </c>
      <c r="C44" s="5627" t="s">
        <v>7700</v>
      </c>
      <c r="D44" s="5628"/>
      <c r="E44" s="5628"/>
      <c r="F44" s="5628"/>
      <c r="G44" s="5628"/>
      <c r="H44" s="5628"/>
      <c r="I44" s="5628"/>
      <c r="J44" s="5628"/>
      <c r="K44" s="5628"/>
      <c r="L44" s="5628"/>
      <c r="M44" s="5628"/>
      <c r="N44" s="5628"/>
      <c r="O44" s="5628"/>
      <c r="P44" s="5628"/>
      <c r="Q44" s="5629"/>
      <c r="R44" s="5630">
        <f>IF(C44="","",IF(ISNA(VLOOKUP(C44,TablasTec!$AD$6:$AJ$188,3,FALSE)),"-",VLOOKUP(C44,TablasTec!$AD$6:$AJ$188,3,FALSE)))</f>
        <v>20</v>
      </c>
      <c r="S44" s="763"/>
      <c r="T44" s="676"/>
      <c r="U44" s="676"/>
      <c r="V44" s="1242">
        <v>9</v>
      </c>
      <c r="W44" s="5627" t="s">
        <v>7700</v>
      </c>
      <c r="X44" s="5628"/>
      <c r="Y44" s="5628"/>
      <c r="Z44" s="5628"/>
      <c r="AA44" s="5628"/>
      <c r="AB44" s="5628"/>
      <c r="AC44" s="5628"/>
      <c r="AD44" s="5628"/>
      <c r="AE44" s="5628"/>
      <c r="AF44" s="5628"/>
      <c r="AG44" s="5628"/>
      <c r="AH44" s="5628"/>
      <c r="AI44" s="5628"/>
      <c r="AJ44" s="5628"/>
      <c r="AK44" s="5629"/>
      <c r="AL44" s="5630">
        <f>IF(W44="","",IF(ISNA(VLOOKUP(W44,TablasTec!$AD$6:$AJ$188,3,FALSE)),"-",VLOOKUP(W44,TablasTec!$AD$6:$AJ$188,3,FALSE)))</f>
        <v>20</v>
      </c>
      <c r="AM44" s="763"/>
      <c r="AN44" s="678"/>
      <c r="AO44" s="867"/>
    </row>
    <row r="45" spans="1:41" ht="12" customHeight="1">
      <c r="A45" s="676"/>
      <c r="B45" s="1242"/>
      <c r="C45" s="769" t="s">
        <v>1627</v>
      </c>
      <c r="D45" s="770">
        <f>IF(C44="","",IF(ISNA(VLOOKUP(C44,TablasTec!$AD$6:$AJ$188,2,FALSE)),"-",VLOOKUP(C44,TablasTec!$AD$6:$AJ$188,2,FALSE)))</f>
        <v>1</v>
      </c>
      <c r="E45" s="771" t="s">
        <v>2165</v>
      </c>
      <c r="F45" s="5632"/>
      <c r="G45" s="5632"/>
      <c r="H45" s="5632"/>
      <c r="I45" s="5633" t="s">
        <v>3345</v>
      </c>
      <c r="J45" s="5633"/>
      <c r="K45" s="5633"/>
      <c r="L45" s="5634" t="str">
        <f>IF(C44="","",IF(ISNA(VLOOKUP(C44,TablasTec!$AD$6:$AJ$188,7,FALSE)),"-",VLOOKUP(C44,TablasTec!$AD$6:$AJ$188,7,FALSE)))</f>
        <v xml:space="preserve">Aire </v>
      </c>
      <c r="M45" s="5634"/>
      <c r="N45" s="5634"/>
      <c r="O45" s="5634"/>
      <c r="P45" s="5634"/>
      <c r="Q45" s="5635"/>
      <c r="R45" s="5631"/>
      <c r="S45" s="708"/>
      <c r="T45" s="676"/>
      <c r="U45" s="676"/>
      <c r="V45" s="1242"/>
      <c r="W45" s="769" t="s">
        <v>1627</v>
      </c>
      <c r="X45" s="770">
        <f>IF(W44="","",IF(ISNA(VLOOKUP(W44,TablasTec!$AD$6:$AJ$188,2,FALSE)),"-",VLOOKUP(W44,TablasTec!$AD$6:$AJ$188,2,FALSE)))</f>
        <v>1</v>
      </c>
      <c r="Y45" s="771" t="s">
        <v>2165</v>
      </c>
      <c r="Z45" s="5632"/>
      <c r="AA45" s="5632"/>
      <c r="AB45" s="5632"/>
      <c r="AC45" s="5633" t="s">
        <v>3345</v>
      </c>
      <c r="AD45" s="5633"/>
      <c r="AE45" s="5633"/>
      <c r="AF45" s="5634" t="str">
        <f>IF(W44="","",IF(ISNA(VLOOKUP(W44,TablasTec!$AD$6:$AJ$188,7,FALSE)),"-",VLOOKUP(W44,TablasTec!$AD$6:$AJ$188,7,FALSE)))</f>
        <v xml:space="preserve">Aire </v>
      </c>
      <c r="AG45" s="5634"/>
      <c r="AH45" s="5634"/>
      <c r="AI45" s="5634"/>
      <c r="AJ45" s="5634"/>
      <c r="AK45" s="5635"/>
      <c r="AL45" s="5631"/>
      <c r="AM45" s="708"/>
      <c r="AN45" s="678"/>
      <c r="AO45" s="867"/>
    </row>
    <row r="46" spans="1:41" ht="12" customHeight="1">
      <c r="A46" s="676"/>
      <c r="B46" s="1242"/>
      <c r="C46" s="5636" t="str">
        <f>IF(C44="","",IF(ISNA(VLOOKUP(C44,TablasTec!$AD$6:$AJ$188,5,FALSE)),"-",VLOOKUP(C44,TablasTec!$AD$6:$AJ$188,5,FALSE)))</f>
        <v>Maniobras de Combate y Apuntar Reales -10 (Mant.)</v>
      </c>
      <c r="D46" s="5637"/>
      <c r="E46" s="5637"/>
      <c r="F46" s="5637"/>
      <c r="G46" s="5637"/>
      <c r="H46" s="5637"/>
      <c r="I46" s="5637"/>
      <c r="J46" s="5637"/>
      <c r="K46" s="5637"/>
      <c r="L46" s="5637"/>
      <c r="M46" s="5637"/>
      <c r="N46" s="5637"/>
      <c r="O46" s="5637"/>
      <c r="P46" s="5637"/>
      <c r="Q46" s="5637"/>
      <c r="R46" s="5638"/>
      <c r="S46" s="776"/>
      <c r="T46" s="775"/>
      <c r="U46" s="676"/>
      <c r="V46" s="1242"/>
      <c r="W46" s="5636" t="str">
        <f>IF(W44="","",IF(ISNA(VLOOKUP(W44,TablasTec!$AD$6:$AJ$188,5,FALSE)),"-",VLOOKUP(W44,TablasTec!$AD$6:$AJ$188,5,FALSE)))</f>
        <v>Maniobras de Combate y Apuntar Reales -10 (Mant.)</v>
      </c>
      <c r="X46" s="5637"/>
      <c r="Y46" s="5637"/>
      <c r="Z46" s="5637"/>
      <c r="AA46" s="5637"/>
      <c r="AB46" s="5637"/>
      <c r="AC46" s="5637"/>
      <c r="AD46" s="5637"/>
      <c r="AE46" s="5637"/>
      <c r="AF46" s="5637"/>
      <c r="AG46" s="5637"/>
      <c r="AH46" s="5637"/>
      <c r="AI46" s="5637"/>
      <c r="AJ46" s="5637"/>
      <c r="AK46" s="5637"/>
      <c r="AL46" s="5638"/>
      <c r="AM46" s="776"/>
      <c r="AN46" s="678"/>
      <c r="AO46" s="867"/>
    </row>
    <row r="47" spans="1:41" ht="12" customHeight="1">
      <c r="A47" s="676"/>
      <c r="B47" s="1242"/>
      <c r="C47" s="5639"/>
      <c r="D47" s="5640"/>
      <c r="E47" s="5640"/>
      <c r="F47" s="5640"/>
      <c r="G47" s="5640"/>
      <c r="H47" s="5640"/>
      <c r="I47" s="5640"/>
      <c r="J47" s="5640"/>
      <c r="K47" s="5640"/>
      <c r="L47" s="5640"/>
      <c r="M47" s="5640"/>
      <c r="N47" s="5640"/>
      <c r="O47" s="5640"/>
      <c r="P47" s="5640"/>
      <c r="Q47" s="5640"/>
      <c r="R47" s="5641"/>
      <c r="S47" s="785"/>
      <c r="T47" s="775"/>
      <c r="U47" s="676"/>
      <c r="V47" s="1242"/>
      <c r="W47" s="5639"/>
      <c r="X47" s="5640"/>
      <c r="Y47" s="5640"/>
      <c r="Z47" s="5640"/>
      <c r="AA47" s="5640"/>
      <c r="AB47" s="5640"/>
      <c r="AC47" s="5640"/>
      <c r="AD47" s="5640"/>
      <c r="AE47" s="5640"/>
      <c r="AF47" s="5640"/>
      <c r="AG47" s="5640"/>
      <c r="AH47" s="5640"/>
      <c r="AI47" s="5640"/>
      <c r="AJ47" s="5640"/>
      <c r="AK47" s="5640"/>
      <c r="AL47" s="5641"/>
      <c r="AM47" s="785"/>
      <c r="AN47" s="678"/>
      <c r="AO47" s="867"/>
    </row>
    <row r="48" spans="1:41" ht="12" customHeight="1">
      <c r="A48" s="676"/>
      <c r="B48" s="1242"/>
      <c r="C48" s="5639"/>
      <c r="D48" s="5640"/>
      <c r="E48" s="5640"/>
      <c r="F48" s="5640"/>
      <c r="G48" s="5640"/>
      <c r="H48" s="5640"/>
      <c r="I48" s="5640"/>
      <c r="J48" s="5640"/>
      <c r="K48" s="5640"/>
      <c r="L48" s="5640"/>
      <c r="M48" s="5640"/>
      <c r="N48" s="5640"/>
      <c r="O48" s="5640"/>
      <c r="P48" s="5640"/>
      <c r="Q48" s="5640"/>
      <c r="R48" s="5641"/>
      <c r="S48" s="785"/>
      <c r="T48" s="775"/>
      <c r="U48" s="676"/>
      <c r="V48" s="1242"/>
      <c r="W48" s="5639"/>
      <c r="X48" s="5640"/>
      <c r="Y48" s="5640"/>
      <c r="Z48" s="5640"/>
      <c r="AA48" s="5640"/>
      <c r="AB48" s="5640"/>
      <c r="AC48" s="5640"/>
      <c r="AD48" s="5640"/>
      <c r="AE48" s="5640"/>
      <c r="AF48" s="5640"/>
      <c r="AG48" s="5640"/>
      <c r="AH48" s="5640"/>
      <c r="AI48" s="5640"/>
      <c r="AJ48" s="5640"/>
      <c r="AK48" s="5640"/>
      <c r="AL48" s="5641"/>
      <c r="AM48" s="785"/>
      <c r="AN48" s="678"/>
      <c r="AO48" s="867"/>
    </row>
    <row r="49" spans="1:41" ht="12" customHeight="1">
      <c r="A49" s="676"/>
      <c r="B49" s="1242"/>
      <c r="C49" s="5642"/>
      <c r="D49" s="5643"/>
      <c r="E49" s="5643"/>
      <c r="F49" s="5643"/>
      <c r="G49" s="5643"/>
      <c r="H49" s="5643"/>
      <c r="I49" s="5643"/>
      <c r="J49" s="5643"/>
      <c r="K49" s="5643"/>
      <c r="L49" s="5643"/>
      <c r="M49" s="5643"/>
      <c r="N49" s="5643"/>
      <c r="O49" s="5643"/>
      <c r="P49" s="5643"/>
      <c r="Q49" s="5643"/>
      <c r="R49" s="5644"/>
      <c r="S49" s="785"/>
      <c r="T49" s="775"/>
      <c r="U49" s="676"/>
      <c r="V49" s="1242"/>
      <c r="W49" s="5642"/>
      <c r="X49" s="5643"/>
      <c r="Y49" s="5643"/>
      <c r="Z49" s="5643"/>
      <c r="AA49" s="5643"/>
      <c r="AB49" s="5643"/>
      <c r="AC49" s="5643"/>
      <c r="AD49" s="5643"/>
      <c r="AE49" s="5643"/>
      <c r="AF49" s="5643"/>
      <c r="AG49" s="5643"/>
      <c r="AH49" s="5643"/>
      <c r="AI49" s="5643"/>
      <c r="AJ49" s="5643"/>
      <c r="AK49" s="5643"/>
      <c r="AL49" s="5644"/>
      <c r="AM49" s="785"/>
      <c r="AN49" s="678"/>
      <c r="AO49" s="867"/>
    </row>
    <row r="50" spans="1:41" ht="12" customHeight="1">
      <c r="A50" s="676"/>
      <c r="B50" s="1246"/>
      <c r="C50" s="5645" t="str">
        <f>"Desventajas: "&amp;IF(C44="","",IF(ISNA(VLOOKUP(C44,TablasTec!$AD$6:$AJ$188,6,FALSE)),"-",VLOOKUP(C44,TablasTec!$AD$6:$AJ$188,6,FALSE)))</f>
        <v xml:space="preserve">Desventajas: </v>
      </c>
      <c r="D50" s="5646"/>
      <c r="E50" s="5646"/>
      <c r="F50" s="5646"/>
      <c r="G50" s="5646"/>
      <c r="H50" s="5646"/>
      <c r="I50" s="5646"/>
      <c r="J50" s="5646"/>
      <c r="K50" s="5646"/>
      <c r="L50" s="5646"/>
      <c r="M50" s="5646"/>
      <c r="N50" s="5647"/>
      <c r="O50" s="5651" t="s">
        <v>3365</v>
      </c>
      <c r="P50" s="5652"/>
      <c r="Q50" s="5652"/>
      <c r="R50" s="5653"/>
      <c r="S50" s="708"/>
      <c r="T50" s="676"/>
      <c r="U50" s="676"/>
      <c r="V50" s="1246"/>
      <c r="W50" s="5645" t="str">
        <f>"Desventajas: "&amp;IF(W44="","",IF(ISNA(VLOOKUP(W44,TablasTec!$AD$6:$AJ$188,6,FALSE)),"-",VLOOKUP(W44,TablasTec!$AD$6:$AJ$188,6,FALSE)))</f>
        <v xml:space="preserve">Desventajas: </v>
      </c>
      <c r="X50" s="5646"/>
      <c r="Y50" s="5646"/>
      <c r="Z50" s="5646"/>
      <c r="AA50" s="5646"/>
      <c r="AB50" s="5646"/>
      <c r="AC50" s="5646"/>
      <c r="AD50" s="5646"/>
      <c r="AE50" s="5646"/>
      <c r="AF50" s="5646"/>
      <c r="AG50" s="5646"/>
      <c r="AH50" s="5647"/>
      <c r="AI50" s="5651" t="s">
        <v>3365</v>
      </c>
      <c r="AJ50" s="5652"/>
      <c r="AK50" s="5652"/>
      <c r="AL50" s="5653"/>
      <c r="AM50" s="708"/>
      <c r="AN50" s="678"/>
      <c r="AO50" s="867"/>
    </row>
    <row r="51" spans="1:41" ht="12" customHeight="1">
      <c r="A51" s="676"/>
      <c r="B51" s="1242"/>
      <c r="C51" s="5648"/>
      <c r="D51" s="5649"/>
      <c r="E51" s="5649"/>
      <c r="F51" s="5649"/>
      <c r="G51" s="5649"/>
      <c r="H51" s="5649"/>
      <c r="I51" s="5649"/>
      <c r="J51" s="5649"/>
      <c r="K51" s="5649"/>
      <c r="L51" s="5649"/>
      <c r="M51" s="5649"/>
      <c r="N51" s="5650"/>
      <c r="O51" s="5654"/>
      <c r="P51" s="5655"/>
      <c r="Q51" s="5655"/>
      <c r="R51" s="5656"/>
      <c r="S51" s="708"/>
      <c r="T51" s="676"/>
      <c r="U51" s="676"/>
      <c r="V51" s="1242"/>
      <c r="W51" s="5648"/>
      <c r="X51" s="5649"/>
      <c r="Y51" s="5649"/>
      <c r="Z51" s="5649"/>
      <c r="AA51" s="5649"/>
      <c r="AB51" s="5649"/>
      <c r="AC51" s="5649"/>
      <c r="AD51" s="5649"/>
      <c r="AE51" s="5649"/>
      <c r="AF51" s="5649"/>
      <c r="AG51" s="5649"/>
      <c r="AH51" s="5650"/>
      <c r="AI51" s="5654"/>
      <c r="AJ51" s="5655"/>
      <c r="AK51" s="5655"/>
      <c r="AL51" s="5656"/>
      <c r="AM51" s="708"/>
      <c r="AN51" s="678"/>
      <c r="AO51" s="867"/>
    </row>
    <row r="52" spans="1:41" ht="12" customHeight="1">
      <c r="A52" s="676"/>
      <c r="B52" s="1246"/>
      <c r="C52" s="5663" t="str">
        <f>IF(C44="","",IF(ISNA(VLOOKUP(C44,TablasTec!$AD$6:$AJ$188,4,FALSE)),"-",VLOOKUP(C44,TablasTec!$AD$6:$AJ$188,4,FALSE)))</f>
        <v/>
      </c>
      <c r="D52" s="5664"/>
      <c r="E52" s="5664"/>
      <c r="F52" s="5664"/>
      <c r="G52" s="5664"/>
      <c r="H52" s="5664"/>
      <c r="I52" s="5664"/>
      <c r="J52" s="5664"/>
      <c r="K52" s="5664"/>
      <c r="L52" s="5664"/>
      <c r="M52" s="5664"/>
      <c r="N52" s="5664"/>
      <c r="O52" s="5657"/>
      <c r="P52" s="5658"/>
      <c r="Q52" s="5658"/>
      <c r="R52" s="5659"/>
      <c r="S52" s="708"/>
      <c r="T52" s="676"/>
      <c r="U52" s="676"/>
      <c r="V52" s="1246"/>
      <c r="W52" s="5663" t="str">
        <f>IF(W44="","",IF(ISNA(VLOOKUP(W44,TablasTec!$AD$6:$AJ$188,4,FALSE)),"-",VLOOKUP(W44,TablasTec!$AD$6:$AJ$188,4,FALSE)))</f>
        <v/>
      </c>
      <c r="X52" s="5664"/>
      <c r="Y52" s="5664"/>
      <c r="Z52" s="5664"/>
      <c r="AA52" s="5664"/>
      <c r="AB52" s="5664"/>
      <c r="AC52" s="5664"/>
      <c r="AD52" s="5664"/>
      <c r="AE52" s="5664"/>
      <c r="AF52" s="5664"/>
      <c r="AG52" s="5664"/>
      <c r="AH52" s="5664"/>
      <c r="AI52" s="5657"/>
      <c r="AJ52" s="5658"/>
      <c r="AK52" s="5658"/>
      <c r="AL52" s="5659"/>
      <c r="AM52" s="708"/>
      <c r="AN52" s="678"/>
      <c r="AO52" s="867"/>
    </row>
    <row r="53" spans="1:41" ht="12" customHeight="1" thickBot="1">
      <c r="A53" s="676"/>
      <c r="B53" s="1242"/>
      <c r="C53" s="5665"/>
      <c r="D53" s="5666"/>
      <c r="E53" s="5666"/>
      <c r="F53" s="5666"/>
      <c r="G53" s="5666"/>
      <c r="H53" s="5666"/>
      <c r="I53" s="5666"/>
      <c r="J53" s="5666"/>
      <c r="K53" s="5666"/>
      <c r="L53" s="5666"/>
      <c r="M53" s="5666"/>
      <c r="N53" s="5666"/>
      <c r="O53" s="5660"/>
      <c r="P53" s="5661"/>
      <c r="Q53" s="5661"/>
      <c r="R53" s="5662"/>
      <c r="S53" s="708"/>
      <c r="T53" s="676"/>
      <c r="U53" s="676"/>
      <c r="V53" s="1242"/>
      <c r="W53" s="5665"/>
      <c r="X53" s="5666"/>
      <c r="Y53" s="5666"/>
      <c r="Z53" s="5666"/>
      <c r="AA53" s="5666"/>
      <c r="AB53" s="5666"/>
      <c r="AC53" s="5666"/>
      <c r="AD53" s="5666"/>
      <c r="AE53" s="5666"/>
      <c r="AF53" s="5666"/>
      <c r="AG53" s="5666"/>
      <c r="AH53" s="5666"/>
      <c r="AI53" s="5660"/>
      <c r="AJ53" s="5661"/>
      <c r="AK53" s="5661"/>
      <c r="AL53" s="5662"/>
      <c r="AM53" s="708"/>
      <c r="AN53" s="678"/>
      <c r="AO53" s="867"/>
    </row>
    <row r="54" spans="1:41" ht="12" customHeight="1" thickBot="1">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2">
        <v>5</v>
      </c>
      <c r="C55" s="5627" t="s">
        <v>7700</v>
      </c>
      <c r="D55" s="5628"/>
      <c r="E55" s="5628"/>
      <c r="F55" s="5628"/>
      <c r="G55" s="5628"/>
      <c r="H55" s="5628"/>
      <c r="I55" s="5628"/>
      <c r="J55" s="5628"/>
      <c r="K55" s="5628"/>
      <c r="L55" s="5628"/>
      <c r="M55" s="5628"/>
      <c r="N55" s="5628"/>
      <c r="O55" s="5628"/>
      <c r="P55" s="5628"/>
      <c r="Q55" s="5629"/>
      <c r="R55" s="5630">
        <f>IF(C55="","",IF(ISNA(VLOOKUP(C55,TablasTec!$AD$6:$AJ$188,3,FALSE)),"-",VLOOKUP(C55,TablasTec!$AD$6:$AJ$188,3,FALSE)))</f>
        <v>20</v>
      </c>
      <c r="S55" s="763"/>
      <c r="T55" s="676"/>
      <c r="U55" s="676"/>
      <c r="V55" s="1242">
        <v>10</v>
      </c>
      <c r="W55" s="5627" t="s">
        <v>7700</v>
      </c>
      <c r="X55" s="5628"/>
      <c r="Y55" s="5628"/>
      <c r="Z55" s="5628"/>
      <c r="AA55" s="5628"/>
      <c r="AB55" s="5628"/>
      <c r="AC55" s="5628"/>
      <c r="AD55" s="5628"/>
      <c r="AE55" s="5628"/>
      <c r="AF55" s="5628"/>
      <c r="AG55" s="5628"/>
      <c r="AH55" s="5628"/>
      <c r="AI55" s="5628"/>
      <c r="AJ55" s="5628"/>
      <c r="AK55" s="5629"/>
      <c r="AL55" s="5630">
        <f>IF(W55="","",IF(ISNA(VLOOKUP(W55,TablasTec!$AD$6:$AJ$188,3,FALSE)),"-",VLOOKUP(W55,TablasTec!$AD$6:$AJ$188,3,FALSE)))</f>
        <v>20</v>
      </c>
      <c r="AM55" s="763"/>
      <c r="AN55" s="678"/>
      <c r="AO55" s="867"/>
    </row>
    <row r="56" spans="1:41" ht="12" customHeight="1">
      <c r="A56" s="676"/>
      <c r="B56" s="1242"/>
      <c r="C56" s="769" t="s">
        <v>1627</v>
      </c>
      <c r="D56" s="770">
        <f>IF(C55="","",IF(ISNA(VLOOKUP(C55,TablasTec!$AD$6:$AJ$188,2,FALSE)),"-",VLOOKUP(C55,TablasTec!$AD$6:$AJ$188,2,FALSE)))</f>
        <v>1</v>
      </c>
      <c r="E56" s="771" t="s">
        <v>2165</v>
      </c>
      <c r="F56" s="5632"/>
      <c r="G56" s="5632"/>
      <c r="H56" s="5632"/>
      <c r="I56" s="5633" t="s">
        <v>3345</v>
      </c>
      <c r="J56" s="5633"/>
      <c r="K56" s="5633"/>
      <c r="L56" s="5634" t="str">
        <f>IF(C55="","",IF(ISNA(VLOOKUP(C55,TablasTec!$AD$6:$AJ$188,7,FALSE)),"-",VLOOKUP(C55,TablasTec!$AD$6:$AJ$188,7,FALSE)))</f>
        <v xml:space="preserve">Aire </v>
      </c>
      <c r="M56" s="5634"/>
      <c r="N56" s="5634"/>
      <c r="O56" s="5634"/>
      <c r="P56" s="5634"/>
      <c r="Q56" s="5635"/>
      <c r="R56" s="5631"/>
      <c r="S56" s="708"/>
      <c r="T56" s="676"/>
      <c r="U56" s="676"/>
      <c r="V56" s="1242"/>
      <c r="W56" s="769" t="s">
        <v>1627</v>
      </c>
      <c r="X56" s="770">
        <f>IF(W55="","",IF(ISNA(VLOOKUP(W55,TablasTec!$AD$6:$AJ$188,2,FALSE)),"-",VLOOKUP(W55,TablasTec!$AD$6:$AJ$188,2,FALSE)))</f>
        <v>1</v>
      </c>
      <c r="Y56" s="771" t="s">
        <v>2165</v>
      </c>
      <c r="Z56" s="5632"/>
      <c r="AA56" s="5632"/>
      <c r="AB56" s="5632"/>
      <c r="AC56" s="5633" t="s">
        <v>3345</v>
      </c>
      <c r="AD56" s="5633"/>
      <c r="AE56" s="5633"/>
      <c r="AF56" s="5634" t="str">
        <f>IF(W55="","",IF(ISNA(VLOOKUP(W55,TablasTec!$AD$6:$AJ$188,7,FALSE)),"-",VLOOKUP(W55,TablasTec!$AD$6:$AJ$188,7,FALSE)))</f>
        <v xml:space="preserve">Aire </v>
      </c>
      <c r="AG56" s="5634"/>
      <c r="AH56" s="5634"/>
      <c r="AI56" s="5634"/>
      <c r="AJ56" s="5634"/>
      <c r="AK56" s="5635"/>
      <c r="AL56" s="5631"/>
      <c r="AM56" s="708"/>
      <c r="AN56" s="678"/>
      <c r="AO56" s="867"/>
    </row>
    <row r="57" spans="1:41" ht="12" customHeight="1">
      <c r="A57" s="676"/>
      <c r="B57" s="1242"/>
      <c r="C57" s="5636" t="str">
        <f>IF(C55="","",IF(ISNA(VLOOKUP(C55,TablasTec!$AD$6:$AJ$188,5,FALSE)),"-",VLOOKUP(C55,TablasTec!$AD$6:$AJ$188,5,FALSE)))</f>
        <v>Maniobras de Combate y Apuntar Reales -10 (Mant.)</v>
      </c>
      <c r="D57" s="5637"/>
      <c r="E57" s="5637"/>
      <c r="F57" s="5637"/>
      <c r="G57" s="5637"/>
      <c r="H57" s="5637"/>
      <c r="I57" s="5637"/>
      <c r="J57" s="5637"/>
      <c r="K57" s="5637"/>
      <c r="L57" s="5637"/>
      <c r="M57" s="5637"/>
      <c r="N57" s="5637"/>
      <c r="O57" s="5637"/>
      <c r="P57" s="5637"/>
      <c r="Q57" s="5637"/>
      <c r="R57" s="5638"/>
      <c r="S57" s="776"/>
      <c r="T57" s="775"/>
      <c r="U57" s="676"/>
      <c r="V57" s="1242"/>
      <c r="W57" s="5636" t="str">
        <f>IF(W55="","",IF(ISNA(VLOOKUP(W55,TablasTec!$AD$6:$AJ$188,5,FALSE)),"-",VLOOKUP(W55,TablasTec!$AD$6:$AJ$188,5,FALSE)))</f>
        <v>Maniobras de Combate y Apuntar Reales -10 (Mant.)</v>
      </c>
      <c r="X57" s="5637"/>
      <c r="Y57" s="5637"/>
      <c r="Z57" s="5637"/>
      <c r="AA57" s="5637"/>
      <c r="AB57" s="5637"/>
      <c r="AC57" s="5637"/>
      <c r="AD57" s="5637"/>
      <c r="AE57" s="5637"/>
      <c r="AF57" s="5637"/>
      <c r="AG57" s="5637"/>
      <c r="AH57" s="5637"/>
      <c r="AI57" s="5637"/>
      <c r="AJ57" s="5637"/>
      <c r="AK57" s="5637"/>
      <c r="AL57" s="5638"/>
      <c r="AM57" s="776"/>
      <c r="AN57" s="678"/>
      <c r="AO57" s="867"/>
    </row>
    <row r="58" spans="1:41" ht="12" customHeight="1">
      <c r="A58" s="676"/>
      <c r="B58" s="1242"/>
      <c r="C58" s="5639"/>
      <c r="D58" s="5640"/>
      <c r="E58" s="5640"/>
      <c r="F58" s="5640"/>
      <c r="G58" s="5640"/>
      <c r="H58" s="5640"/>
      <c r="I58" s="5640"/>
      <c r="J58" s="5640"/>
      <c r="K58" s="5640"/>
      <c r="L58" s="5640"/>
      <c r="M58" s="5640"/>
      <c r="N58" s="5640"/>
      <c r="O58" s="5640"/>
      <c r="P58" s="5640"/>
      <c r="Q58" s="5640"/>
      <c r="R58" s="5641"/>
      <c r="S58" s="785"/>
      <c r="T58" s="775"/>
      <c r="U58" s="676"/>
      <c r="V58" s="1242"/>
      <c r="W58" s="5639"/>
      <c r="X58" s="5640"/>
      <c r="Y58" s="5640"/>
      <c r="Z58" s="5640"/>
      <c r="AA58" s="5640"/>
      <c r="AB58" s="5640"/>
      <c r="AC58" s="5640"/>
      <c r="AD58" s="5640"/>
      <c r="AE58" s="5640"/>
      <c r="AF58" s="5640"/>
      <c r="AG58" s="5640"/>
      <c r="AH58" s="5640"/>
      <c r="AI58" s="5640"/>
      <c r="AJ58" s="5640"/>
      <c r="AK58" s="5640"/>
      <c r="AL58" s="5641"/>
      <c r="AM58" s="785"/>
      <c r="AN58" s="678"/>
      <c r="AO58" s="867"/>
    </row>
    <row r="59" spans="1:41" ht="12" customHeight="1">
      <c r="A59" s="676"/>
      <c r="B59" s="1242"/>
      <c r="C59" s="5639"/>
      <c r="D59" s="5640"/>
      <c r="E59" s="5640"/>
      <c r="F59" s="5640"/>
      <c r="G59" s="5640"/>
      <c r="H59" s="5640"/>
      <c r="I59" s="5640"/>
      <c r="J59" s="5640"/>
      <c r="K59" s="5640"/>
      <c r="L59" s="5640"/>
      <c r="M59" s="5640"/>
      <c r="N59" s="5640"/>
      <c r="O59" s="5640"/>
      <c r="P59" s="5640"/>
      <c r="Q59" s="5640"/>
      <c r="R59" s="5641"/>
      <c r="S59" s="785"/>
      <c r="T59" s="775"/>
      <c r="U59" s="676"/>
      <c r="V59" s="1242"/>
      <c r="W59" s="5639"/>
      <c r="X59" s="5640"/>
      <c r="Y59" s="5640"/>
      <c r="Z59" s="5640"/>
      <c r="AA59" s="5640"/>
      <c r="AB59" s="5640"/>
      <c r="AC59" s="5640"/>
      <c r="AD59" s="5640"/>
      <c r="AE59" s="5640"/>
      <c r="AF59" s="5640"/>
      <c r="AG59" s="5640"/>
      <c r="AH59" s="5640"/>
      <c r="AI59" s="5640"/>
      <c r="AJ59" s="5640"/>
      <c r="AK59" s="5640"/>
      <c r="AL59" s="5641"/>
      <c r="AM59" s="785"/>
      <c r="AN59" s="678"/>
      <c r="AO59" s="867"/>
    </row>
    <row r="60" spans="1:41" ht="12" customHeight="1">
      <c r="A60" s="676"/>
      <c r="B60" s="1242"/>
      <c r="C60" s="5642"/>
      <c r="D60" s="5643"/>
      <c r="E60" s="5643"/>
      <c r="F60" s="5643"/>
      <c r="G60" s="5643"/>
      <c r="H60" s="5643"/>
      <c r="I60" s="5643"/>
      <c r="J60" s="5643"/>
      <c r="K60" s="5643"/>
      <c r="L60" s="5643"/>
      <c r="M60" s="5643"/>
      <c r="N60" s="5643"/>
      <c r="O60" s="5643"/>
      <c r="P60" s="5643"/>
      <c r="Q60" s="5643"/>
      <c r="R60" s="5644"/>
      <c r="S60" s="785"/>
      <c r="T60" s="775"/>
      <c r="U60" s="676"/>
      <c r="V60" s="1242"/>
      <c r="W60" s="5642"/>
      <c r="X60" s="5643"/>
      <c r="Y60" s="5643"/>
      <c r="Z60" s="5643"/>
      <c r="AA60" s="5643"/>
      <c r="AB60" s="5643"/>
      <c r="AC60" s="5643"/>
      <c r="AD60" s="5643"/>
      <c r="AE60" s="5643"/>
      <c r="AF60" s="5643"/>
      <c r="AG60" s="5643"/>
      <c r="AH60" s="5643"/>
      <c r="AI60" s="5643"/>
      <c r="AJ60" s="5643"/>
      <c r="AK60" s="5643"/>
      <c r="AL60" s="5644"/>
      <c r="AM60" s="785"/>
      <c r="AN60" s="678"/>
      <c r="AO60" s="867"/>
    </row>
    <row r="61" spans="1:41" ht="12" customHeight="1">
      <c r="A61" s="676"/>
      <c r="B61" s="1246"/>
      <c r="C61" s="5645" t="str">
        <f>"Desventajas: "&amp;IF(C55="","",IF(ISNA(VLOOKUP(C55,TablasTec!$AD$6:$AJ$188,6,FALSE)),"-",VLOOKUP(C55,TablasTec!$AD$6:$AJ$188,6,FALSE)))</f>
        <v xml:space="preserve">Desventajas: </v>
      </c>
      <c r="D61" s="5646"/>
      <c r="E61" s="5646"/>
      <c r="F61" s="5646"/>
      <c r="G61" s="5646"/>
      <c r="H61" s="5646"/>
      <c r="I61" s="5646"/>
      <c r="J61" s="5646"/>
      <c r="K61" s="5646"/>
      <c r="L61" s="5646"/>
      <c r="M61" s="5646"/>
      <c r="N61" s="5647"/>
      <c r="O61" s="5651" t="s">
        <v>3365</v>
      </c>
      <c r="P61" s="5652"/>
      <c r="Q61" s="5652"/>
      <c r="R61" s="5653"/>
      <c r="S61" s="708"/>
      <c r="T61" s="676"/>
      <c r="U61" s="676"/>
      <c r="V61" s="1246"/>
      <c r="W61" s="5645" t="str">
        <f>"Desventajas: "&amp;IF(W55="","",IF(ISNA(VLOOKUP(W55,TablasTec!$AD$6:$AJ$188,6,FALSE)),"-",VLOOKUP(W55,TablasTec!$AD$6:$AJ$188,6,FALSE)))</f>
        <v xml:space="preserve">Desventajas: </v>
      </c>
      <c r="X61" s="5646"/>
      <c r="Y61" s="5646"/>
      <c r="Z61" s="5646"/>
      <c r="AA61" s="5646"/>
      <c r="AB61" s="5646"/>
      <c r="AC61" s="5646"/>
      <c r="AD61" s="5646"/>
      <c r="AE61" s="5646"/>
      <c r="AF61" s="5646"/>
      <c r="AG61" s="5646"/>
      <c r="AH61" s="5647"/>
      <c r="AI61" s="5651" t="s">
        <v>3365</v>
      </c>
      <c r="AJ61" s="5652"/>
      <c r="AK61" s="5652"/>
      <c r="AL61" s="5653"/>
      <c r="AM61" s="708"/>
      <c r="AN61" s="678"/>
      <c r="AO61" s="867"/>
    </row>
    <row r="62" spans="1:41" ht="12" customHeight="1">
      <c r="A62" s="676"/>
      <c r="B62" s="1242"/>
      <c r="C62" s="5648"/>
      <c r="D62" s="5649"/>
      <c r="E62" s="5649"/>
      <c r="F62" s="5649"/>
      <c r="G62" s="5649"/>
      <c r="H62" s="5649"/>
      <c r="I62" s="5649"/>
      <c r="J62" s="5649"/>
      <c r="K62" s="5649"/>
      <c r="L62" s="5649"/>
      <c r="M62" s="5649"/>
      <c r="N62" s="5650"/>
      <c r="O62" s="5654"/>
      <c r="P62" s="5655"/>
      <c r="Q62" s="5655"/>
      <c r="R62" s="5656"/>
      <c r="S62" s="708"/>
      <c r="T62" s="676"/>
      <c r="U62" s="676"/>
      <c r="V62" s="1242"/>
      <c r="W62" s="5648"/>
      <c r="X62" s="5649"/>
      <c r="Y62" s="5649"/>
      <c r="Z62" s="5649"/>
      <c r="AA62" s="5649"/>
      <c r="AB62" s="5649"/>
      <c r="AC62" s="5649"/>
      <c r="AD62" s="5649"/>
      <c r="AE62" s="5649"/>
      <c r="AF62" s="5649"/>
      <c r="AG62" s="5649"/>
      <c r="AH62" s="5650"/>
      <c r="AI62" s="5654"/>
      <c r="AJ62" s="5655"/>
      <c r="AK62" s="5655"/>
      <c r="AL62" s="5656"/>
      <c r="AM62" s="708"/>
      <c r="AN62" s="678"/>
      <c r="AO62" s="867"/>
    </row>
    <row r="63" spans="1:41" ht="12" customHeight="1">
      <c r="A63" s="676"/>
      <c r="B63" s="1246"/>
      <c r="C63" s="5663" t="str">
        <f>IF(C55="","",IF(ISNA(VLOOKUP(C55,TablasTec!$AD$6:$AJ$188,4,FALSE)),"-",VLOOKUP(C55,TablasTec!$AD$6:$AJ$188,4,FALSE)))</f>
        <v/>
      </c>
      <c r="D63" s="5664"/>
      <c r="E63" s="5664"/>
      <c r="F63" s="5664"/>
      <c r="G63" s="5664"/>
      <c r="H63" s="5664"/>
      <c r="I63" s="5664"/>
      <c r="J63" s="5664"/>
      <c r="K63" s="5664"/>
      <c r="L63" s="5664"/>
      <c r="M63" s="5664"/>
      <c r="N63" s="5664"/>
      <c r="O63" s="5657"/>
      <c r="P63" s="5658"/>
      <c r="Q63" s="5658"/>
      <c r="R63" s="5659"/>
      <c r="S63" s="708"/>
      <c r="T63" s="676"/>
      <c r="U63" s="676"/>
      <c r="V63" s="1246"/>
      <c r="W63" s="5663" t="str">
        <f>IF(W55="","",IF(ISNA(VLOOKUP(W55,TablasTec!$AD$6:$AJ$188,4,FALSE)),"-",VLOOKUP(W55,TablasTec!$AD$6:$AJ$188,4,FALSE)))</f>
        <v/>
      </c>
      <c r="X63" s="5664"/>
      <c r="Y63" s="5664"/>
      <c r="Z63" s="5664"/>
      <c r="AA63" s="5664"/>
      <c r="AB63" s="5664"/>
      <c r="AC63" s="5664"/>
      <c r="AD63" s="5664"/>
      <c r="AE63" s="5664"/>
      <c r="AF63" s="5664"/>
      <c r="AG63" s="5664"/>
      <c r="AH63" s="5664"/>
      <c r="AI63" s="5657"/>
      <c r="AJ63" s="5658"/>
      <c r="AK63" s="5658"/>
      <c r="AL63" s="5659"/>
      <c r="AM63" s="708"/>
      <c r="AN63" s="678"/>
      <c r="AO63" s="867"/>
    </row>
    <row r="64" spans="1:41" ht="12" customHeight="1" thickBot="1">
      <c r="A64" s="676"/>
      <c r="B64" s="1242"/>
      <c r="C64" s="5665"/>
      <c r="D64" s="5666"/>
      <c r="E64" s="5666"/>
      <c r="F64" s="5666"/>
      <c r="G64" s="5666"/>
      <c r="H64" s="5666"/>
      <c r="I64" s="5666"/>
      <c r="J64" s="5666"/>
      <c r="K64" s="5666"/>
      <c r="L64" s="5666"/>
      <c r="M64" s="5666"/>
      <c r="N64" s="5666"/>
      <c r="O64" s="5660"/>
      <c r="P64" s="5661"/>
      <c r="Q64" s="5661"/>
      <c r="R64" s="5662"/>
      <c r="S64" s="708"/>
      <c r="T64" s="676"/>
      <c r="U64" s="676"/>
      <c r="V64" s="1242"/>
      <c r="W64" s="5665"/>
      <c r="X64" s="5666"/>
      <c r="Y64" s="5666"/>
      <c r="Z64" s="5666"/>
      <c r="AA64" s="5666"/>
      <c r="AB64" s="5666"/>
      <c r="AC64" s="5666"/>
      <c r="AD64" s="5666"/>
      <c r="AE64" s="5666"/>
      <c r="AF64" s="5666"/>
      <c r="AG64" s="5666"/>
      <c r="AH64" s="5666"/>
      <c r="AI64" s="5660"/>
      <c r="AJ64" s="5661"/>
      <c r="AK64" s="5661"/>
      <c r="AL64" s="5662"/>
      <c r="AM64" s="708"/>
      <c r="AN64" s="678"/>
      <c r="AO64" s="867"/>
    </row>
    <row r="65" spans="1:41" ht="12" customHeight="1">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8"/>
      <c r="C67" s="812"/>
      <c r="D67" s="812"/>
      <c r="E67" s="812"/>
      <c r="F67" s="812"/>
      <c r="G67" s="812"/>
      <c r="H67" s="812"/>
      <c r="I67" s="812"/>
      <c r="J67" s="5667" t="s">
        <v>3605</v>
      </c>
      <c r="K67" s="5667"/>
      <c r="L67" s="812"/>
      <c r="M67" s="812"/>
      <c r="N67" s="812"/>
      <c r="O67" s="812"/>
      <c r="P67" s="812"/>
      <c r="Q67" s="812"/>
      <c r="R67" s="812"/>
      <c r="S67" s="813"/>
      <c r="T67" s="678"/>
      <c r="U67" s="677"/>
      <c r="V67" s="1248"/>
      <c r="W67" s="812"/>
      <c r="X67" s="812"/>
      <c r="Y67" s="812"/>
      <c r="Z67" s="812"/>
      <c r="AA67" s="812"/>
      <c r="AB67" s="812"/>
      <c r="AC67" s="812"/>
      <c r="AD67" s="5667" t="s">
        <v>3606</v>
      </c>
      <c r="AE67" s="5667"/>
      <c r="AF67" s="812"/>
      <c r="AG67" s="812"/>
      <c r="AH67" s="812"/>
      <c r="AI67" s="812"/>
      <c r="AJ67" s="812"/>
      <c r="AK67" s="812"/>
      <c r="AL67" s="812"/>
      <c r="AM67" s="813"/>
      <c r="AN67" s="678"/>
      <c r="AO67" s="867"/>
    </row>
    <row r="68" spans="1:41" ht="12" customHeight="1">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TablasTec!$AD$4:$AD$188</xm:f>
          </x14:formula1>
          <xm:sqref>C11:Q11 C44:Q44 C55:Q55 W55:AK55 C33:Q33 W44:AK44 C22:Q22 W22:AK22 W33:AK33 W11:AK11</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703"/>
      <c r="D3" s="4704"/>
      <c r="E3" s="4704"/>
      <c r="F3" s="4704"/>
      <c r="G3" s="4704"/>
      <c r="H3" s="4704"/>
      <c r="I3" s="1112"/>
      <c r="J3" s="1112"/>
      <c r="K3" s="1112"/>
      <c r="L3" s="1112"/>
      <c r="M3" s="1112"/>
      <c r="N3" s="1112"/>
      <c r="O3" s="1112"/>
      <c r="P3" s="1112"/>
      <c r="Q3" s="1113"/>
      <c r="R3" s="1114"/>
      <c r="S3" s="1108"/>
      <c r="T3" s="1108"/>
      <c r="U3" s="520"/>
      <c r="V3" s="4703"/>
      <c r="W3" s="4704"/>
      <c r="X3" s="4704"/>
      <c r="Y3" s="4704"/>
      <c r="Z3" s="4704"/>
      <c r="AA3" s="4704"/>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705"/>
      <c r="D4" s="4706"/>
      <c r="E4" s="4706"/>
      <c r="F4" s="4706"/>
      <c r="G4" s="4706"/>
      <c r="H4" s="4706"/>
      <c r="I4" s="1117"/>
      <c r="J4" s="4709" t="s">
        <v>1625</v>
      </c>
      <c r="K4" s="4710"/>
      <c r="L4" s="3224" t="str">
        <f>IF(OR(General!$G$22="",General!$G$22=0),"",General!$G$22)</f>
        <v/>
      </c>
      <c r="M4" s="3224"/>
      <c r="N4" s="3224"/>
      <c r="O4" s="3224"/>
      <c r="P4" s="3224"/>
      <c r="Q4" s="718"/>
      <c r="R4" s="1114"/>
      <c r="S4" s="1108"/>
      <c r="T4" s="1108"/>
      <c r="U4" s="520"/>
      <c r="V4" s="4705"/>
      <c r="W4" s="4706"/>
      <c r="X4" s="4706"/>
      <c r="Y4" s="4706"/>
      <c r="Z4" s="4706"/>
      <c r="AA4" s="4706"/>
      <c r="AB4" s="1117"/>
      <c r="AC4" s="4701" t="s">
        <v>2115</v>
      </c>
      <c r="AD4" s="4702"/>
      <c r="AE4" s="4702"/>
      <c r="AF4" s="4702"/>
      <c r="AG4" s="4702"/>
      <c r="AH4" s="4702"/>
      <c r="AI4" s="4702"/>
      <c r="AJ4" s="718"/>
      <c r="AK4" s="1114"/>
      <c r="AL4" s="1108"/>
      <c r="AM4" s="1115"/>
      <c r="AN4" s="1115"/>
      <c r="AO4" s="1115"/>
      <c r="AP4" s="1118"/>
      <c r="AQ4" s="1118"/>
      <c r="AR4" s="1116"/>
      <c r="AS4" s="603"/>
    </row>
    <row r="5" spans="1:45" ht="12" customHeight="1">
      <c r="A5" s="1108"/>
      <c r="B5" s="520"/>
      <c r="C5" s="4705"/>
      <c r="D5" s="4706"/>
      <c r="E5" s="4706"/>
      <c r="F5" s="4706"/>
      <c r="G5" s="4706"/>
      <c r="H5" s="4706"/>
      <c r="I5" s="1117"/>
      <c r="J5" s="4697" t="s">
        <v>1626</v>
      </c>
      <c r="K5" s="4698"/>
      <c r="L5" s="4699" t="str">
        <f>Principal!$L$5</f>
        <v>Guerrero</v>
      </c>
      <c r="M5" s="4700"/>
      <c r="N5" s="4700"/>
      <c r="O5" s="1119" t="s">
        <v>1627</v>
      </c>
      <c r="P5" s="1120" t="str">
        <f>Principal!$P$5</f>
        <v>1 + 2</v>
      </c>
      <c r="Q5" s="1121"/>
      <c r="R5" s="1114"/>
      <c r="S5" s="1108"/>
      <c r="T5" s="1108"/>
      <c r="U5" s="520"/>
      <c r="V5" s="4705"/>
      <c r="W5" s="4706"/>
      <c r="X5" s="4706"/>
      <c r="Y5" s="4706"/>
      <c r="Z5" s="4706"/>
      <c r="AA5" s="4706"/>
      <c r="AB5" s="1117"/>
      <c r="AC5" s="4702"/>
      <c r="AD5" s="4702"/>
      <c r="AE5" s="4702"/>
      <c r="AF5" s="4702"/>
      <c r="AG5" s="4702"/>
      <c r="AH5" s="4702"/>
      <c r="AI5" s="4702"/>
      <c r="AJ5" s="1121"/>
      <c r="AK5" s="1114"/>
      <c r="AL5" s="1108"/>
      <c r="AM5" s="1122"/>
      <c r="AN5" s="1122"/>
      <c r="AO5" s="1122"/>
      <c r="AP5" s="1123"/>
      <c r="AQ5" s="1123"/>
      <c r="AR5" s="1116"/>
      <c r="AS5" s="603"/>
    </row>
    <row r="6" spans="1:45" ht="12" customHeight="1">
      <c r="A6" s="1108"/>
      <c r="B6" s="520"/>
      <c r="C6" s="4705"/>
      <c r="D6" s="4706"/>
      <c r="E6" s="4706"/>
      <c r="F6" s="4706"/>
      <c r="G6" s="4706"/>
      <c r="H6" s="4706"/>
      <c r="I6" s="1117"/>
      <c r="J6" s="4701" t="s">
        <v>7690</v>
      </c>
      <c r="K6" s="4702"/>
      <c r="L6" s="4702"/>
      <c r="M6" s="4702"/>
      <c r="N6" s="4702"/>
      <c r="O6" s="4702"/>
      <c r="P6" s="4702"/>
      <c r="Q6" s="1121"/>
      <c r="R6" s="1114"/>
      <c r="S6" s="1108"/>
      <c r="T6" s="1108"/>
      <c r="U6" s="520"/>
      <c r="V6" s="4705"/>
      <c r="W6" s="4706"/>
      <c r="X6" s="4706"/>
      <c r="Y6" s="4706"/>
      <c r="Z6" s="4706"/>
      <c r="AA6" s="4706"/>
      <c r="AB6" s="1117"/>
      <c r="AC6" s="5570"/>
      <c r="AD6" s="5571"/>
      <c r="AE6" s="5571"/>
      <c r="AF6" s="5571"/>
      <c r="AG6" s="5571"/>
      <c r="AH6" s="5571"/>
      <c r="AI6" s="5571"/>
      <c r="AJ6" s="1121"/>
      <c r="AK6" s="1114"/>
      <c r="AL6" s="1108"/>
      <c r="AM6" s="1124"/>
      <c r="AN6" s="1124"/>
      <c r="AO6" s="1124"/>
      <c r="AP6" s="1125"/>
      <c r="AQ6" s="1125"/>
      <c r="AR6" s="1116"/>
      <c r="AS6" s="603"/>
    </row>
    <row r="7" spans="1:45" ht="12" customHeight="1">
      <c r="A7" s="1108"/>
      <c r="B7" s="520"/>
      <c r="C7" s="4705"/>
      <c r="D7" s="4706"/>
      <c r="E7" s="4706"/>
      <c r="F7" s="4706"/>
      <c r="G7" s="4706"/>
      <c r="H7" s="4706"/>
      <c r="I7" s="1117"/>
      <c r="J7" s="4702"/>
      <c r="K7" s="4702"/>
      <c r="L7" s="4702"/>
      <c r="M7" s="4702"/>
      <c r="N7" s="4702"/>
      <c r="O7" s="4702"/>
      <c r="P7" s="4702"/>
      <c r="Q7" s="1121"/>
      <c r="R7" s="1114"/>
      <c r="S7" s="1108"/>
      <c r="T7" s="1108"/>
      <c r="U7" s="520"/>
      <c r="V7" s="4705"/>
      <c r="W7" s="4706"/>
      <c r="X7" s="4706"/>
      <c r="Y7" s="4706"/>
      <c r="Z7" s="4706"/>
      <c r="AA7" s="4706"/>
      <c r="AB7" s="1117"/>
      <c r="AC7" s="5571"/>
      <c r="AD7" s="5571"/>
      <c r="AE7" s="5571"/>
      <c r="AF7" s="5571"/>
      <c r="AG7" s="5571"/>
      <c r="AH7" s="5571"/>
      <c r="AI7" s="5571"/>
      <c r="AJ7" s="1121"/>
      <c r="AK7" s="1114"/>
      <c r="AL7" s="1108"/>
      <c r="AM7" s="1122"/>
      <c r="AN7" s="1122"/>
      <c r="AO7" s="1122"/>
      <c r="AP7" s="1123"/>
      <c r="AQ7" s="1123"/>
      <c r="AR7" s="1116"/>
      <c r="AS7" s="603"/>
    </row>
    <row r="8" spans="1:45" ht="12" customHeight="1" thickBot="1">
      <c r="A8" s="1108"/>
      <c r="B8" s="520"/>
      <c r="C8" s="4707"/>
      <c r="D8" s="4708"/>
      <c r="E8" s="4708"/>
      <c r="F8" s="4708"/>
      <c r="G8" s="4708"/>
      <c r="H8" s="4708"/>
      <c r="I8" s="1126"/>
      <c r="J8" s="1126"/>
      <c r="K8" s="1126"/>
      <c r="L8" s="1126"/>
      <c r="M8" s="1126"/>
      <c r="N8" s="1126"/>
      <c r="O8" s="1126"/>
      <c r="P8" s="1126"/>
      <c r="Q8" s="1127"/>
      <c r="R8" s="1114"/>
      <c r="S8" s="1108"/>
      <c r="T8" s="1108"/>
      <c r="U8" s="520"/>
      <c r="V8" s="4707"/>
      <c r="W8" s="4708"/>
      <c r="X8" s="4708"/>
      <c r="Y8" s="4708"/>
      <c r="Z8" s="4708"/>
      <c r="AA8" s="4708"/>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565"/>
      <c r="D10" s="5566"/>
      <c r="E10" s="5566"/>
      <c r="F10" s="5566"/>
      <c r="G10" s="5566"/>
      <c r="H10" s="5566"/>
      <c r="I10" s="1161" t="s">
        <v>1712</v>
      </c>
      <c r="K10" s="5565"/>
      <c r="L10" s="5566"/>
      <c r="M10" s="5566"/>
      <c r="N10" s="5566"/>
      <c r="O10" s="5566"/>
      <c r="P10" s="5566"/>
      <c r="Q10" s="1161" t="s">
        <v>1712</v>
      </c>
      <c r="R10" s="1114"/>
      <c r="S10" s="1108"/>
      <c r="T10" s="1108"/>
      <c r="U10" s="520"/>
      <c r="V10" s="5565"/>
      <c r="W10" s="5566"/>
      <c r="X10" s="5566"/>
      <c r="Y10" s="5566"/>
      <c r="Z10" s="5566"/>
      <c r="AA10" s="5566"/>
      <c r="AB10" s="1161" t="s">
        <v>1712</v>
      </c>
      <c r="AC10" s="1162"/>
      <c r="AD10" s="5565"/>
      <c r="AE10" s="5566"/>
      <c r="AF10" s="5566"/>
      <c r="AG10" s="5566"/>
      <c r="AH10" s="5566"/>
      <c r="AI10" s="5566"/>
      <c r="AJ10" s="1161" t="s">
        <v>1712</v>
      </c>
      <c r="AK10" s="1114"/>
      <c r="AL10" s="1108"/>
      <c r="AM10" s="1124"/>
      <c r="AN10" s="1124"/>
      <c r="AO10" s="1124"/>
      <c r="AP10" s="1125"/>
      <c r="AQ10" s="1125"/>
      <c r="AR10" s="1116"/>
      <c r="AS10" s="603"/>
    </row>
    <row r="11" spans="1:45" ht="12" customHeight="1">
      <c r="A11" s="1108"/>
      <c r="B11" s="520"/>
      <c r="C11" s="5668" t="str">
        <f>IF(C10=0,"",VLOOKUP(C10,'Tablas psiquica'!$D$7:$R$145,2,FALSE))</f>
        <v/>
      </c>
      <c r="D11" s="5669"/>
      <c r="E11" s="5669"/>
      <c r="F11" s="5669"/>
      <c r="G11" s="5669"/>
      <c r="H11" s="5669"/>
      <c r="I11" s="1163" t="str">
        <f>IF(C10=0,"",VLOOKUP(C10,'Tablas psiquica'!$D$7:$R$145,3,FALSE))</f>
        <v/>
      </c>
      <c r="K11" s="5668" t="str">
        <f>IF(K10=0,"",VLOOKUP(K10,'Tablas psiquica'!$D$7:$R$145,2,FALSE))</f>
        <v/>
      </c>
      <c r="L11" s="5669"/>
      <c r="M11" s="5669"/>
      <c r="N11" s="5669"/>
      <c r="O11" s="5669"/>
      <c r="P11" s="5669"/>
      <c r="Q11" s="1163" t="str">
        <f>IF(K10=0,"",VLOOKUP(K10,'Tablas psiquica'!$D$7:$R$145,3,FALSE))</f>
        <v/>
      </c>
      <c r="R11" s="1114"/>
      <c r="S11" s="1108"/>
      <c r="T11" s="1108"/>
      <c r="U11" s="520"/>
      <c r="V11" s="5668" t="str">
        <f>IF(V10=0,"",VLOOKUP(V10,'Tablas psiquica'!$D$7:$R$145,2,FALSE))</f>
        <v/>
      </c>
      <c r="W11" s="5669"/>
      <c r="X11" s="5669"/>
      <c r="Y11" s="5669"/>
      <c r="Z11" s="5669"/>
      <c r="AA11" s="5669"/>
      <c r="AB11" s="1163" t="str">
        <f>IF(V10=0,"",VLOOKUP(V10,'Tablas psiquica'!$D$7:$R$145,3,FALSE))</f>
        <v/>
      </c>
      <c r="AC11" s="646"/>
      <c r="AD11" s="5668" t="str">
        <f>IF(AD10=0,"",VLOOKUP(AD10,'Tablas psiquica'!$D$7:$R$145,2,FALSE))</f>
        <v/>
      </c>
      <c r="AE11" s="5669"/>
      <c r="AF11" s="5669"/>
      <c r="AG11" s="5669"/>
      <c r="AH11" s="5669"/>
      <c r="AI11" s="5669"/>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70" t="s">
        <v>2045</v>
      </c>
      <c r="E12" s="5578"/>
      <c r="F12" s="5671" t="str">
        <f>IF(C10=0,"",VLOOKUP(C10,'Tablas psiquica'!$D$7:$R$145,6,FALSE))</f>
        <v/>
      </c>
      <c r="G12" s="5672"/>
      <c r="H12" s="5672"/>
      <c r="I12" s="5673"/>
      <c r="K12" s="1164">
        <v>20</v>
      </c>
      <c r="L12" s="5670" t="s">
        <v>2045</v>
      </c>
      <c r="M12" s="5578"/>
      <c r="N12" s="5671" t="str">
        <f>IF(K10=0,"",VLOOKUP(K10,'Tablas psiquica'!$D$7:$R$145,6,FALSE))</f>
        <v/>
      </c>
      <c r="O12" s="5672"/>
      <c r="P12" s="5672"/>
      <c r="Q12" s="5673"/>
      <c r="R12" s="1114"/>
      <c r="S12" s="1108"/>
      <c r="T12" s="1108"/>
      <c r="U12" s="520"/>
      <c r="V12" s="1164">
        <v>20</v>
      </c>
      <c r="W12" s="5670" t="s">
        <v>2045</v>
      </c>
      <c r="X12" s="5578"/>
      <c r="Y12" s="5671" t="str">
        <f>IF(V10=0,"",VLOOKUP(V10,'Tablas psiquica'!$D$7:$R$145,6,FALSE))</f>
        <v/>
      </c>
      <c r="Z12" s="5672"/>
      <c r="AA12" s="5672"/>
      <c r="AB12" s="5673"/>
      <c r="AC12" s="1165"/>
      <c r="AD12" s="1164">
        <v>20</v>
      </c>
      <c r="AE12" s="5670" t="s">
        <v>2045</v>
      </c>
      <c r="AF12" s="5578"/>
      <c r="AG12" s="5671" t="str">
        <f>IF(AD10=0,"",VLOOKUP(AD10,'Tablas psiquica'!$D$7:$R$145,6,FALSE))</f>
        <v/>
      </c>
      <c r="AH12" s="5672"/>
      <c r="AI12" s="5672"/>
      <c r="AJ12" s="5673"/>
      <c r="AK12" s="1114"/>
      <c r="AL12" s="1108"/>
      <c r="AM12" s="1124"/>
      <c r="AN12" s="1124"/>
      <c r="AO12" s="1124"/>
      <c r="AP12" s="1125"/>
      <c r="AQ12" s="1125"/>
      <c r="AR12" s="1116"/>
      <c r="AS12" s="603"/>
    </row>
    <row r="13" spans="1:45" ht="12" customHeight="1">
      <c r="A13" s="1108"/>
      <c r="B13" s="520"/>
      <c r="C13" s="1166">
        <v>40</v>
      </c>
      <c r="D13" s="5674" t="s">
        <v>2049</v>
      </c>
      <c r="E13" s="5573"/>
      <c r="F13" s="5675" t="str">
        <f>IF(C10=0,"",VLOOKUP(C10,'Tablas psiquica'!$D$7:$R$145,7,FALSE))</f>
        <v/>
      </c>
      <c r="G13" s="5676"/>
      <c r="H13" s="5676"/>
      <c r="I13" s="5677"/>
      <c r="K13" s="1166">
        <v>40</v>
      </c>
      <c r="L13" s="5674" t="s">
        <v>2049</v>
      </c>
      <c r="M13" s="5573"/>
      <c r="N13" s="5675" t="str">
        <f>IF(K10=0,"",VLOOKUP(K10,'Tablas psiquica'!$D$7:$R$145,7,FALSE))</f>
        <v/>
      </c>
      <c r="O13" s="5676"/>
      <c r="P13" s="5676"/>
      <c r="Q13" s="5677"/>
      <c r="R13" s="1114"/>
      <c r="S13" s="1108"/>
      <c r="T13" s="1108"/>
      <c r="U13" s="520"/>
      <c r="V13" s="1166">
        <v>40</v>
      </c>
      <c r="W13" s="5674" t="s">
        <v>2049</v>
      </c>
      <c r="X13" s="5573"/>
      <c r="Y13" s="5675" t="str">
        <f>IF(V10=0,"",VLOOKUP(V10,'Tablas psiquica'!$D$7:$R$145,7,FALSE))</f>
        <v/>
      </c>
      <c r="Z13" s="5676"/>
      <c r="AA13" s="5676"/>
      <c r="AB13" s="5677"/>
      <c r="AC13" s="1165"/>
      <c r="AD13" s="1166">
        <v>40</v>
      </c>
      <c r="AE13" s="5674" t="s">
        <v>2049</v>
      </c>
      <c r="AF13" s="5573"/>
      <c r="AG13" s="5675" t="str">
        <f>IF(AD10=0,"",VLOOKUP(AD10,'Tablas psiquica'!$D$7:$R$145,7,FALSE))</f>
        <v/>
      </c>
      <c r="AH13" s="5676"/>
      <c r="AI13" s="5676"/>
      <c r="AJ13" s="5677"/>
      <c r="AK13" s="1114"/>
      <c r="AL13" s="1108"/>
      <c r="AM13" s="1122"/>
      <c r="AP13" s="1123"/>
      <c r="AQ13" s="1123"/>
      <c r="AR13" s="1116"/>
      <c r="AS13" s="603"/>
    </row>
    <row r="14" spans="1:45" ht="12" customHeight="1">
      <c r="A14" s="1108"/>
      <c r="B14" s="520"/>
      <c r="C14" s="1164">
        <v>80</v>
      </c>
      <c r="D14" s="5670" t="s">
        <v>2052</v>
      </c>
      <c r="E14" s="5578"/>
      <c r="F14" s="5671" t="str">
        <f>IF(C10=0,"",VLOOKUP(C10,'Tablas psiquica'!$D$7:$R$145,8,FALSE))</f>
        <v/>
      </c>
      <c r="G14" s="5672"/>
      <c r="H14" s="5672"/>
      <c r="I14" s="5673"/>
      <c r="K14" s="1164">
        <v>80</v>
      </c>
      <c r="L14" s="5670" t="s">
        <v>2052</v>
      </c>
      <c r="M14" s="5578"/>
      <c r="N14" s="5671" t="str">
        <f>IF(K10=0,"",VLOOKUP(K10,'Tablas psiquica'!$D$7:$R$145,8,FALSE))</f>
        <v/>
      </c>
      <c r="O14" s="5672"/>
      <c r="P14" s="5672"/>
      <c r="Q14" s="5673"/>
      <c r="R14" s="1114"/>
      <c r="S14" s="1108"/>
      <c r="T14" s="1108"/>
      <c r="U14" s="520"/>
      <c r="V14" s="1164">
        <v>80</v>
      </c>
      <c r="W14" s="5670" t="s">
        <v>2052</v>
      </c>
      <c r="X14" s="5578"/>
      <c r="Y14" s="5671" t="str">
        <f>IF(V10=0,"",VLOOKUP(V10,'Tablas psiquica'!$D$7:$R$145,8,FALSE))</f>
        <v/>
      </c>
      <c r="Z14" s="5672"/>
      <c r="AA14" s="5672"/>
      <c r="AB14" s="5673"/>
      <c r="AC14" s="1165"/>
      <c r="AD14" s="1164">
        <v>80</v>
      </c>
      <c r="AE14" s="5670" t="s">
        <v>2052</v>
      </c>
      <c r="AF14" s="5578"/>
      <c r="AG14" s="5671" t="str">
        <f>IF(AD10=0,"",VLOOKUP(AD10,'Tablas psiquica'!$D$7:$R$145,8,FALSE))</f>
        <v/>
      </c>
      <c r="AH14" s="5672"/>
      <c r="AI14" s="5672"/>
      <c r="AJ14" s="5673"/>
      <c r="AK14" s="1114"/>
      <c r="AL14" s="1108"/>
      <c r="AM14" s="1124"/>
      <c r="AN14" s="1124"/>
      <c r="AO14" s="1124"/>
      <c r="AP14" s="1125"/>
      <c r="AQ14" s="1125"/>
      <c r="AR14" s="1116"/>
      <c r="AS14" s="603"/>
    </row>
    <row r="15" spans="1:45" ht="12" customHeight="1">
      <c r="A15" s="1108"/>
      <c r="B15" s="520"/>
      <c r="C15" s="1166">
        <v>120</v>
      </c>
      <c r="D15" s="5674" t="s">
        <v>2056</v>
      </c>
      <c r="E15" s="5573"/>
      <c r="F15" s="5675" t="str">
        <f>IF(C10=0,"",VLOOKUP(C10,'Tablas psiquica'!$D$7:$R$145,9,FALSE))</f>
        <v/>
      </c>
      <c r="G15" s="5676"/>
      <c r="H15" s="5676"/>
      <c r="I15" s="5677"/>
      <c r="K15" s="1166">
        <v>120</v>
      </c>
      <c r="L15" s="5674" t="s">
        <v>2056</v>
      </c>
      <c r="M15" s="5573"/>
      <c r="N15" s="5675" t="str">
        <f>IF(K10=0,"",VLOOKUP(K10,'Tablas psiquica'!$D$7:$R$145,9,FALSE))</f>
        <v/>
      </c>
      <c r="O15" s="5676"/>
      <c r="P15" s="5676"/>
      <c r="Q15" s="5677"/>
      <c r="R15" s="1114"/>
      <c r="S15" s="1108"/>
      <c r="T15" s="1108"/>
      <c r="U15" s="520"/>
      <c r="V15" s="1166">
        <v>120</v>
      </c>
      <c r="W15" s="5674" t="s">
        <v>2056</v>
      </c>
      <c r="X15" s="5573"/>
      <c r="Y15" s="5675" t="str">
        <f>IF(V10=0,"",VLOOKUP(V10,'Tablas psiquica'!$D$7:$R$145,9,FALSE))</f>
        <v/>
      </c>
      <c r="Z15" s="5676"/>
      <c r="AA15" s="5676"/>
      <c r="AB15" s="5677"/>
      <c r="AC15" s="1167"/>
      <c r="AD15" s="1166">
        <v>120</v>
      </c>
      <c r="AE15" s="5674" t="s">
        <v>2056</v>
      </c>
      <c r="AF15" s="5573"/>
      <c r="AG15" s="5675" t="str">
        <f>IF(AD10=0,"",VLOOKUP(AD10,'Tablas psiquica'!$D$7:$R$145,9,FALSE))</f>
        <v/>
      </c>
      <c r="AH15" s="5676"/>
      <c r="AI15" s="5676"/>
      <c r="AJ15" s="5677"/>
      <c r="AK15" s="1114"/>
      <c r="AL15" s="1108"/>
      <c r="AM15" s="1122"/>
      <c r="AN15" s="1122"/>
      <c r="AO15" s="1122"/>
      <c r="AP15" s="1123"/>
      <c r="AQ15" s="1123"/>
      <c r="AR15" s="1116"/>
      <c r="AS15" s="603"/>
    </row>
    <row r="16" spans="1:45" ht="12" customHeight="1">
      <c r="A16" s="1108"/>
      <c r="B16" s="520"/>
      <c r="C16" s="1164">
        <v>140</v>
      </c>
      <c r="D16" s="5670" t="s">
        <v>7691</v>
      </c>
      <c r="E16" s="5578"/>
      <c r="F16" s="5671" t="str">
        <f>IF(C10=0,"",VLOOKUP(C10,'Tablas psiquica'!$D$7:$R$145,10,FALSE))</f>
        <v/>
      </c>
      <c r="G16" s="5672"/>
      <c r="H16" s="5672"/>
      <c r="I16" s="5673"/>
      <c r="K16" s="1164">
        <v>140</v>
      </c>
      <c r="L16" s="5670" t="s">
        <v>7691</v>
      </c>
      <c r="M16" s="5578"/>
      <c r="N16" s="5671" t="str">
        <f>IF(K10=0,"",VLOOKUP(K10,'Tablas psiquica'!$D$7:$R$145,10,FALSE))</f>
        <v/>
      </c>
      <c r="O16" s="5672"/>
      <c r="P16" s="5672"/>
      <c r="Q16" s="5673"/>
      <c r="R16" s="1114"/>
      <c r="S16" s="1108"/>
      <c r="T16" s="1108"/>
      <c r="U16" s="520"/>
      <c r="V16" s="1164">
        <v>140</v>
      </c>
      <c r="W16" s="5670" t="s">
        <v>7691</v>
      </c>
      <c r="X16" s="5578"/>
      <c r="Y16" s="5671" t="str">
        <f>IF(V10=0,"",VLOOKUP(V10,'Tablas psiquica'!$D$7:$R$145,10,FALSE))</f>
        <v/>
      </c>
      <c r="Z16" s="5672"/>
      <c r="AA16" s="5672"/>
      <c r="AB16" s="5673"/>
      <c r="AC16" s="1168"/>
      <c r="AD16" s="1164">
        <v>140</v>
      </c>
      <c r="AE16" s="5670" t="s">
        <v>7691</v>
      </c>
      <c r="AF16" s="5578"/>
      <c r="AG16" s="5671" t="str">
        <f>IF(AD10=0,"",VLOOKUP(AD10,'Tablas psiquica'!$D$7:$R$145,10,FALSE))</f>
        <v/>
      </c>
      <c r="AH16" s="5672"/>
      <c r="AI16" s="5672"/>
      <c r="AJ16" s="5673"/>
      <c r="AK16" s="1114"/>
      <c r="AL16" s="1108"/>
      <c r="AM16" s="1124"/>
      <c r="AN16" s="1124"/>
      <c r="AO16" s="1124"/>
      <c r="AP16" s="1125"/>
      <c r="AQ16" s="1125"/>
      <c r="AR16" s="1116"/>
      <c r="AS16" s="603"/>
    </row>
    <row r="17" spans="1:45" ht="12" customHeight="1">
      <c r="A17" s="1108"/>
      <c r="B17" s="520"/>
      <c r="C17" s="1166">
        <v>180</v>
      </c>
      <c r="D17" s="5674" t="s">
        <v>2061</v>
      </c>
      <c r="E17" s="5573"/>
      <c r="F17" s="5675" t="str">
        <f>IF(C10=0,"",VLOOKUP(C10,'Tablas psiquica'!$D$7:$R$145,11,FALSE))</f>
        <v/>
      </c>
      <c r="G17" s="5676"/>
      <c r="H17" s="5676"/>
      <c r="I17" s="5677"/>
      <c r="K17" s="1166">
        <v>180</v>
      </c>
      <c r="L17" s="5674" t="s">
        <v>2061</v>
      </c>
      <c r="M17" s="5573"/>
      <c r="N17" s="5675" t="str">
        <f>IF(K10=0,"",VLOOKUP(K10,'Tablas psiquica'!$D$7:$R$145,11,FALSE))</f>
        <v/>
      </c>
      <c r="O17" s="5676"/>
      <c r="P17" s="5676"/>
      <c r="Q17" s="5677"/>
      <c r="R17" s="1114"/>
      <c r="S17" s="1108"/>
      <c r="T17" s="1108"/>
      <c r="U17" s="520"/>
      <c r="V17" s="1166">
        <v>180</v>
      </c>
      <c r="W17" s="5674" t="s">
        <v>2061</v>
      </c>
      <c r="X17" s="5573"/>
      <c r="Y17" s="5675" t="str">
        <f>IF(V10=0,"",VLOOKUP(V10,'Tablas psiquica'!$D$7:$R$145,11,FALSE))</f>
        <v/>
      </c>
      <c r="Z17" s="5676"/>
      <c r="AA17" s="5676"/>
      <c r="AB17" s="5677"/>
      <c r="AC17" s="1156"/>
      <c r="AD17" s="1166">
        <v>180</v>
      </c>
      <c r="AE17" s="5674" t="s">
        <v>2061</v>
      </c>
      <c r="AF17" s="5573"/>
      <c r="AG17" s="5675" t="str">
        <f>IF(AD10=0,"",VLOOKUP(AD10,'Tablas psiquica'!$D$7:$R$145,11,FALSE))</f>
        <v/>
      </c>
      <c r="AH17" s="5676"/>
      <c r="AI17" s="5676"/>
      <c r="AJ17" s="5677"/>
      <c r="AK17" s="1114"/>
      <c r="AL17" s="1108"/>
      <c r="AM17" s="1122"/>
      <c r="AP17" s="1123"/>
      <c r="AQ17" s="1123"/>
      <c r="AR17" s="1116"/>
      <c r="AS17" s="603"/>
    </row>
    <row r="18" spans="1:45" ht="12" customHeight="1">
      <c r="A18" s="1108"/>
      <c r="B18" s="520"/>
      <c r="C18" s="1164">
        <v>240</v>
      </c>
      <c r="D18" s="5670" t="s">
        <v>7692</v>
      </c>
      <c r="E18" s="5578"/>
      <c r="F18" s="5671" t="str">
        <f>IF(C10=0,"",VLOOKUP(C10,'Tablas psiquica'!$D$7:$R$145,12,FALSE))</f>
        <v/>
      </c>
      <c r="G18" s="5672"/>
      <c r="H18" s="5672"/>
      <c r="I18" s="5673"/>
      <c r="K18" s="1164">
        <v>240</v>
      </c>
      <c r="L18" s="5670" t="s">
        <v>7692</v>
      </c>
      <c r="M18" s="5578"/>
      <c r="N18" s="5671" t="str">
        <f>IF(K10=0,"",VLOOKUP(K10,'Tablas psiquica'!$D$7:$R$145,12,FALSE))</f>
        <v/>
      </c>
      <c r="O18" s="5672"/>
      <c r="P18" s="5672"/>
      <c r="Q18" s="5673"/>
      <c r="R18" s="1114"/>
      <c r="S18" s="1108"/>
      <c r="T18" s="1108"/>
      <c r="U18" s="520"/>
      <c r="V18" s="1164">
        <v>240</v>
      </c>
      <c r="W18" s="5670" t="s">
        <v>7692</v>
      </c>
      <c r="X18" s="5578"/>
      <c r="Y18" s="5671" t="str">
        <f>IF(V10=0,"",VLOOKUP(V10,'Tablas psiquica'!$D$7:$R$145,12,FALSE))</f>
        <v/>
      </c>
      <c r="Z18" s="5672"/>
      <c r="AA18" s="5672"/>
      <c r="AB18" s="5673"/>
      <c r="AC18" s="1156"/>
      <c r="AD18" s="1164">
        <v>240</v>
      </c>
      <c r="AE18" s="5670" t="s">
        <v>7692</v>
      </c>
      <c r="AF18" s="5578"/>
      <c r="AG18" s="5671" t="str">
        <f>IF(AD10=0,"",VLOOKUP(AD10,'Tablas psiquica'!$D$7:$R$145,12,FALSE))</f>
        <v/>
      </c>
      <c r="AH18" s="5672"/>
      <c r="AI18" s="5672"/>
      <c r="AJ18" s="5673"/>
      <c r="AK18" s="1114"/>
      <c r="AL18" s="1108"/>
      <c r="AM18" s="1124"/>
      <c r="AP18" s="1125"/>
      <c r="AQ18" s="1125"/>
      <c r="AR18" s="1116"/>
      <c r="AS18" s="603"/>
    </row>
    <row r="19" spans="1:45" ht="12" customHeight="1">
      <c r="A19" s="1108"/>
      <c r="B19" s="520"/>
      <c r="C19" s="1166">
        <v>280</v>
      </c>
      <c r="D19" s="5674" t="s">
        <v>2066</v>
      </c>
      <c r="E19" s="5573"/>
      <c r="F19" s="5675" t="str">
        <f>IF(C10=0,"",VLOOKUP(C10,'Tablas psiquica'!$D$7:$R$145,13,FALSE))</f>
        <v/>
      </c>
      <c r="G19" s="5676"/>
      <c r="H19" s="5676"/>
      <c r="I19" s="5677"/>
      <c r="K19" s="1166">
        <v>280</v>
      </c>
      <c r="L19" s="5674" t="s">
        <v>2066</v>
      </c>
      <c r="M19" s="5573"/>
      <c r="N19" s="5675" t="str">
        <f>IF(K10=0,"",VLOOKUP(K10,'Tablas psiquica'!$D$7:$R$145,13,FALSE))</f>
        <v/>
      </c>
      <c r="O19" s="5676"/>
      <c r="P19" s="5676"/>
      <c r="Q19" s="5677"/>
      <c r="R19" s="1114"/>
      <c r="S19" s="1108"/>
      <c r="T19" s="1108"/>
      <c r="U19" s="520"/>
      <c r="V19" s="1166">
        <v>280</v>
      </c>
      <c r="W19" s="5674" t="s">
        <v>2066</v>
      </c>
      <c r="X19" s="5573"/>
      <c r="Y19" s="5675" t="str">
        <f>IF(V10=0,"",VLOOKUP(V10,'Tablas psiquica'!$D$7:$R$145,13,FALSE))</f>
        <v/>
      </c>
      <c r="Z19" s="5676"/>
      <c r="AA19" s="5676"/>
      <c r="AB19" s="5677"/>
      <c r="AC19" s="1156"/>
      <c r="AD19" s="1166">
        <v>280</v>
      </c>
      <c r="AE19" s="5674" t="s">
        <v>2066</v>
      </c>
      <c r="AF19" s="5573"/>
      <c r="AG19" s="5675" t="str">
        <f>IF(AD10=0,"",VLOOKUP(AD10,'Tablas psiquica'!$D$7:$R$145,13,FALSE))</f>
        <v/>
      </c>
      <c r="AH19" s="5676"/>
      <c r="AI19" s="5676"/>
      <c r="AJ19" s="5677"/>
      <c r="AK19" s="1114"/>
      <c r="AL19" s="1108"/>
      <c r="AM19" s="1122"/>
      <c r="AP19" s="1123"/>
      <c r="AQ19" s="1123"/>
      <c r="AR19" s="1116"/>
      <c r="AS19" s="603"/>
    </row>
    <row r="20" spans="1:45" ht="12" customHeight="1">
      <c r="A20" s="1108"/>
      <c r="B20" s="520"/>
      <c r="C20" s="1164">
        <v>320</v>
      </c>
      <c r="D20" s="5670" t="s">
        <v>2068</v>
      </c>
      <c r="E20" s="5578"/>
      <c r="F20" s="5671" t="str">
        <f>IF(C10=0,"",VLOOKUP(C10,'Tablas psiquica'!$D$7:$R$145,14,FALSE))</f>
        <v/>
      </c>
      <c r="G20" s="5672"/>
      <c r="H20" s="5672"/>
      <c r="I20" s="5673"/>
      <c r="K20" s="1164">
        <v>320</v>
      </c>
      <c r="L20" s="5670" t="s">
        <v>2068</v>
      </c>
      <c r="M20" s="5578"/>
      <c r="N20" s="5671" t="str">
        <f>IF(K10=0,"",VLOOKUP(K10,'Tablas psiquica'!$D$7:$R$145,14,FALSE))</f>
        <v/>
      </c>
      <c r="O20" s="5672"/>
      <c r="P20" s="5672"/>
      <c r="Q20" s="5673"/>
      <c r="R20" s="1114"/>
      <c r="S20" s="1108"/>
      <c r="T20" s="1108"/>
      <c r="U20" s="520"/>
      <c r="V20" s="1164">
        <v>320</v>
      </c>
      <c r="W20" s="5670" t="s">
        <v>2068</v>
      </c>
      <c r="X20" s="5578"/>
      <c r="Y20" s="5671" t="str">
        <f>IF(V10=0,"",VLOOKUP(V10,'Tablas psiquica'!$D$7:$R$145,14,FALSE))</f>
        <v/>
      </c>
      <c r="Z20" s="5672"/>
      <c r="AA20" s="5672"/>
      <c r="AB20" s="5673"/>
      <c r="AC20" s="1156"/>
      <c r="AD20" s="1164">
        <v>320</v>
      </c>
      <c r="AE20" s="5670" t="s">
        <v>2068</v>
      </c>
      <c r="AF20" s="5578"/>
      <c r="AG20" s="5671" t="str">
        <f>IF(AD10=0,"",VLOOKUP(AD10,'Tablas psiquica'!$D$7:$R$145,14,FALSE))</f>
        <v/>
      </c>
      <c r="AH20" s="5672"/>
      <c r="AI20" s="5672"/>
      <c r="AJ20" s="5673"/>
      <c r="AK20" s="1114"/>
      <c r="AL20" s="1108"/>
      <c r="AM20" s="1124"/>
      <c r="AP20" s="1125"/>
      <c r="AQ20" s="1125"/>
      <c r="AR20" s="1116"/>
      <c r="AS20" s="603"/>
    </row>
    <row r="21" spans="1:45" ht="12" customHeight="1">
      <c r="A21" s="1108"/>
      <c r="B21" s="520"/>
      <c r="C21" s="1169">
        <v>440</v>
      </c>
      <c r="D21" s="5678" t="s">
        <v>2002</v>
      </c>
      <c r="E21" s="5679"/>
      <c r="F21" s="5680" t="str">
        <f>IF(C10=0,"",VLOOKUP(C10,'Tablas psiquica'!$D$7:$R$145,15,FALSE))</f>
        <v/>
      </c>
      <c r="G21" s="5681"/>
      <c r="H21" s="5681"/>
      <c r="I21" s="5682"/>
      <c r="K21" s="1169">
        <v>440</v>
      </c>
      <c r="L21" s="5678" t="s">
        <v>2002</v>
      </c>
      <c r="M21" s="5679"/>
      <c r="N21" s="5680" t="str">
        <f>IF(K10=0,"",VLOOKUP(K10,'Tablas psiquica'!$D$7:$R$145,15,FALSE))</f>
        <v/>
      </c>
      <c r="O21" s="5681"/>
      <c r="P21" s="5681"/>
      <c r="Q21" s="5682"/>
      <c r="R21" s="1114"/>
      <c r="S21" s="1108"/>
      <c r="T21" s="1108"/>
      <c r="U21" s="520"/>
      <c r="V21" s="1169">
        <v>440</v>
      </c>
      <c r="W21" s="5678" t="s">
        <v>2002</v>
      </c>
      <c r="X21" s="5679"/>
      <c r="Y21" s="5680" t="str">
        <f>IF(V10=0,"",VLOOKUP(V10,'Tablas psiquica'!$D$7:$R$145,15,FALSE))</f>
        <v/>
      </c>
      <c r="Z21" s="5681"/>
      <c r="AA21" s="5681"/>
      <c r="AB21" s="5682"/>
      <c r="AC21" s="1156"/>
      <c r="AD21" s="1169">
        <v>440</v>
      </c>
      <c r="AE21" s="5678" t="s">
        <v>2002</v>
      </c>
      <c r="AF21" s="5679"/>
      <c r="AG21" s="5680" t="str">
        <f>IF(AD10=0,"",VLOOKUP(AD10,'Tablas psiquica'!$D$7:$R$145,15,FALSE))</f>
        <v/>
      </c>
      <c r="AH21" s="5681"/>
      <c r="AI21" s="5681"/>
      <c r="AJ21" s="5682"/>
      <c r="AK21" s="1114"/>
      <c r="AL21" s="1108"/>
      <c r="AM21" s="1122"/>
      <c r="AP21" s="1123"/>
      <c r="AQ21" s="1123"/>
      <c r="AR21" s="1116"/>
      <c r="AS21" s="603"/>
    </row>
    <row r="22" spans="1:45" ht="12" customHeight="1" thickBot="1">
      <c r="A22" s="1108"/>
      <c r="B22" s="520"/>
      <c r="C22" s="5683" t="s">
        <v>7693</v>
      </c>
      <c r="D22" s="5684"/>
      <c r="E22" s="1170" t="str">
        <f>IF(C10=0,"",VLOOKUP(C10,'Tablas psiquica'!$D$7:$R$145,4,FALSE))</f>
        <v/>
      </c>
      <c r="F22" s="5685" t="s">
        <v>7688</v>
      </c>
      <c r="G22" s="5685"/>
      <c r="H22" s="4564" t="str">
        <f>IF(C10=0,"",VLOOKUP(C10,'Tablas psiquica'!$D$7:$R$145,5,FALSE))</f>
        <v/>
      </c>
      <c r="I22" s="4565"/>
      <c r="K22" s="5683" t="s">
        <v>7693</v>
      </c>
      <c r="L22" s="5684"/>
      <c r="M22" s="1170" t="str">
        <f>IF(K10=0,"",VLOOKUP(K10,'Tablas psiquica'!$D$7:$R$145,4,FALSE))</f>
        <v/>
      </c>
      <c r="N22" s="5685" t="s">
        <v>7688</v>
      </c>
      <c r="O22" s="5685"/>
      <c r="P22" s="4564" t="str">
        <f>IF(K10=0,"",VLOOKUP(K10,'Tablas psiquica'!$D$7:$R$145,5,FALSE))</f>
        <v/>
      </c>
      <c r="Q22" s="4565"/>
      <c r="R22" s="1114"/>
      <c r="S22" s="1108"/>
      <c r="T22" s="1108"/>
      <c r="U22" s="520"/>
      <c r="V22" s="5683" t="s">
        <v>7693</v>
      </c>
      <c r="W22" s="5684"/>
      <c r="X22" s="1170" t="str">
        <f>IF(V10=0,"",VLOOKUP(V10,'Tablas psiquica'!$D$7:$R$145,4,FALSE))</f>
        <v/>
      </c>
      <c r="Y22" s="5685" t="s">
        <v>7688</v>
      </c>
      <c r="Z22" s="5685"/>
      <c r="AA22" s="4564" t="str">
        <f>IF(V10=0,"",VLOOKUP(V10,'Tablas psiquica'!$D$7:$R$145,5,FALSE))</f>
        <v/>
      </c>
      <c r="AB22" s="4565"/>
      <c r="AC22" s="1156"/>
      <c r="AD22" s="5683" t="s">
        <v>7693</v>
      </c>
      <c r="AE22" s="5684"/>
      <c r="AF22" s="1170" t="str">
        <f>IF(AD10=0,"",VLOOKUP(AD10,'Tablas psiquica'!$D$7:$R$145,4,FALSE))</f>
        <v/>
      </c>
      <c r="AG22" s="5685" t="s">
        <v>7688</v>
      </c>
      <c r="AH22" s="5685"/>
      <c r="AI22" s="4564" t="str">
        <f>IF(AD10=0,"",VLOOKUP(AD10,'Tablas psiquica'!$D$7:$R$145,5,FALSE))</f>
        <v/>
      </c>
      <c r="AJ22" s="4565"/>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565"/>
      <c r="D24" s="5566"/>
      <c r="E24" s="5566"/>
      <c r="F24" s="5566"/>
      <c r="G24" s="5566"/>
      <c r="H24" s="5566"/>
      <c r="I24" s="1161" t="s">
        <v>1712</v>
      </c>
      <c r="K24" s="5565"/>
      <c r="L24" s="5566"/>
      <c r="M24" s="5566"/>
      <c r="N24" s="5566"/>
      <c r="O24" s="5566"/>
      <c r="P24" s="5566"/>
      <c r="Q24" s="1161" t="s">
        <v>1712</v>
      </c>
      <c r="R24" s="1114"/>
      <c r="S24" s="1108"/>
      <c r="T24" s="1108"/>
      <c r="U24" s="520"/>
      <c r="V24" s="5565"/>
      <c r="W24" s="5566"/>
      <c r="X24" s="5566"/>
      <c r="Y24" s="5566"/>
      <c r="Z24" s="5566"/>
      <c r="AA24" s="5566"/>
      <c r="AB24" s="1161" t="s">
        <v>1712</v>
      </c>
      <c r="AC24" s="1156"/>
      <c r="AD24" s="5565"/>
      <c r="AE24" s="5566"/>
      <c r="AF24" s="5566"/>
      <c r="AG24" s="5566"/>
      <c r="AH24" s="5566"/>
      <c r="AI24" s="5566"/>
      <c r="AJ24" s="1161" t="s">
        <v>1712</v>
      </c>
      <c r="AK24" s="1114"/>
      <c r="AL24" s="1108"/>
      <c r="AM24" s="1124"/>
      <c r="AN24" s="1124"/>
      <c r="AO24" s="1124"/>
      <c r="AP24" s="1125"/>
      <c r="AQ24" s="1125"/>
      <c r="AR24" s="1116"/>
      <c r="AS24" s="603"/>
    </row>
    <row r="25" spans="1:45" ht="12" customHeight="1">
      <c r="A25" s="1108"/>
      <c r="B25" s="520"/>
      <c r="C25" s="5668" t="str">
        <f>IF(C24=0,"",VLOOKUP(C24,'Tablas psiquica'!$D$7:$R$145,2,FALSE))</f>
        <v/>
      </c>
      <c r="D25" s="5669"/>
      <c r="E25" s="5669"/>
      <c r="F25" s="5669"/>
      <c r="G25" s="5669"/>
      <c r="H25" s="5669"/>
      <c r="I25" s="1163" t="str">
        <f>IF(C24=0,"",VLOOKUP(C24,'Tablas psiquica'!$D$7:$R$145,3,FALSE))</f>
        <v/>
      </c>
      <c r="K25" s="5668" t="str">
        <f>IF(K24=0,"",VLOOKUP(K24,'Tablas psiquica'!$D$7:$R$145,2,FALSE))</f>
        <v/>
      </c>
      <c r="L25" s="5669"/>
      <c r="M25" s="5669"/>
      <c r="N25" s="5669"/>
      <c r="O25" s="5669"/>
      <c r="P25" s="5669"/>
      <c r="Q25" s="1163" t="str">
        <f>IF(K24=0,"",VLOOKUP(K24,'Tablas psiquica'!$D$7:$R$145,3,FALSE))</f>
        <v/>
      </c>
      <c r="R25" s="1114"/>
      <c r="S25" s="1108"/>
      <c r="T25" s="1108"/>
      <c r="U25" s="520"/>
      <c r="V25" s="5668" t="str">
        <f>IF(V24=0,"",VLOOKUP(V24,'Tablas psiquica'!$D$7:$R$145,2,FALSE))</f>
        <v/>
      </c>
      <c r="W25" s="5669"/>
      <c r="X25" s="5669"/>
      <c r="Y25" s="5669"/>
      <c r="Z25" s="5669"/>
      <c r="AA25" s="5669"/>
      <c r="AB25" s="1163" t="str">
        <f>IF(V24=0,"",VLOOKUP(V24,'Tablas psiquica'!$D$7:$R$145,3,FALSE))</f>
        <v/>
      </c>
      <c r="AC25" s="1156"/>
      <c r="AD25" s="5668" t="str">
        <f>IF(AD24=0,"",VLOOKUP(AD24,'Tablas psiquica'!$D$7:$R$145,2,FALSE))</f>
        <v/>
      </c>
      <c r="AE25" s="5669"/>
      <c r="AF25" s="5669"/>
      <c r="AG25" s="5669"/>
      <c r="AH25" s="5669"/>
      <c r="AI25" s="5669"/>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70" t="s">
        <v>2045</v>
      </c>
      <c r="E26" s="5578"/>
      <c r="F26" s="5671" t="str">
        <f>IF(C24=0,"",VLOOKUP(C24,'Tablas psiquica'!$D$7:$R$145,6,FALSE))</f>
        <v/>
      </c>
      <c r="G26" s="5672"/>
      <c r="H26" s="5672"/>
      <c r="I26" s="5673"/>
      <c r="K26" s="1164">
        <v>20</v>
      </c>
      <c r="L26" s="5670" t="s">
        <v>2045</v>
      </c>
      <c r="M26" s="5578"/>
      <c r="N26" s="5671" t="str">
        <f>IF(K24=0,"",VLOOKUP(K24,'Tablas psiquica'!$D$7:$R$145,6,FALSE))</f>
        <v/>
      </c>
      <c r="O26" s="5672"/>
      <c r="P26" s="5672"/>
      <c r="Q26" s="5673"/>
      <c r="R26" s="1114"/>
      <c r="S26" s="1108"/>
      <c r="T26" s="1108"/>
      <c r="U26" s="520"/>
      <c r="V26" s="1164">
        <v>20</v>
      </c>
      <c r="W26" s="5670" t="s">
        <v>2045</v>
      </c>
      <c r="X26" s="5578"/>
      <c r="Y26" s="5671" t="str">
        <f>IF(V24=0,"",VLOOKUP(V24,'Tablas psiquica'!$D$7:$R$145,6,FALSE))</f>
        <v/>
      </c>
      <c r="Z26" s="5672"/>
      <c r="AA26" s="5672"/>
      <c r="AB26" s="5673"/>
      <c r="AC26" s="1174"/>
      <c r="AD26" s="1164">
        <v>20</v>
      </c>
      <c r="AE26" s="5670" t="s">
        <v>2045</v>
      </c>
      <c r="AF26" s="5578"/>
      <c r="AG26" s="5671" t="str">
        <f>IF(AD24=0,"",VLOOKUP(AD24,'Tablas psiquica'!$D$7:$R$145,6,FALSE))</f>
        <v/>
      </c>
      <c r="AH26" s="5672"/>
      <c r="AI26" s="5672"/>
      <c r="AJ26" s="5673"/>
      <c r="AK26" s="1114"/>
      <c r="AL26" s="1108"/>
      <c r="AM26" s="603"/>
      <c r="AN26" s="1144"/>
      <c r="AO26" s="1144"/>
      <c r="AP26" s="1144"/>
      <c r="AQ26" s="1144"/>
      <c r="AR26" s="603"/>
      <c r="AS26" s="603"/>
    </row>
    <row r="27" spans="1:45" ht="12" customHeight="1">
      <c r="A27" s="1108"/>
      <c r="B27" s="520"/>
      <c r="C27" s="1166">
        <v>40</v>
      </c>
      <c r="D27" s="5674" t="s">
        <v>2049</v>
      </c>
      <c r="E27" s="5573"/>
      <c r="F27" s="5675" t="str">
        <f>IF(C24=0,"",VLOOKUP(C24,'Tablas psiquica'!$D$7:$R$145,7,FALSE))</f>
        <v/>
      </c>
      <c r="G27" s="5676"/>
      <c r="H27" s="5676"/>
      <c r="I27" s="5677"/>
      <c r="K27" s="1166">
        <v>40</v>
      </c>
      <c r="L27" s="5674" t="s">
        <v>2049</v>
      </c>
      <c r="M27" s="5573"/>
      <c r="N27" s="5675" t="str">
        <f>IF(K24=0,"",VLOOKUP(K24,'Tablas psiquica'!$D$7:$R$145,7,FALSE))</f>
        <v/>
      </c>
      <c r="O27" s="5676"/>
      <c r="P27" s="5676"/>
      <c r="Q27" s="5677"/>
      <c r="R27" s="1114"/>
      <c r="S27" s="1108"/>
      <c r="T27" s="1108"/>
      <c r="U27" s="520"/>
      <c r="V27" s="1166">
        <v>40</v>
      </c>
      <c r="W27" s="5674" t="s">
        <v>2049</v>
      </c>
      <c r="X27" s="5573"/>
      <c r="Y27" s="5675" t="str">
        <f>IF(V24=0,"",VLOOKUP(V24,'Tablas psiquica'!$D$7:$R$145,7,FALSE))</f>
        <v/>
      </c>
      <c r="Z27" s="5676"/>
      <c r="AA27" s="5676"/>
      <c r="AB27" s="5677"/>
      <c r="AC27" s="1174"/>
      <c r="AD27" s="1166">
        <v>40</v>
      </c>
      <c r="AE27" s="5674" t="s">
        <v>2049</v>
      </c>
      <c r="AF27" s="5573"/>
      <c r="AG27" s="5675" t="str">
        <f>IF(AD24=0,"",VLOOKUP(AD24,'Tablas psiquica'!$D$7:$R$145,7,FALSE))</f>
        <v/>
      </c>
      <c r="AH27" s="5676"/>
      <c r="AI27" s="5676"/>
      <c r="AJ27" s="5677"/>
      <c r="AK27" s="1114"/>
      <c r="AL27" s="1108"/>
      <c r="AM27" s="603"/>
      <c r="AN27" s="603"/>
      <c r="AO27" s="603"/>
      <c r="AP27" s="603"/>
      <c r="AQ27" s="1115"/>
      <c r="AR27" s="1115"/>
      <c r="AS27" s="603"/>
    </row>
    <row r="28" spans="1:45" ht="12" customHeight="1">
      <c r="A28" s="1108"/>
      <c r="B28" s="520"/>
      <c r="C28" s="1164">
        <v>80</v>
      </c>
      <c r="D28" s="5670" t="s">
        <v>2052</v>
      </c>
      <c r="E28" s="5578"/>
      <c r="F28" s="5671" t="str">
        <f>IF(C24=0,"",VLOOKUP(C24,'Tablas psiquica'!$D$7:$R$145,8,FALSE))</f>
        <v/>
      </c>
      <c r="G28" s="5672"/>
      <c r="H28" s="5672"/>
      <c r="I28" s="5673"/>
      <c r="K28" s="1164">
        <v>80</v>
      </c>
      <c r="L28" s="5670" t="s">
        <v>2052</v>
      </c>
      <c r="M28" s="5578"/>
      <c r="N28" s="5671" t="str">
        <f>IF(K24=0,"",VLOOKUP(K24,'Tablas psiquica'!$D$7:$R$145,8,FALSE))</f>
        <v/>
      </c>
      <c r="O28" s="5672"/>
      <c r="P28" s="5672"/>
      <c r="Q28" s="5673"/>
      <c r="R28" s="1114"/>
      <c r="S28" s="1108"/>
      <c r="T28" s="1108"/>
      <c r="U28" s="520"/>
      <c r="V28" s="1164">
        <v>80</v>
      </c>
      <c r="W28" s="5670" t="s">
        <v>2052</v>
      </c>
      <c r="X28" s="5578"/>
      <c r="Y28" s="5671" t="str">
        <f>IF(V24=0,"",VLOOKUP(V24,'Tablas psiquica'!$D$7:$R$145,8,FALSE))</f>
        <v/>
      </c>
      <c r="Z28" s="5672"/>
      <c r="AA28" s="5672"/>
      <c r="AB28" s="5673"/>
      <c r="AC28" s="1168"/>
      <c r="AD28" s="1164">
        <v>80</v>
      </c>
      <c r="AE28" s="5670" t="s">
        <v>2052</v>
      </c>
      <c r="AF28" s="5578"/>
      <c r="AG28" s="5671" t="str">
        <f>IF(AD24=0,"",VLOOKUP(AD24,'Tablas psiquica'!$D$7:$R$145,8,FALSE))</f>
        <v/>
      </c>
      <c r="AH28" s="5672"/>
      <c r="AI28" s="5672"/>
      <c r="AJ28" s="5673"/>
      <c r="AK28" s="1114"/>
      <c r="AL28" s="1108"/>
      <c r="AM28" s="603"/>
      <c r="AN28" s="603"/>
      <c r="AO28" s="603"/>
      <c r="AP28" s="603"/>
      <c r="AQ28" s="1116"/>
      <c r="AR28" s="1118"/>
      <c r="AS28" s="603"/>
    </row>
    <row r="29" spans="1:45" ht="12" customHeight="1">
      <c r="A29" s="1108"/>
      <c r="B29" s="520"/>
      <c r="C29" s="1166">
        <v>120</v>
      </c>
      <c r="D29" s="5674" t="s">
        <v>2056</v>
      </c>
      <c r="E29" s="5573"/>
      <c r="F29" s="5675" t="str">
        <f>IF(C24=0,"",VLOOKUP(C24,'Tablas psiquica'!$D$7:$R$145,9,FALSE))</f>
        <v/>
      </c>
      <c r="G29" s="5676"/>
      <c r="H29" s="5676"/>
      <c r="I29" s="5677"/>
      <c r="K29" s="1166">
        <v>120</v>
      </c>
      <c r="L29" s="5674" t="s">
        <v>2056</v>
      </c>
      <c r="M29" s="5573"/>
      <c r="N29" s="5675" t="str">
        <f>IF(K24=0,"",VLOOKUP(K24,'Tablas psiquica'!$D$7:$R$145,9,FALSE))</f>
        <v/>
      </c>
      <c r="O29" s="5676"/>
      <c r="P29" s="5676"/>
      <c r="Q29" s="5677"/>
      <c r="R29" s="1114"/>
      <c r="S29" s="1108"/>
      <c r="T29" s="1108"/>
      <c r="U29" s="520"/>
      <c r="V29" s="1166">
        <v>120</v>
      </c>
      <c r="W29" s="5674" t="s">
        <v>2056</v>
      </c>
      <c r="X29" s="5573"/>
      <c r="Y29" s="5675" t="str">
        <f>IF(V24=0,"",VLOOKUP(V24,'Tablas psiquica'!$D$7:$R$145,9,FALSE))</f>
        <v/>
      </c>
      <c r="Z29" s="5676"/>
      <c r="AA29" s="5676"/>
      <c r="AB29" s="5677"/>
      <c r="AC29" s="1175"/>
      <c r="AD29" s="1166">
        <v>120</v>
      </c>
      <c r="AE29" s="5674" t="s">
        <v>2056</v>
      </c>
      <c r="AF29" s="5573"/>
      <c r="AG29" s="5675" t="str">
        <f>IF(AD24=0,"",VLOOKUP(AD24,'Tablas psiquica'!$D$7:$R$145,9,FALSE))</f>
        <v/>
      </c>
      <c r="AH29" s="5676"/>
      <c r="AI29" s="5676"/>
      <c r="AJ29" s="5677"/>
      <c r="AK29" s="1114"/>
      <c r="AL29" s="1108"/>
      <c r="AM29" s="603"/>
      <c r="AN29" s="603"/>
      <c r="AO29" s="603"/>
      <c r="AP29" s="603"/>
      <c r="AQ29" s="1116"/>
      <c r="AR29" s="1145"/>
      <c r="AS29" s="603"/>
    </row>
    <row r="30" spans="1:45" ht="12" customHeight="1">
      <c r="A30" s="1108"/>
      <c r="B30" s="520"/>
      <c r="C30" s="1164">
        <v>140</v>
      </c>
      <c r="D30" s="5670" t="s">
        <v>7691</v>
      </c>
      <c r="E30" s="5578"/>
      <c r="F30" s="5671" t="str">
        <f>IF(C24=0,"",VLOOKUP(C24,'Tablas psiquica'!$D$7:$R$145,10,FALSE))</f>
        <v/>
      </c>
      <c r="G30" s="5672"/>
      <c r="H30" s="5672"/>
      <c r="I30" s="5673"/>
      <c r="K30" s="1164">
        <v>140</v>
      </c>
      <c r="L30" s="5670" t="s">
        <v>7691</v>
      </c>
      <c r="M30" s="5578"/>
      <c r="N30" s="5671" t="str">
        <f>IF(K24=0,"",VLOOKUP(K24,'Tablas psiquica'!$D$7:$R$145,10,FALSE))</f>
        <v/>
      </c>
      <c r="O30" s="5672"/>
      <c r="P30" s="5672"/>
      <c r="Q30" s="5673"/>
      <c r="R30" s="1114"/>
      <c r="S30" s="1108"/>
      <c r="T30" s="1108"/>
      <c r="U30" s="520"/>
      <c r="V30" s="1164">
        <v>140</v>
      </c>
      <c r="W30" s="5670" t="s">
        <v>7691</v>
      </c>
      <c r="X30" s="5578"/>
      <c r="Y30" s="5671" t="str">
        <f>IF(V24=0,"",VLOOKUP(V24,'Tablas psiquica'!$D$7:$R$145,10,FALSE))</f>
        <v/>
      </c>
      <c r="Z30" s="5672"/>
      <c r="AA30" s="5672"/>
      <c r="AB30" s="5673"/>
      <c r="AC30" s="1174"/>
      <c r="AD30" s="1164">
        <v>140</v>
      </c>
      <c r="AE30" s="5670" t="s">
        <v>7691</v>
      </c>
      <c r="AF30" s="5578"/>
      <c r="AG30" s="5671" t="str">
        <f>IF(AD24=0,"",VLOOKUP(AD24,'Tablas psiquica'!$D$7:$R$145,10,FALSE))</f>
        <v/>
      </c>
      <c r="AH30" s="5672"/>
      <c r="AI30" s="5672"/>
      <c r="AJ30" s="5673"/>
      <c r="AK30" s="1114"/>
      <c r="AL30" s="1108"/>
      <c r="AM30" s="603"/>
      <c r="AN30" s="603"/>
      <c r="AO30" s="603"/>
      <c r="AP30" s="603"/>
      <c r="AQ30" s="1116"/>
      <c r="AR30" s="1145"/>
      <c r="AS30" s="603"/>
    </row>
    <row r="31" spans="1:45" ht="12" customHeight="1">
      <c r="A31" s="1108"/>
      <c r="B31" s="520"/>
      <c r="C31" s="1166">
        <v>180</v>
      </c>
      <c r="D31" s="5674" t="s">
        <v>2061</v>
      </c>
      <c r="E31" s="5573"/>
      <c r="F31" s="5675" t="str">
        <f>IF(C24=0,"",VLOOKUP(C24,'Tablas psiquica'!$D$7:$R$145,11,FALSE))</f>
        <v/>
      </c>
      <c r="G31" s="5676"/>
      <c r="H31" s="5676"/>
      <c r="I31" s="5677"/>
      <c r="K31" s="1166">
        <v>180</v>
      </c>
      <c r="L31" s="5674" t="s">
        <v>2061</v>
      </c>
      <c r="M31" s="5573"/>
      <c r="N31" s="5675" t="str">
        <f>IF(K24=0,"",VLOOKUP(K24,'Tablas psiquica'!$D$7:$R$145,11,FALSE))</f>
        <v/>
      </c>
      <c r="O31" s="5676"/>
      <c r="P31" s="5676"/>
      <c r="Q31" s="5677"/>
      <c r="R31" s="1114"/>
      <c r="S31" s="1108"/>
      <c r="T31" s="1108"/>
      <c r="U31" s="520"/>
      <c r="V31" s="1166">
        <v>180</v>
      </c>
      <c r="W31" s="5674" t="s">
        <v>2061</v>
      </c>
      <c r="X31" s="5573"/>
      <c r="Y31" s="5675" t="str">
        <f>IF(V24=0,"",VLOOKUP(V24,'Tablas psiquica'!$D$7:$R$145,11,FALSE))</f>
        <v/>
      </c>
      <c r="Z31" s="5676"/>
      <c r="AA31" s="5676"/>
      <c r="AB31" s="5677"/>
      <c r="AC31" s="1174"/>
      <c r="AD31" s="1166">
        <v>180</v>
      </c>
      <c r="AE31" s="5674" t="s">
        <v>2061</v>
      </c>
      <c r="AF31" s="5573"/>
      <c r="AG31" s="5675" t="str">
        <f>IF(AD24=0,"",VLOOKUP(AD24,'Tablas psiquica'!$D$7:$R$145,11,FALSE))</f>
        <v/>
      </c>
      <c r="AH31" s="5676"/>
      <c r="AI31" s="5676"/>
      <c r="AJ31" s="5677"/>
      <c r="AK31" s="1114"/>
      <c r="AL31" s="1108"/>
      <c r="AM31" s="603"/>
      <c r="AN31" s="603"/>
      <c r="AO31" s="603"/>
      <c r="AP31" s="603"/>
      <c r="AQ31" s="1116"/>
      <c r="AR31" s="1145"/>
      <c r="AS31" s="603"/>
    </row>
    <row r="32" spans="1:45" ht="12" customHeight="1">
      <c r="A32" s="1108"/>
      <c r="B32" s="520"/>
      <c r="C32" s="1164">
        <v>240</v>
      </c>
      <c r="D32" s="5670" t="s">
        <v>7692</v>
      </c>
      <c r="E32" s="5578"/>
      <c r="F32" s="5671" t="str">
        <f>IF(C24=0,"",VLOOKUP(C24,'Tablas psiquica'!$D$7:$R$145,12,FALSE))</f>
        <v/>
      </c>
      <c r="G32" s="5672"/>
      <c r="H32" s="5672"/>
      <c r="I32" s="5673"/>
      <c r="K32" s="1164">
        <v>240</v>
      </c>
      <c r="L32" s="5670" t="s">
        <v>7692</v>
      </c>
      <c r="M32" s="5578"/>
      <c r="N32" s="5671" t="str">
        <f>IF(K24=0,"",VLOOKUP(K24,'Tablas psiquica'!$D$7:$R$145,12,FALSE))</f>
        <v/>
      </c>
      <c r="O32" s="5672"/>
      <c r="P32" s="5672"/>
      <c r="Q32" s="5673"/>
      <c r="R32" s="1114"/>
      <c r="S32" s="1108"/>
      <c r="T32" s="1108"/>
      <c r="U32" s="520"/>
      <c r="V32" s="1164">
        <v>240</v>
      </c>
      <c r="W32" s="5670" t="s">
        <v>7692</v>
      </c>
      <c r="X32" s="5578"/>
      <c r="Y32" s="5671" t="str">
        <f>IF(V24=0,"",VLOOKUP(V24,'Tablas psiquica'!$D$7:$R$145,12,FALSE))</f>
        <v/>
      </c>
      <c r="Z32" s="5672"/>
      <c r="AA32" s="5672"/>
      <c r="AB32" s="5673"/>
      <c r="AC32" s="1176"/>
      <c r="AD32" s="1164">
        <v>240</v>
      </c>
      <c r="AE32" s="5670" t="s">
        <v>7692</v>
      </c>
      <c r="AF32" s="5578"/>
      <c r="AG32" s="5671" t="str">
        <f>IF(AD24=0,"",VLOOKUP(AD24,'Tablas psiquica'!$D$7:$R$145,12,FALSE))</f>
        <v/>
      </c>
      <c r="AH32" s="5672"/>
      <c r="AI32" s="5672"/>
      <c r="AJ32" s="5673"/>
      <c r="AK32" s="1114"/>
      <c r="AL32" s="1108"/>
      <c r="AM32" s="603"/>
      <c r="AN32" s="603"/>
      <c r="AO32" s="603"/>
      <c r="AP32" s="603"/>
      <c r="AQ32" s="1116"/>
      <c r="AR32" s="1145"/>
      <c r="AS32" s="603"/>
    </row>
    <row r="33" spans="1:45" ht="12" customHeight="1">
      <c r="A33" s="1108"/>
      <c r="B33" s="520"/>
      <c r="C33" s="1166">
        <v>280</v>
      </c>
      <c r="D33" s="5674" t="s">
        <v>2066</v>
      </c>
      <c r="E33" s="5573"/>
      <c r="F33" s="5675" t="str">
        <f>IF(C24=0,"",VLOOKUP(C24,'Tablas psiquica'!$D$7:$R$145,13,FALSE))</f>
        <v/>
      </c>
      <c r="G33" s="5676"/>
      <c r="H33" s="5676"/>
      <c r="I33" s="5677"/>
      <c r="K33" s="1166">
        <v>280</v>
      </c>
      <c r="L33" s="5674" t="s">
        <v>2066</v>
      </c>
      <c r="M33" s="5573"/>
      <c r="N33" s="5675" t="str">
        <f>IF(K24=0,"",VLOOKUP(K24,'Tablas psiquica'!$D$7:$R$145,13,FALSE))</f>
        <v/>
      </c>
      <c r="O33" s="5676"/>
      <c r="P33" s="5676"/>
      <c r="Q33" s="5677"/>
      <c r="R33" s="1114"/>
      <c r="S33" s="1108"/>
      <c r="T33" s="1108"/>
      <c r="U33" s="520"/>
      <c r="V33" s="1166">
        <v>280</v>
      </c>
      <c r="W33" s="5674" t="s">
        <v>2066</v>
      </c>
      <c r="X33" s="5573"/>
      <c r="Y33" s="5675" t="str">
        <f>IF(V24=0,"",VLOOKUP(V24,'Tablas psiquica'!$D$7:$R$145,13,FALSE))</f>
        <v/>
      </c>
      <c r="Z33" s="5676"/>
      <c r="AA33" s="5676"/>
      <c r="AB33" s="5677"/>
      <c r="AC33" s="1176"/>
      <c r="AD33" s="1166">
        <v>280</v>
      </c>
      <c r="AE33" s="5674" t="s">
        <v>2066</v>
      </c>
      <c r="AF33" s="5573"/>
      <c r="AG33" s="5675" t="str">
        <f>IF(AD24=0,"",VLOOKUP(AD24,'Tablas psiquica'!$D$7:$R$145,13,FALSE))</f>
        <v/>
      </c>
      <c r="AH33" s="5676"/>
      <c r="AI33" s="5676"/>
      <c r="AJ33" s="5677"/>
      <c r="AK33" s="1114"/>
      <c r="AL33" s="1108"/>
      <c r="AM33" s="603"/>
      <c r="AN33" s="603"/>
      <c r="AO33" s="603"/>
      <c r="AP33" s="603"/>
      <c r="AQ33" s="1116"/>
      <c r="AR33" s="1145"/>
      <c r="AS33" s="603"/>
    </row>
    <row r="34" spans="1:45" ht="12" customHeight="1">
      <c r="A34" s="1108"/>
      <c r="B34" s="520"/>
      <c r="C34" s="1164">
        <v>320</v>
      </c>
      <c r="D34" s="5670" t="s">
        <v>2068</v>
      </c>
      <c r="E34" s="5578"/>
      <c r="F34" s="5671" t="str">
        <f>IF(C24=0,"",VLOOKUP(C24,'Tablas psiquica'!$D$7:$R$145,14,FALSE))</f>
        <v/>
      </c>
      <c r="G34" s="5672"/>
      <c r="H34" s="5672"/>
      <c r="I34" s="5673"/>
      <c r="K34" s="1164">
        <v>320</v>
      </c>
      <c r="L34" s="5670" t="s">
        <v>2068</v>
      </c>
      <c r="M34" s="5578"/>
      <c r="N34" s="5671" t="str">
        <f>IF(K24=0,"",VLOOKUP(K24,'Tablas psiquica'!$D$7:$R$145,14,FALSE))</f>
        <v/>
      </c>
      <c r="O34" s="5672"/>
      <c r="P34" s="5672"/>
      <c r="Q34" s="5673"/>
      <c r="R34" s="1114"/>
      <c r="S34" s="1108"/>
      <c r="T34" s="1108"/>
      <c r="U34" s="520"/>
      <c r="V34" s="1164">
        <v>320</v>
      </c>
      <c r="W34" s="5670" t="s">
        <v>2068</v>
      </c>
      <c r="X34" s="5578"/>
      <c r="Y34" s="5671" t="str">
        <f>IF(V24=0,"",VLOOKUP(V24,'Tablas psiquica'!$D$7:$R$145,14,FALSE))</f>
        <v/>
      </c>
      <c r="Z34" s="5672"/>
      <c r="AA34" s="5672"/>
      <c r="AB34" s="5673"/>
      <c r="AC34" s="1156"/>
      <c r="AD34" s="1164">
        <v>320</v>
      </c>
      <c r="AE34" s="5670" t="s">
        <v>2068</v>
      </c>
      <c r="AF34" s="5578"/>
      <c r="AG34" s="5671" t="str">
        <f>IF(AD24=0,"",VLOOKUP(AD24,'Tablas psiquica'!$D$7:$R$145,14,FALSE))</f>
        <v/>
      </c>
      <c r="AH34" s="5672"/>
      <c r="AI34" s="5672"/>
      <c r="AJ34" s="5673"/>
      <c r="AK34" s="1114"/>
      <c r="AL34" s="1108"/>
      <c r="AM34" s="603"/>
      <c r="AN34" s="603"/>
      <c r="AO34" s="603"/>
      <c r="AP34" s="603"/>
      <c r="AQ34" s="1116"/>
      <c r="AR34" s="1145"/>
      <c r="AS34" s="603"/>
    </row>
    <row r="35" spans="1:45" ht="12" customHeight="1">
      <c r="A35" s="1108"/>
      <c r="B35" s="520"/>
      <c r="C35" s="1169">
        <v>440</v>
      </c>
      <c r="D35" s="5678" t="s">
        <v>2002</v>
      </c>
      <c r="E35" s="5679"/>
      <c r="F35" s="5680" t="str">
        <f>IF(C24=0,"",VLOOKUP(C24,'Tablas psiquica'!$D$7:$R$145,15,FALSE))</f>
        <v/>
      </c>
      <c r="G35" s="5681"/>
      <c r="H35" s="5681"/>
      <c r="I35" s="5682"/>
      <c r="K35" s="1169">
        <v>440</v>
      </c>
      <c r="L35" s="5678" t="s">
        <v>2002</v>
      </c>
      <c r="M35" s="5679"/>
      <c r="N35" s="5680" t="str">
        <f>IF(K24=0,"",VLOOKUP(K24,'Tablas psiquica'!$D$7:$R$145,15,FALSE))</f>
        <v/>
      </c>
      <c r="O35" s="5681"/>
      <c r="P35" s="5681"/>
      <c r="Q35" s="5682"/>
      <c r="R35" s="1114"/>
      <c r="S35" s="1108"/>
      <c r="T35" s="1108"/>
      <c r="U35" s="520"/>
      <c r="V35" s="1169">
        <v>440</v>
      </c>
      <c r="W35" s="5678" t="s">
        <v>2002</v>
      </c>
      <c r="X35" s="5679"/>
      <c r="Y35" s="5680" t="str">
        <f>IF(V24=0,"",VLOOKUP(V24,'Tablas psiquica'!$D$7:$R$145,15,FALSE))</f>
        <v/>
      </c>
      <c r="Z35" s="5681"/>
      <c r="AA35" s="5681"/>
      <c r="AB35" s="5682"/>
      <c r="AC35" s="1174"/>
      <c r="AD35" s="1169">
        <v>440</v>
      </c>
      <c r="AE35" s="5678" t="s">
        <v>2002</v>
      </c>
      <c r="AF35" s="5679"/>
      <c r="AG35" s="5680" t="str">
        <f>IF(AD24=0,"",VLOOKUP(AD24,'Tablas psiquica'!$D$7:$R$145,15,FALSE))</f>
        <v/>
      </c>
      <c r="AH35" s="5681"/>
      <c r="AI35" s="5681"/>
      <c r="AJ35" s="5682"/>
      <c r="AK35" s="1114"/>
      <c r="AL35" s="1108"/>
      <c r="AM35" s="603"/>
      <c r="AN35" s="603"/>
      <c r="AO35" s="603"/>
      <c r="AP35" s="603"/>
      <c r="AQ35" s="1116"/>
      <c r="AR35" s="1145"/>
      <c r="AS35" s="603"/>
    </row>
    <row r="36" spans="1:45" ht="12" customHeight="1" thickBot="1">
      <c r="A36" s="1108"/>
      <c r="B36" s="520"/>
      <c r="C36" s="5683" t="s">
        <v>7693</v>
      </c>
      <c r="D36" s="5684"/>
      <c r="E36" s="1170" t="str">
        <f>IF(C24=0,"",VLOOKUP(C24,'Tablas psiquica'!$D$7:$R$145,4,FALSE))</f>
        <v/>
      </c>
      <c r="F36" s="5685" t="s">
        <v>7688</v>
      </c>
      <c r="G36" s="5685"/>
      <c r="H36" s="4564" t="str">
        <f>IF(C24=0,"",VLOOKUP(C24,'Tablas psiquica'!$D$7:$R$145,5,FALSE))</f>
        <v/>
      </c>
      <c r="I36" s="4565"/>
      <c r="K36" s="5683" t="s">
        <v>7693</v>
      </c>
      <c r="L36" s="5684"/>
      <c r="M36" s="1170" t="str">
        <f>IF(K24=0,"",VLOOKUP(K24,'Tablas psiquica'!$D$7:$R$145,4,FALSE))</f>
        <v/>
      </c>
      <c r="N36" s="5685" t="s">
        <v>7688</v>
      </c>
      <c r="O36" s="5685"/>
      <c r="P36" s="4564" t="str">
        <f>IF(K24=0,"",VLOOKUP(K24,'Tablas psiquica'!$D$7:$R$145,5,FALSE))</f>
        <v/>
      </c>
      <c r="Q36" s="4565"/>
      <c r="R36" s="1114"/>
      <c r="S36" s="1108"/>
      <c r="T36" s="1108"/>
      <c r="U36" s="520"/>
      <c r="V36" s="5683" t="s">
        <v>7693</v>
      </c>
      <c r="W36" s="5684"/>
      <c r="X36" s="1170" t="str">
        <f>IF(V24=0,"",VLOOKUP(V24,'Tablas psiquica'!$D$7:$R$145,4,FALSE))</f>
        <v/>
      </c>
      <c r="Y36" s="5685" t="s">
        <v>7688</v>
      </c>
      <c r="Z36" s="5685"/>
      <c r="AA36" s="4564" t="str">
        <f>IF(V24=0,"",VLOOKUP(V24,'Tablas psiquica'!$D$7:$R$145,5,FALSE))</f>
        <v/>
      </c>
      <c r="AB36" s="4565"/>
      <c r="AC36" s="1174"/>
      <c r="AD36" s="5683" t="s">
        <v>7693</v>
      </c>
      <c r="AE36" s="5684"/>
      <c r="AF36" s="1170" t="str">
        <f>IF(AD24=0,"",VLOOKUP(AD24,'Tablas psiquica'!$D$7:$R$145,4,FALSE))</f>
        <v/>
      </c>
      <c r="AG36" s="5685" t="s">
        <v>7688</v>
      </c>
      <c r="AH36" s="5685"/>
      <c r="AI36" s="4564" t="str">
        <f>IF(AD24=0,"",VLOOKUP(AD24,'Tablas psiquica'!$D$7:$R$145,5,FALSE))</f>
        <v/>
      </c>
      <c r="AJ36" s="4565"/>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565"/>
      <c r="D38" s="5566"/>
      <c r="E38" s="5566"/>
      <c r="F38" s="5566"/>
      <c r="G38" s="5566"/>
      <c r="H38" s="5566"/>
      <c r="I38" s="1161" t="s">
        <v>1712</v>
      </c>
      <c r="K38" s="5565"/>
      <c r="L38" s="5566"/>
      <c r="M38" s="5566"/>
      <c r="N38" s="5566"/>
      <c r="O38" s="5566"/>
      <c r="P38" s="5566"/>
      <c r="Q38" s="1161" t="s">
        <v>1712</v>
      </c>
      <c r="R38" s="1114"/>
      <c r="S38" s="1108"/>
      <c r="T38" s="1108"/>
      <c r="U38" s="520"/>
      <c r="V38" s="5565"/>
      <c r="W38" s="5566"/>
      <c r="X38" s="5566"/>
      <c r="Y38" s="5566"/>
      <c r="Z38" s="5566"/>
      <c r="AA38" s="5566"/>
      <c r="AB38" s="1161" t="s">
        <v>1712</v>
      </c>
      <c r="AC38" s="1175"/>
      <c r="AD38" s="5565"/>
      <c r="AE38" s="5566"/>
      <c r="AF38" s="5566"/>
      <c r="AG38" s="5566"/>
      <c r="AH38" s="5566"/>
      <c r="AI38" s="5566"/>
      <c r="AJ38" s="1161" t="s">
        <v>1712</v>
      </c>
      <c r="AK38" s="1114"/>
      <c r="AL38" s="1108"/>
      <c r="AQ38" s="646"/>
      <c r="AR38" s="1148"/>
    </row>
    <row r="39" spans="1:45" ht="12" customHeight="1">
      <c r="A39" s="1108"/>
      <c r="B39" s="520"/>
      <c r="C39" s="5668" t="str">
        <f>IF(C38=0,"",VLOOKUP(C38,'Tablas psiquica'!$D$7:$R$145,2,FALSE))</f>
        <v/>
      </c>
      <c r="D39" s="5669"/>
      <c r="E39" s="5669"/>
      <c r="F39" s="5669"/>
      <c r="G39" s="5669"/>
      <c r="H39" s="5669"/>
      <c r="I39" s="1163" t="str">
        <f>IF(C38=0,"",VLOOKUP(C38,'Tablas psiquica'!$D$7:$R$145,3,FALSE))</f>
        <v/>
      </c>
      <c r="K39" s="5668" t="str">
        <f>IF(K38=0,"",VLOOKUP(K38,'Tablas psiquica'!$D$7:$R$145,2,FALSE))</f>
        <v/>
      </c>
      <c r="L39" s="5669"/>
      <c r="M39" s="5669"/>
      <c r="N39" s="5669"/>
      <c r="O39" s="5669"/>
      <c r="P39" s="5669"/>
      <c r="Q39" s="1163" t="str">
        <f>IF(K38=0,"",VLOOKUP(K38,'Tablas psiquica'!$D$7:$R$145,3,FALSE))</f>
        <v/>
      </c>
      <c r="R39" s="1114"/>
      <c r="S39" s="1108"/>
      <c r="T39" s="1108"/>
      <c r="U39" s="520"/>
      <c r="V39" s="5668" t="str">
        <f>IF(V38=0,"",VLOOKUP(V38,'Tablas psiquica'!$D$7:$R$145,2,FALSE))</f>
        <v/>
      </c>
      <c r="W39" s="5669"/>
      <c r="X39" s="5669"/>
      <c r="Y39" s="5669"/>
      <c r="Z39" s="5669"/>
      <c r="AA39" s="5669"/>
      <c r="AB39" s="1163" t="str">
        <f>IF(V38=0,"",VLOOKUP(V38,'Tablas psiquica'!$D$7:$R$145,3,FALSE))</f>
        <v/>
      </c>
      <c r="AC39" s="1174"/>
      <c r="AD39" s="5668" t="str">
        <f>IF(AD38=0,"",VLOOKUP(AD38,'Tablas psiquica'!$D$7:$R$145,2,FALSE))</f>
        <v/>
      </c>
      <c r="AE39" s="5669"/>
      <c r="AF39" s="5669"/>
      <c r="AG39" s="5669"/>
      <c r="AH39" s="5669"/>
      <c r="AI39" s="5669"/>
      <c r="AJ39" s="1163" t="str">
        <f>IF(AD38=0,"",VLOOKUP(AD38,'Tablas psiquica'!$D$7:$R$145,3,FALSE))</f>
        <v/>
      </c>
      <c r="AK39" s="1114"/>
      <c r="AL39" s="1108"/>
      <c r="AQ39" s="646"/>
      <c r="AR39" s="1148"/>
    </row>
    <row r="40" spans="1:45" ht="12" customHeight="1">
      <c r="A40" s="1108"/>
      <c r="B40" s="520"/>
      <c r="C40" s="1164">
        <v>20</v>
      </c>
      <c r="D40" s="5670" t="s">
        <v>2045</v>
      </c>
      <c r="E40" s="5578"/>
      <c r="F40" s="5671" t="str">
        <f>IF(C38=0,"",VLOOKUP(C38,'Tablas psiquica'!$D$7:$R$145,6,FALSE))</f>
        <v/>
      </c>
      <c r="G40" s="5672"/>
      <c r="H40" s="5672"/>
      <c r="I40" s="5673"/>
      <c r="K40" s="1164">
        <v>20</v>
      </c>
      <c r="L40" s="5670" t="s">
        <v>2045</v>
      </c>
      <c r="M40" s="5578"/>
      <c r="N40" s="5671" t="str">
        <f>IF(K38=0,"",VLOOKUP(K38,'Tablas psiquica'!$D$7:$R$145,6,FALSE))</f>
        <v/>
      </c>
      <c r="O40" s="5672"/>
      <c r="P40" s="5672"/>
      <c r="Q40" s="5673"/>
      <c r="R40" s="1114"/>
      <c r="S40" s="1108"/>
      <c r="T40" s="1108"/>
      <c r="U40" s="520"/>
      <c r="V40" s="1164">
        <v>20</v>
      </c>
      <c r="W40" s="5670" t="s">
        <v>2045</v>
      </c>
      <c r="X40" s="5578"/>
      <c r="Y40" s="5671" t="str">
        <f>IF(V38=0,"",VLOOKUP(V38,'Tablas psiquica'!$D$7:$R$145,6,FALSE))</f>
        <v/>
      </c>
      <c r="Z40" s="5672"/>
      <c r="AA40" s="5672"/>
      <c r="AB40" s="5673"/>
      <c r="AC40" s="1174"/>
      <c r="AD40" s="1164">
        <v>20</v>
      </c>
      <c r="AE40" s="5670" t="s">
        <v>2045</v>
      </c>
      <c r="AF40" s="5578"/>
      <c r="AG40" s="5671" t="str">
        <f>IF(AD38=0,"",VLOOKUP(AD38,'Tablas psiquica'!$D$7:$R$145,6,FALSE))</f>
        <v/>
      </c>
      <c r="AH40" s="5672"/>
      <c r="AI40" s="5672"/>
      <c r="AJ40" s="5673"/>
      <c r="AK40" s="1114"/>
      <c r="AL40" s="1108"/>
      <c r="AQ40" s="646"/>
      <c r="AR40" s="1148"/>
    </row>
    <row r="41" spans="1:45" ht="12" customHeight="1">
      <c r="A41" s="1108"/>
      <c r="B41" s="520"/>
      <c r="C41" s="1166">
        <v>40</v>
      </c>
      <c r="D41" s="5674" t="s">
        <v>2049</v>
      </c>
      <c r="E41" s="5573"/>
      <c r="F41" s="5675" t="str">
        <f>IF(C38=0,"",VLOOKUP(C38,'Tablas psiquica'!$D$7:$R$145,7,FALSE))</f>
        <v/>
      </c>
      <c r="G41" s="5676"/>
      <c r="H41" s="5676"/>
      <c r="I41" s="5677"/>
      <c r="K41" s="1166">
        <v>40</v>
      </c>
      <c r="L41" s="5674" t="s">
        <v>2049</v>
      </c>
      <c r="M41" s="5573"/>
      <c r="N41" s="5675" t="str">
        <f>IF(K38=0,"",VLOOKUP(K38,'Tablas psiquica'!$D$7:$R$145,7,FALSE))</f>
        <v/>
      </c>
      <c r="O41" s="5676"/>
      <c r="P41" s="5676"/>
      <c r="Q41" s="5677"/>
      <c r="R41" s="1114"/>
      <c r="S41" s="1108"/>
      <c r="T41" s="1108"/>
      <c r="U41" s="520"/>
      <c r="V41" s="1166">
        <v>40</v>
      </c>
      <c r="W41" s="5674" t="s">
        <v>2049</v>
      </c>
      <c r="X41" s="5573"/>
      <c r="Y41" s="5675" t="str">
        <f>IF(V38=0,"",VLOOKUP(V38,'Tablas psiquica'!$D$7:$R$145,7,FALSE))</f>
        <v/>
      </c>
      <c r="Z41" s="5676"/>
      <c r="AA41" s="5676"/>
      <c r="AB41" s="5677"/>
      <c r="AC41" s="1176"/>
      <c r="AD41" s="1166">
        <v>40</v>
      </c>
      <c r="AE41" s="5674" t="s">
        <v>2049</v>
      </c>
      <c r="AF41" s="5573"/>
      <c r="AG41" s="5675" t="str">
        <f>IF(AD38=0,"",VLOOKUP(AD38,'Tablas psiquica'!$D$7:$R$145,7,FALSE))</f>
        <v/>
      </c>
      <c r="AH41" s="5676"/>
      <c r="AI41" s="5676"/>
      <c r="AJ41" s="5677"/>
      <c r="AK41" s="1114"/>
      <c r="AL41" s="1108"/>
      <c r="AQ41" s="646"/>
      <c r="AR41" s="1148"/>
    </row>
    <row r="42" spans="1:45" ht="12" customHeight="1">
      <c r="A42" s="1108"/>
      <c r="B42" s="520"/>
      <c r="C42" s="1164">
        <v>80</v>
      </c>
      <c r="D42" s="5670" t="s">
        <v>2052</v>
      </c>
      <c r="E42" s="5578"/>
      <c r="F42" s="5671" t="str">
        <f>IF(C38=0,"",VLOOKUP(C38,'Tablas psiquica'!$D$7:$R$145,8,FALSE))</f>
        <v/>
      </c>
      <c r="G42" s="5672"/>
      <c r="H42" s="5672"/>
      <c r="I42" s="5673"/>
      <c r="K42" s="1164">
        <v>80</v>
      </c>
      <c r="L42" s="5670" t="s">
        <v>2052</v>
      </c>
      <c r="M42" s="5578"/>
      <c r="N42" s="5671" t="str">
        <f>IF(K38=0,"",VLOOKUP(K38,'Tablas psiquica'!$D$7:$R$145,8,FALSE))</f>
        <v/>
      </c>
      <c r="O42" s="5672"/>
      <c r="P42" s="5672"/>
      <c r="Q42" s="5673"/>
      <c r="R42" s="1114"/>
      <c r="S42" s="1108"/>
      <c r="T42" s="1108"/>
      <c r="U42" s="520"/>
      <c r="V42" s="1164">
        <v>80</v>
      </c>
      <c r="W42" s="5670" t="s">
        <v>2052</v>
      </c>
      <c r="X42" s="5578"/>
      <c r="Y42" s="5671" t="str">
        <f>IF(V38=0,"",VLOOKUP(V38,'Tablas psiquica'!$D$7:$R$145,8,FALSE))</f>
        <v/>
      </c>
      <c r="Z42" s="5672"/>
      <c r="AA42" s="5672"/>
      <c r="AB42" s="5673"/>
      <c r="AC42" s="1176"/>
      <c r="AD42" s="1164">
        <v>80</v>
      </c>
      <c r="AE42" s="5670" t="s">
        <v>2052</v>
      </c>
      <c r="AF42" s="5578"/>
      <c r="AG42" s="5671" t="str">
        <f>IF(AD38=0,"",VLOOKUP(AD38,'Tablas psiquica'!$D$7:$R$145,8,FALSE))</f>
        <v/>
      </c>
      <c r="AH42" s="5672"/>
      <c r="AI42" s="5672"/>
      <c r="AJ42" s="5673"/>
      <c r="AK42" s="1114"/>
      <c r="AL42" s="1108"/>
      <c r="AQ42" s="646"/>
      <c r="AR42" s="1148"/>
    </row>
    <row r="43" spans="1:45" ht="12" customHeight="1">
      <c r="A43" s="1108"/>
      <c r="B43" s="520"/>
      <c r="C43" s="1166">
        <v>120</v>
      </c>
      <c r="D43" s="5674" t="s">
        <v>2056</v>
      </c>
      <c r="E43" s="5573"/>
      <c r="F43" s="5675" t="str">
        <f>IF(C38=0,"",VLOOKUP(C38,'Tablas psiquica'!$D$7:$R$145,9,FALSE))</f>
        <v/>
      </c>
      <c r="G43" s="5676"/>
      <c r="H43" s="5676"/>
      <c r="I43" s="5677"/>
      <c r="K43" s="1166">
        <v>120</v>
      </c>
      <c r="L43" s="5674" t="s">
        <v>2056</v>
      </c>
      <c r="M43" s="5573"/>
      <c r="N43" s="5675" t="str">
        <f>IF(K38=0,"",VLOOKUP(K38,'Tablas psiquica'!$D$7:$R$145,9,FALSE))</f>
        <v/>
      </c>
      <c r="O43" s="5676"/>
      <c r="P43" s="5676"/>
      <c r="Q43" s="5677"/>
      <c r="R43" s="1114"/>
      <c r="S43" s="1108"/>
      <c r="T43" s="1108"/>
      <c r="U43" s="520"/>
      <c r="V43" s="1166">
        <v>120</v>
      </c>
      <c r="W43" s="5674" t="s">
        <v>2056</v>
      </c>
      <c r="X43" s="5573"/>
      <c r="Y43" s="5675" t="str">
        <f>IF(V38=0,"",VLOOKUP(V38,'Tablas psiquica'!$D$7:$R$145,9,FALSE))</f>
        <v/>
      </c>
      <c r="Z43" s="5676"/>
      <c r="AA43" s="5676"/>
      <c r="AB43" s="5677"/>
      <c r="AC43" s="1156"/>
      <c r="AD43" s="1166">
        <v>120</v>
      </c>
      <c r="AE43" s="5674" t="s">
        <v>2056</v>
      </c>
      <c r="AF43" s="5573"/>
      <c r="AG43" s="5675" t="str">
        <f>IF(AD38=0,"",VLOOKUP(AD38,'Tablas psiquica'!$D$7:$R$145,9,FALSE))</f>
        <v/>
      </c>
      <c r="AH43" s="5676"/>
      <c r="AI43" s="5676"/>
      <c r="AJ43" s="5677"/>
      <c r="AK43" s="1114"/>
      <c r="AL43" s="1108"/>
      <c r="AQ43" s="646"/>
      <c r="AR43" s="1148"/>
    </row>
    <row r="44" spans="1:45" ht="12" customHeight="1">
      <c r="A44" s="1108"/>
      <c r="B44" s="520"/>
      <c r="C44" s="1164">
        <v>140</v>
      </c>
      <c r="D44" s="5670" t="s">
        <v>7691</v>
      </c>
      <c r="E44" s="5578"/>
      <c r="F44" s="5671" t="str">
        <f>IF(C38=0,"",VLOOKUP(C38,'Tablas psiquica'!$D$7:$R$145,10,FALSE))</f>
        <v/>
      </c>
      <c r="G44" s="5672"/>
      <c r="H44" s="5672"/>
      <c r="I44" s="5673"/>
      <c r="K44" s="1164">
        <v>140</v>
      </c>
      <c r="L44" s="5670" t="s">
        <v>7691</v>
      </c>
      <c r="M44" s="5578"/>
      <c r="N44" s="5671" t="str">
        <f>IF(K38=0,"",VLOOKUP(K38,'Tablas psiquica'!$D$7:$R$145,10,FALSE))</f>
        <v/>
      </c>
      <c r="O44" s="5672"/>
      <c r="P44" s="5672"/>
      <c r="Q44" s="5673"/>
      <c r="R44" s="1114"/>
      <c r="S44" s="1108"/>
      <c r="T44" s="1108"/>
      <c r="U44" s="520"/>
      <c r="V44" s="1164">
        <v>140</v>
      </c>
      <c r="W44" s="5670" t="s">
        <v>7691</v>
      </c>
      <c r="X44" s="5578"/>
      <c r="Y44" s="5671" t="str">
        <f>IF(V38=0,"",VLOOKUP(V38,'Tablas psiquica'!$D$7:$R$145,10,FALSE))</f>
        <v/>
      </c>
      <c r="Z44" s="5672"/>
      <c r="AA44" s="5672"/>
      <c r="AB44" s="5673"/>
      <c r="AC44" s="646"/>
      <c r="AD44" s="1164">
        <v>140</v>
      </c>
      <c r="AE44" s="5670" t="s">
        <v>7691</v>
      </c>
      <c r="AF44" s="5578"/>
      <c r="AG44" s="5671" t="str">
        <f>IF(AD38=0,"",VLOOKUP(AD38,'Tablas psiquica'!$D$7:$R$145,10,FALSE))</f>
        <v/>
      </c>
      <c r="AH44" s="5672"/>
      <c r="AI44" s="5672"/>
      <c r="AJ44" s="5673"/>
      <c r="AK44" s="1114"/>
      <c r="AL44" s="1108"/>
      <c r="AQ44" s="646"/>
      <c r="AR44" s="1148"/>
    </row>
    <row r="45" spans="1:45" ht="12" customHeight="1">
      <c r="A45" s="1108"/>
      <c r="B45" s="520"/>
      <c r="C45" s="1166">
        <v>180</v>
      </c>
      <c r="D45" s="5674" t="s">
        <v>2061</v>
      </c>
      <c r="E45" s="5573"/>
      <c r="F45" s="5675" t="str">
        <f>IF(C38=0,"",VLOOKUP(C38,'Tablas psiquica'!$D$7:$R$145,11,FALSE))</f>
        <v/>
      </c>
      <c r="G45" s="5676"/>
      <c r="H45" s="5676"/>
      <c r="I45" s="5677"/>
      <c r="K45" s="1166">
        <v>180</v>
      </c>
      <c r="L45" s="5674" t="s">
        <v>2061</v>
      </c>
      <c r="M45" s="5573"/>
      <c r="N45" s="5675" t="str">
        <f>IF(K38=0,"",VLOOKUP(K38,'Tablas psiquica'!$D$7:$R$145,11,FALSE))</f>
        <v/>
      </c>
      <c r="O45" s="5676"/>
      <c r="P45" s="5676"/>
      <c r="Q45" s="5677"/>
      <c r="R45" s="1114"/>
      <c r="S45" s="1108"/>
      <c r="T45" s="1108"/>
      <c r="U45" s="520"/>
      <c r="V45" s="1166">
        <v>180</v>
      </c>
      <c r="W45" s="5674" t="s">
        <v>2061</v>
      </c>
      <c r="X45" s="5573"/>
      <c r="Y45" s="5675" t="str">
        <f>IF(V38=0,"",VLOOKUP(V38,'Tablas psiquica'!$D$7:$R$145,11,FALSE))</f>
        <v/>
      </c>
      <c r="Z45" s="5676"/>
      <c r="AA45" s="5676"/>
      <c r="AB45" s="5677"/>
      <c r="AC45" s="646"/>
      <c r="AD45" s="1166">
        <v>180</v>
      </c>
      <c r="AE45" s="5674" t="s">
        <v>2061</v>
      </c>
      <c r="AF45" s="5573"/>
      <c r="AG45" s="5675" t="str">
        <f>IF(AD38=0,"",VLOOKUP(AD38,'Tablas psiquica'!$D$7:$R$145,11,FALSE))</f>
        <v/>
      </c>
      <c r="AH45" s="5676"/>
      <c r="AI45" s="5676"/>
      <c r="AJ45" s="5677"/>
      <c r="AK45" s="1114"/>
      <c r="AL45" s="1108"/>
      <c r="AQ45" s="646"/>
      <c r="AR45" s="1148"/>
    </row>
    <row r="46" spans="1:45" ht="12" customHeight="1">
      <c r="A46" s="1108"/>
      <c r="B46" s="520"/>
      <c r="C46" s="1164">
        <v>240</v>
      </c>
      <c r="D46" s="5670" t="s">
        <v>7692</v>
      </c>
      <c r="E46" s="5578"/>
      <c r="F46" s="5671" t="str">
        <f>IF(C38=0,"",VLOOKUP(C38,'Tablas psiquica'!$D$7:$R$145,12,FALSE))</f>
        <v/>
      </c>
      <c r="G46" s="5672"/>
      <c r="H46" s="5672"/>
      <c r="I46" s="5673"/>
      <c r="K46" s="1164">
        <v>240</v>
      </c>
      <c r="L46" s="5670" t="s">
        <v>7692</v>
      </c>
      <c r="M46" s="5578"/>
      <c r="N46" s="5671" t="str">
        <f>IF(K38=0,"",VLOOKUP(K38,'Tablas psiquica'!$D$7:$R$145,12,FALSE))</f>
        <v/>
      </c>
      <c r="O46" s="5672"/>
      <c r="P46" s="5672"/>
      <c r="Q46" s="5673"/>
      <c r="R46" s="1114"/>
      <c r="S46" s="1108"/>
      <c r="T46" s="1108"/>
      <c r="U46" s="520"/>
      <c r="V46" s="1164">
        <v>240</v>
      </c>
      <c r="W46" s="5670" t="s">
        <v>7692</v>
      </c>
      <c r="X46" s="5578"/>
      <c r="Y46" s="5671" t="str">
        <f>IF(V38=0,"",VLOOKUP(V38,'Tablas psiquica'!$D$7:$R$145,12,FALSE))</f>
        <v/>
      </c>
      <c r="Z46" s="5672"/>
      <c r="AA46" s="5672"/>
      <c r="AB46" s="5673"/>
      <c r="AC46" s="646"/>
      <c r="AD46" s="1164">
        <v>240</v>
      </c>
      <c r="AE46" s="5670" t="s">
        <v>7692</v>
      </c>
      <c r="AF46" s="5578"/>
      <c r="AG46" s="5671" t="str">
        <f>IF(AD38=0,"",VLOOKUP(AD38,'Tablas psiquica'!$D$7:$R$145,12,FALSE))</f>
        <v/>
      </c>
      <c r="AH46" s="5672"/>
      <c r="AI46" s="5672"/>
      <c r="AJ46" s="5673"/>
      <c r="AK46" s="1114"/>
      <c r="AL46" s="1108"/>
      <c r="AQ46" s="646"/>
      <c r="AR46" s="1148"/>
    </row>
    <row r="47" spans="1:45" ht="12" customHeight="1">
      <c r="A47" s="1108"/>
      <c r="B47" s="520"/>
      <c r="C47" s="1166">
        <v>280</v>
      </c>
      <c r="D47" s="5674" t="s">
        <v>2066</v>
      </c>
      <c r="E47" s="5573"/>
      <c r="F47" s="5675" t="str">
        <f>IF(C38=0,"",VLOOKUP(C38,'Tablas psiquica'!$D$7:$R$145,13,FALSE))</f>
        <v/>
      </c>
      <c r="G47" s="5676"/>
      <c r="H47" s="5676"/>
      <c r="I47" s="5677"/>
      <c r="K47" s="1166">
        <v>280</v>
      </c>
      <c r="L47" s="5674" t="s">
        <v>2066</v>
      </c>
      <c r="M47" s="5573"/>
      <c r="N47" s="5675" t="str">
        <f>IF(K38=0,"",VLOOKUP(K38,'Tablas psiquica'!$D$7:$R$145,13,FALSE))</f>
        <v/>
      </c>
      <c r="O47" s="5676"/>
      <c r="P47" s="5676"/>
      <c r="Q47" s="5677"/>
      <c r="R47" s="1114"/>
      <c r="S47" s="1108"/>
      <c r="T47" s="1108"/>
      <c r="U47" s="520"/>
      <c r="V47" s="1166">
        <v>280</v>
      </c>
      <c r="W47" s="5674" t="s">
        <v>2066</v>
      </c>
      <c r="X47" s="5573"/>
      <c r="Y47" s="5675" t="str">
        <f>IF(V38=0,"",VLOOKUP(V38,'Tablas psiquica'!$D$7:$R$145,13,FALSE))</f>
        <v/>
      </c>
      <c r="Z47" s="5676"/>
      <c r="AA47" s="5676"/>
      <c r="AB47" s="5677"/>
      <c r="AC47" s="646"/>
      <c r="AD47" s="1166">
        <v>280</v>
      </c>
      <c r="AE47" s="5674" t="s">
        <v>2066</v>
      </c>
      <c r="AF47" s="5573"/>
      <c r="AG47" s="5675" t="str">
        <f>IF(AD38=0,"",VLOOKUP(AD38,'Tablas psiquica'!$D$7:$R$145,13,FALSE))</f>
        <v/>
      </c>
      <c r="AH47" s="5676"/>
      <c r="AI47" s="5676"/>
      <c r="AJ47" s="5677"/>
      <c r="AK47" s="1114"/>
      <c r="AL47" s="1108"/>
      <c r="AQ47" s="646"/>
      <c r="AR47" s="1148"/>
    </row>
    <row r="48" spans="1:45" ht="12" customHeight="1">
      <c r="A48" s="1108"/>
      <c r="B48" s="520"/>
      <c r="C48" s="1164">
        <v>320</v>
      </c>
      <c r="D48" s="5670" t="s">
        <v>2068</v>
      </c>
      <c r="E48" s="5578"/>
      <c r="F48" s="5671" t="str">
        <f>IF(C38=0,"",VLOOKUP(C38,'Tablas psiquica'!$D$7:$R$145,14,FALSE))</f>
        <v/>
      </c>
      <c r="G48" s="5672"/>
      <c r="H48" s="5672"/>
      <c r="I48" s="5673"/>
      <c r="K48" s="1164">
        <v>320</v>
      </c>
      <c r="L48" s="5670" t="s">
        <v>2068</v>
      </c>
      <c r="M48" s="5578"/>
      <c r="N48" s="5671" t="str">
        <f>IF(K38=0,"",VLOOKUP(K38,'Tablas psiquica'!$D$7:$R$145,14,FALSE))</f>
        <v/>
      </c>
      <c r="O48" s="5672"/>
      <c r="P48" s="5672"/>
      <c r="Q48" s="5673"/>
      <c r="R48" s="1114"/>
      <c r="S48" s="1108"/>
      <c r="T48" s="1108"/>
      <c r="U48" s="520"/>
      <c r="V48" s="1164">
        <v>320</v>
      </c>
      <c r="W48" s="5670" t="s">
        <v>2068</v>
      </c>
      <c r="X48" s="5578"/>
      <c r="Y48" s="5671" t="str">
        <f>IF(V38=0,"",VLOOKUP(V38,'Tablas psiquica'!$D$7:$R$145,14,FALSE))</f>
        <v/>
      </c>
      <c r="Z48" s="5672"/>
      <c r="AA48" s="5672"/>
      <c r="AB48" s="5673"/>
      <c r="AC48" s="646"/>
      <c r="AD48" s="1164">
        <v>320</v>
      </c>
      <c r="AE48" s="5670" t="s">
        <v>2068</v>
      </c>
      <c r="AF48" s="5578"/>
      <c r="AG48" s="5671" t="str">
        <f>IF(AD38=0,"",VLOOKUP(AD38,'Tablas psiquica'!$D$7:$R$145,14,FALSE))</f>
        <v/>
      </c>
      <c r="AH48" s="5672"/>
      <c r="AI48" s="5672"/>
      <c r="AJ48" s="5673"/>
      <c r="AK48" s="1114"/>
      <c r="AL48" s="1108"/>
      <c r="AQ48" s="646"/>
      <c r="AR48" s="1148"/>
    </row>
    <row r="49" spans="1:44" ht="12" customHeight="1">
      <c r="A49" s="1108"/>
      <c r="B49" s="520"/>
      <c r="C49" s="1169">
        <v>440</v>
      </c>
      <c r="D49" s="5678" t="s">
        <v>2002</v>
      </c>
      <c r="E49" s="5679"/>
      <c r="F49" s="5680" t="str">
        <f>IF(C38=0,"",VLOOKUP(C38,'Tablas psiquica'!$D$7:$R$145,15,FALSE))</f>
        <v/>
      </c>
      <c r="G49" s="5681"/>
      <c r="H49" s="5681"/>
      <c r="I49" s="5682"/>
      <c r="K49" s="1169">
        <v>440</v>
      </c>
      <c r="L49" s="5678" t="s">
        <v>2002</v>
      </c>
      <c r="M49" s="5679"/>
      <c r="N49" s="5680" t="str">
        <f>IF(K38=0,"",VLOOKUP(K38,'Tablas psiquica'!$D$7:$R$145,15,FALSE))</f>
        <v/>
      </c>
      <c r="O49" s="5681"/>
      <c r="P49" s="5681"/>
      <c r="Q49" s="5682"/>
      <c r="R49" s="1114"/>
      <c r="S49" s="1108"/>
      <c r="T49" s="1108"/>
      <c r="U49" s="520"/>
      <c r="V49" s="1169">
        <v>440</v>
      </c>
      <c r="W49" s="5678" t="s">
        <v>2002</v>
      </c>
      <c r="X49" s="5679"/>
      <c r="Y49" s="5680" t="str">
        <f>IF(V38=0,"",VLOOKUP(V38,'Tablas psiquica'!$D$7:$R$145,15,FALSE))</f>
        <v/>
      </c>
      <c r="Z49" s="5681"/>
      <c r="AA49" s="5681"/>
      <c r="AB49" s="5682"/>
      <c r="AC49" s="646"/>
      <c r="AD49" s="1169">
        <v>440</v>
      </c>
      <c r="AE49" s="5678" t="s">
        <v>2002</v>
      </c>
      <c r="AF49" s="5679"/>
      <c r="AG49" s="5680" t="str">
        <f>IF(AD38=0,"",VLOOKUP(AD38,'Tablas psiquica'!$D$7:$R$145,15,FALSE))</f>
        <v/>
      </c>
      <c r="AH49" s="5681"/>
      <c r="AI49" s="5681"/>
      <c r="AJ49" s="5682"/>
      <c r="AK49" s="1114"/>
      <c r="AL49" s="1108"/>
      <c r="AQ49" s="646"/>
      <c r="AR49" s="1148"/>
    </row>
    <row r="50" spans="1:44" ht="12" customHeight="1" thickBot="1">
      <c r="A50" s="1108"/>
      <c r="B50" s="520"/>
      <c r="C50" s="5683" t="s">
        <v>7693</v>
      </c>
      <c r="D50" s="5684"/>
      <c r="E50" s="1170" t="str">
        <f>IF(C38=0,"",VLOOKUP(C38,'Tablas psiquica'!$D$7:$R$145,4,FALSE))</f>
        <v/>
      </c>
      <c r="F50" s="5685" t="s">
        <v>7688</v>
      </c>
      <c r="G50" s="5685"/>
      <c r="H50" s="4564" t="str">
        <f>IF(C38=0,"",VLOOKUP(C38,'Tablas psiquica'!$D$7:$R$145,5,FALSE))</f>
        <v/>
      </c>
      <c r="I50" s="4565"/>
      <c r="K50" s="5683" t="s">
        <v>7693</v>
      </c>
      <c r="L50" s="5684"/>
      <c r="M50" s="1170" t="str">
        <f>IF(K38=0,"",VLOOKUP(K38,'Tablas psiquica'!$D$7:$R$145,4,FALSE))</f>
        <v/>
      </c>
      <c r="N50" s="5685" t="s">
        <v>7688</v>
      </c>
      <c r="O50" s="5685"/>
      <c r="P50" s="4564" t="str">
        <f>IF(K38=0,"",VLOOKUP(K38,'Tablas psiquica'!$D$7:$R$145,5,FALSE))</f>
        <v/>
      </c>
      <c r="Q50" s="4565"/>
      <c r="R50" s="1114"/>
      <c r="S50" s="1108"/>
      <c r="T50" s="1108"/>
      <c r="U50" s="520"/>
      <c r="V50" s="5683" t="s">
        <v>7693</v>
      </c>
      <c r="W50" s="5684"/>
      <c r="X50" s="1170" t="str">
        <f>IF(V38=0,"",VLOOKUP(V38,'Tablas psiquica'!$D$7:$R$145,4,FALSE))</f>
        <v/>
      </c>
      <c r="Y50" s="5685" t="s">
        <v>7688</v>
      </c>
      <c r="Z50" s="5685"/>
      <c r="AA50" s="4564" t="str">
        <f>IF(V38=0,"",VLOOKUP(V38,'Tablas psiquica'!$D$7:$R$145,5,FALSE))</f>
        <v/>
      </c>
      <c r="AB50" s="4565"/>
      <c r="AC50" s="646"/>
      <c r="AD50" s="5683" t="s">
        <v>7693</v>
      </c>
      <c r="AE50" s="5684"/>
      <c r="AF50" s="1170" t="str">
        <f>IF(AD38=0,"",VLOOKUP(AD38,'Tablas psiquica'!$D$7:$R$145,4,FALSE))</f>
        <v/>
      </c>
      <c r="AG50" s="5685" t="s">
        <v>7688</v>
      </c>
      <c r="AH50" s="5685"/>
      <c r="AI50" s="4564" t="str">
        <f>IF(AD38=0,"",VLOOKUP(AD38,'Tablas psiquica'!$D$7:$R$145,5,FALSE))</f>
        <v/>
      </c>
      <c r="AJ50" s="4565"/>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565"/>
      <c r="D52" s="5566"/>
      <c r="E52" s="5566"/>
      <c r="F52" s="5566"/>
      <c r="G52" s="5566"/>
      <c r="H52" s="5566"/>
      <c r="I52" s="1161" t="s">
        <v>1712</v>
      </c>
      <c r="K52" s="5565"/>
      <c r="L52" s="5566"/>
      <c r="M52" s="5566"/>
      <c r="N52" s="5566"/>
      <c r="O52" s="5566"/>
      <c r="P52" s="5566"/>
      <c r="Q52" s="1161" t="s">
        <v>1712</v>
      </c>
      <c r="R52" s="1114"/>
      <c r="S52" s="1108"/>
      <c r="T52" s="1108"/>
      <c r="U52" s="520"/>
      <c r="V52" s="5565"/>
      <c r="W52" s="5566"/>
      <c r="X52" s="5566"/>
      <c r="Y52" s="5566"/>
      <c r="Z52" s="5566"/>
      <c r="AA52" s="5566"/>
      <c r="AB52" s="1161" t="s">
        <v>1712</v>
      </c>
      <c r="AC52" s="646"/>
      <c r="AD52" s="5565"/>
      <c r="AE52" s="5566"/>
      <c r="AF52" s="5566"/>
      <c r="AG52" s="5566"/>
      <c r="AH52" s="5566"/>
      <c r="AI52" s="5566"/>
      <c r="AJ52" s="1161" t="s">
        <v>1712</v>
      </c>
      <c r="AK52" s="1114"/>
      <c r="AL52" s="1108"/>
      <c r="AQ52" s="646"/>
      <c r="AR52" s="1148"/>
    </row>
    <row r="53" spans="1:44" ht="12" customHeight="1">
      <c r="A53" s="1108"/>
      <c r="B53" s="520"/>
      <c r="C53" s="5668" t="str">
        <f>IF(C52=0,"",VLOOKUP(C52,'Tablas psiquica'!$D$7:$R$145,2,FALSE))</f>
        <v/>
      </c>
      <c r="D53" s="5669"/>
      <c r="E53" s="5669"/>
      <c r="F53" s="5669"/>
      <c r="G53" s="5669"/>
      <c r="H53" s="5669"/>
      <c r="I53" s="1163" t="str">
        <f>IF(C52=0,"",VLOOKUP(C52,'Tablas psiquica'!$D$7:$R$145,3,FALSE))</f>
        <v/>
      </c>
      <c r="K53" s="5668" t="str">
        <f>IF(K52=0,"",VLOOKUP(K52,'Tablas psiquica'!$D$7:$R$145,2,FALSE))</f>
        <v/>
      </c>
      <c r="L53" s="5669"/>
      <c r="M53" s="5669"/>
      <c r="N53" s="5669"/>
      <c r="O53" s="5669"/>
      <c r="P53" s="5669"/>
      <c r="Q53" s="1163" t="str">
        <f>IF(K52=0,"",VLOOKUP(K52,'Tablas psiquica'!$D$7:$R$145,3,FALSE))</f>
        <v/>
      </c>
      <c r="R53" s="1114"/>
      <c r="S53" s="1108"/>
      <c r="T53" s="1108"/>
      <c r="U53" s="520"/>
      <c r="V53" s="5668" t="str">
        <f>IF(V52=0,"",VLOOKUP(V52,'Tablas psiquica'!$D$7:$R$145,2,FALSE))</f>
        <v/>
      </c>
      <c r="W53" s="5669"/>
      <c r="X53" s="5669"/>
      <c r="Y53" s="5669"/>
      <c r="Z53" s="5669"/>
      <c r="AA53" s="5669"/>
      <c r="AB53" s="1163" t="str">
        <f>IF(V52=0,"",VLOOKUP(V52,'Tablas psiquica'!$D$7:$R$145,3,FALSE))</f>
        <v/>
      </c>
      <c r="AC53" s="646"/>
      <c r="AD53" s="5668" t="str">
        <f>IF(AD52=0,"",VLOOKUP(AD52,'Tablas psiquica'!$D$7:$R$145,2,FALSE))</f>
        <v/>
      </c>
      <c r="AE53" s="5669"/>
      <c r="AF53" s="5669"/>
      <c r="AG53" s="5669"/>
      <c r="AH53" s="5669"/>
      <c r="AI53" s="5669"/>
      <c r="AJ53" s="1163" t="str">
        <f>IF(AD52=0,"",VLOOKUP(AD52,'Tablas psiquica'!$D$7:$R$145,3,FALSE))</f>
        <v/>
      </c>
      <c r="AK53" s="1114"/>
      <c r="AL53" s="1108"/>
      <c r="AQ53" s="646"/>
      <c r="AR53" s="1148"/>
    </row>
    <row r="54" spans="1:44" ht="12" customHeight="1">
      <c r="A54" s="1108"/>
      <c r="B54" s="520"/>
      <c r="C54" s="1164">
        <v>20</v>
      </c>
      <c r="D54" s="5670" t="s">
        <v>2045</v>
      </c>
      <c r="E54" s="5578"/>
      <c r="F54" s="5671" t="str">
        <f>IF(C52=0,"",VLOOKUP(C52,'Tablas psiquica'!$D$7:$R$145,6,FALSE))</f>
        <v/>
      </c>
      <c r="G54" s="5672"/>
      <c r="H54" s="5672"/>
      <c r="I54" s="5673"/>
      <c r="K54" s="1164">
        <v>20</v>
      </c>
      <c r="L54" s="5670" t="s">
        <v>2045</v>
      </c>
      <c r="M54" s="5578"/>
      <c r="N54" s="5671" t="str">
        <f>IF(K52=0,"",VLOOKUP(K52,'Tablas psiquica'!$D$7:$R$145,6,FALSE))</f>
        <v/>
      </c>
      <c r="O54" s="5672"/>
      <c r="P54" s="5672"/>
      <c r="Q54" s="5673"/>
      <c r="R54" s="1114"/>
      <c r="S54" s="1108"/>
      <c r="T54" s="1108"/>
      <c r="U54" s="520"/>
      <c r="V54" s="1164">
        <v>20</v>
      </c>
      <c r="W54" s="5670" t="s">
        <v>2045</v>
      </c>
      <c r="X54" s="5578"/>
      <c r="Y54" s="5671" t="str">
        <f>IF(V52=0,"",VLOOKUP(V52,'Tablas psiquica'!$D$7:$R$145,6,FALSE))</f>
        <v/>
      </c>
      <c r="Z54" s="5672"/>
      <c r="AA54" s="5672"/>
      <c r="AB54" s="5673"/>
      <c r="AC54" s="646"/>
      <c r="AD54" s="1164">
        <v>20</v>
      </c>
      <c r="AE54" s="5670" t="s">
        <v>2045</v>
      </c>
      <c r="AF54" s="5578"/>
      <c r="AG54" s="5671" t="str">
        <f>IF(AD52=0,"",VLOOKUP(AD52,'Tablas psiquica'!$D$7:$R$145,6,FALSE))</f>
        <v/>
      </c>
      <c r="AH54" s="5672"/>
      <c r="AI54" s="5672"/>
      <c r="AJ54" s="5673"/>
      <c r="AK54" s="1114"/>
      <c r="AL54" s="1108"/>
      <c r="AQ54" s="646"/>
      <c r="AR54" s="1148"/>
    </row>
    <row r="55" spans="1:44" ht="12" customHeight="1">
      <c r="A55" s="1108"/>
      <c r="B55" s="520"/>
      <c r="C55" s="1166">
        <v>40</v>
      </c>
      <c r="D55" s="5674" t="s">
        <v>2049</v>
      </c>
      <c r="E55" s="5573"/>
      <c r="F55" s="5675" t="str">
        <f>IF(C52=0,"",VLOOKUP(C52,'Tablas psiquica'!$D$7:$R$145,7,FALSE))</f>
        <v/>
      </c>
      <c r="G55" s="5676"/>
      <c r="H55" s="5676"/>
      <c r="I55" s="5677"/>
      <c r="K55" s="1166">
        <v>40</v>
      </c>
      <c r="L55" s="5674" t="s">
        <v>2049</v>
      </c>
      <c r="M55" s="5573"/>
      <c r="N55" s="5675" t="str">
        <f>IF(K52=0,"",VLOOKUP(K52,'Tablas psiquica'!$D$7:$R$145,7,FALSE))</f>
        <v/>
      </c>
      <c r="O55" s="5676"/>
      <c r="P55" s="5676"/>
      <c r="Q55" s="5677"/>
      <c r="R55" s="1114"/>
      <c r="S55" s="1108"/>
      <c r="T55" s="1108"/>
      <c r="U55" s="520"/>
      <c r="V55" s="1166">
        <v>40</v>
      </c>
      <c r="W55" s="5674" t="s">
        <v>2049</v>
      </c>
      <c r="X55" s="5573"/>
      <c r="Y55" s="5675" t="str">
        <f>IF(V52=0,"",VLOOKUP(V52,'Tablas psiquica'!$D$7:$R$145,7,FALSE))</f>
        <v/>
      </c>
      <c r="Z55" s="5676"/>
      <c r="AA55" s="5676"/>
      <c r="AB55" s="5677"/>
      <c r="AC55" s="646"/>
      <c r="AD55" s="1166">
        <v>40</v>
      </c>
      <c r="AE55" s="5674" t="s">
        <v>2049</v>
      </c>
      <c r="AF55" s="5573"/>
      <c r="AG55" s="5675" t="str">
        <f>IF(AD52=0,"",VLOOKUP(AD52,'Tablas psiquica'!$D$7:$R$145,7,FALSE))</f>
        <v/>
      </c>
      <c r="AH55" s="5676"/>
      <c r="AI55" s="5676"/>
      <c r="AJ55" s="5677"/>
      <c r="AK55" s="1114"/>
      <c r="AL55" s="1108"/>
      <c r="AQ55" s="646"/>
      <c r="AR55" s="1148"/>
    </row>
    <row r="56" spans="1:44" ht="12" customHeight="1">
      <c r="A56" s="1108"/>
      <c r="B56" s="520"/>
      <c r="C56" s="1164">
        <v>80</v>
      </c>
      <c r="D56" s="5670" t="s">
        <v>2052</v>
      </c>
      <c r="E56" s="5578"/>
      <c r="F56" s="5671" t="str">
        <f>IF(C52=0,"",VLOOKUP(C52,'Tablas psiquica'!$D$7:$R$145,8,FALSE))</f>
        <v/>
      </c>
      <c r="G56" s="5672"/>
      <c r="H56" s="5672"/>
      <c r="I56" s="5673"/>
      <c r="K56" s="1164">
        <v>80</v>
      </c>
      <c r="L56" s="5670" t="s">
        <v>2052</v>
      </c>
      <c r="M56" s="5578"/>
      <c r="N56" s="5671" t="str">
        <f>IF(K52=0,"",VLOOKUP(K52,'Tablas psiquica'!$D$7:$R$145,8,FALSE))</f>
        <v/>
      </c>
      <c r="O56" s="5672"/>
      <c r="P56" s="5672"/>
      <c r="Q56" s="5673"/>
      <c r="R56" s="1114"/>
      <c r="S56" s="1108"/>
      <c r="T56" s="1108"/>
      <c r="U56" s="520"/>
      <c r="V56" s="1164">
        <v>80</v>
      </c>
      <c r="W56" s="5670" t="s">
        <v>2052</v>
      </c>
      <c r="X56" s="5578"/>
      <c r="Y56" s="5671" t="str">
        <f>IF(V52=0,"",VLOOKUP(V52,'Tablas psiquica'!$D$7:$R$145,8,FALSE))</f>
        <v/>
      </c>
      <c r="Z56" s="5672"/>
      <c r="AA56" s="5672"/>
      <c r="AB56" s="5673"/>
      <c r="AC56" s="646"/>
      <c r="AD56" s="1164">
        <v>80</v>
      </c>
      <c r="AE56" s="5670" t="s">
        <v>2052</v>
      </c>
      <c r="AF56" s="5578"/>
      <c r="AG56" s="5671" t="str">
        <f>IF(AD52=0,"",VLOOKUP(AD52,'Tablas psiquica'!$D$7:$R$145,8,FALSE))</f>
        <v/>
      </c>
      <c r="AH56" s="5672"/>
      <c r="AI56" s="5672"/>
      <c r="AJ56" s="5673"/>
      <c r="AK56" s="1114"/>
      <c r="AL56" s="1108"/>
      <c r="AQ56" s="646"/>
      <c r="AR56" s="1148"/>
    </row>
    <row r="57" spans="1:44" ht="12" customHeight="1">
      <c r="A57" s="1108"/>
      <c r="B57" s="520"/>
      <c r="C57" s="1166">
        <v>120</v>
      </c>
      <c r="D57" s="5674" t="s">
        <v>2056</v>
      </c>
      <c r="E57" s="5573"/>
      <c r="F57" s="5675" t="str">
        <f>IF(C52=0,"",VLOOKUP(C52,'Tablas psiquica'!$D$7:$R$145,9,FALSE))</f>
        <v/>
      </c>
      <c r="G57" s="5676"/>
      <c r="H57" s="5676"/>
      <c r="I57" s="5677"/>
      <c r="K57" s="1166">
        <v>120</v>
      </c>
      <c r="L57" s="5674" t="s">
        <v>2056</v>
      </c>
      <c r="M57" s="5573"/>
      <c r="N57" s="5675" t="str">
        <f>IF(K52=0,"",VLOOKUP(K52,'Tablas psiquica'!$D$7:$R$145,9,FALSE))</f>
        <v/>
      </c>
      <c r="O57" s="5676"/>
      <c r="P57" s="5676"/>
      <c r="Q57" s="5677"/>
      <c r="R57" s="1114"/>
      <c r="S57" s="1108"/>
      <c r="T57" s="1108"/>
      <c r="U57" s="520"/>
      <c r="V57" s="1166">
        <v>120</v>
      </c>
      <c r="W57" s="5674" t="s">
        <v>2056</v>
      </c>
      <c r="X57" s="5573"/>
      <c r="Y57" s="5675" t="str">
        <f>IF(V52=0,"",VLOOKUP(V52,'Tablas psiquica'!$D$7:$R$145,9,FALSE))</f>
        <v/>
      </c>
      <c r="Z57" s="5676"/>
      <c r="AA57" s="5676"/>
      <c r="AB57" s="5677"/>
      <c r="AC57" s="646"/>
      <c r="AD57" s="1166">
        <v>120</v>
      </c>
      <c r="AE57" s="5674" t="s">
        <v>2056</v>
      </c>
      <c r="AF57" s="5573"/>
      <c r="AG57" s="5675" t="str">
        <f>IF(AD52=0,"",VLOOKUP(AD52,'Tablas psiquica'!$D$7:$R$145,9,FALSE))</f>
        <v/>
      </c>
      <c r="AH57" s="5676"/>
      <c r="AI57" s="5676"/>
      <c r="AJ57" s="5677"/>
      <c r="AK57" s="1114"/>
      <c r="AL57" s="1108"/>
      <c r="AQ57" s="646"/>
      <c r="AR57" s="1148"/>
    </row>
    <row r="58" spans="1:44" ht="12" customHeight="1">
      <c r="A58" s="1108"/>
      <c r="B58" s="520"/>
      <c r="C58" s="1164">
        <v>140</v>
      </c>
      <c r="D58" s="5670" t="s">
        <v>7691</v>
      </c>
      <c r="E58" s="5578"/>
      <c r="F58" s="5671" t="str">
        <f>IF(C52=0,"",VLOOKUP(C52,'Tablas psiquica'!$D$7:$R$145,10,FALSE))</f>
        <v/>
      </c>
      <c r="G58" s="5672"/>
      <c r="H58" s="5672"/>
      <c r="I58" s="5673"/>
      <c r="K58" s="1164">
        <v>140</v>
      </c>
      <c r="L58" s="5670" t="s">
        <v>7691</v>
      </c>
      <c r="M58" s="5578"/>
      <c r="N58" s="5671" t="str">
        <f>IF(K52=0,"",VLOOKUP(K52,'Tablas psiquica'!$D$7:$R$145,10,FALSE))</f>
        <v/>
      </c>
      <c r="O58" s="5672"/>
      <c r="P58" s="5672"/>
      <c r="Q58" s="5673"/>
      <c r="R58" s="1114"/>
      <c r="S58" s="1108"/>
      <c r="T58" s="1108"/>
      <c r="U58" s="520"/>
      <c r="V58" s="1164">
        <v>140</v>
      </c>
      <c r="W58" s="5670" t="s">
        <v>7691</v>
      </c>
      <c r="X58" s="5578"/>
      <c r="Y58" s="5671" t="str">
        <f>IF(V52=0,"",VLOOKUP(V52,'Tablas psiquica'!$D$7:$R$145,10,FALSE))</f>
        <v/>
      </c>
      <c r="Z58" s="5672"/>
      <c r="AA58" s="5672"/>
      <c r="AB58" s="5673"/>
      <c r="AC58" s="1174"/>
      <c r="AD58" s="1164">
        <v>140</v>
      </c>
      <c r="AE58" s="5670" t="s">
        <v>7691</v>
      </c>
      <c r="AF58" s="5578"/>
      <c r="AG58" s="5671" t="str">
        <f>IF(AD52=0,"",VLOOKUP(AD52,'Tablas psiquica'!$D$7:$R$145,10,FALSE))</f>
        <v/>
      </c>
      <c r="AH58" s="5672"/>
      <c r="AI58" s="5672"/>
      <c r="AJ58" s="5673"/>
      <c r="AK58" s="1114"/>
      <c r="AL58" s="1108"/>
      <c r="AQ58" s="646"/>
      <c r="AR58" s="1148"/>
    </row>
    <row r="59" spans="1:44" ht="12" customHeight="1">
      <c r="A59" s="1108"/>
      <c r="B59" s="520"/>
      <c r="C59" s="1166">
        <v>180</v>
      </c>
      <c r="D59" s="5674" t="s">
        <v>2061</v>
      </c>
      <c r="E59" s="5573"/>
      <c r="F59" s="5675" t="str">
        <f>IF(C52=0,"",VLOOKUP(C52,'Tablas psiquica'!$D$7:$R$145,11,FALSE))</f>
        <v/>
      </c>
      <c r="G59" s="5676"/>
      <c r="H59" s="5676"/>
      <c r="I59" s="5677"/>
      <c r="K59" s="1166">
        <v>180</v>
      </c>
      <c r="L59" s="5674" t="s">
        <v>2061</v>
      </c>
      <c r="M59" s="5573"/>
      <c r="N59" s="5675" t="str">
        <f>IF(K52=0,"",VLOOKUP(K52,'Tablas psiquica'!$D$7:$R$145,11,FALSE))</f>
        <v/>
      </c>
      <c r="O59" s="5676"/>
      <c r="P59" s="5676"/>
      <c r="Q59" s="5677"/>
      <c r="R59" s="1114"/>
      <c r="S59" s="1108"/>
      <c r="T59" s="1108"/>
      <c r="U59" s="520"/>
      <c r="V59" s="1166">
        <v>180</v>
      </c>
      <c r="W59" s="5674" t="s">
        <v>2061</v>
      </c>
      <c r="X59" s="5573"/>
      <c r="Y59" s="5675" t="str">
        <f>IF(V52=0,"",VLOOKUP(V52,'Tablas psiquica'!$D$7:$R$145,11,FALSE))</f>
        <v/>
      </c>
      <c r="Z59" s="5676"/>
      <c r="AA59" s="5676"/>
      <c r="AB59" s="5677"/>
      <c r="AC59" s="646"/>
      <c r="AD59" s="1166">
        <v>180</v>
      </c>
      <c r="AE59" s="5674" t="s">
        <v>2061</v>
      </c>
      <c r="AF59" s="5573"/>
      <c r="AG59" s="5675" t="str">
        <f>IF(AD52=0,"",VLOOKUP(AD52,'Tablas psiquica'!$D$7:$R$145,11,FALSE))</f>
        <v/>
      </c>
      <c r="AH59" s="5676"/>
      <c r="AI59" s="5676"/>
      <c r="AJ59" s="5677"/>
      <c r="AK59" s="1114"/>
      <c r="AL59" s="1108"/>
      <c r="AQ59" s="646"/>
      <c r="AR59" s="1148"/>
    </row>
    <row r="60" spans="1:44" ht="12" customHeight="1">
      <c r="A60" s="1108"/>
      <c r="B60" s="520"/>
      <c r="C60" s="1164">
        <v>240</v>
      </c>
      <c r="D60" s="5670" t="s">
        <v>7692</v>
      </c>
      <c r="E60" s="5578"/>
      <c r="F60" s="5671" t="str">
        <f>IF(C52=0,"",VLOOKUP(C52,'Tablas psiquica'!$D$7:$R$145,12,FALSE))</f>
        <v/>
      </c>
      <c r="G60" s="5672"/>
      <c r="H60" s="5672"/>
      <c r="I60" s="5673"/>
      <c r="K60" s="1164">
        <v>240</v>
      </c>
      <c r="L60" s="5670" t="s">
        <v>7692</v>
      </c>
      <c r="M60" s="5578"/>
      <c r="N60" s="5671" t="str">
        <f>IF(K52=0,"",VLOOKUP(K52,'Tablas psiquica'!$D$7:$R$145,12,FALSE))</f>
        <v/>
      </c>
      <c r="O60" s="5672"/>
      <c r="P60" s="5672"/>
      <c r="Q60" s="5673"/>
      <c r="R60" s="1114"/>
      <c r="S60" s="1108"/>
      <c r="T60" s="1108"/>
      <c r="U60" s="520"/>
      <c r="V60" s="1164">
        <v>240</v>
      </c>
      <c r="W60" s="5670" t="s">
        <v>7692</v>
      </c>
      <c r="X60" s="5578"/>
      <c r="Y60" s="5671" t="str">
        <f>IF(V52=0,"",VLOOKUP(V52,'Tablas psiquica'!$D$7:$R$145,12,FALSE))</f>
        <v/>
      </c>
      <c r="Z60" s="5672"/>
      <c r="AA60" s="5672"/>
      <c r="AB60" s="5673"/>
      <c r="AC60" s="646"/>
      <c r="AD60" s="1164">
        <v>240</v>
      </c>
      <c r="AE60" s="5670" t="s">
        <v>7692</v>
      </c>
      <c r="AF60" s="5578"/>
      <c r="AG60" s="5671" t="str">
        <f>IF(AD52=0,"",VLOOKUP(AD52,'Tablas psiquica'!$D$7:$R$145,12,FALSE))</f>
        <v/>
      </c>
      <c r="AH60" s="5672"/>
      <c r="AI60" s="5672"/>
      <c r="AJ60" s="5673"/>
      <c r="AK60" s="1114"/>
      <c r="AL60" s="1108"/>
      <c r="AQ60" s="646"/>
      <c r="AR60" s="1148"/>
    </row>
    <row r="61" spans="1:44" ht="12" customHeight="1">
      <c r="A61" s="1108"/>
      <c r="B61" s="520"/>
      <c r="C61" s="1166">
        <v>280</v>
      </c>
      <c r="D61" s="5674" t="s">
        <v>2066</v>
      </c>
      <c r="E61" s="5573"/>
      <c r="F61" s="5675" t="str">
        <f>IF(C52=0,"",VLOOKUP(C52,'Tablas psiquica'!$D$7:$R$145,13,FALSE))</f>
        <v/>
      </c>
      <c r="G61" s="5676"/>
      <c r="H61" s="5676"/>
      <c r="I61" s="5677"/>
      <c r="K61" s="1166">
        <v>280</v>
      </c>
      <c r="L61" s="5674" t="s">
        <v>2066</v>
      </c>
      <c r="M61" s="5573"/>
      <c r="N61" s="5675" t="str">
        <f>IF(K52=0,"",VLOOKUP(K52,'Tablas psiquica'!$D$7:$R$145,13,FALSE))</f>
        <v/>
      </c>
      <c r="O61" s="5676"/>
      <c r="P61" s="5676"/>
      <c r="Q61" s="5677"/>
      <c r="R61" s="1114"/>
      <c r="S61" s="1108"/>
      <c r="T61" s="1108"/>
      <c r="U61" s="520"/>
      <c r="V61" s="1166">
        <v>280</v>
      </c>
      <c r="W61" s="5674" t="s">
        <v>2066</v>
      </c>
      <c r="X61" s="5573"/>
      <c r="Y61" s="5675" t="str">
        <f>IF(V52=0,"",VLOOKUP(V52,'Tablas psiquica'!$D$7:$R$145,13,FALSE))</f>
        <v/>
      </c>
      <c r="Z61" s="5676"/>
      <c r="AA61" s="5676"/>
      <c r="AB61" s="5677"/>
      <c r="AC61" s="646"/>
      <c r="AD61" s="1166">
        <v>280</v>
      </c>
      <c r="AE61" s="5674" t="s">
        <v>2066</v>
      </c>
      <c r="AF61" s="5573"/>
      <c r="AG61" s="5675" t="str">
        <f>IF(AD52=0,"",VLOOKUP(AD52,'Tablas psiquica'!$D$7:$R$145,13,FALSE))</f>
        <v/>
      </c>
      <c r="AH61" s="5676"/>
      <c r="AI61" s="5676"/>
      <c r="AJ61" s="5677"/>
      <c r="AK61" s="1114"/>
      <c r="AL61" s="1108"/>
      <c r="AQ61" s="646"/>
      <c r="AR61" s="1148"/>
    </row>
    <row r="62" spans="1:44" ht="12" customHeight="1">
      <c r="A62" s="1108"/>
      <c r="B62" s="520"/>
      <c r="C62" s="1164">
        <v>320</v>
      </c>
      <c r="D62" s="5670" t="s">
        <v>2068</v>
      </c>
      <c r="E62" s="5578"/>
      <c r="F62" s="5671" t="str">
        <f>IF(C52=0,"",VLOOKUP(C52,'Tablas psiquica'!$D$7:$R$145,14,FALSE))</f>
        <v/>
      </c>
      <c r="G62" s="5672"/>
      <c r="H62" s="5672"/>
      <c r="I62" s="5673"/>
      <c r="K62" s="1164">
        <v>320</v>
      </c>
      <c r="L62" s="5670" t="s">
        <v>2068</v>
      </c>
      <c r="M62" s="5578"/>
      <c r="N62" s="5671" t="str">
        <f>IF(K52=0,"",VLOOKUP(K52,'Tablas psiquica'!$D$7:$R$145,14,FALSE))</f>
        <v/>
      </c>
      <c r="O62" s="5672"/>
      <c r="P62" s="5672"/>
      <c r="Q62" s="5673"/>
      <c r="R62" s="1114"/>
      <c r="S62" s="1108"/>
      <c r="T62" s="1108"/>
      <c r="U62" s="520"/>
      <c r="V62" s="1164">
        <v>320</v>
      </c>
      <c r="W62" s="5670" t="s">
        <v>2068</v>
      </c>
      <c r="X62" s="5578"/>
      <c r="Y62" s="5671" t="str">
        <f>IF(V52=0,"",VLOOKUP(V52,'Tablas psiquica'!$D$7:$R$145,14,FALSE))</f>
        <v/>
      </c>
      <c r="Z62" s="5672"/>
      <c r="AA62" s="5672"/>
      <c r="AB62" s="5673"/>
      <c r="AC62" s="646"/>
      <c r="AD62" s="1164">
        <v>320</v>
      </c>
      <c r="AE62" s="5670" t="s">
        <v>2068</v>
      </c>
      <c r="AF62" s="5578"/>
      <c r="AG62" s="5671" t="str">
        <f>IF(AD52=0,"",VLOOKUP(AD52,'Tablas psiquica'!$D$7:$R$145,14,FALSE))</f>
        <v/>
      </c>
      <c r="AH62" s="5672"/>
      <c r="AI62" s="5672"/>
      <c r="AJ62" s="5673"/>
      <c r="AK62" s="1114"/>
      <c r="AL62" s="1108"/>
      <c r="AQ62" s="646"/>
      <c r="AR62" s="1148"/>
    </row>
    <row r="63" spans="1:44" ht="12" customHeight="1">
      <c r="A63" s="1108"/>
      <c r="B63" s="520"/>
      <c r="C63" s="1169">
        <v>440</v>
      </c>
      <c r="D63" s="5678" t="s">
        <v>2002</v>
      </c>
      <c r="E63" s="5679"/>
      <c r="F63" s="5680" t="str">
        <f>IF(C52=0,"",VLOOKUP(C52,'Tablas psiquica'!$D$7:$R$145,15,FALSE))</f>
        <v/>
      </c>
      <c r="G63" s="5681"/>
      <c r="H63" s="5681"/>
      <c r="I63" s="5682"/>
      <c r="K63" s="1169">
        <v>440</v>
      </c>
      <c r="L63" s="5678" t="s">
        <v>2002</v>
      </c>
      <c r="M63" s="5679"/>
      <c r="N63" s="5680" t="str">
        <f>IF(K52=0,"",VLOOKUP(K52,'Tablas psiquica'!$D$7:$R$145,15,FALSE))</f>
        <v/>
      </c>
      <c r="O63" s="5681"/>
      <c r="P63" s="5681"/>
      <c r="Q63" s="5682"/>
      <c r="R63" s="1114"/>
      <c r="S63" s="1108"/>
      <c r="T63" s="1108"/>
      <c r="U63" s="520"/>
      <c r="V63" s="1169">
        <v>440</v>
      </c>
      <c r="W63" s="5678" t="s">
        <v>2002</v>
      </c>
      <c r="X63" s="5679"/>
      <c r="Y63" s="5680" t="str">
        <f>IF(V52=0,"",VLOOKUP(V52,'Tablas psiquica'!$D$7:$R$145,15,FALSE))</f>
        <v/>
      </c>
      <c r="Z63" s="5681"/>
      <c r="AA63" s="5681"/>
      <c r="AB63" s="5682"/>
      <c r="AC63" s="1156"/>
      <c r="AD63" s="1169">
        <v>440</v>
      </c>
      <c r="AE63" s="5678" t="s">
        <v>2002</v>
      </c>
      <c r="AF63" s="5679"/>
      <c r="AG63" s="5680" t="str">
        <f>IF(AD52=0,"",VLOOKUP(AD52,'Tablas psiquica'!$D$7:$R$145,15,FALSE))</f>
        <v/>
      </c>
      <c r="AH63" s="5681"/>
      <c r="AI63" s="5681"/>
      <c r="AJ63" s="5682"/>
      <c r="AK63" s="1114"/>
      <c r="AL63" s="1108"/>
      <c r="AQ63" s="646"/>
      <c r="AR63" s="1148"/>
    </row>
    <row r="64" spans="1:44" ht="12" customHeight="1" thickBot="1">
      <c r="A64" s="1108"/>
      <c r="B64" s="520"/>
      <c r="C64" s="5683" t="s">
        <v>7693</v>
      </c>
      <c r="D64" s="5684"/>
      <c r="E64" s="1170" t="str">
        <f>IF(C52=0,"",VLOOKUP(C52,'Tablas psiquica'!$D$7:$R$145,4,FALSE))</f>
        <v/>
      </c>
      <c r="F64" s="5685" t="s">
        <v>7688</v>
      </c>
      <c r="G64" s="5685"/>
      <c r="H64" s="4564" t="str">
        <f>IF(C52=0,"",VLOOKUP(C52,'Tablas psiquica'!$D$7:$R$145,5,FALSE))</f>
        <v/>
      </c>
      <c r="I64" s="4565"/>
      <c r="K64" s="5683" t="s">
        <v>7693</v>
      </c>
      <c r="L64" s="5684"/>
      <c r="M64" s="1170" t="str">
        <f>IF(K52=0,"",VLOOKUP(K52,'Tablas psiquica'!$D$7:$R$145,4,FALSE))</f>
        <v/>
      </c>
      <c r="N64" s="5685" t="s">
        <v>7688</v>
      </c>
      <c r="O64" s="5685"/>
      <c r="P64" s="4564" t="str">
        <f>IF(K52=0,"",VLOOKUP(K52,'Tablas psiquica'!$D$7:$R$145,5,FALSE))</f>
        <v/>
      </c>
      <c r="Q64" s="4565"/>
      <c r="R64" s="1114"/>
      <c r="S64" s="1108"/>
      <c r="T64" s="1108"/>
      <c r="U64" s="520"/>
      <c r="V64" s="5683" t="s">
        <v>7693</v>
      </c>
      <c r="W64" s="5684"/>
      <c r="X64" s="1170" t="str">
        <f>IF(V52=0,"",VLOOKUP(V52,'Tablas psiquica'!$D$7:$R$145,4,FALSE))</f>
        <v/>
      </c>
      <c r="Y64" s="5685" t="s">
        <v>7688</v>
      </c>
      <c r="Z64" s="5685"/>
      <c r="AA64" s="4564" t="str">
        <f>IF(V52=0,"",VLOOKUP(V52,'Tablas psiquica'!$D$7:$R$145,5,FALSE))</f>
        <v/>
      </c>
      <c r="AB64" s="4565"/>
      <c r="AC64" s="1156"/>
      <c r="AD64" s="5683" t="s">
        <v>7693</v>
      </c>
      <c r="AE64" s="5684"/>
      <c r="AF64" s="1170" t="str">
        <f>IF(AD52=0,"",VLOOKUP(AD52,'Tablas psiquica'!$D$7:$R$145,4,FALSE))</f>
        <v/>
      </c>
      <c r="AG64" s="5685" t="s">
        <v>7688</v>
      </c>
      <c r="AH64" s="5685"/>
      <c r="AI64" s="4564" t="str">
        <f>IF(AD52=0,"",VLOOKUP(AD52,'Tablas psiquica'!$D$7:$R$145,5,FALSE))</f>
        <v/>
      </c>
      <c r="AJ64" s="4565"/>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565"/>
      <c r="D66" s="5566"/>
      <c r="E66" s="5566"/>
      <c r="F66" s="5566"/>
      <c r="G66" s="5566"/>
      <c r="H66" s="5566"/>
      <c r="I66" s="1161" t="s">
        <v>1712</v>
      </c>
      <c r="K66" s="5565"/>
      <c r="L66" s="5566"/>
      <c r="M66" s="5566"/>
      <c r="N66" s="5566"/>
      <c r="O66" s="5566"/>
      <c r="P66" s="5566"/>
      <c r="Q66" s="1161" t="s">
        <v>1712</v>
      </c>
      <c r="R66" s="1114"/>
      <c r="S66" s="1108"/>
      <c r="T66" s="1108"/>
      <c r="U66" s="520"/>
      <c r="V66" s="5565"/>
      <c r="W66" s="5566"/>
      <c r="X66" s="5566"/>
      <c r="Y66" s="5566"/>
      <c r="Z66" s="5566"/>
      <c r="AA66" s="5566"/>
      <c r="AB66" s="1161" t="s">
        <v>1712</v>
      </c>
      <c r="AC66" s="646"/>
      <c r="AD66" s="5565"/>
      <c r="AE66" s="5566"/>
      <c r="AF66" s="5566"/>
      <c r="AG66" s="5566"/>
      <c r="AH66" s="5566"/>
      <c r="AI66" s="5566"/>
      <c r="AJ66" s="1161" t="s">
        <v>1712</v>
      </c>
      <c r="AK66" s="1114"/>
      <c r="AL66" s="1108"/>
      <c r="AM66" s="1153"/>
      <c r="AN66" s="1153"/>
      <c r="AO66" s="1153"/>
      <c r="AP66" s="1153"/>
      <c r="AQ66" s="1155"/>
      <c r="AR66" s="646"/>
    </row>
    <row r="67" spans="1:44" ht="12" customHeight="1">
      <c r="A67" s="1108"/>
      <c r="B67" s="520"/>
      <c r="C67" s="5668" t="str">
        <f>IF(C66=0,"",VLOOKUP(C66,'Tablas psiquica'!$D$7:$R$145,2,FALSE))</f>
        <v/>
      </c>
      <c r="D67" s="5669"/>
      <c r="E67" s="5669"/>
      <c r="F67" s="5669"/>
      <c r="G67" s="5669"/>
      <c r="H67" s="5669"/>
      <c r="I67" s="1163" t="str">
        <f>IF(C66=0,"",VLOOKUP(C66,'Tablas psiquica'!$D$7:$R$145,3,FALSE))</f>
        <v/>
      </c>
      <c r="K67" s="5668" t="str">
        <f>IF(K66=0,"",VLOOKUP(K66,'Tablas psiquica'!$D$7:$R$145,2,FALSE))</f>
        <v/>
      </c>
      <c r="L67" s="5669"/>
      <c r="M67" s="5669"/>
      <c r="N67" s="5669"/>
      <c r="O67" s="5669"/>
      <c r="P67" s="5669"/>
      <c r="Q67" s="1163" t="str">
        <f>IF(K66=0,"",VLOOKUP(K66,'Tablas psiquica'!$D$7:$R$145,3,FALSE))</f>
        <v/>
      </c>
      <c r="R67" s="1114"/>
      <c r="S67" s="1108"/>
      <c r="T67" s="1108"/>
      <c r="U67" s="520"/>
      <c r="V67" s="5668" t="str">
        <f>IF(V66=0,"",VLOOKUP(V66,'Tablas psiquica'!$D$7:$R$145,2,FALSE))</f>
        <v/>
      </c>
      <c r="W67" s="5669"/>
      <c r="X67" s="5669"/>
      <c r="Y67" s="5669"/>
      <c r="Z67" s="5669"/>
      <c r="AA67" s="5669"/>
      <c r="AB67" s="1163" t="str">
        <f>IF(V66=0,"",VLOOKUP(V66,'Tablas psiquica'!$D$7:$R$145,3,FALSE))</f>
        <v/>
      </c>
      <c r="AC67" s="646"/>
      <c r="AD67" s="5668" t="str">
        <f>IF(AD66=0,"",VLOOKUP(AD66,'Tablas psiquica'!$D$7:$R$145,2,FALSE))</f>
        <v/>
      </c>
      <c r="AE67" s="5669"/>
      <c r="AF67" s="5669"/>
      <c r="AG67" s="5669"/>
      <c r="AH67" s="5669"/>
      <c r="AI67" s="5669"/>
      <c r="AJ67" s="1163" t="str">
        <f>IF(AD66=0,"",VLOOKUP(AD66,'Tablas psiquica'!$D$7:$R$145,3,FALSE))</f>
        <v/>
      </c>
      <c r="AK67" s="1114"/>
      <c r="AL67" s="1108"/>
      <c r="AM67" s="1157"/>
      <c r="AN67" s="1158"/>
      <c r="AO67" s="1158"/>
      <c r="AP67" s="1158"/>
      <c r="AQ67" s="1158"/>
      <c r="AR67" s="646"/>
    </row>
    <row r="68" spans="1:44" ht="12" customHeight="1">
      <c r="A68" s="1108"/>
      <c r="B68" s="520"/>
      <c r="C68" s="2948">
        <v>20</v>
      </c>
      <c r="D68" s="5670" t="s">
        <v>2045</v>
      </c>
      <c r="E68" s="5578"/>
      <c r="F68" s="5671" t="str">
        <f>IF(C66=0,"",VLOOKUP(C66,'Tablas psiquica'!$D$7:$R$145,6,FALSE))</f>
        <v/>
      </c>
      <c r="G68" s="5672"/>
      <c r="H68" s="5672"/>
      <c r="I68" s="5673"/>
      <c r="K68" s="2948">
        <v>20</v>
      </c>
      <c r="L68" s="5670" t="s">
        <v>2045</v>
      </c>
      <c r="M68" s="5578"/>
      <c r="N68" s="5671" t="str">
        <f>IF(K66=0,"",VLOOKUP(K66,'Tablas psiquica'!$D$7:$R$145,6,FALSE))</f>
        <v/>
      </c>
      <c r="O68" s="5672"/>
      <c r="P68" s="5672"/>
      <c r="Q68" s="5673"/>
      <c r="R68" s="1114"/>
      <c r="S68" s="1108"/>
      <c r="T68" s="1108"/>
      <c r="U68" s="520"/>
      <c r="V68" s="2948">
        <v>20</v>
      </c>
      <c r="W68" s="5670" t="s">
        <v>2045</v>
      </c>
      <c r="X68" s="5578"/>
      <c r="Y68" s="5671" t="str">
        <f>IF(V66=0,"",VLOOKUP(V66,'Tablas psiquica'!$D$7:$R$145,6,FALSE))</f>
        <v/>
      </c>
      <c r="Z68" s="5672"/>
      <c r="AA68" s="5672"/>
      <c r="AB68" s="5673"/>
      <c r="AC68" s="646"/>
      <c r="AD68" s="2948">
        <v>20</v>
      </c>
      <c r="AE68" s="5670" t="s">
        <v>2045</v>
      </c>
      <c r="AF68" s="5578"/>
      <c r="AG68" s="5671" t="str">
        <f>IF(AD66=0,"",VLOOKUP(AD66,'Tablas psiquica'!$D$7:$R$145,6,FALSE))</f>
        <v/>
      </c>
      <c r="AH68" s="5672"/>
      <c r="AI68" s="5672"/>
      <c r="AJ68" s="5673"/>
      <c r="AK68" s="1114"/>
      <c r="AL68" s="1108"/>
      <c r="AM68" s="1157"/>
      <c r="AN68" s="1158"/>
      <c r="AO68" s="1158"/>
      <c r="AP68" s="1158"/>
      <c r="AQ68" s="1158"/>
      <c r="AR68" s="646"/>
    </row>
    <row r="69" spans="1:44" ht="12" customHeight="1">
      <c r="A69" s="1108"/>
      <c r="B69" s="520"/>
      <c r="C69" s="2949">
        <v>40</v>
      </c>
      <c r="D69" s="5674" t="s">
        <v>2049</v>
      </c>
      <c r="E69" s="5573"/>
      <c r="F69" s="5675" t="str">
        <f>IF(C66=0,"",VLOOKUP(C66,'Tablas psiquica'!$D$7:$R$145,7,FALSE))</f>
        <v/>
      </c>
      <c r="G69" s="5676"/>
      <c r="H69" s="5676"/>
      <c r="I69" s="5677"/>
      <c r="K69" s="2949">
        <v>40</v>
      </c>
      <c r="L69" s="5674" t="s">
        <v>2049</v>
      </c>
      <c r="M69" s="5573"/>
      <c r="N69" s="5675" t="str">
        <f>IF(K66=0,"",VLOOKUP(K66,'Tablas psiquica'!$D$7:$R$145,7,FALSE))</f>
        <v/>
      </c>
      <c r="O69" s="5676"/>
      <c r="P69" s="5676"/>
      <c r="Q69" s="5677"/>
      <c r="R69" s="1114"/>
      <c r="S69" s="1108"/>
      <c r="T69" s="1108"/>
      <c r="U69" s="520"/>
      <c r="V69" s="2949">
        <v>40</v>
      </c>
      <c r="W69" s="5674" t="s">
        <v>2049</v>
      </c>
      <c r="X69" s="5573"/>
      <c r="Y69" s="5675" t="str">
        <f>IF(V66=0,"",VLOOKUP(V66,'Tablas psiquica'!$D$7:$R$145,7,FALSE))</f>
        <v/>
      </c>
      <c r="Z69" s="5676"/>
      <c r="AA69" s="5676"/>
      <c r="AB69" s="5677"/>
      <c r="AC69" s="646"/>
      <c r="AD69" s="2949">
        <v>40</v>
      </c>
      <c r="AE69" s="5674" t="s">
        <v>2049</v>
      </c>
      <c r="AF69" s="5573"/>
      <c r="AG69" s="5675" t="str">
        <f>IF(AD66=0,"",VLOOKUP(AD66,'Tablas psiquica'!$D$7:$R$145,7,FALSE))</f>
        <v/>
      </c>
      <c r="AH69" s="5676"/>
      <c r="AI69" s="5676"/>
      <c r="AJ69" s="5677"/>
      <c r="AK69" s="1114"/>
      <c r="AL69" s="1108"/>
      <c r="AM69" s="646"/>
      <c r="AN69" s="646"/>
      <c r="AO69" s="646"/>
      <c r="AP69" s="646"/>
      <c r="AQ69" s="646"/>
      <c r="AR69" s="646"/>
    </row>
    <row r="70" spans="1:44" ht="12" customHeight="1">
      <c r="A70" s="1108"/>
      <c r="B70" s="520"/>
      <c r="C70" s="2948">
        <v>80</v>
      </c>
      <c r="D70" s="5670" t="s">
        <v>2052</v>
      </c>
      <c r="E70" s="5578"/>
      <c r="F70" s="5671" t="str">
        <f>IF(C66=0,"",VLOOKUP(C66,'Tablas psiquica'!$D$7:$R$145,8,FALSE))</f>
        <v/>
      </c>
      <c r="G70" s="5672"/>
      <c r="H70" s="5672"/>
      <c r="I70" s="5673"/>
      <c r="K70" s="2948">
        <v>80</v>
      </c>
      <c r="L70" s="5670" t="s">
        <v>2052</v>
      </c>
      <c r="M70" s="5578"/>
      <c r="N70" s="5671" t="str">
        <f>IF(K66=0,"",VLOOKUP(K66,'Tablas psiquica'!$D$7:$R$145,8,FALSE))</f>
        <v/>
      </c>
      <c r="O70" s="5672"/>
      <c r="P70" s="5672"/>
      <c r="Q70" s="5673"/>
      <c r="R70" s="1114"/>
      <c r="S70" s="1108"/>
      <c r="T70" s="1108"/>
      <c r="U70" s="520"/>
      <c r="V70" s="2948">
        <v>80</v>
      </c>
      <c r="W70" s="5670" t="s">
        <v>2052</v>
      </c>
      <c r="X70" s="5578"/>
      <c r="Y70" s="5671" t="str">
        <f>IF(V66=0,"",VLOOKUP(V66,'Tablas psiquica'!$D$7:$R$145,8,FALSE))</f>
        <v/>
      </c>
      <c r="Z70" s="5672"/>
      <c r="AA70" s="5672"/>
      <c r="AB70" s="5673"/>
      <c r="AC70" s="646"/>
      <c r="AD70" s="2948">
        <v>80</v>
      </c>
      <c r="AE70" s="5670" t="s">
        <v>2052</v>
      </c>
      <c r="AF70" s="5578"/>
      <c r="AG70" s="5671" t="str">
        <f>IF(AD66=0,"",VLOOKUP(AD66,'Tablas psiquica'!$D$7:$R$145,8,FALSE))</f>
        <v/>
      </c>
      <c r="AH70" s="5672"/>
      <c r="AI70" s="5672"/>
      <c r="AJ70" s="5673"/>
      <c r="AK70" s="1114"/>
      <c r="AL70" s="1108"/>
      <c r="AM70" s="646"/>
      <c r="AN70" s="646"/>
      <c r="AO70" s="646"/>
      <c r="AP70" s="646"/>
      <c r="AQ70" s="646"/>
      <c r="AR70" s="646"/>
    </row>
    <row r="71" spans="1:44" ht="12" customHeight="1">
      <c r="A71" s="1108"/>
      <c r="B71" s="520"/>
      <c r="C71" s="2949">
        <v>120</v>
      </c>
      <c r="D71" s="5674" t="s">
        <v>2056</v>
      </c>
      <c r="E71" s="5573"/>
      <c r="F71" s="5675" t="str">
        <f>IF(C66=0,"",VLOOKUP(C66,'Tablas psiquica'!$D$7:$R$145,9,FALSE))</f>
        <v/>
      </c>
      <c r="G71" s="5676"/>
      <c r="H71" s="5676"/>
      <c r="I71" s="5677"/>
      <c r="K71" s="2949">
        <v>120</v>
      </c>
      <c r="L71" s="5674" t="s">
        <v>2056</v>
      </c>
      <c r="M71" s="5573"/>
      <c r="N71" s="5675" t="str">
        <f>IF(K66=0,"",VLOOKUP(K66,'Tablas psiquica'!$D$7:$R$145,9,FALSE))</f>
        <v/>
      </c>
      <c r="O71" s="5676"/>
      <c r="P71" s="5676"/>
      <c r="Q71" s="5677"/>
      <c r="R71" s="1114"/>
      <c r="S71" s="1108"/>
      <c r="T71" s="1108"/>
      <c r="U71" s="520"/>
      <c r="V71" s="2949">
        <v>120</v>
      </c>
      <c r="W71" s="5674" t="s">
        <v>2056</v>
      </c>
      <c r="X71" s="5573"/>
      <c r="Y71" s="5675" t="str">
        <f>IF(V66=0,"",VLOOKUP(V66,'Tablas psiquica'!$D$7:$R$145,9,FALSE))</f>
        <v/>
      </c>
      <c r="Z71" s="5676"/>
      <c r="AA71" s="5676"/>
      <c r="AB71" s="5677"/>
      <c r="AC71" s="646"/>
      <c r="AD71" s="2949">
        <v>120</v>
      </c>
      <c r="AE71" s="5674" t="s">
        <v>2056</v>
      </c>
      <c r="AF71" s="5573"/>
      <c r="AG71" s="5675" t="str">
        <f>IF(AD66=0,"",VLOOKUP(AD66,'Tablas psiquica'!$D$7:$R$145,9,FALSE))</f>
        <v/>
      </c>
      <c r="AH71" s="5676"/>
      <c r="AI71" s="5676"/>
      <c r="AJ71" s="5677"/>
      <c r="AK71" s="1114"/>
      <c r="AL71" s="1108"/>
      <c r="AM71" s="646"/>
      <c r="AN71" s="646"/>
      <c r="AO71" s="646"/>
      <c r="AP71" s="646"/>
      <c r="AQ71" s="646"/>
      <c r="AR71" s="646"/>
    </row>
    <row r="72" spans="1:44" ht="12" customHeight="1">
      <c r="A72" s="1108"/>
      <c r="B72" s="520"/>
      <c r="C72" s="2948">
        <v>140</v>
      </c>
      <c r="D72" s="5670" t="s">
        <v>7691</v>
      </c>
      <c r="E72" s="5578"/>
      <c r="F72" s="5671" t="str">
        <f>IF(C66=0,"",VLOOKUP(C66,'Tablas psiquica'!$D$7:$R$145,10,FALSE))</f>
        <v/>
      </c>
      <c r="G72" s="5672"/>
      <c r="H72" s="5672"/>
      <c r="I72" s="5673"/>
      <c r="K72" s="2948">
        <v>140</v>
      </c>
      <c r="L72" s="5670" t="s">
        <v>7691</v>
      </c>
      <c r="M72" s="5578"/>
      <c r="N72" s="5671" t="str">
        <f>IF(K66=0,"",VLOOKUP(K66,'Tablas psiquica'!$D$7:$R$145,10,FALSE))</f>
        <v/>
      </c>
      <c r="O72" s="5672"/>
      <c r="P72" s="5672"/>
      <c r="Q72" s="5673"/>
      <c r="R72" s="1114"/>
      <c r="S72" s="1108"/>
      <c r="T72" s="1108"/>
      <c r="U72" s="520"/>
      <c r="V72" s="2948">
        <v>140</v>
      </c>
      <c r="W72" s="5670" t="s">
        <v>7691</v>
      </c>
      <c r="X72" s="5578"/>
      <c r="Y72" s="5671" t="str">
        <f>IF(V66=0,"",VLOOKUP(V66,'Tablas psiquica'!$D$7:$R$145,10,FALSE))</f>
        <v/>
      </c>
      <c r="Z72" s="5672"/>
      <c r="AA72" s="5672"/>
      <c r="AB72" s="5673"/>
      <c r="AC72" s="1174"/>
      <c r="AD72" s="2948">
        <v>140</v>
      </c>
      <c r="AE72" s="5670" t="s">
        <v>7691</v>
      </c>
      <c r="AF72" s="5578"/>
      <c r="AG72" s="5671" t="str">
        <f>IF(AD66=0,"",VLOOKUP(AD66,'Tablas psiquica'!$D$7:$R$145,10,FALSE))</f>
        <v/>
      </c>
      <c r="AH72" s="5672"/>
      <c r="AI72" s="5672"/>
      <c r="AJ72" s="5673"/>
      <c r="AK72" s="1114"/>
      <c r="AL72" s="1108"/>
      <c r="AM72" s="646"/>
      <c r="AN72" s="646"/>
      <c r="AO72" s="646"/>
      <c r="AP72" s="646"/>
      <c r="AQ72" s="646"/>
      <c r="AR72" s="646"/>
    </row>
    <row r="73" spans="1:44" ht="12" customHeight="1">
      <c r="A73" s="1108"/>
      <c r="B73" s="520"/>
      <c r="C73" s="2949">
        <v>180</v>
      </c>
      <c r="D73" s="5674" t="s">
        <v>2061</v>
      </c>
      <c r="E73" s="5573"/>
      <c r="F73" s="5675" t="str">
        <f>IF(C66=0,"",VLOOKUP(C66,'Tablas psiquica'!$D$7:$R$145,11,FALSE))</f>
        <v/>
      </c>
      <c r="G73" s="5676"/>
      <c r="H73" s="5676"/>
      <c r="I73" s="5677"/>
      <c r="K73" s="2949">
        <v>180</v>
      </c>
      <c r="L73" s="5674" t="s">
        <v>2061</v>
      </c>
      <c r="M73" s="5573"/>
      <c r="N73" s="5675" t="str">
        <f>IF(K66=0,"",VLOOKUP(K66,'Tablas psiquica'!$D$7:$R$145,11,FALSE))</f>
        <v/>
      </c>
      <c r="O73" s="5676"/>
      <c r="P73" s="5676"/>
      <c r="Q73" s="5677"/>
      <c r="R73" s="1114"/>
      <c r="S73" s="1108"/>
      <c r="T73" s="1108"/>
      <c r="U73" s="520"/>
      <c r="V73" s="2949">
        <v>180</v>
      </c>
      <c r="W73" s="5674" t="s">
        <v>2061</v>
      </c>
      <c r="X73" s="5573"/>
      <c r="Y73" s="5675" t="str">
        <f>IF(V66=0,"",VLOOKUP(V66,'Tablas psiquica'!$D$7:$R$145,11,FALSE))</f>
        <v/>
      </c>
      <c r="Z73" s="5676"/>
      <c r="AA73" s="5676"/>
      <c r="AB73" s="5677"/>
      <c r="AC73" s="646"/>
      <c r="AD73" s="2949">
        <v>180</v>
      </c>
      <c r="AE73" s="5674" t="s">
        <v>2061</v>
      </c>
      <c r="AF73" s="5573"/>
      <c r="AG73" s="5675" t="str">
        <f>IF(AD66=0,"",VLOOKUP(AD66,'Tablas psiquica'!$D$7:$R$145,11,FALSE))</f>
        <v/>
      </c>
      <c r="AH73" s="5676"/>
      <c r="AI73" s="5676"/>
      <c r="AJ73" s="5677"/>
      <c r="AK73" s="1114"/>
      <c r="AL73" s="1108"/>
      <c r="AM73" s="646"/>
      <c r="AN73" s="646"/>
      <c r="AO73" s="646"/>
      <c r="AP73" s="646"/>
      <c r="AQ73" s="646"/>
      <c r="AR73" s="646"/>
    </row>
    <row r="74" spans="1:44" ht="12" customHeight="1">
      <c r="A74" s="1108"/>
      <c r="B74" s="520"/>
      <c r="C74" s="2948">
        <v>240</v>
      </c>
      <c r="D74" s="5670" t="s">
        <v>7692</v>
      </c>
      <c r="E74" s="5578"/>
      <c r="F74" s="5671" t="str">
        <f>IF(C66=0,"",VLOOKUP(C66,'Tablas psiquica'!$D$7:$R$145,12,FALSE))</f>
        <v/>
      </c>
      <c r="G74" s="5672"/>
      <c r="H74" s="5672"/>
      <c r="I74" s="5673"/>
      <c r="K74" s="2948">
        <v>240</v>
      </c>
      <c r="L74" s="5670" t="s">
        <v>7692</v>
      </c>
      <c r="M74" s="5578"/>
      <c r="N74" s="5671" t="str">
        <f>IF(K66=0,"",VLOOKUP(K66,'Tablas psiquica'!$D$7:$R$145,12,FALSE))</f>
        <v/>
      </c>
      <c r="O74" s="5672"/>
      <c r="P74" s="5672"/>
      <c r="Q74" s="5673"/>
      <c r="R74" s="1114"/>
      <c r="S74" s="1108"/>
      <c r="T74" s="1108"/>
      <c r="U74" s="520"/>
      <c r="V74" s="2948">
        <v>240</v>
      </c>
      <c r="W74" s="5670" t="s">
        <v>7692</v>
      </c>
      <c r="X74" s="5578"/>
      <c r="Y74" s="5671" t="str">
        <f>IF(V66=0,"",VLOOKUP(V66,'Tablas psiquica'!$D$7:$R$145,12,FALSE))</f>
        <v/>
      </c>
      <c r="Z74" s="5672"/>
      <c r="AA74" s="5672"/>
      <c r="AB74" s="5673"/>
      <c r="AC74" s="646"/>
      <c r="AD74" s="2948">
        <v>240</v>
      </c>
      <c r="AE74" s="5670" t="s">
        <v>7692</v>
      </c>
      <c r="AF74" s="5578"/>
      <c r="AG74" s="5671" t="str">
        <f>IF(AD66=0,"",VLOOKUP(AD66,'Tablas psiquica'!$D$7:$R$145,12,FALSE))</f>
        <v/>
      </c>
      <c r="AH74" s="5672"/>
      <c r="AI74" s="5672"/>
      <c r="AJ74" s="5673"/>
      <c r="AK74" s="1114"/>
      <c r="AL74" s="1108"/>
      <c r="AM74" s="646"/>
      <c r="AN74" s="646"/>
      <c r="AO74" s="646"/>
      <c r="AP74" s="646"/>
      <c r="AQ74" s="646"/>
      <c r="AR74" s="646"/>
    </row>
    <row r="75" spans="1:44" ht="12" customHeight="1">
      <c r="A75" s="1108"/>
      <c r="B75" s="520"/>
      <c r="C75" s="2949">
        <v>280</v>
      </c>
      <c r="D75" s="5674" t="s">
        <v>2066</v>
      </c>
      <c r="E75" s="5573"/>
      <c r="F75" s="5675" t="str">
        <f>IF(C66=0,"",VLOOKUP(C66,'Tablas psiquica'!$D$7:$R$145,13,FALSE))</f>
        <v/>
      </c>
      <c r="G75" s="5676"/>
      <c r="H75" s="5676"/>
      <c r="I75" s="5677"/>
      <c r="K75" s="2949">
        <v>280</v>
      </c>
      <c r="L75" s="5674" t="s">
        <v>2066</v>
      </c>
      <c r="M75" s="5573"/>
      <c r="N75" s="5675" t="str">
        <f>IF(K66=0,"",VLOOKUP(K66,'Tablas psiquica'!$D$7:$R$145,13,FALSE))</f>
        <v/>
      </c>
      <c r="O75" s="5676"/>
      <c r="P75" s="5676"/>
      <c r="Q75" s="5677"/>
      <c r="R75" s="1114"/>
      <c r="S75" s="1108"/>
      <c r="T75" s="1108"/>
      <c r="U75" s="520"/>
      <c r="V75" s="2949">
        <v>280</v>
      </c>
      <c r="W75" s="5674" t="s">
        <v>2066</v>
      </c>
      <c r="X75" s="5573"/>
      <c r="Y75" s="5675" t="str">
        <f>IF(V66=0,"",VLOOKUP(V66,'Tablas psiquica'!$D$7:$R$145,13,FALSE))</f>
        <v/>
      </c>
      <c r="Z75" s="5676"/>
      <c r="AA75" s="5676"/>
      <c r="AB75" s="5677"/>
      <c r="AC75" s="646"/>
      <c r="AD75" s="2949">
        <v>280</v>
      </c>
      <c r="AE75" s="5674" t="s">
        <v>2066</v>
      </c>
      <c r="AF75" s="5573"/>
      <c r="AG75" s="5675" t="str">
        <f>IF(AD66=0,"",VLOOKUP(AD66,'Tablas psiquica'!$D$7:$R$145,13,FALSE))</f>
        <v/>
      </c>
      <c r="AH75" s="5676"/>
      <c r="AI75" s="5676"/>
      <c r="AJ75" s="5677"/>
      <c r="AK75" s="1114"/>
      <c r="AL75" s="1108"/>
    </row>
    <row r="76" spans="1:44" ht="12" customHeight="1">
      <c r="A76" s="1108"/>
      <c r="B76" s="520"/>
      <c r="C76" s="2948">
        <v>320</v>
      </c>
      <c r="D76" s="5670" t="s">
        <v>2068</v>
      </c>
      <c r="E76" s="5578"/>
      <c r="F76" s="5671" t="str">
        <f>IF(C66=0,"",VLOOKUP(C66,'Tablas psiquica'!$D$7:$R$145,14,FALSE))</f>
        <v/>
      </c>
      <c r="G76" s="5672"/>
      <c r="H76" s="5672"/>
      <c r="I76" s="5673"/>
      <c r="K76" s="2948">
        <v>320</v>
      </c>
      <c r="L76" s="5670" t="s">
        <v>2068</v>
      </c>
      <c r="M76" s="5578"/>
      <c r="N76" s="5671" t="str">
        <f>IF(K66=0,"",VLOOKUP(K66,'Tablas psiquica'!$D$7:$R$145,14,FALSE))</f>
        <v/>
      </c>
      <c r="O76" s="5672"/>
      <c r="P76" s="5672"/>
      <c r="Q76" s="5673"/>
      <c r="R76" s="1114"/>
      <c r="S76" s="1108"/>
      <c r="T76" s="1108"/>
      <c r="U76" s="520"/>
      <c r="V76" s="2948">
        <v>320</v>
      </c>
      <c r="W76" s="5670" t="s">
        <v>2068</v>
      </c>
      <c r="X76" s="5578"/>
      <c r="Y76" s="5671" t="str">
        <f>IF(V66=0,"",VLOOKUP(V66,'Tablas psiquica'!$D$7:$R$145,14,FALSE))</f>
        <v/>
      </c>
      <c r="Z76" s="5672"/>
      <c r="AA76" s="5672"/>
      <c r="AB76" s="5673"/>
      <c r="AC76" s="646"/>
      <c r="AD76" s="2948">
        <v>320</v>
      </c>
      <c r="AE76" s="5670" t="s">
        <v>2068</v>
      </c>
      <c r="AF76" s="5578"/>
      <c r="AG76" s="5671" t="str">
        <f>IF(AD66=0,"",VLOOKUP(AD66,'Tablas psiquica'!$D$7:$R$145,14,FALSE))</f>
        <v/>
      </c>
      <c r="AH76" s="5672"/>
      <c r="AI76" s="5672"/>
      <c r="AJ76" s="5673"/>
      <c r="AK76" s="1114"/>
      <c r="AL76" s="1108"/>
    </row>
    <row r="77" spans="1:44" ht="12" customHeight="1">
      <c r="A77" s="1108"/>
      <c r="B77" s="520"/>
      <c r="C77" s="1169">
        <v>440</v>
      </c>
      <c r="D77" s="5678" t="s">
        <v>2002</v>
      </c>
      <c r="E77" s="5679"/>
      <c r="F77" s="5680" t="str">
        <f>IF(C66=0,"",VLOOKUP(C66,'Tablas psiquica'!$D$7:$R$145,15,FALSE))</f>
        <v/>
      </c>
      <c r="G77" s="5681"/>
      <c r="H77" s="5681"/>
      <c r="I77" s="5682"/>
      <c r="K77" s="1169">
        <v>440</v>
      </c>
      <c r="L77" s="5678" t="s">
        <v>2002</v>
      </c>
      <c r="M77" s="5679"/>
      <c r="N77" s="5680" t="str">
        <f>IF(K66=0,"",VLOOKUP(K66,'Tablas psiquica'!$D$7:$R$145,15,FALSE))</f>
        <v/>
      </c>
      <c r="O77" s="5681"/>
      <c r="P77" s="5681"/>
      <c r="Q77" s="5682"/>
      <c r="R77" s="1114"/>
      <c r="S77" s="1108"/>
      <c r="T77" s="1108"/>
      <c r="U77" s="520"/>
      <c r="V77" s="1169">
        <v>440</v>
      </c>
      <c r="W77" s="5678" t="s">
        <v>2002</v>
      </c>
      <c r="X77" s="5679"/>
      <c r="Y77" s="5680" t="str">
        <f>IF(V66=0,"",VLOOKUP(V66,'Tablas psiquica'!$D$7:$R$145,15,FALSE))</f>
        <v/>
      </c>
      <c r="Z77" s="5681"/>
      <c r="AA77" s="5681"/>
      <c r="AB77" s="5682"/>
      <c r="AC77" s="1156"/>
      <c r="AD77" s="1169">
        <v>440</v>
      </c>
      <c r="AE77" s="5678" t="s">
        <v>2002</v>
      </c>
      <c r="AF77" s="5679"/>
      <c r="AG77" s="5680" t="str">
        <f>IF(AD66=0,"",VLOOKUP(AD66,'Tablas psiquica'!$D$7:$R$145,15,FALSE))</f>
        <v/>
      </c>
      <c r="AH77" s="5681"/>
      <c r="AI77" s="5681"/>
      <c r="AJ77" s="5682"/>
      <c r="AK77" s="1114"/>
      <c r="AL77" s="1108"/>
    </row>
    <row r="78" spans="1:44" ht="12" customHeight="1" thickBot="1">
      <c r="A78" s="1108"/>
      <c r="B78" s="520"/>
      <c r="C78" s="5683" t="s">
        <v>7693</v>
      </c>
      <c r="D78" s="5684"/>
      <c r="E78" s="1170" t="str">
        <f>IF(C66=0,"",VLOOKUP(C66,'Tablas psiquica'!$D$7:$R$145,4,FALSE))</f>
        <v/>
      </c>
      <c r="F78" s="5685" t="s">
        <v>7688</v>
      </c>
      <c r="G78" s="5685"/>
      <c r="H78" s="4564" t="str">
        <f>IF(C66=0,"",VLOOKUP(C66,'Tablas psiquica'!$D$7:$R$145,5,FALSE))</f>
        <v/>
      </c>
      <c r="I78" s="4565"/>
      <c r="K78" s="5683" t="s">
        <v>7693</v>
      </c>
      <c r="L78" s="5684"/>
      <c r="M78" s="1170" t="str">
        <f>IF(K66=0,"",VLOOKUP(K66,'Tablas psiquica'!$D$7:$R$145,4,FALSE))</f>
        <v/>
      </c>
      <c r="N78" s="5685" t="s">
        <v>7688</v>
      </c>
      <c r="O78" s="5685"/>
      <c r="P78" s="4564" t="str">
        <f>IF(K66=0,"",VLOOKUP(K66,'Tablas psiquica'!$D$7:$R$145,5,FALSE))</f>
        <v/>
      </c>
      <c r="Q78" s="4565"/>
      <c r="R78" s="1114"/>
      <c r="S78" s="1108"/>
      <c r="T78" s="1108"/>
      <c r="U78" s="520"/>
      <c r="V78" s="5683" t="s">
        <v>7693</v>
      </c>
      <c r="W78" s="5684"/>
      <c r="X78" s="1170" t="str">
        <f>IF(V66=0,"",VLOOKUP(V66,'Tablas psiquica'!$D$7:$R$145,4,FALSE))</f>
        <v/>
      </c>
      <c r="Y78" s="5685" t="s">
        <v>7688</v>
      </c>
      <c r="Z78" s="5685"/>
      <c r="AA78" s="4564" t="str">
        <f>IF(V66=0,"",VLOOKUP(V66,'Tablas psiquica'!$D$7:$R$145,5,FALSE))</f>
        <v/>
      </c>
      <c r="AB78" s="4565"/>
      <c r="AC78" s="1156"/>
      <c r="AD78" s="5683" t="s">
        <v>7693</v>
      </c>
      <c r="AE78" s="5684"/>
      <c r="AF78" s="1170" t="str">
        <f>IF(AD66=0,"",VLOOKUP(AD66,'Tablas psiquica'!$D$7:$R$145,4,FALSE))</f>
        <v/>
      </c>
      <c r="AG78" s="5685" t="s">
        <v>7688</v>
      </c>
      <c r="AH78" s="5685"/>
      <c r="AI78" s="4564" t="str">
        <f>IF(AD66=0,"",VLOOKUP(AD66,'Tablas psiquica'!$D$7:$R$145,5,FALSE))</f>
        <v/>
      </c>
      <c r="AJ78" s="4565"/>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516</vt:i4>
      </vt:variant>
    </vt:vector>
  </HeadingPairs>
  <TitlesOfParts>
    <vt:vector size="540" baseType="lpstr">
      <vt:lpstr>Resumen</vt:lpstr>
      <vt:lpstr>General</vt:lpstr>
      <vt:lpstr>Principal</vt:lpstr>
      <vt:lpstr>PDs</vt:lpstr>
      <vt:lpstr>Combate</vt:lpstr>
      <vt:lpstr>Metamagia</vt:lpstr>
      <vt:lpstr>Místicos</vt:lpstr>
      <vt:lpstr>Sheele</vt:lpstr>
      <vt:lpstr>Psíquicos</vt:lpstr>
      <vt:lpstr>Ki</vt:lpstr>
      <vt:lpstr>Tablas Técnicas</vt:lpstr>
      <vt:lpstr>Creación de Técnicas (2)</vt:lpstr>
      <vt:lpstr>Creación de Técnicas</vt:lpstr>
      <vt:lpstr>Elan</vt:lpstr>
      <vt:lpstr>Personalización</vt:lpstr>
      <vt:lpstr>Tablas</vt:lpstr>
      <vt:lpstr>Tablas Magia</vt:lpstr>
      <vt:lpstr>Tablas Sheele</vt:lpstr>
      <vt:lpstr>Tablas psiquica</vt:lpstr>
      <vt:lpstr>TablasTec</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'Tablas Técnicas'!Car_Opcional</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'Tablas Técnicas'!DESVENTAJAS_KI</vt:lpstr>
      <vt:lpstr>DESVENTAJAS_KI</vt:lpstr>
      <vt:lpstr>DeteccióndelKi</vt:lpstr>
      <vt:lpstr>Disciplinas_Psi</vt:lpstr>
      <vt:lpstr>Disfraz_final</vt:lpstr>
      <vt:lpstr>Dominiofísico</vt:lpstr>
      <vt:lpstr>Edamiel</vt:lpstr>
      <vt:lpstr>'Tablas Técnicas'!EFECTOS</vt:lpstr>
      <vt:lpstr>EFECTOS</vt:lpstr>
      <vt:lpstr>Elan</vt:lpstr>
      <vt:lpstr>ElanPersonalizado</vt:lpstr>
      <vt:lpstr>Eliminacióndepeso</vt:lpstr>
      <vt:lpstr>Erebus</vt:lpstr>
      <vt:lpstr>Eriol</vt:lpstr>
      <vt:lpstr>Erudición</vt:lpstr>
      <vt:lpstr>EsenciadeVacío</vt:lpstr>
      <vt:lpstr>Especialización_Conjurador</vt:lpstr>
      <vt:lpstr>'Tablas Técnicas'!estados</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Lista_EfectosTécnicas</vt:lpstr>
      <vt:lpstr>Lista_HabEsenciales</vt:lpstr>
      <vt:lpstr>Lista_LegadosSangre</vt:lpstr>
      <vt:lpstr>Lista_LuzyOscuridad</vt:lpstr>
      <vt:lpstr>Lista_LuzyOscuridadmasuno</vt:lpstr>
      <vt:lpstr>Lista_MantenimTécnicas</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'Tablas Técnicas'!nivel_tecnica</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'Creación de Técnicas (2)'!Print_Area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'Tablas Técnicas'!Rebajar_coste_de_CM</vt:lpstr>
      <vt:lpstr>Rebajar_coste_de_CM</vt:lpstr>
      <vt:lpstr>'Tablas Técnicas'!Rebajar_coste_de_Ki</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'Tablas Técnicas'!Si_o_No</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Tabla_Efectos_Referencias</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'Tablas Técnicas'!tipo_tecnica</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2019-02-07T17:17:47Z</dcterms:modified>
</cp:coreProperties>
</file>