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31DC2633-EA2E-48AC-B340-9071D65728FD}"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B2633" i="11"/>
  <c r="AC2633" i="11" s="1"/>
  <c r="X2641" i="11"/>
  <c r="X2624" i="11"/>
  <c r="X2626" i="11"/>
  <c r="AB2627" i="11"/>
  <c r="AC2627" i="11" s="1"/>
  <c r="AB2638" i="11"/>
  <c r="AB2622" i="11"/>
  <c r="AB2641" i="11"/>
  <c r="AB2625" i="11"/>
  <c r="AC2625" i="11" s="1"/>
  <c r="AB2640" i="11"/>
  <c r="AB2624" i="11"/>
  <c r="X2633" i="11"/>
  <c r="X2617" i="11"/>
  <c r="Y2617" i="11" s="1"/>
  <c r="X2632" i="11"/>
  <c r="X2616" i="11"/>
  <c r="X2627" i="11"/>
  <c r="X2638" i="11"/>
  <c r="Y2638" i="11" s="1"/>
  <c r="X2618" i="11"/>
  <c r="AB2630" i="11"/>
  <c r="AB2617" i="11"/>
  <c r="X2625" i="11"/>
  <c r="Y2625" i="11" s="1"/>
  <c r="X2635" i="11"/>
  <c r="X2614" i="11"/>
  <c r="AB2639" i="11"/>
  <c r="AB2623" i="11"/>
  <c r="AC2623" i="11" s="1"/>
  <c r="AB2634" i="11"/>
  <c r="AB2618" i="11"/>
  <c r="AB2637" i="11"/>
  <c r="AB2621" i="11"/>
  <c r="AC2621" i="11" s="1"/>
  <c r="AB2632" i="11"/>
  <c r="AB2620" i="11"/>
  <c r="X2629" i="11"/>
  <c r="X2613" i="11"/>
  <c r="Y2613" i="11" s="1"/>
  <c r="X2628" i="11"/>
  <c r="X2639" i="11"/>
  <c r="X2623" i="11"/>
  <c r="X2622" i="11"/>
  <c r="Y2622" i="11" s="1"/>
  <c r="X2630" i="11"/>
  <c r="AB2635" i="11"/>
  <c r="AB2614" i="11"/>
  <c r="AB2628" i="11"/>
  <c r="AC2628" i="11" s="1"/>
  <c r="X2640" i="11"/>
  <c r="X2619" i="11"/>
  <c r="P2641" i="11"/>
  <c r="P2625" i="11"/>
  <c r="Q2625" i="11" s="1"/>
  <c r="P2640" i="11"/>
  <c r="P2624" i="11"/>
  <c r="P2635" i="11"/>
  <c r="P2619" i="11"/>
  <c r="Q2619" i="11" s="1"/>
  <c r="P2630" i="11"/>
  <c r="P2614" i="11"/>
  <c r="T2627" i="11"/>
  <c r="T2638" i="11"/>
  <c r="U2638" i="11" s="1"/>
  <c r="T2622" i="11"/>
  <c r="T2637" i="11"/>
  <c r="T2621" i="11"/>
  <c r="T2616" i="11"/>
  <c r="U2616" i="11" s="1"/>
  <c r="T2636" i="11"/>
  <c r="J2632" i="11"/>
  <c r="J2616" i="11"/>
  <c r="J2627" i="11"/>
  <c r="K2627" i="11" s="1"/>
  <c r="J2638" i="11"/>
  <c r="J2622" i="11"/>
  <c r="J2641" i="11"/>
  <c r="J2637" i="11"/>
  <c r="K2637" i="11" s="1"/>
  <c r="L2635" i="11"/>
  <c r="L2619" i="11"/>
  <c r="L2630" i="11"/>
  <c r="L2614" i="11"/>
  <c r="M2614" i="11" s="1"/>
  <c r="L2629" i="11"/>
  <c r="L2613" i="11"/>
  <c r="L2632" i="11"/>
  <c r="N2638" i="11"/>
  <c r="O2638" i="11" s="1"/>
  <c r="N2622" i="11"/>
  <c r="N2637" i="11"/>
  <c r="N2621" i="11"/>
  <c r="N2636" i="11"/>
  <c r="O2636" i="11" s="1"/>
  <c r="N2620" i="11"/>
  <c r="N2615" i="11"/>
  <c r="O2615" i="11" s="1"/>
  <c r="N2631" i="11"/>
  <c r="R2628" i="11"/>
  <c r="S2628" i="11" s="1"/>
  <c r="R2639" i="11"/>
  <c r="R2623" i="11"/>
  <c r="S2623" i="11" s="1"/>
  <c r="R2634" i="1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V2621" i="1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R2635" i="11"/>
  <c r="S2635" i="11" s="1"/>
  <c r="R2619" i="11"/>
  <c r="R2630" i="11"/>
  <c r="S2630" i="11" s="1"/>
  <c r="R2614" i="11"/>
  <c r="S2614" i="11" s="1"/>
  <c r="R2633" i="11"/>
  <c r="S2633" i="11" s="1"/>
  <c r="R2617" i="1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V2631" i="11"/>
  <c r="W2631" i="11" s="1"/>
  <c r="P2613" i="11"/>
  <c r="Q2613" i="11" s="1"/>
  <c r="P2639" i="11"/>
  <c r="Q2639" i="11" s="1"/>
  <c r="P2634" i="11"/>
  <c r="Q2634" i="11" s="1"/>
  <c r="T2615" i="11"/>
  <c r="U2615" i="11" s="1"/>
  <c r="T2641" i="11"/>
  <c r="U2641" i="11" s="1"/>
  <c r="T2640" i="11"/>
  <c r="J2620" i="11"/>
  <c r="K2620" i="11" s="1"/>
  <c r="J2626" i="11"/>
  <c r="K2626" i="11" s="1"/>
  <c r="L2639" i="11"/>
  <c r="M2639" i="11" s="1"/>
  <c r="L2618" i="1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J2630" i="11"/>
  <c r="K2630" i="11" s="1"/>
  <c r="J2633" i="11"/>
  <c r="K2633" i="11" s="1"/>
  <c r="J2621" i="11"/>
  <c r="K2621" i="11" s="1"/>
  <c r="J2614" i="11"/>
  <c r="L2627" i="11"/>
  <c r="M2627" i="11" s="1"/>
  <c r="L2638" i="11"/>
  <c r="M2638" i="11" s="1"/>
  <c r="L2622" i="11"/>
  <c r="M2622" i="11" s="1"/>
  <c r="L2637" i="11"/>
  <c r="M2637" i="11" s="1"/>
  <c r="L2621" i="11"/>
  <c r="M2621" i="11" s="1"/>
  <c r="L2620" i="11"/>
  <c r="M2620" i="11" s="1"/>
  <c r="L2628" i="11"/>
  <c r="M2628" i="11" s="1"/>
  <c r="N2630" i="11"/>
  <c r="N2614" i="11"/>
  <c r="O2614" i="11" s="1"/>
  <c r="N2629" i="11"/>
  <c r="O2629" i="11" s="1"/>
  <c r="N2613" i="11"/>
  <c r="O2613" i="11" s="1"/>
  <c r="N2628" i="11"/>
  <c r="N2639" i="11"/>
  <c r="O2639" i="11" s="1"/>
  <c r="N2635" i="11"/>
  <c r="O2635" i="11" s="1"/>
  <c r="R2636" i="11"/>
  <c r="S2636" i="11" s="1"/>
  <c r="R2620" i="11"/>
  <c r="R2631" i="11"/>
  <c r="R2615" i="11"/>
  <c r="S2615" i="11" s="1"/>
  <c r="R2626" i="11"/>
  <c r="S2626" i="11" s="1"/>
  <c r="R2629" i="1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7" i="11"/>
  <c r="AC2632" i="11"/>
  <c r="AC2613" i="11"/>
  <c r="Y2639" i="11"/>
  <c r="Y2623" i="11"/>
  <c r="Y2634" i="11"/>
  <c r="Y2633" i="11"/>
  <c r="Y2632" i="11"/>
  <c r="AC2618" i="11"/>
  <c r="AC2639" i="11"/>
  <c r="Y2624" i="11"/>
  <c r="AC2641" i="11"/>
  <c r="Y2635" i="11"/>
  <c r="Y2619" i="11"/>
  <c r="Y2630" i="11"/>
  <c r="Y2629" i="11"/>
  <c r="Y2628" i="11"/>
  <c r="AC2614" i="11"/>
  <c r="AC2629" i="11"/>
  <c r="AC2640" i="11"/>
  <c r="AC2635" i="11"/>
  <c r="AC2619" i="11"/>
  <c r="Y2640" i="11"/>
  <c r="AC2626" i="11"/>
  <c r="AA2626" i="11"/>
  <c r="O2633" i="11"/>
  <c r="Q2635" i="11"/>
  <c r="Q2630" i="11"/>
  <c r="Q2614" i="11"/>
  <c r="S2624" i="11"/>
  <c r="U2640" i="11"/>
  <c r="M2629" i="11"/>
  <c r="M2613" i="11"/>
  <c r="O2622" i="11"/>
  <c r="Q2618" i="11"/>
  <c r="K2619" i="11"/>
  <c r="U2639" i="11"/>
  <c r="W2616" i="11"/>
  <c r="W2638" i="11"/>
  <c r="W2621" i="11"/>
  <c r="O2619" i="11"/>
  <c r="O2630" i="11"/>
  <c r="Q2641" i="11"/>
  <c r="Q2640" i="11"/>
  <c r="Q2624" i="11"/>
  <c r="S2622" i="11"/>
  <c r="S2621" i="11"/>
  <c r="S2620" i="11"/>
  <c r="S2631" i="11"/>
  <c r="K2641" i="11"/>
  <c r="K2632" i="11"/>
  <c r="K2616" i="11"/>
  <c r="U2637" i="11"/>
  <c r="U2621" i="11"/>
  <c r="U2636" i="11"/>
  <c r="M2641" i="11"/>
  <c r="M2636" i="11"/>
  <c r="M2635" i="11"/>
  <c r="M2619" i="11"/>
  <c r="M2634" i="11"/>
  <c r="W2635" i="11"/>
  <c r="O2621" i="11"/>
  <c r="S2613" i="11"/>
  <c r="K2640" i="11"/>
  <c r="AA2634" i="11"/>
  <c r="AA2618" i="11"/>
  <c r="AA2617" i="11"/>
  <c r="AA2632" i="11"/>
  <c r="AA2627" i="11"/>
  <c r="W2639" i="11"/>
  <c r="W2634" i="11"/>
  <c r="W2618" i="11"/>
  <c r="W2617" i="11"/>
  <c r="O2620" i="11"/>
  <c r="O2631" i="11"/>
  <c r="O2626" i="11"/>
  <c r="Q2620" i="11"/>
  <c r="S2634" i="11"/>
  <c r="S2617" i="11"/>
  <c r="S2627" i="11"/>
  <c r="K2638" i="11"/>
  <c r="K2622" i="11"/>
  <c r="K2628" i="11"/>
  <c r="K2613" i="11"/>
  <c r="U2633" i="11"/>
  <c r="U2627" i="11"/>
  <c r="U2622" i="11"/>
  <c r="M2632" i="11"/>
  <c r="M2615" i="11"/>
  <c r="M2630" i="11"/>
  <c r="AA2628" i="11"/>
  <c r="AA2639" i="11"/>
  <c r="W2630" i="11"/>
  <c r="O2627" i="11"/>
  <c r="O2637" i="11"/>
  <c r="S2629" i="11"/>
  <c r="S2639" i="11"/>
  <c r="K2618" i="11"/>
  <c r="M2618" i="11"/>
  <c r="K2614" i="11"/>
  <c r="AC2617" i="11"/>
  <c r="Y2627" i="11"/>
  <c r="Y2615" i="11"/>
  <c r="O2628" i="11"/>
  <c r="AC2631" i="11"/>
  <c r="Y2621" i="11"/>
  <c r="AC2624" i="11"/>
  <c r="AC2620" i="11"/>
  <c r="AC2616" i="11"/>
  <c r="Y262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S2074" i="11" a="1"/>
  <c r="S2074" i="11" s="1"/>
  <c r="S1982" i="11" a="1"/>
  <c r="S1982" i="11" s="1"/>
  <c r="S1980" i="11" a="1"/>
  <c r="S1980" i="11" s="1"/>
  <c r="S2073" i="11" a="1"/>
  <c r="S2073" i="11" s="1"/>
  <c r="S1981" i="11" a="1"/>
  <c r="S1981" i="11" s="1"/>
  <c r="S2071" i="11" a="1"/>
  <c r="S2071" i="11" s="1"/>
  <c r="S2022" i="11"/>
  <c r="S1988" i="11"/>
  <c r="S2075" i="11" a="1"/>
  <c r="S2075" i="11" s="1"/>
  <c r="S2072" i="11" a="1"/>
  <c r="S2072" i="11" s="1"/>
  <c r="S1998" i="11"/>
  <c r="S2076" i="11" a="1"/>
  <c r="S2076" i="11" s="1"/>
  <c r="AZ21" i="4" s="1"/>
  <c r="S1963" i="11"/>
  <c r="D26" i="2"/>
  <c r="AT21" i="4"/>
  <c r="AX21" i="4"/>
  <c r="S2008" i="11"/>
  <c r="AW21" i="4"/>
  <c r="AU21" i="4"/>
  <c r="AY21" i="4"/>
  <c r="AV21" i="4"/>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J1829" i="11" s="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6" i="11" l="1"/>
  <c r="J1833" i="11"/>
  <c r="J1870" i="11"/>
  <c r="J1831" i="11"/>
  <c r="J1824" i="11"/>
  <c r="J1830" i="11"/>
  <c r="J1835" i="11"/>
  <c r="J1832" i="11"/>
  <c r="Z629" i="11"/>
  <c r="T3" i="2"/>
  <c r="T2" i="2"/>
  <c r="R63" i="5"/>
  <c r="R64" i="5"/>
  <c r="AQ14" i="2"/>
  <c r="AQ11" i="2"/>
  <c r="AQ12"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V2547" i="11" s="1"/>
  <c r="D25" i="2"/>
  <c r="D28" i="2" s="1"/>
  <c r="N27" i="4" s="1"/>
  <c r="AQ20" i="2"/>
  <c r="AS20" i="2" s="1"/>
  <c r="N55" i="4"/>
  <c r="N49" i="4"/>
  <c r="O23" i="2"/>
  <c r="V2544" i="11" s="1"/>
  <c r="O56" i="2"/>
  <c r="V2577" i="11" s="1"/>
  <c r="O52" i="2"/>
  <c r="V2573" i="11" s="1"/>
  <c r="O62" i="2"/>
  <c r="V2583" i="11" s="1"/>
  <c r="O22" i="2"/>
  <c r="V2543" i="11" s="1"/>
  <c r="V2548"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M2582" i="11" l="1"/>
  <c r="R2548" i="11" s="1"/>
  <c r="S2549" i="11" s="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M2554" i="11"/>
  <c r="R2556" i="11" s="1"/>
  <c r="S2557" i="11" s="1"/>
  <c r="M2581" i="11"/>
  <c r="R2593" i="11" s="1"/>
  <c r="S2594" i="11" s="1"/>
  <c r="M2569" i="11"/>
  <c r="R2576" i="11" s="1"/>
  <c r="S2577" i="11" s="1"/>
  <c r="M2548" i="11"/>
  <c r="R2585" i="11" s="1"/>
  <c r="S2586" i="11" s="1"/>
  <c r="M2550" i="11"/>
  <c r="R2560" i="11" s="1"/>
  <c r="S2561" i="11" s="1"/>
  <c r="M2559" i="11"/>
  <c r="R2581" i="11" s="1"/>
  <c r="S2582" i="11" s="1"/>
  <c r="M2589" i="11"/>
  <c r="R2587" i="11" s="1"/>
  <c r="S2588" i="11" s="1"/>
  <c r="M2591" i="11"/>
  <c r="R2577" i="11" s="1"/>
  <c r="S2578" i="11" s="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<sst xmlns="http://schemas.openxmlformats.org/spreadsheetml/2006/main" count="31061" uniqueCount="10520">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</sst>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84" fillId="4" borderId="0" xfId="0" applyFont="1" applyFill="1" applyAlignment="1" applyProtection="1">
      <alignment horizontal="center"/>
    </xf>
    <xf numFmtId="0" fontId="134" fillId="4" borderId="0" xfId="0" applyFont="1" applyFill="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3"/>
      <c r="D3" s="3113"/>
      <c r="E3" s="3113"/>
      <c r="F3" s="3113"/>
      <c r="G3" s="3113"/>
      <c r="H3" s="3113"/>
      <c r="I3" s="48"/>
      <c r="J3" s="48"/>
      <c r="K3" s="48"/>
      <c r="L3" s="48"/>
      <c r="M3" s="48"/>
      <c r="N3" s="48"/>
      <c r="O3" s="48"/>
      <c r="P3" s="48"/>
      <c r="Q3" s="48"/>
      <c r="R3" s="49"/>
      <c r="S3" s="1892"/>
      <c r="T3" s="47"/>
    </row>
    <row r="4" spans="1:24" ht="12" customHeight="1" thickBot="1" x14ac:dyDescent="0.25">
      <c r="A4" s="45"/>
      <c r="B4" s="2293"/>
      <c r="C4" s="3113"/>
      <c r="D4" s="3113"/>
      <c r="E4" s="3113"/>
      <c r="F4" s="3113"/>
      <c r="G4" s="3113"/>
      <c r="H4" s="3113"/>
      <c r="I4" s="52"/>
      <c r="J4" s="52"/>
      <c r="K4" s="3114" t="str">
        <f>IF(General!$G$22=0,"",General!$G$22)</f>
        <v/>
      </c>
      <c r="L4" s="3114"/>
      <c r="M4" s="3114"/>
      <c r="N4" s="3114"/>
      <c r="O4" s="3114"/>
      <c r="P4" s="3114"/>
      <c r="Q4" s="3114"/>
      <c r="R4" s="13"/>
      <c r="S4" s="1893"/>
      <c r="T4" s="53"/>
    </row>
    <row r="5" spans="1:24" ht="12" customHeight="1" thickBot="1" x14ac:dyDescent="0.25">
      <c r="A5" s="45"/>
      <c r="B5" s="2293"/>
      <c r="C5" s="3113"/>
      <c r="D5" s="3113"/>
      <c r="E5" s="3113"/>
      <c r="F5" s="3113"/>
      <c r="G5" s="3113"/>
      <c r="H5" s="3113"/>
      <c r="I5" s="52"/>
      <c r="J5" s="52"/>
      <c r="K5" s="3114"/>
      <c r="L5" s="3114"/>
      <c r="M5" s="3114"/>
      <c r="N5" s="3114"/>
      <c r="O5" s="3114"/>
      <c r="P5" s="3114"/>
      <c r="Q5" s="3114"/>
      <c r="R5" s="55"/>
      <c r="S5" s="1892"/>
      <c r="T5" s="53"/>
    </row>
    <row r="6" spans="1:24" ht="12" customHeight="1" thickBot="1" x14ac:dyDescent="0.25">
      <c r="A6" s="45"/>
      <c r="B6" s="2293"/>
      <c r="C6" s="3113"/>
      <c r="D6" s="3113"/>
      <c r="E6" s="3113"/>
      <c r="F6" s="3113"/>
      <c r="G6" s="3113"/>
      <c r="H6" s="3113"/>
      <c r="I6" s="52"/>
      <c r="J6" s="52"/>
      <c r="K6" s="3114"/>
      <c r="L6" s="3114"/>
      <c r="M6" s="3114"/>
      <c r="N6" s="3114"/>
      <c r="O6" s="3114"/>
      <c r="P6" s="3114"/>
      <c r="Q6" s="3114"/>
      <c r="R6" s="55"/>
      <c r="S6" s="1892"/>
      <c r="T6" s="53"/>
    </row>
    <row r="7" spans="1:24" ht="12" customHeight="1" thickBot="1" x14ac:dyDescent="0.25">
      <c r="A7" s="45"/>
      <c r="B7" s="2293"/>
      <c r="C7" s="3113"/>
      <c r="D7" s="3113"/>
      <c r="E7" s="3113"/>
      <c r="F7" s="3113"/>
      <c r="G7" s="3113"/>
      <c r="H7" s="3113"/>
      <c r="I7" s="52"/>
      <c r="J7" s="52"/>
      <c r="K7" s="3114"/>
      <c r="L7" s="3114"/>
      <c r="M7" s="3114"/>
      <c r="N7" s="3114"/>
      <c r="O7" s="3114"/>
      <c r="P7" s="3114"/>
      <c r="Q7" s="3114"/>
      <c r="R7" s="55"/>
      <c r="S7" s="1892"/>
      <c r="T7" s="53"/>
    </row>
    <row r="8" spans="1:24" ht="12" customHeight="1" thickBot="1" x14ac:dyDescent="0.25">
      <c r="A8" s="45"/>
      <c r="B8" s="2293"/>
      <c r="C8" s="3113"/>
      <c r="D8" s="3113"/>
      <c r="E8" s="3113"/>
      <c r="F8" s="3113"/>
      <c r="G8" s="3113"/>
      <c r="H8" s="3113"/>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49" t="s">
        <v>9160</v>
      </c>
      <c r="W10" s="3150"/>
      <c r="X10" s="3151"/>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20" t="str">
        <f>Principal!K7</f>
        <v>Natural 10</v>
      </c>
      <c r="L11" s="3120"/>
      <c r="M11" s="3120"/>
      <c r="N11" s="3120"/>
      <c r="O11" s="3120"/>
      <c r="P11" s="3120"/>
      <c r="Q11" s="3120"/>
      <c r="R11" s="2287"/>
      <c r="S11" s="1892"/>
      <c r="T11" s="53"/>
      <c r="V11" s="3152"/>
      <c r="W11" s="3153"/>
      <c r="X11" s="3154"/>
    </row>
    <row r="12" spans="1:24" ht="12" customHeight="1" x14ac:dyDescent="0.2">
      <c r="A12" s="45"/>
      <c r="B12" s="2294"/>
      <c r="C12" s="3115" t="s">
        <v>2191</v>
      </c>
      <c r="D12" s="3116"/>
      <c r="E12" s="3116"/>
      <c r="F12" s="3117">
        <f>Principal!N11</f>
        <v>25</v>
      </c>
      <c r="G12" s="3117"/>
      <c r="H12" s="267"/>
      <c r="I12" s="267"/>
      <c r="J12" s="267"/>
      <c r="K12" s="3118" t="s">
        <v>1629</v>
      </c>
      <c r="L12" s="3118"/>
      <c r="M12" s="3119" t="str">
        <f>Principal!L5</f>
        <v>Hechicero</v>
      </c>
      <c r="N12" s="3119"/>
      <c r="O12" s="3119"/>
      <c r="P12" s="267"/>
      <c r="Q12" s="267"/>
      <c r="R12" s="1823"/>
      <c r="S12" s="1892"/>
      <c r="T12" s="53"/>
      <c r="V12" s="3138"/>
      <c r="W12" s="3139"/>
      <c r="X12" s="3140"/>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41"/>
      <c r="W13" s="3142"/>
      <c r="X13" s="3143"/>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41"/>
      <c r="W14" s="3142"/>
      <c r="X14" s="3143"/>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41"/>
      <c r="W15" s="3142"/>
      <c r="X15" s="3143"/>
    </row>
    <row r="16" spans="1:24" ht="17.100000000000001" customHeight="1" x14ac:dyDescent="0.2">
      <c r="A16" s="45"/>
      <c r="B16" s="2294"/>
      <c r="C16" s="2284" t="s">
        <v>2205</v>
      </c>
      <c r="D16" s="3111"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1"/>
      <c r="F16" s="3111"/>
      <c r="G16" s="3111"/>
      <c r="H16" s="3111"/>
      <c r="I16" s="3111"/>
      <c r="J16" s="3111"/>
      <c r="K16" s="3111"/>
      <c r="L16" s="3111"/>
      <c r="M16" s="3111"/>
      <c r="N16" s="3111"/>
      <c r="O16" s="3111"/>
      <c r="P16" s="3111"/>
      <c r="Q16" s="3111"/>
      <c r="R16" s="3112"/>
      <c r="S16" s="1892"/>
      <c r="T16" s="53"/>
      <c r="V16" s="3141"/>
      <c r="W16" s="3142"/>
      <c r="X16" s="3143"/>
    </row>
    <row r="17" spans="1:24" ht="17.100000000000001" customHeight="1" x14ac:dyDescent="0.2">
      <c r="A17" s="45"/>
      <c r="B17" s="2294"/>
      <c r="C17" s="3115" t="s">
        <v>2206</v>
      </c>
      <c r="D17" s="3116"/>
      <c r="E17" s="3116"/>
      <c r="F17" s="3116"/>
      <c r="G17" s="3111"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11"/>
      <c r="I17" s="3111"/>
      <c r="J17" s="3111"/>
      <c r="K17" s="3111"/>
      <c r="L17" s="3111"/>
      <c r="M17" s="3111"/>
      <c r="N17" s="3111"/>
      <c r="O17" s="3111"/>
      <c r="P17" s="3111"/>
      <c r="Q17" s="3111"/>
      <c r="R17" s="3112"/>
      <c r="S17" s="1892"/>
      <c r="T17" s="53"/>
      <c r="V17" s="3141"/>
      <c r="W17" s="3142"/>
      <c r="X17" s="3143"/>
    </row>
    <row r="18" spans="1:24" ht="17.100000000000001" customHeight="1" x14ac:dyDescent="0.2">
      <c r="A18" s="45"/>
      <c r="B18" s="2293"/>
      <c r="C18" s="3115" t="s">
        <v>2207</v>
      </c>
      <c r="D18" s="3116"/>
      <c r="E18" s="3116"/>
      <c r="F18" s="3116"/>
      <c r="G18" s="3111"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11"/>
      <c r="I18" s="3111"/>
      <c r="J18" s="3111"/>
      <c r="K18" s="3111"/>
      <c r="L18" s="3111"/>
      <c r="M18" s="3111"/>
      <c r="N18" s="3111"/>
      <c r="O18" s="3111"/>
      <c r="P18" s="3111"/>
      <c r="Q18" s="3111"/>
      <c r="R18" s="3112"/>
      <c r="S18" s="1892"/>
      <c r="T18" s="53"/>
      <c r="V18" s="3141"/>
      <c r="W18" s="3142"/>
      <c r="X18" s="3143"/>
    </row>
    <row r="19" spans="1:24" ht="17.100000000000001" customHeight="1" x14ac:dyDescent="0.2">
      <c r="A19" s="45"/>
      <c r="B19" s="2293"/>
      <c r="C19" s="1826" t="s">
        <v>2208</v>
      </c>
      <c r="D19" s="3111"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1"/>
      <c r="F19" s="3111"/>
      <c r="G19" s="3111"/>
      <c r="H19" s="3111"/>
      <c r="I19" s="3111"/>
      <c r="J19" s="3111"/>
      <c r="K19" s="3111"/>
      <c r="L19" s="3111"/>
      <c r="M19" s="3111"/>
      <c r="N19" s="3111"/>
      <c r="O19" s="3111"/>
      <c r="P19" s="3111"/>
      <c r="Q19" s="3111"/>
      <c r="R19" s="3112"/>
      <c r="S19" s="1892"/>
      <c r="T19" s="53"/>
      <c r="V19" s="3141"/>
      <c r="W19" s="3142"/>
      <c r="X19" s="3143"/>
    </row>
    <row r="20" spans="1:24" ht="12" customHeight="1" x14ac:dyDescent="0.2">
      <c r="A20" s="45"/>
      <c r="B20" s="2293"/>
      <c r="C20" s="1824" t="s">
        <v>2209</v>
      </c>
      <c r="D20" s="3117" t="str">
        <f>IF(Combate!C12=0,"",Combate!C12)&amp;IF(OR(Combate!C12=0,Combate!C13=0),""," + ")&amp;IF(Combate!C13=0,"",Combate!C13)&amp;IF(OR(AND(Combate!C12=0,Combate!C13=0),Combate!C14=0),""," + ")&amp;IF(Combate!C14=0,"",Combate!C14)</f>
        <v/>
      </c>
      <c r="E20" s="3117"/>
      <c r="F20" s="3117"/>
      <c r="G20" s="3117"/>
      <c r="H20" s="3117"/>
      <c r="I20" s="3117"/>
      <c r="J20" s="3117"/>
      <c r="K20" s="56"/>
      <c r="L20" s="56"/>
      <c r="M20" s="56"/>
      <c r="N20" s="56"/>
      <c r="O20" s="56"/>
      <c r="P20" s="56"/>
      <c r="Q20" s="56"/>
      <c r="R20" s="1683"/>
      <c r="S20" s="1892"/>
      <c r="T20" s="53"/>
      <c r="V20" s="3141"/>
      <c r="W20" s="3142"/>
      <c r="X20" s="3143"/>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41"/>
      <c r="W21" s="3142"/>
      <c r="X21" s="3143"/>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4"/>
      <c r="W22" s="3145"/>
      <c r="X22" s="3146"/>
    </row>
    <row r="23" spans="1:24" ht="12" customHeight="1" x14ac:dyDescent="0.2">
      <c r="A23" s="45"/>
      <c r="B23" s="1799"/>
      <c r="C23" s="3125" t="s">
        <v>2217</v>
      </c>
      <c r="D23" s="3126"/>
      <c r="E23" s="3126"/>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37"/>
      <c r="C24" s="3115" t="s">
        <v>2218</v>
      </c>
      <c r="D24" s="3116"/>
      <c r="E24" s="3116"/>
      <c r="F24" s="3116"/>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37"/>
      <c r="C25" s="3115" t="s">
        <v>2219</v>
      </c>
      <c r="D25" s="3116"/>
      <c r="E25" s="3116"/>
      <c r="F25" s="3121"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1"/>
      <c r="H25" s="3121"/>
      <c r="I25" s="3121"/>
      <c r="J25" s="3121"/>
      <c r="K25" s="3121"/>
      <c r="L25" s="3121"/>
      <c r="M25" s="3121"/>
      <c r="N25" s="3121"/>
      <c r="O25" s="3121"/>
      <c r="P25" s="3121"/>
      <c r="Q25" s="3121"/>
      <c r="R25" s="3122"/>
      <c r="S25" s="1892"/>
      <c r="T25" s="53"/>
    </row>
    <row r="26" spans="1:24" ht="12" customHeight="1" x14ac:dyDescent="0.2">
      <c r="A26" s="45"/>
      <c r="B26" s="3137"/>
      <c r="C26" s="1825"/>
      <c r="D26" s="56"/>
      <c r="E26" s="56"/>
      <c r="F26" s="3121"/>
      <c r="G26" s="3121"/>
      <c r="H26" s="3121"/>
      <c r="I26" s="3121"/>
      <c r="J26" s="3121"/>
      <c r="K26" s="3121"/>
      <c r="L26" s="3121"/>
      <c r="M26" s="3121"/>
      <c r="N26" s="3121"/>
      <c r="O26" s="3121"/>
      <c r="P26" s="3121"/>
      <c r="Q26" s="3121"/>
      <c r="R26" s="3122"/>
      <c r="S26" s="1892"/>
      <c r="T26" s="47"/>
    </row>
    <row r="27" spans="1:24" ht="11.25" customHeight="1" x14ac:dyDescent="0.2">
      <c r="A27" s="45"/>
      <c r="B27" s="3137"/>
      <c r="C27" s="1825"/>
      <c r="D27" s="56"/>
      <c r="E27" s="56"/>
      <c r="F27" s="3121"/>
      <c r="G27" s="3121"/>
      <c r="H27" s="3121"/>
      <c r="I27" s="3121"/>
      <c r="J27" s="3121"/>
      <c r="K27" s="3121"/>
      <c r="L27" s="3121"/>
      <c r="M27" s="3121"/>
      <c r="N27" s="3121"/>
      <c r="O27" s="3121"/>
      <c r="P27" s="3121"/>
      <c r="Q27" s="3121"/>
      <c r="R27" s="3122"/>
      <c r="S27" s="1892"/>
      <c r="T27" s="47"/>
    </row>
    <row r="28" spans="1:24" ht="12" customHeight="1" x14ac:dyDescent="0.2">
      <c r="A28" s="45"/>
      <c r="B28" s="3137"/>
      <c r="C28" s="3123" t="s">
        <v>2220</v>
      </c>
      <c r="D28" s="3124"/>
      <c r="E28" s="312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1"/>
      <c r="G28" s="3121"/>
      <c r="H28" s="3121"/>
      <c r="I28" s="3121"/>
      <c r="J28" s="3121"/>
      <c r="K28" s="3121"/>
      <c r="L28" s="3121"/>
      <c r="M28" s="3121"/>
      <c r="N28" s="3121"/>
      <c r="O28" s="3121"/>
      <c r="P28" s="3121"/>
      <c r="Q28" s="3121"/>
      <c r="R28" s="3122"/>
      <c r="S28" s="1892"/>
      <c r="T28" s="47"/>
    </row>
    <row r="29" spans="1:24" ht="12" customHeight="1" x14ac:dyDescent="0.2">
      <c r="A29" s="45"/>
      <c r="B29" s="3137"/>
      <c r="C29" s="1828"/>
      <c r="D29" s="267"/>
      <c r="E29" s="3121"/>
      <c r="F29" s="3121"/>
      <c r="G29" s="3121"/>
      <c r="H29" s="3121"/>
      <c r="I29" s="3121"/>
      <c r="J29" s="3121"/>
      <c r="K29" s="3121"/>
      <c r="L29" s="3121"/>
      <c r="M29" s="3121"/>
      <c r="N29" s="3121"/>
      <c r="O29" s="3121"/>
      <c r="P29" s="3121"/>
      <c r="Q29" s="3121"/>
      <c r="R29" s="3122"/>
      <c r="S29" s="1892"/>
      <c r="T29" s="47"/>
    </row>
    <row r="30" spans="1:24" ht="12" customHeight="1" x14ac:dyDescent="0.2">
      <c r="A30" s="45"/>
      <c r="B30" s="3137"/>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37"/>
      <c r="C31" s="2301" t="s">
        <v>2221</v>
      </c>
      <c r="D31" s="3129">
        <f>Místicos!L13</f>
        <v>0</v>
      </c>
      <c r="E31" s="3129"/>
      <c r="F31" s="2302"/>
      <c r="G31" s="2302"/>
      <c r="H31" s="2302"/>
      <c r="I31" s="2302"/>
      <c r="J31" s="2302"/>
      <c r="K31" s="2302"/>
      <c r="L31" s="3130" t="s">
        <v>2222</v>
      </c>
      <c r="M31" s="3130"/>
      <c r="N31" s="2299">
        <f>Místicos!M25</f>
        <v>0</v>
      </c>
      <c r="O31" s="3130" t="s">
        <v>2223</v>
      </c>
      <c r="P31" s="3130"/>
      <c r="Q31" s="2299">
        <f>Místicos!M27</f>
        <v>0</v>
      </c>
      <c r="R31" s="2303"/>
      <c r="S31" s="1892"/>
      <c r="T31" s="47"/>
    </row>
    <row r="32" spans="1:24" ht="12" customHeight="1" x14ac:dyDescent="0.2">
      <c r="A32" s="45"/>
      <c r="B32" s="2295"/>
      <c r="C32" s="1824" t="s">
        <v>2224</v>
      </c>
      <c r="D32" s="3117">
        <f>Místicos!K18</f>
        <v>100</v>
      </c>
      <c r="E32" s="3117"/>
      <c r="F32" s="56"/>
      <c r="G32" s="56"/>
      <c r="H32" s="56"/>
      <c r="I32" s="56"/>
      <c r="J32" s="56"/>
      <c r="K32" s="56"/>
      <c r="L32" s="3131" t="s">
        <v>2225</v>
      </c>
      <c r="M32" s="3131"/>
      <c r="N32" s="2285">
        <f>Místicos!M26</f>
        <v>0</v>
      </c>
      <c r="O32" s="3132" t="s">
        <v>2226</v>
      </c>
      <c r="P32" s="3132"/>
      <c r="Q32" s="2285">
        <f>Místicos!M28</f>
        <v>0</v>
      </c>
      <c r="R32" s="1683"/>
      <c r="S32" s="1892"/>
      <c r="T32" s="47"/>
    </row>
    <row r="33" spans="1:22" ht="12" customHeight="1" x14ac:dyDescent="0.2">
      <c r="A33" s="45"/>
      <c r="B33" s="2295"/>
      <c r="C33" s="3115" t="s">
        <v>2227</v>
      </c>
      <c r="D33" s="3116"/>
      <c r="E33" s="3116"/>
      <c r="F33" s="3116"/>
      <c r="G33" s="3127">
        <f>IF(Místicos!P13=Místicos!Q13,Místicos!P13,Místicos!P13&amp;" Ofensiva"&amp;", "&amp;Místicos!Q13&amp;" Defensiva")</f>
        <v>0</v>
      </c>
      <c r="H33" s="3127"/>
      <c r="I33" s="3127"/>
      <c r="J33" s="3127"/>
      <c r="K33" s="3127"/>
      <c r="L33" s="3127"/>
      <c r="M33" s="3127"/>
      <c r="N33" s="3127"/>
      <c r="O33" s="3127"/>
      <c r="P33" s="3127"/>
      <c r="Q33" s="3127"/>
      <c r="R33" s="3128"/>
      <c r="S33" s="1892"/>
      <c r="T33" s="47"/>
    </row>
    <row r="34" spans="1:22" ht="12" customHeight="1" x14ac:dyDescent="0.2">
      <c r="A34" s="45"/>
      <c r="B34" s="2295"/>
      <c r="C34" s="3115" t="s">
        <v>2228</v>
      </c>
      <c r="D34" s="3116"/>
      <c r="E34" s="3116"/>
      <c r="F34" s="3136"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6"/>
      <c r="H34" s="3136"/>
      <c r="I34" s="3136"/>
      <c r="J34" s="3136"/>
      <c r="K34" s="3136"/>
      <c r="L34" s="3136"/>
      <c r="M34" s="3136"/>
      <c r="N34" s="3136"/>
      <c r="O34" s="3136"/>
      <c r="P34" s="3136"/>
      <c r="Q34" s="3136"/>
      <c r="R34" s="3122"/>
      <c r="S34" s="1892"/>
      <c r="T34" s="47"/>
    </row>
    <row r="35" spans="1:22" ht="12" customHeight="1" x14ac:dyDescent="0.2">
      <c r="A35" s="45"/>
      <c r="B35" s="2295"/>
      <c r="C35" s="1825"/>
      <c r="D35" s="56"/>
      <c r="E35" s="56"/>
      <c r="F35" s="3136"/>
      <c r="G35" s="3136"/>
      <c r="H35" s="3136"/>
      <c r="I35" s="3136"/>
      <c r="J35" s="3136"/>
      <c r="K35" s="3136"/>
      <c r="L35" s="3136"/>
      <c r="M35" s="3136"/>
      <c r="N35" s="3136"/>
      <c r="O35" s="3136"/>
      <c r="P35" s="3136"/>
      <c r="Q35" s="3136"/>
      <c r="R35" s="3122"/>
      <c r="S35" s="1892"/>
      <c r="T35" s="47"/>
    </row>
    <row r="36" spans="1:22" ht="12" customHeight="1" x14ac:dyDescent="0.2">
      <c r="A36" s="45"/>
      <c r="B36" s="1799"/>
      <c r="C36" s="1825"/>
      <c r="D36" s="56"/>
      <c r="E36" s="56"/>
      <c r="F36" s="3136"/>
      <c r="G36" s="3136"/>
      <c r="H36" s="3136"/>
      <c r="I36" s="3136"/>
      <c r="J36" s="3136"/>
      <c r="K36" s="3136"/>
      <c r="L36" s="3136"/>
      <c r="M36" s="3136"/>
      <c r="N36" s="3136"/>
      <c r="O36" s="3136"/>
      <c r="P36" s="3136"/>
      <c r="Q36" s="3136"/>
      <c r="R36" s="3122"/>
      <c r="S36" s="1892"/>
      <c r="T36" s="47"/>
    </row>
    <row r="37" spans="1:22" ht="12" customHeight="1" x14ac:dyDescent="0.2">
      <c r="A37" s="45"/>
      <c r="B37" s="1799"/>
      <c r="C37" s="1825"/>
      <c r="D37" s="56"/>
      <c r="E37" s="56"/>
      <c r="F37" s="3147"/>
      <c r="G37" s="3147"/>
      <c r="H37" s="3147"/>
      <c r="I37" s="3147"/>
      <c r="J37" s="3147"/>
      <c r="K37" s="3147"/>
      <c r="L37" s="3147"/>
      <c r="M37" s="3147"/>
      <c r="N37" s="3147"/>
      <c r="O37" s="3147"/>
      <c r="P37" s="3147"/>
      <c r="Q37" s="3147"/>
      <c r="R37" s="3148"/>
      <c r="S37" s="1892"/>
      <c r="T37" s="47"/>
    </row>
    <row r="38" spans="1:22" ht="12" customHeight="1" x14ac:dyDescent="0.2">
      <c r="A38" s="45"/>
      <c r="B38" s="2295"/>
      <c r="C38" s="3125" t="s">
        <v>2229</v>
      </c>
      <c r="D38" s="3126"/>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15" t="s">
        <v>2230</v>
      </c>
      <c r="D39" s="3116"/>
      <c r="E39" s="2285">
        <f>Psíquicos!M13</f>
        <v>0</v>
      </c>
      <c r="F39" s="56"/>
      <c r="G39" s="56"/>
      <c r="H39" s="56"/>
      <c r="I39" s="56"/>
      <c r="J39" s="56"/>
      <c r="K39" s="56"/>
      <c r="L39" s="3131" t="s">
        <v>2231</v>
      </c>
      <c r="M39" s="3131"/>
      <c r="N39" s="3131"/>
      <c r="O39" s="3131"/>
      <c r="P39" s="56"/>
      <c r="Q39" s="56"/>
      <c r="R39" s="1683"/>
      <c r="S39" s="1892"/>
      <c r="T39" s="47"/>
    </row>
    <row r="40" spans="1:22" ht="12" customHeight="1" x14ac:dyDescent="0.2">
      <c r="A40" s="45"/>
      <c r="B40" s="2295"/>
      <c r="C40" s="3115" t="s">
        <v>2232</v>
      </c>
      <c r="D40" s="3116"/>
      <c r="E40" s="3116"/>
      <c r="F40" s="3116"/>
      <c r="G40" s="2285">
        <f>Psíquicos!H11</f>
        <v>0</v>
      </c>
      <c r="H40" s="3133"/>
      <c r="I40" s="3133"/>
      <c r="J40" s="3133"/>
      <c r="K40" s="3133"/>
      <c r="L40" s="3121" t="str">
        <f>IF(Psíquicos!C39="","",Psíquicos!C39)&amp;IF(Psíquicos!C41="","",", "&amp;Psíquicos!C41)&amp;IF(Psíquicos!C43="","",", "&amp;Psíquicos!C43)&amp;IF(Psíquicos!C45="","",", "&amp;Psíquicos!C45)&amp;IF(Psíquicos!C47="","",", "&amp;Psíquicos!C47)&amp;IF(Psíquicos!C49="","",", "&amp;Psíquicos!C49)</f>
        <v/>
      </c>
      <c r="M40" s="3121"/>
      <c r="N40" s="3121"/>
      <c r="O40" s="3121"/>
      <c r="P40" s="3121"/>
      <c r="Q40" s="3121"/>
      <c r="R40" s="3122"/>
      <c r="S40" s="1892"/>
      <c r="T40" s="47"/>
    </row>
    <row r="41" spans="1:22" ht="12" customHeight="1" x14ac:dyDescent="0.2">
      <c r="A41" s="45"/>
      <c r="B41" s="2295"/>
      <c r="C41" s="3115" t="s">
        <v>2233</v>
      </c>
      <c r="D41" s="3116"/>
      <c r="E41" s="3116"/>
      <c r="F41" s="3116"/>
      <c r="G41" s="3117">
        <f>IF(Psíquicos!P12=Psíquicos!Q12,Psíquicos!P12,Psíquicos!P12&amp;" Ofensiva"&amp;", "&amp;Psíquicos!Q12&amp;" Defensiva")</f>
        <v>0</v>
      </c>
      <c r="H41" s="3117"/>
      <c r="I41" s="3117"/>
      <c r="J41" s="3117"/>
      <c r="K41" s="3117"/>
      <c r="L41" s="3121"/>
      <c r="M41" s="3121"/>
      <c r="N41" s="3121"/>
      <c r="O41" s="3121"/>
      <c r="P41" s="3121"/>
      <c r="Q41" s="3121"/>
      <c r="R41" s="3122"/>
      <c r="S41" s="1892"/>
      <c r="T41" s="47"/>
    </row>
    <row r="42" spans="1:22" ht="12" customHeight="1" x14ac:dyDescent="0.2">
      <c r="A42" s="45"/>
      <c r="B42" s="2293"/>
      <c r="C42" s="3115" t="s">
        <v>2234</v>
      </c>
      <c r="D42" s="3116"/>
      <c r="E42" s="3116"/>
      <c r="F42" s="3116"/>
      <c r="G42" s="3111" t="str">
        <f>IF(Psíquicos!C25=0,"",Psíquicos!C25)&amp;IF(Psíquicos!C27=0,"",", "&amp;Psíquicos!C27)&amp;IF(Psíquicos!C29=0,"",", "&amp;Psíquicos!C29)&amp;IF(Psíquicos!C31=0,"",", "&amp;Psíquicos!C31)&amp;IF(Psíquicos!C33=0,"",", "&amp;Psíquicos!C33)&amp;IF(Psíquicos!C35=0,"",", "&amp;Psíquicos!C35)</f>
        <v/>
      </c>
      <c r="H42" s="3111"/>
      <c r="I42" s="3111"/>
      <c r="J42" s="3111"/>
      <c r="K42" s="3111"/>
      <c r="L42" s="3111"/>
      <c r="M42" s="3111"/>
      <c r="N42" s="3111"/>
      <c r="O42" s="3111"/>
      <c r="P42" s="3111"/>
      <c r="Q42" s="3111"/>
      <c r="R42" s="3112"/>
      <c r="S42" s="1892"/>
      <c r="T42" s="47"/>
    </row>
    <row r="43" spans="1:22" ht="12" customHeight="1" x14ac:dyDescent="0.2">
      <c r="A43" s="45"/>
      <c r="B43" s="2293"/>
      <c r="C43" s="3115" t="s">
        <v>2235</v>
      </c>
      <c r="D43" s="3116"/>
      <c r="E43" s="3116"/>
      <c r="F43" s="3116"/>
      <c r="G43" s="312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1"/>
      <c r="I43" s="3121"/>
      <c r="J43" s="3121"/>
      <c r="K43" s="3121"/>
      <c r="L43" s="3121"/>
      <c r="M43" s="3121"/>
      <c r="N43" s="3121"/>
      <c r="O43" s="3121"/>
      <c r="P43" s="3121"/>
      <c r="Q43" s="3121"/>
      <c r="R43" s="3122"/>
      <c r="S43" s="1892"/>
      <c r="T43" s="47"/>
    </row>
    <row r="44" spans="1:22" ht="12" customHeight="1" x14ac:dyDescent="0.2">
      <c r="A44" s="45"/>
      <c r="B44" s="2293"/>
      <c r="C44" s="1825"/>
      <c r="D44" s="56"/>
      <c r="E44" s="56"/>
      <c r="F44" s="56"/>
      <c r="G44" s="3121"/>
      <c r="H44" s="3121"/>
      <c r="I44" s="3121"/>
      <c r="J44" s="3121"/>
      <c r="K44" s="3121"/>
      <c r="L44" s="3121"/>
      <c r="M44" s="3121"/>
      <c r="N44" s="3121"/>
      <c r="O44" s="3121"/>
      <c r="P44" s="3121"/>
      <c r="Q44" s="3121"/>
      <c r="R44" s="3122"/>
      <c r="S44" s="1892"/>
      <c r="T44" s="47"/>
    </row>
    <row r="45" spans="1:22" ht="12" customHeight="1" x14ac:dyDescent="0.2">
      <c r="A45" s="45"/>
      <c r="B45" s="2293"/>
      <c r="C45" s="1825"/>
      <c r="D45" s="56"/>
      <c r="E45" s="56"/>
      <c r="F45" s="56"/>
      <c r="G45" s="3121"/>
      <c r="H45" s="3121"/>
      <c r="I45" s="3121"/>
      <c r="J45" s="3121"/>
      <c r="K45" s="3121"/>
      <c r="L45" s="3121"/>
      <c r="M45" s="3121"/>
      <c r="N45" s="3121"/>
      <c r="O45" s="3121"/>
      <c r="P45" s="3121"/>
      <c r="Q45" s="3121"/>
      <c r="R45" s="3122"/>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25" t="s">
        <v>2236</v>
      </c>
      <c r="D47" s="3126"/>
      <c r="E47" s="3126"/>
      <c r="F47" s="3126"/>
      <c r="G47" s="3134" t="str">
        <f>IF(V45="","",LEFT(V45,LEN(V45)-2))</f>
        <v/>
      </c>
      <c r="H47" s="3134"/>
      <c r="I47" s="3134"/>
      <c r="J47" s="3134"/>
      <c r="K47" s="3134"/>
      <c r="L47" s="3134"/>
      <c r="M47" s="3134"/>
      <c r="N47" s="3134"/>
      <c r="O47" s="3134"/>
      <c r="P47" s="3134"/>
      <c r="Q47" s="3134"/>
      <c r="R47" s="3135"/>
      <c r="S47" s="1892"/>
      <c r="T47" s="47"/>
    </row>
    <row r="48" spans="1:22" ht="23.85" customHeight="1" x14ac:dyDescent="0.2">
      <c r="A48" s="45"/>
      <c r="B48" s="2293"/>
      <c r="C48" s="1825"/>
      <c r="D48" s="56"/>
      <c r="E48" s="56"/>
      <c r="F48" s="56"/>
      <c r="G48" s="3121"/>
      <c r="H48" s="3121"/>
      <c r="I48" s="3121"/>
      <c r="J48" s="3121"/>
      <c r="K48" s="3121"/>
      <c r="L48" s="3121"/>
      <c r="M48" s="3121"/>
      <c r="N48" s="3121"/>
      <c r="O48" s="3121"/>
      <c r="P48" s="3121"/>
      <c r="Q48" s="3121"/>
      <c r="R48" s="3122"/>
      <c r="S48" s="1892"/>
      <c r="T48" s="47"/>
    </row>
    <row r="49" spans="1:20" ht="12" customHeight="1" x14ac:dyDescent="0.2">
      <c r="A49" s="45"/>
      <c r="B49" s="2293"/>
      <c r="C49" s="3115" t="s">
        <v>2237</v>
      </c>
      <c r="D49" s="3116"/>
      <c r="E49" s="3116"/>
      <c r="F49" s="3116"/>
      <c r="G49" s="3121" t="str">
        <f>Tablas!$F$2607</f>
        <v/>
      </c>
      <c r="H49" s="3121"/>
      <c r="I49" s="3121"/>
      <c r="J49" s="3121"/>
      <c r="K49" s="3121"/>
      <c r="L49" s="3121"/>
      <c r="M49" s="3121"/>
      <c r="N49" s="3121"/>
      <c r="O49" s="3121"/>
      <c r="P49" s="3121"/>
      <c r="Q49" s="3121"/>
      <c r="R49" s="3122"/>
      <c r="S49" s="1892"/>
      <c r="T49" s="47"/>
    </row>
    <row r="50" spans="1:20" ht="12" customHeight="1" x14ac:dyDescent="0.2">
      <c r="A50" s="45"/>
      <c r="B50" s="2293"/>
      <c r="C50" s="1825"/>
      <c r="D50" s="56"/>
      <c r="E50" s="56"/>
      <c r="F50" s="56"/>
      <c r="G50" s="3121"/>
      <c r="H50" s="3121"/>
      <c r="I50" s="3121"/>
      <c r="J50" s="3121"/>
      <c r="K50" s="3121"/>
      <c r="L50" s="3121"/>
      <c r="M50" s="3121"/>
      <c r="N50" s="3121"/>
      <c r="O50" s="3121"/>
      <c r="P50" s="3121"/>
      <c r="Q50" s="3121"/>
      <c r="R50" s="3122"/>
      <c r="S50" s="1892"/>
      <c r="T50" s="47"/>
    </row>
    <row r="51" spans="1:20" ht="12" customHeight="1" x14ac:dyDescent="0.2">
      <c r="A51" s="45"/>
      <c r="B51" s="2293"/>
      <c r="C51" s="3115" t="s">
        <v>2238</v>
      </c>
      <c r="D51" s="3116"/>
      <c r="E51" s="3116"/>
      <c r="F51" s="3116"/>
      <c r="G51" s="312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1"/>
      <c r="I51" s="3121"/>
      <c r="J51" s="3121"/>
      <c r="K51" s="3121"/>
      <c r="L51" s="3121"/>
      <c r="M51" s="3121"/>
      <c r="N51" s="3121"/>
      <c r="O51" s="3121"/>
      <c r="P51" s="3121"/>
      <c r="Q51" s="3121"/>
      <c r="R51" s="3122"/>
      <c r="S51" s="1892"/>
      <c r="T51" s="47"/>
    </row>
    <row r="52" spans="1:20" ht="12" customHeight="1" x14ac:dyDescent="0.2">
      <c r="A52" s="45"/>
      <c r="B52" s="2293"/>
      <c r="C52" s="1825"/>
      <c r="D52" s="56"/>
      <c r="E52" s="56"/>
      <c r="F52" s="56"/>
      <c r="G52" s="3121"/>
      <c r="H52" s="3121"/>
      <c r="I52" s="3121"/>
      <c r="J52" s="3121"/>
      <c r="K52" s="3121"/>
      <c r="L52" s="3121"/>
      <c r="M52" s="3121"/>
      <c r="N52" s="3121"/>
      <c r="O52" s="3121"/>
      <c r="P52" s="3121"/>
      <c r="Q52" s="3121"/>
      <c r="R52" s="3122"/>
      <c r="S52" s="1892"/>
      <c r="T52" s="47"/>
    </row>
    <row r="53" spans="1:20" ht="12" customHeight="1" x14ac:dyDescent="0.2">
      <c r="A53" s="45"/>
      <c r="B53" s="2293"/>
      <c r="C53" s="3115" t="s">
        <v>2239</v>
      </c>
      <c r="D53" s="3116"/>
      <c r="E53" s="3136" t="str">
        <f>Tablas!H2644</f>
        <v/>
      </c>
      <c r="F53" s="3136"/>
      <c r="G53" s="3136"/>
      <c r="H53" s="3136"/>
      <c r="I53" s="3136"/>
      <c r="J53" s="3136"/>
      <c r="K53" s="3136"/>
      <c r="L53" s="3136"/>
      <c r="M53" s="3136"/>
      <c r="N53" s="3136"/>
      <c r="O53" s="3136"/>
      <c r="P53" s="3136"/>
      <c r="Q53" s="3136"/>
      <c r="R53" s="3122"/>
      <c r="S53" s="1892"/>
      <c r="T53" s="47"/>
    </row>
    <row r="54" spans="1:20" ht="12" customHeight="1" x14ac:dyDescent="0.2">
      <c r="A54" s="45"/>
      <c r="B54" s="2293"/>
      <c r="C54" s="1825"/>
      <c r="D54" s="56"/>
      <c r="E54" s="3136"/>
      <c r="F54" s="3136"/>
      <c r="G54" s="3136"/>
      <c r="H54" s="3136"/>
      <c r="I54" s="3136"/>
      <c r="J54" s="3136"/>
      <c r="K54" s="3136"/>
      <c r="L54" s="3136"/>
      <c r="M54" s="3136"/>
      <c r="N54" s="3136"/>
      <c r="O54" s="3136"/>
      <c r="P54" s="3136"/>
      <c r="Q54" s="3136"/>
      <c r="R54" s="3122"/>
      <c r="S54" s="1892"/>
      <c r="T54" s="47"/>
    </row>
    <row r="55" spans="1:20" ht="12" customHeight="1" x14ac:dyDescent="0.2">
      <c r="A55" s="45"/>
      <c r="B55" s="2293"/>
      <c r="C55" s="1825"/>
      <c r="D55" s="56"/>
      <c r="E55" s="3136"/>
      <c r="F55" s="3136"/>
      <c r="G55" s="3136"/>
      <c r="H55" s="3136"/>
      <c r="I55" s="3136"/>
      <c r="J55" s="3136"/>
      <c r="K55" s="3136"/>
      <c r="L55" s="3136"/>
      <c r="M55" s="3136"/>
      <c r="N55" s="3136"/>
      <c r="O55" s="3136"/>
      <c r="P55" s="3136"/>
      <c r="Q55" s="3136"/>
      <c r="R55" s="3122"/>
      <c r="S55" s="1892"/>
      <c r="T55" s="47"/>
    </row>
    <row r="56" spans="1:20" ht="12" customHeight="1" x14ac:dyDescent="0.2">
      <c r="A56" s="45"/>
      <c r="B56" s="2293"/>
      <c r="C56" s="1825"/>
      <c r="D56" s="56"/>
      <c r="E56" s="3136"/>
      <c r="F56" s="3136"/>
      <c r="G56" s="3136"/>
      <c r="H56" s="3136"/>
      <c r="I56" s="3136"/>
      <c r="J56" s="3136"/>
      <c r="K56" s="3136"/>
      <c r="L56" s="3136"/>
      <c r="M56" s="3136"/>
      <c r="N56" s="3136"/>
      <c r="O56" s="3136"/>
      <c r="P56" s="3136"/>
      <c r="Q56" s="3136"/>
      <c r="R56" s="3122"/>
      <c r="S56" s="1892"/>
      <c r="T56" s="47"/>
    </row>
    <row r="57" spans="1:20" ht="12" customHeight="1" x14ac:dyDescent="0.2">
      <c r="A57" s="45"/>
      <c r="B57" s="2293"/>
      <c r="C57" s="3160" t="s">
        <v>1673</v>
      </c>
      <c r="D57" s="3161"/>
      <c r="E57" s="3162" t="str">
        <f>Tamaño&amp;", "&amp;Principal!M6</f>
        <v>1, Medio</v>
      </c>
      <c r="F57" s="3162"/>
      <c r="G57" s="3162"/>
      <c r="H57" s="3162"/>
      <c r="I57" s="3162"/>
      <c r="J57" s="56"/>
      <c r="K57" s="3131" t="s">
        <v>2240</v>
      </c>
      <c r="L57" s="3131"/>
      <c r="M57" s="3131"/>
      <c r="N57" s="2285">
        <f>Regeneración</f>
        <v>0</v>
      </c>
      <c r="O57" s="56"/>
      <c r="P57" s="56"/>
      <c r="Q57" s="56"/>
      <c r="R57" s="1683"/>
      <c r="S57" s="1892"/>
      <c r="T57" s="47"/>
    </row>
    <row r="58" spans="1:20" ht="12" customHeight="1" x14ac:dyDescent="0.2">
      <c r="A58" s="45"/>
      <c r="B58" s="2293"/>
      <c r="C58" s="3163" t="s">
        <v>2241</v>
      </c>
      <c r="D58" s="3164"/>
      <c r="E58" s="3164"/>
      <c r="F58" s="412">
        <f>TipodeMovimiento</f>
        <v>0</v>
      </c>
      <c r="G58" s="56"/>
      <c r="H58" s="56"/>
      <c r="I58" s="56"/>
      <c r="J58" s="56"/>
      <c r="K58" s="3131" t="s">
        <v>2242</v>
      </c>
      <c r="L58" s="3131"/>
      <c r="M58" s="3117" t="str">
        <f>IF(Cansancio=0,"Incansable",Cansancio)</f>
        <v>Incansable</v>
      </c>
      <c r="N58" s="3117"/>
      <c r="O58" s="56"/>
      <c r="P58" s="56"/>
      <c r="Q58" s="56"/>
      <c r="R58" s="1683"/>
      <c r="S58" s="1892"/>
      <c r="T58" s="47"/>
    </row>
    <row r="59" spans="1:20" ht="12" customHeight="1" x14ac:dyDescent="0.2">
      <c r="A59" s="45"/>
      <c r="B59" s="2293"/>
      <c r="C59" s="1825"/>
      <c r="D59" s="56"/>
      <c r="E59" s="56"/>
      <c r="F59" s="56"/>
      <c r="G59" s="56"/>
      <c r="H59" s="56"/>
      <c r="I59" s="56"/>
      <c r="J59" s="56"/>
      <c r="K59" s="3159" t="s">
        <v>1737</v>
      </c>
      <c r="L59" s="3159"/>
      <c r="M59" s="3159"/>
      <c r="N59" s="409">
        <f>Principal!J29</f>
        <v>1</v>
      </c>
      <c r="O59" s="2285"/>
      <c r="P59" s="56"/>
      <c r="Q59" s="56"/>
      <c r="R59" s="1683"/>
      <c r="S59" s="1892"/>
      <c r="T59" s="47"/>
    </row>
    <row r="60" spans="1:20" ht="12" customHeight="1" x14ac:dyDescent="0.2">
      <c r="A60" s="45"/>
      <c r="B60" s="2293"/>
      <c r="C60" s="3125" t="s">
        <v>2243</v>
      </c>
      <c r="D60" s="3126"/>
      <c r="E60" s="3126"/>
      <c r="F60" s="3126"/>
      <c r="G60" s="3126"/>
      <c r="H60" s="2302"/>
      <c r="I60" s="2302"/>
      <c r="J60" s="2302"/>
      <c r="K60" s="2302"/>
      <c r="L60" s="2302"/>
      <c r="M60" s="2302"/>
      <c r="N60" s="2302"/>
      <c r="O60" s="2302"/>
      <c r="P60" s="2302"/>
      <c r="Q60" s="2302"/>
      <c r="R60" s="2303"/>
      <c r="S60" s="1892"/>
      <c r="T60" s="47"/>
    </row>
    <row r="61" spans="1:20" ht="12" customHeight="1" x14ac:dyDescent="0.2">
      <c r="A61" s="45"/>
      <c r="B61" s="2293"/>
      <c r="C61" s="3155"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36"/>
      <c r="E61" s="3136"/>
      <c r="F61" s="3136"/>
      <c r="G61" s="3136"/>
      <c r="H61" s="3136"/>
      <c r="I61" s="3136"/>
      <c r="J61" s="3136"/>
      <c r="K61" s="3136"/>
      <c r="L61" s="3136"/>
      <c r="M61" s="3136"/>
      <c r="N61" s="3136"/>
      <c r="O61" s="3136"/>
      <c r="P61" s="3136"/>
      <c r="Q61" s="3136"/>
      <c r="R61" s="3122"/>
      <c r="S61" s="1892"/>
      <c r="T61" s="47"/>
    </row>
    <row r="62" spans="1:20" ht="12" customHeight="1" x14ac:dyDescent="0.2">
      <c r="A62" s="45"/>
      <c r="B62" s="2293"/>
      <c r="C62" s="3155"/>
      <c r="D62" s="3136"/>
      <c r="E62" s="3136"/>
      <c r="F62" s="3136"/>
      <c r="G62" s="3136"/>
      <c r="H62" s="3136"/>
      <c r="I62" s="3136"/>
      <c r="J62" s="3136"/>
      <c r="K62" s="3136"/>
      <c r="L62" s="3136"/>
      <c r="M62" s="3136"/>
      <c r="N62" s="3136"/>
      <c r="O62" s="3136"/>
      <c r="P62" s="3136"/>
      <c r="Q62" s="3136"/>
      <c r="R62" s="3122"/>
      <c r="S62" s="1892"/>
      <c r="T62" s="47"/>
    </row>
    <row r="63" spans="1:20" ht="12" customHeight="1" x14ac:dyDescent="0.2">
      <c r="A63" s="45"/>
      <c r="B63" s="2293"/>
      <c r="C63" s="3155"/>
      <c r="D63" s="3136"/>
      <c r="E63" s="3136"/>
      <c r="F63" s="3136"/>
      <c r="G63" s="3136"/>
      <c r="H63" s="3136"/>
      <c r="I63" s="3136"/>
      <c r="J63" s="3136"/>
      <c r="K63" s="3136"/>
      <c r="L63" s="3136"/>
      <c r="M63" s="3136"/>
      <c r="N63" s="3136"/>
      <c r="O63" s="3136"/>
      <c r="P63" s="3136"/>
      <c r="Q63" s="3136"/>
      <c r="R63" s="3122"/>
      <c r="S63" s="1892"/>
      <c r="T63" s="47"/>
    </row>
    <row r="64" spans="1:20" ht="12" customHeight="1" x14ac:dyDescent="0.2">
      <c r="A64" s="45"/>
      <c r="B64" s="2293"/>
      <c r="C64" s="3155"/>
      <c r="D64" s="3136"/>
      <c r="E64" s="3136"/>
      <c r="F64" s="3136"/>
      <c r="G64" s="3136"/>
      <c r="H64" s="3136"/>
      <c r="I64" s="3136"/>
      <c r="J64" s="3136"/>
      <c r="K64" s="3136"/>
      <c r="L64" s="3136"/>
      <c r="M64" s="3136"/>
      <c r="N64" s="3136"/>
      <c r="O64" s="3136"/>
      <c r="P64" s="3136"/>
      <c r="Q64" s="3136"/>
      <c r="R64" s="3122"/>
      <c r="S64" s="1892"/>
      <c r="T64" s="47"/>
    </row>
    <row r="65" spans="1:20" ht="12" customHeight="1" x14ac:dyDescent="0.2">
      <c r="A65" s="45"/>
      <c r="B65" s="2293"/>
      <c r="C65" s="3155"/>
      <c r="D65" s="3136"/>
      <c r="E65" s="3136"/>
      <c r="F65" s="3136"/>
      <c r="G65" s="3136"/>
      <c r="H65" s="3136"/>
      <c r="I65" s="3136"/>
      <c r="J65" s="3136"/>
      <c r="K65" s="3136"/>
      <c r="L65" s="3136"/>
      <c r="M65" s="3136"/>
      <c r="N65" s="3136"/>
      <c r="O65" s="3136"/>
      <c r="P65" s="3136"/>
      <c r="Q65" s="3136"/>
      <c r="R65" s="3122"/>
      <c r="S65" s="1892"/>
      <c r="T65" s="47"/>
    </row>
    <row r="66" spans="1:20" ht="12.75" customHeight="1" x14ac:dyDescent="0.2">
      <c r="A66" s="45"/>
      <c r="B66" s="2293"/>
      <c r="C66" s="3155"/>
      <c r="D66" s="3136"/>
      <c r="E66" s="3136"/>
      <c r="F66" s="3136"/>
      <c r="G66" s="3136"/>
      <c r="H66" s="3136"/>
      <c r="I66" s="3136"/>
      <c r="J66" s="3136"/>
      <c r="K66" s="3136"/>
      <c r="L66" s="3136"/>
      <c r="M66" s="3136"/>
      <c r="N66" s="3136"/>
      <c r="O66" s="3136"/>
      <c r="P66" s="3136"/>
      <c r="Q66" s="3136"/>
      <c r="R66" s="3122"/>
      <c r="S66" s="1892"/>
      <c r="T66" s="47"/>
    </row>
    <row r="67" spans="1:20" ht="12.75" customHeight="1" x14ac:dyDescent="0.2">
      <c r="A67" s="45"/>
      <c r="B67" s="2293"/>
      <c r="C67" s="3155"/>
      <c r="D67" s="3136"/>
      <c r="E67" s="3136"/>
      <c r="F67" s="3136"/>
      <c r="G67" s="3136"/>
      <c r="H67" s="3136"/>
      <c r="I67" s="3136"/>
      <c r="J67" s="3136"/>
      <c r="K67" s="3136"/>
      <c r="L67" s="3136"/>
      <c r="M67" s="3136"/>
      <c r="N67" s="3136"/>
      <c r="O67" s="3136"/>
      <c r="P67" s="3136"/>
      <c r="Q67" s="3136"/>
      <c r="R67" s="3122"/>
      <c r="S67" s="1892"/>
      <c r="T67" s="47"/>
    </row>
    <row r="68" spans="1:20" ht="12.75" customHeight="1" thickBot="1" x14ac:dyDescent="0.25">
      <c r="A68" s="45"/>
      <c r="B68" s="2293"/>
      <c r="C68" s="3156"/>
      <c r="D68" s="3157"/>
      <c r="E68" s="3157"/>
      <c r="F68" s="3157"/>
      <c r="G68" s="3157"/>
      <c r="H68" s="3157"/>
      <c r="I68" s="3157"/>
      <c r="J68" s="3157"/>
      <c r="K68" s="3157"/>
      <c r="L68" s="3157"/>
      <c r="M68" s="3157"/>
      <c r="N68" s="3157"/>
      <c r="O68" s="3157"/>
      <c r="P68" s="3157"/>
      <c r="Q68" s="3157"/>
      <c r="R68" s="3158"/>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1"/>
      <c r="W3" s="3201"/>
      <c r="X3" s="3201"/>
      <c r="Y3" s="3201"/>
      <c r="Z3" s="3201"/>
      <c r="AA3" s="3201"/>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01"/>
      <c r="W4" s="3201"/>
      <c r="X4" s="3201"/>
      <c r="Y4" s="3201"/>
      <c r="Z4" s="3201"/>
      <c r="AA4" s="3201"/>
      <c r="AB4" s="12"/>
      <c r="AC4" s="3118" t="s">
        <v>1628</v>
      </c>
      <c r="AD4" s="3118"/>
      <c r="AE4" s="3119" t="str">
        <f>IF(OR(General!$G$22="",General!$G$22=0),"",General!$G$22)</f>
        <v/>
      </c>
      <c r="AF4" s="3119"/>
      <c r="AG4" s="3119"/>
      <c r="AH4" s="3119"/>
      <c r="AI4" s="3119"/>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1"/>
      <c r="W5" s="3201"/>
      <c r="X5" s="3201"/>
      <c r="Y5" s="3201"/>
      <c r="Z5" s="3201"/>
      <c r="AA5" s="3201"/>
      <c r="AB5" s="12"/>
      <c r="AC5" s="3197" t="s">
        <v>1629</v>
      </c>
      <c r="AD5" s="3197"/>
      <c r="AE5" s="3198" t="str">
        <f>Principal!$L$5</f>
        <v>Hechicero</v>
      </c>
      <c r="AF5" s="3198"/>
      <c r="AG5" s="3198"/>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1"/>
      <c r="W6" s="3201"/>
      <c r="X6" s="3201"/>
      <c r="Y6" s="3201"/>
      <c r="Z6" s="3201"/>
      <c r="AA6" s="3201"/>
      <c r="AB6" s="12"/>
      <c r="AC6" s="3199" t="s">
        <v>1631</v>
      </c>
      <c r="AD6" s="3199"/>
      <c r="AE6" s="3199"/>
      <c r="AF6" s="3199"/>
      <c r="AG6" s="3199"/>
      <c r="AH6" s="3199"/>
      <c r="AI6" s="3199"/>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1"/>
      <c r="W7" s="3201"/>
      <c r="X7" s="3201"/>
      <c r="Y7" s="3201"/>
      <c r="Z7" s="3201"/>
      <c r="AA7" s="3201"/>
      <c r="AB7" s="12"/>
      <c r="AC7" s="3199"/>
      <c r="AD7" s="3199"/>
      <c r="AE7" s="3199"/>
      <c r="AF7" s="3199"/>
      <c r="AG7" s="3199"/>
      <c r="AH7" s="3199"/>
      <c r="AI7" s="3199"/>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1"/>
      <c r="W8" s="3201"/>
      <c r="X8" s="3201"/>
      <c r="Y8" s="3201"/>
      <c r="Z8" s="3201"/>
      <c r="AA8" s="3201"/>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49" t="s">
        <v>9164</v>
      </c>
      <c r="W10" s="3150"/>
      <c r="X10" s="3150"/>
      <c r="Y10" s="3150"/>
      <c r="Z10" s="3150"/>
      <c r="AA10" s="3150"/>
      <c r="AB10" s="3151"/>
      <c r="AC10" s="2310"/>
      <c r="AD10" s="3183" t="s">
        <v>1635</v>
      </c>
      <c r="AE10" s="3183"/>
      <c r="AF10" s="3183"/>
      <c r="AG10" s="3183"/>
      <c r="AH10" s="3200" t="s">
        <v>1633</v>
      </c>
      <c r="AI10" s="3200"/>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05" t="s">
        <v>9308</v>
      </c>
      <c r="W11" s="3206"/>
      <c r="X11" s="3206"/>
      <c r="Y11" s="3204" t="s">
        <v>1661</v>
      </c>
      <c r="Z11" s="3204"/>
      <c r="AA11" s="3202" t="s">
        <v>9264</v>
      </c>
      <c r="AB11" s="3203"/>
      <c r="AD11" s="3181"/>
      <c r="AE11" s="3181"/>
      <c r="AF11" s="3181"/>
      <c r="AG11" s="3181"/>
      <c r="AH11" s="3182"/>
      <c r="AI11" s="3182"/>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85"/>
      <c r="W12" s="3186"/>
      <c r="X12" s="3187"/>
      <c r="Y12" s="3191">
        <f>VLOOKUP(PDs!$X$15,Tablas!$C$68:$D98,2,FALSE)+V12</f>
        <v>0</v>
      </c>
      <c r="Z12" s="3195"/>
      <c r="AA12" s="3191">
        <f>IF(PDs!$X$15=0,0,VLOOKUP(PDs!$X$15+Principal!$AA$27+1,Tablas!$C$68:$D98,2,FALSE))</f>
        <v>100</v>
      </c>
      <c r="AB12" s="3192"/>
      <c r="AC12" s="2310"/>
      <c r="AD12" s="3181"/>
      <c r="AE12" s="3181"/>
      <c r="AF12" s="3181"/>
      <c r="AG12" s="3181"/>
      <c r="AH12" s="3182"/>
      <c r="AI12" s="3182"/>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88"/>
      <c r="W13" s="3189"/>
      <c r="X13" s="3190"/>
      <c r="Y13" s="3193"/>
      <c r="Z13" s="3196"/>
      <c r="AA13" s="3193"/>
      <c r="AB13" s="3194"/>
      <c r="AC13" s="2430"/>
      <c r="AD13" s="3181"/>
      <c r="AE13" s="3181"/>
      <c r="AF13" s="3181"/>
      <c r="AG13" s="3181"/>
      <c r="AH13" s="3182"/>
      <c r="AI13" s="3182"/>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08" t="str">
        <f>IF(AND(General!V12="",OR(Tablas!G472&gt;0,Tablas!G473&gt;0,Tablas!G474&gt;0)),"Suma experiencia de Curtido (50 por PC empleado)","")</f>
        <v/>
      </c>
      <c r="W14" s="3208"/>
      <c r="X14" s="3208"/>
      <c r="Y14" s="3208"/>
      <c r="Z14" s="3208"/>
      <c r="AA14" s="3208"/>
      <c r="AB14" s="3208"/>
      <c r="AD14" s="3181"/>
      <c r="AE14" s="3181"/>
      <c r="AF14" s="3181"/>
      <c r="AG14" s="3181"/>
      <c r="AH14" s="3182"/>
      <c r="AI14" s="3182"/>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3" t="s">
        <v>1632</v>
      </c>
      <c r="W15" s="3183"/>
      <c r="X15" s="3183"/>
      <c r="Y15" s="3183"/>
      <c r="Z15" s="3184" t="s">
        <v>1633</v>
      </c>
      <c r="AA15" s="3184"/>
      <c r="AB15" s="21" t="s">
        <v>1634</v>
      </c>
      <c r="AD15" s="3181"/>
      <c r="AE15" s="3181"/>
      <c r="AF15" s="3181"/>
      <c r="AG15" s="3181"/>
      <c r="AH15" s="3182"/>
      <c r="AI15" s="3182"/>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07"/>
      <c r="W16" s="3207"/>
      <c r="X16" s="3207"/>
      <c r="Y16" s="3207"/>
      <c r="Z16" s="3182"/>
      <c r="AA16" s="3182"/>
      <c r="AB16" s="22"/>
      <c r="AD16" s="3181"/>
      <c r="AE16" s="3181"/>
      <c r="AF16" s="3181"/>
      <c r="AG16" s="3181"/>
      <c r="AH16" s="3182"/>
      <c r="AI16" s="3182"/>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207"/>
      <c r="W17" s="3207"/>
      <c r="X17" s="3207"/>
      <c r="Y17" s="3207"/>
      <c r="Z17" s="3182"/>
      <c r="AA17" s="3182"/>
      <c r="AB17" s="22"/>
      <c r="AD17" s="3181"/>
      <c r="AE17" s="3181"/>
      <c r="AF17" s="3181"/>
      <c r="AG17" s="3181"/>
      <c r="AH17" s="3182"/>
      <c r="AI17" s="3182"/>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207"/>
      <c r="W18" s="3207"/>
      <c r="X18" s="3207"/>
      <c r="Y18" s="3207"/>
      <c r="Z18" s="3182"/>
      <c r="AA18" s="3182"/>
      <c r="AB18" s="22"/>
      <c r="AC18" s="23"/>
      <c r="AD18" s="3181"/>
      <c r="AE18" s="3181"/>
      <c r="AF18" s="3181"/>
      <c r="AG18" s="3181"/>
      <c r="AH18" s="3182"/>
      <c r="AI18" s="3182"/>
      <c r="AJ18" s="22"/>
      <c r="AK18" s="11"/>
      <c r="AL18" s="5"/>
      <c r="AM18" s="2515"/>
      <c r="AU18" s="2515"/>
      <c r="AV18" s="2515"/>
      <c r="AW18" s="2515"/>
      <c r="AX18" s="468"/>
      <c r="AY18" s="1918"/>
    </row>
    <row r="19" spans="1:51" ht="12" customHeight="1" x14ac:dyDescent="0.2">
      <c r="A19" s="4"/>
      <c r="B19" s="1903"/>
      <c r="C19" s="7"/>
      <c r="D19" s="3165" t="s">
        <v>1636</v>
      </c>
      <c r="E19" s="3166"/>
      <c r="F19" s="3166"/>
      <c r="G19" s="3166"/>
      <c r="H19" s="3166"/>
      <c r="I19" s="3166"/>
      <c r="J19" s="3166"/>
      <c r="K19" s="3166"/>
      <c r="L19" s="3166"/>
      <c r="M19" s="3166"/>
      <c r="N19" s="3166"/>
      <c r="O19" s="3166"/>
      <c r="P19" s="3167"/>
      <c r="R19" s="1904"/>
      <c r="S19" s="4"/>
      <c r="T19" s="5"/>
      <c r="U19" s="8"/>
      <c r="V19" s="3207"/>
      <c r="W19" s="3207"/>
      <c r="X19" s="3207"/>
      <c r="Y19" s="3207"/>
      <c r="Z19" s="3182"/>
      <c r="AA19" s="3182"/>
      <c r="AB19" s="22"/>
      <c r="AC19" s="23"/>
      <c r="AD19" s="3207"/>
      <c r="AE19" s="3207"/>
      <c r="AF19" s="3207"/>
      <c r="AG19" s="3207"/>
      <c r="AH19" s="3182"/>
      <c r="AI19" s="3182"/>
      <c r="AJ19" s="22"/>
      <c r="AK19" s="11"/>
      <c r="AL19" s="5"/>
      <c r="AM19" s="2515"/>
      <c r="AU19" s="2515"/>
      <c r="AV19" s="2515"/>
      <c r="AW19" s="2515"/>
      <c r="AX19" s="468"/>
      <c r="AY19" s="1918"/>
    </row>
    <row r="20" spans="1:51" ht="12" customHeight="1" thickBot="1" x14ac:dyDescent="0.25">
      <c r="A20" s="4"/>
      <c r="B20" s="1903"/>
      <c r="C20" s="7"/>
      <c r="D20" s="3168"/>
      <c r="E20" s="3169"/>
      <c r="F20" s="3169"/>
      <c r="G20" s="3169"/>
      <c r="H20" s="3169"/>
      <c r="I20" s="3169"/>
      <c r="J20" s="3169"/>
      <c r="K20" s="3169"/>
      <c r="L20" s="3169"/>
      <c r="M20" s="3169"/>
      <c r="N20" s="3169"/>
      <c r="O20" s="3169"/>
      <c r="P20" s="3170"/>
      <c r="R20" s="1904"/>
      <c r="S20" s="4"/>
      <c r="T20" s="5"/>
      <c r="U20" s="8"/>
      <c r="V20" s="3207"/>
      <c r="W20" s="3207"/>
      <c r="X20" s="3207"/>
      <c r="Y20" s="3207"/>
      <c r="Z20" s="3182"/>
      <c r="AA20" s="3182"/>
      <c r="AB20" s="22"/>
      <c r="AC20" s="23"/>
      <c r="AD20" s="3207"/>
      <c r="AE20" s="3207"/>
      <c r="AF20" s="3207"/>
      <c r="AG20" s="3207"/>
      <c r="AH20" s="3182"/>
      <c r="AI20" s="3182"/>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1"/>
      <c r="W21" s="3181"/>
      <c r="X21" s="3181"/>
      <c r="Y21" s="3181"/>
      <c r="Z21" s="3182"/>
      <c r="AA21" s="3182"/>
      <c r="AB21" s="22"/>
      <c r="AC21" s="23"/>
      <c r="AD21" s="3181"/>
      <c r="AE21" s="3181"/>
      <c r="AF21" s="3181"/>
      <c r="AG21" s="3181"/>
      <c r="AH21" s="3182"/>
      <c r="AI21" s="3182"/>
      <c r="AJ21" s="22"/>
      <c r="AK21" s="11"/>
      <c r="AL21" s="5"/>
      <c r="AM21" s="2515"/>
      <c r="AN21" s="2515"/>
    </row>
    <row r="22" spans="1:51" ht="12" customHeight="1" x14ac:dyDescent="0.25">
      <c r="A22" s="4"/>
      <c r="B22" s="1903"/>
      <c r="C22" s="7"/>
      <c r="D22" s="1772"/>
      <c r="E22" s="3172" t="s">
        <v>1637</v>
      </c>
      <c r="F22" s="3172"/>
      <c r="G22" s="3177"/>
      <c r="H22" s="3177"/>
      <c r="I22" s="3177"/>
      <c r="J22" s="3177"/>
      <c r="K22" s="3177"/>
      <c r="L22" s="3177"/>
      <c r="M22" s="3177"/>
      <c r="N22" s="3177"/>
      <c r="O22" s="3177"/>
      <c r="P22" s="1774"/>
      <c r="R22" s="1904"/>
      <c r="S22" s="4"/>
      <c r="T22" s="5"/>
      <c r="U22" s="8"/>
      <c r="V22" s="3181"/>
      <c r="W22" s="3181"/>
      <c r="X22" s="3181"/>
      <c r="Y22" s="3181"/>
      <c r="Z22" s="3182"/>
      <c r="AA22" s="3182"/>
      <c r="AB22" s="22"/>
      <c r="AC22" s="23"/>
      <c r="AD22" s="3181"/>
      <c r="AE22" s="3181"/>
      <c r="AF22" s="3181"/>
      <c r="AG22" s="3181"/>
      <c r="AH22" s="3182"/>
      <c r="AI22" s="3182"/>
      <c r="AJ22" s="22"/>
      <c r="AK22" s="11"/>
      <c r="AL22" s="5"/>
      <c r="AM22" s="2515"/>
      <c r="AN22" s="2516"/>
    </row>
    <row r="23" spans="1:51" ht="12" customHeight="1" thickBot="1" x14ac:dyDescent="0.25">
      <c r="A23" s="4"/>
      <c r="B23" s="1903"/>
      <c r="C23" s="7"/>
      <c r="D23" s="1772"/>
      <c r="E23" s="1767" t="s">
        <v>1638</v>
      </c>
      <c r="F23" s="3179"/>
      <c r="G23" s="3179"/>
      <c r="H23" s="1771" t="s">
        <v>9165</v>
      </c>
      <c r="I23" s="3176"/>
      <c r="J23" s="3176"/>
      <c r="K23" s="3176"/>
      <c r="L23" s="3180" t="str">
        <f>IF($F$23="Ebudan","Sue'Aman:",IF(OR($F$23="Humano",$F$23="Nephilim Sylvain",$F$23="Nephilim Jayán",$F$23="Nephilim D'Anjayni",$F$23="Nephilim Ebudan",$F$23="Nephilim Daimah",$F$23="Nephilim Duk'zarist",$F$23="Nephilim Devah",$F$23="Nephilim Vetala",$F$23="Nephilim Turak"),"Etnia:",""))</f>
        <v/>
      </c>
      <c r="M23" s="3180"/>
      <c r="N23" s="3176"/>
      <c r="O23" s="3176"/>
      <c r="P23" s="1773"/>
      <c r="R23" s="1904"/>
      <c r="S23" s="4"/>
      <c r="T23" s="5"/>
      <c r="U23" s="8"/>
      <c r="V23" s="3209"/>
      <c r="W23" s="3209"/>
      <c r="X23" s="3209"/>
      <c r="Y23" s="3209"/>
      <c r="Z23" s="3210"/>
      <c r="AA23" s="3210"/>
      <c r="AB23" s="24"/>
      <c r="AC23" s="23"/>
      <c r="AD23" s="3181"/>
      <c r="AE23" s="3181"/>
      <c r="AF23" s="3181"/>
      <c r="AG23" s="3181"/>
      <c r="AH23" s="3182"/>
      <c r="AI23" s="3182"/>
      <c r="AJ23" s="22"/>
      <c r="AK23" s="11"/>
      <c r="AL23" s="5"/>
      <c r="AM23" s="2515"/>
      <c r="AN23" s="2515"/>
      <c r="AO23" s="2515"/>
    </row>
    <row r="24" spans="1:51" ht="12" customHeight="1" thickBot="1" x14ac:dyDescent="0.25">
      <c r="A24" s="4"/>
      <c r="B24" s="1903"/>
      <c r="C24" s="7"/>
      <c r="D24" s="1772"/>
      <c r="E24" s="1767" t="s">
        <v>1639</v>
      </c>
      <c r="F24" s="1768"/>
      <c r="G24" s="1769"/>
      <c r="H24" s="1771" t="s">
        <v>1642</v>
      </c>
      <c r="I24" s="3173"/>
      <c r="J24" s="3173"/>
      <c r="K24" s="3171" t="s">
        <v>1644</v>
      </c>
      <c r="L24" s="3171"/>
      <c r="M24" s="3173"/>
      <c r="N24" s="3173"/>
      <c r="O24" s="3173"/>
      <c r="P24" s="1774"/>
      <c r="R24" s="1904"/>
      <c r="S24" s="4"/>
      <c r="T24" s="5"/>
      <c r="U24" s="8"/>
      <c r="AC24" s="23"/>
      <c r="AD24" s="3181"/>
      <c r="AE24" s="3181"/>
      <c r="AF24" s="3181"/>
      <c r="AG24" s="3181"/>
      <c r="AH24" s="3182"/>
      <c r="AI24" s="3182"/>
      <c r="AJ24" s="22"/>
      <c r="AK24" s="11"/>
      <c r="AL24" s="5"/>
      <c r="AM24" s="2515"/>
      <c r="AN24" s="2515"/>
      <c r="AO24" s="2515"/>
    </row>
    <row r="25" spans="1:51" ht="12" customHeight="1" thickBot="1" x14ac:dyDescent="0.25">
      <c r="A25" s="4"/>
      <c r="B25" s="1903"/>
      <c r="C25" s="7"/>
      <c r="D25" s="1772"/>
      <c r="E25" s="1767" t="s">
        <v>1640</v>
      </c>
      <c r="F25" s="1880"/>
      <c r="G25" s="1771"/>
      <c r="H25" s="1770" t="s">
        <v>1646</v>
      </c>
      <c r="I25" s="3173"/>
      <c r="J25" s="3173"/>
      <c r="K25" s="1769"/>
      <c r="L25" s="1770" t="s">
        <v>8315</v>
      </c>
      <c r="M25" s="3176"/>
      <c r="N25" s="3176"/>
      <c r="O25" s="3176"/>
      <c r="P25" s="1909"/>
      <c r="R25" s="1904"/>
      <c r="S25" s="4"/>
      <c r="T25" s="5"/>
      <c r="U25" s="8"/>
      <c r="V25" s="3183" t="s">
        <v>1643</v>
      </c>
      <c r="W25" s="3183"/>
      <c r="X25" s="3183"/>
      <c r="Y25" s="3183"/>
      <c r="Z25" s="3183"/>
      <c r="AA25" s="3183"/>
      <c r="AB25" s="25" t="s">
        <v>1634</v>
      </c>
      <c r="AC25" s="23"/>
      <c r="AD25" s="3181"/>
      <c r="AE25" s="3181"/>
      <c r="AF25" s="3181"/>
      <c r="AG25" s="3181"/>
      <c r="AH25" s="3182"/>
      <c r="AI25" s="3182"/>
      <c r="AJ25" s="22"/>
      <c r="AK25" s="11"/>
      <c r="AL25" s="5"/>
      <c r="AM25" s="2515"/>
      <c r="AN25" s="2515"/>
      <c r="AO25" s="2515"/>
    </row>
    <row r="26" spans="1:51" ht="12" customHeight="1" x14ac:dyDescent="0.2">
      <c r="A26" s="4"/>
      <c r="B26" s="1903"/>
      <c r="C26" s="7"/>
      <c r="D26" s="1772"/>
      <c r="E26" s="1770" t="s">
        <v>1641</v>
      </c>
      <c r="F26" s="1994"/>
      <c r="G26" s="1770"/>
      <c r="H26" s="1771" t="s">
        <v>1645</v>
      </c>
      <c r="I26" s="3173"/>
      <c r="J26" s="3173"/>
      <c r="K26" s="3178" t="str">
        <f>IF(M25="","","Clase social:")</f>
        <v/>
      </c>
      <c r="L26" s="3178"/>
      <c r="M26" s="3174"/>
      <c r="N26" s="3174"/>
      <c r="O26" s="3174"/>
      <c r="P26" s="1907"/>
      <c r="R26" s="1904"/>
      <c r="S26" s="4"/>
      <c r="T26" s="5"/>
      <c r="U26" s="8"/>
      <c r="V26" s="3211"/>
      <c r="W26" s="3211"/>
      <c r="X26" s="3211"/>
      <c r="Y26" s="3211"/>
      <c r="Z26" s="3211"/>
      <c r="AA26" s="3211"/>
      <c r="AB26" s="26"/>
      <c r="AC26" s="23"/>
      <c r="AD26" s="3181"/>
      <c r="AE26" s="3181"/>
      <c r="AF26" s="3181"/>
      <c r="AG26" s="3181"/>
      <c r="AH26" s="3182"/>
      <c r="AI26" s="3182"/>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75"/>
      <c r="N27" s="3175"/>
      <c r="O27" s="3175"/>
      <c r="P27" s="1908"/>
      <c r="R27" s="1904"/>
      <c r="S27" s="4"/>
      <c r="T27" s="5"/>
      <c r="U27" s="8"/>
      <c r="V27" s="3181"/>
      <c r="W27" s="3181"/>
      <c r="X27" s="3181"/>
      <c r="Y27" s="3181"/>
      <c r="Z27" s="3181"/>
      <c r="AA27" s="3181"/>
      <c r="AB27" s="27"/>
      <c r="AC27" s="23"/>
      <c r="AD27" s="3181"/>
      <c r="AE27" s="3181"/>
      <c r="AF27" s="3181"/>
      <c r="AG27" s="3181"/>
      <c r="AH27" s="3182"/>
      <c r="AI27" s="3182"/>
      <c r="AJ27" s="22"/>
      <c r="AK27" s="11"/>
      <c r="AL27" s="5"/>
      <c r="AM27" s="468"/>
      <c r="AN27" s="468"/>
      <c r="AO27" s="468"/>
    </row>
    <row r="28" spans="1:51" ht="12" customHeight="1" x14ac:dyDescent="0.2">
      <c r="A28" s="4"/>
      <c r="B28" s="1903"/>
      <c r="C28" s="7"/>
      <c r="Q28" s="7"/>
      <c r="R28" s="1904"/>
      <c r="S28" s="4"/>
      <c r="T28" s="5"/>
      <c r="U28" s="8"/>
      <c r="V28" s="3181"/>
      <c r="W28" s="3181"/>
      <c r="X28" s="3181"/>
      <c r="Y28" s="3181"/>
      <c r="Z28" s="3181"/>
      <c r="AA28" s="3181"/>
      <c r="AB28" s="27"/>
      <c r="AC28" s="23"/>
      <c r="AD28" s="3181"/>
      <c r="AE28" s="3181"/>
      <c r="AF28" s="3181"/>
      <c r="AG28" s="3181"/>
      <c r="AH28" s="3182"/>
      <c r="AI28" s="3182"/>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1"/>
      <c r="W29" s="3181"/>
      <c r="X29" s="3181"/>
      <c r="Y29" s="3181"/>
      <c r="Z29" s="3181"/>
      <c r="AA29" s="3181"/>
      <c r="AB29" s="27"/>
      <c r="AC29" s="23"/>
      <c r="AD29" s="3181"/>
      <c r="AE29" s="3181"/>
      <c r="AF29" s="3181"/>
      <c r="AG29" s="3181"/>
      <c r="AH29" s="3182"/>
      <c r="AI29" s="3182"/>
      <c r="AJ29" s="22"/>
      <c r="AK29" s="11"/>
      <c r="AL29" s="5"/>
      <c r="AM29" s="468"/>
      <c r="AN29" s="468"/>
      <c r="AO29" s="468"/>
      <c r="AW29" s="2515"/>
      <c r="AX29" s="2515"/>
      <c r="AY29" s="1916"/>
    </row>
    <row r="30" spans="1:51" ht="12" customHeight="1" thickBot="1" x14ac:dyDescent="0.25">
      <c r="A30" s="4"/>
      <c r="B30" s="1903"/>
      <c r="C30" s="3183" t="s">
        <v>1647</v>
      </c>
      <c r="D30" s="3183"/>
      <c r="E30" s="3183"/>
      <c r="F30" s="3183"/>
      <c r="G30" s="3183"/>
      <c r="H30" s="3183"/>
      <c r="I30" s="3183"/>
      <c r="J30" s="7"/>
      <c r="K30" s="3183" t="s">
        <v>1648</v>
      </c>
      <c r="L30" s="3183"/>
      <c r="M30" s="3183"/>
      <c r="N30" s="3183"/>
      <c r="O30" s="3183"/>
      <c r="P30" s="3183"/>
      <c r="Q30" s="3183"/>
      <c r="R30" s="1904"/>
      <c r="S30" s="4"/>
      <c r="T30" s="5"/>
      <c r="U30" s="8"/>
      <c r="V30" s="3181"/>
      <c r="W30" s="3181"/>
      <c r="X30" s="3181"/>
      <c r="Y30" s="3181"/>
      <c r="Z30" s="3181"/>
      <c r="AA30" s="3181"/>
      <c r="AB30" s="27"/>
      <c r="AC30" s="23"/>
      <c r="AD30" s="3181"/>
      <c r="AE30" s="3181"/>
      <c r="AF30" s="3181"/>
      <c r="AG30" s="3181"/>
      <c r="AH30" s="3182"/>
      <c r="AI30" s="3182"/>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212"/>
      <c r="D31" s="3212"/>
      <c r="E31" s="3212"/>
      <c r="F31" s="3212"/>
      <c r="G31" s="3212"/>
      <c r="H31" s="3212"/>
      <c r="I31" s="3212"/>
      <c r="J31" s="7"/>
      <c r="K31" s="3212"/>
      <c r="L31" s="3212"/>
      <c r="M31" s="3212"/>
      <c r="N31" s="3212"/>
      <c r="O31" s="3212"/>
      <c r="P31" s="3212"/>
      <c r="Q31" s="3212"/>
      <c r="R31" s="1904"/>
      <c r="S31" s="4"/>
      <c r="T31" s="5"/>
      <c r="U31" s="8"/>
      <c r="V31" s="3181"/>
      <c r="W31" s="3181"/>
      <c r="X31" s="3181"/>
      <c r="Y31" s="3181"/>
      <c r="Z31" s="3181"/>
      <c r="AA31" s="3181"/>
      <c r="AB31" s="27"/>
      <c r="AC31" s="23"/>
      <c r="AD31" s="3181"/>
      <c r="AE31" s="3181"/>
      <c r="AF31" s="3181"/>
      <c r="AG31" s="3181"/>
      <c r="AH31" s="3182"/>
      <c r="AI31" s="3182"/>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212"/>
      <c r="D32" s="3212"/>
      <c r="E32" s="3212"/>
      <c r="F32" s="3212"/>
      <c r="G32" s="3212"/>
      <c r="H32" s="3212"/>
      <c r="I32" s="3212"/>
      <c r="J32" s="7"/>
      <c r="K32" s="3212"/>
      <c r="L32" s="3212"/>
      <c r="M32" s="3212"/>
      <c r="N32" s="3212"/>
      <c r="O32" s="3212"/>
      <c r="P32" s="3212"/>
      <c r="Q32" s="3212"/>
      <c r="R32" s="1904"/>
      <c r="S32" s="4"/>
      <c r="T32" s="5"/>
      <c r="U32" s="8"/>
      <c r="V32" s="3209"/>
      <c r="W32" s="3209"/>
      <c r="X32" s="3209"/>
      <c r="Y32" s="3209"/>
      <c r="Z32" s="3209"/>
      <c r="AA32" s="3209"/>
      <c r="AB32" s="28"/>
      <c r="AC32" s="23"/>
      <c r="AD32" s="3213" t="s">
        <v>1649</v>
      </c>
      <c r="AE32" s="3213"/>
      <c r="AF32" s="3214" t="str">
        <f>IF(Principal!E14=0,0&amp;" kg",VLOOKUP(FUE,Tabla_Fuerza,3)&amp;" kg")</f>
        <v>0 kg</v>
      </c>
      <c r="AG32" s="3214"/>
      <c r="AH32" s="3215" t="s">
        <v>1650</v>
      </c>
      <c r="AI32" s="3215"/>
      <c r="AJ32" s="29">
        <f>SUM(AB11:AB23,AB26:AB32,AJ11:AJ31)</f>
        <v>0</v>
      </c>
      <c r="AK32" s="11"/>
      <c r="AL32" s="5"/>
      <c r="AM32" s="2515"/>
      <c r="AN32" s="2515"/>
      <c r="AO32" s="2515"/>
      <c r="AW32" s="2515"/>
      <c r="AX32" s="2515"/>
      <c r="AY32" s="1916"/>
    </row>
    <row r="33" spans="1:52" ht="12" customHeight="1" thickBot="1" x14ac:dyDescent="0.25">
      <c r="A33" s="4"/>
      <c r="B33" s="1903"/>
      <c r="C33" s="3212"/>
      <c r="D33" s="3212"/>
      <c r="E33" s="3212"/>
      <c r="F33" s="3212"/>
      <c r="G33" s="3212"/>
      <c r="H33" s="3212"/>
      <c r="I33" s="3212"/>
      <c r="J33" s="30"/>
      <c r="K33" s="3212"/>
      <c r="L33" s="3212"/>
      <c r="M33" s="3212"/>
      <c r="N33" s="3212"/>
      <c r="O33" s="3212"/>
      <c r="P33" s="3212"/>
      <c r="Q33" s="3212"/>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212"/>
      <c r="L34" s="3212"/>
      <c r="M34" s="3212"/>
      <c r="N34" s="3212"/>
      <c r="O34" s="3212"/>
      <c r="P34" s="3212"/>
      <c r="Q34" s="3212"/>
      <c r="R34" s="1904"/>
      <c r="S34" s="4"/>
      <c r="T34" s="5"/>
      <c r="U34" s="8"/>
      <c r="V34" s="3183" t="s">
        <v>1651</v>
      </c>
      <c r="W34" s="3183"/>
      <c r="X34" s="3183"/>
      <c r="Y34" s="3183"/>
      <c r="Z34" s="3183"/>
      <c r="AA34" s="3183"/>
      <c r="AB34" s="3183"/>
      <c r="AC34" s="3183"/>
      <c r="AD34" s="3183"/>
      <c r="AE34" s="3183"/>
      <c r="AF34" s="3183"/>
      <c r="AG34" s="3183"/>
      <c r="AH34" s="3183"/>
      <c r="AI34" s="3183"/>
      <c r="AJ34" s="3183"/>
      <c r="AK34" s="11"/>
      <c r="AL34" s="5"/>
      <c r="AM34" s="2515"/>
      <c r="AN34" s="2515"/>
      <c r="AO34" s="2515"/>
      <c r="AW34" s="2515"/>
      <c r="AX34" s="2515"/>
      <c r="AY34" s="1916"/>
    </row>
    <row r="35" spans="1:52" ht="12" customHeight="1" thickBot="1" x14ac:dyDescent="0.25">
      <c r="A35" s="4"/>
      <c r="B35" s="1903"/>
      <c r="C35" s="3183" t="s">
        <v>1652</v>
      </c>
      <c r="D35" s="3183"/>
      <c r="E35" s="3183"/>
      <c r="F35" s="3183"/>
      <c r="G35" s="3183"/>
      <c r="H35" s="3183"/>
      <c r="I35" s="3183"/>
      <c r="J35" s="31"/>
      <c r="K35" s="3212"/>
      <c r="L35" s="3212"/>
      <c r="M35" s="3212"/>
      <c r="N35" s="3212"/>
      <c r="O35" s="3212"/>
      <c r="P35" s="3212"/>
      <c r="Q35" s="3212"/>
      <c r="R35" s="1904"/>
      <c r="S35" s="4"/>
      <c r="T35" s="5"/>
      <c r="U35" s="8"/>
      <c r="V35" s="3219"/>
      <c r="W35" s="3219"/>
      <c r="X35" s="3219"/>
      <c r="Y35" s="3220"/>
      <c r="Z35" s="3220"/>
      <c r="AA35" s="3220"/>
      <c r="AB35" s="3220"/>
      <c r="AC35" s="3220"/>
      <c r="AD35" s="3220"/>
      <c r="AE35" s="3220"/>
      <c r="AF35" s="3220"/>
      <c r="AG35" s="3220"/>
      <c r="AH35" s="3220"/>
      <c r="AI35" s="3220"/>
      <c r="AJ35" s="3220"/>
      <c r="AK35" s="11"/>
      <c r="AL35" s="5"/>
      <c r="AM35" s="2515"/>
      <c r="AN35" s="2515"/>
      <c r="AO35" s="2515"/>
      <c r="AP35" s="2515"/>
      <c r="AX35" s="2515"/>
      <c r="AY35" s="1916"/>
      <c r="AZ35" s="6"/>
    </row>
    <row r="36" spans="1:52" ht="12" customHeight="1" thickBot="1" x14ac:dyDescent="0.25">
      <c r="A36" s="4"/>
      <c r="B36" s="1903"/>
      <c r="C36" s="3212"/>
      <c r="D36" s="3212"/>
      <c r="E36" s="3212"/>
      <c r="F36" s="3212"/>
      <c r="G36" s="3212"/>
      <c r="H36" s="3212"/>
      <c r="I36" s="3212"/>
      <c r="J36" s="31"/>
      <c r="K36" s="3212"/>
      <c r="L36" s="3212"/>
      <c r="M36" s="3212"/>
      <c r="N36" s="3212"/>
      <c r="O36" s="3212"/>
      <c r="P36" s="3212"/>
      <c r="Q36" s="3212"/>
      <c r="R36" s="1904"/>
      <c r="S36" s="4"/>
      <c r="T36" s="5"/>
      <c r="U36" s="8"/>
      <c r="V36" s="3219"/>
      <c r="W36" s="3219"/>
      <c r="X36" s="3219"/>
      <c r="Y36" s="3220"/>
      <c r="Z36" s="3220"/>
      <c r="AA36" s="3220"/>
      <c r="AB36" s="3220"/>
      <c r="AC36" s="3220"/>
      <c r="AD36" s="3220"/>
      <c r="AE36" s="3220"/>
      <c r="AF36" s="3220"/>
      <c r="AG36" s="3220"/>
      <c r="AH36" s="3220"/>
      <c r="AI36" s="3220"/>
      <c r="AJ36" s="3220"/>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212"/>
      <c r="D37" s="3212"/>
      <c r="E37" s="3212"/>
      <c r="F37" s="3212"/>
      <c r="G37" s="3212"/>
      <c r="H37" s="3212"/>
      <c r="I37" s="3212"/>
      <c r="J37" s="31"/>
      <c r="K37" s="3212"/>
      <c r="L37" s="3212"/>
      <c r="M37" s="3212"/>
      <c r="N37" s="3212"/>
      <c r="O37" s="3212"/>
      <c r="P37" s="3212"/>
      <c r="Q37" s="3212"/>
      <c r="R37" s="1904"/>
      <c r="S37" s="4"/>
      <c r="T37" s="5"/>
      <c r="U37" s="8"/>
      <c r="V37" s="3219"/>
      <c r="W37" s="3219"/>
      <c r="X37" s="3219"/>
      <c r="Y37" s="3220"/>
      <c r="Z37" s="3220"/>
      <c r="AA37" s="3220"/>
      <c r="AB37" s="3220"/>
      <c r="AC37" s="3220"/>
      <c r="AD37" s="3220"/>
      <c r="AE37" s="3220"/>
      <c r="AF37" s="3220"/>
      <c r="AG37" s="3220"/>
      <c r="AH37" s="3220"/>
      <c r="AI37" s="3220"/>
      <c r="AJ37" s="3220"/>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212"/>
      <c r="D38" s="3212"/>
      <c r="E38" s="3212"/>
      <c r="F38" s="3212"/>
      <c r="G38" s="3212"/>
      <c r="H38" s="3212"/>
      <c r="I38" s="3212"/>
      <c r="J38" s="31"/>
      <c r="K38" s="3212"/>
      <c r="L38" s="3212"/>
      <c r="M38" s="3212"/>
      <c r="N38" s="3212"/>
      <c r="O38" s="3212"/>
      <c r="P38" s="3212"/>
      <c r="Q38" s="3212"/>
      <c r="R38" s="1904"/>
      <c r="S38" s="4"/>
      <c r="T38" s="5"/>
      <c r="U38" s="8"/>
      <c r="V38" s="3219"/>
      <c r="W38" s="3219"/>
      <c r="X38" s="3219"/>
      <c r="Y38" s="3220"/>
      <c r="Z38" s="3220"/>
      <c r="AA38" s="3220"/>
      <c r="AB38" s="3220"/>
      <c r="AC38" s="3220"/>
      <c r="AD38" s="3220"/>
      <c r="AE38" s="3220"/>
      <c r="AF38" s="3220"/>
      <c r="AG38" s="3220"/>
      <c r="AH38" s="3220"/>
      <c r="AI38" s="3220"/>
      <c r="AJ38" s="3220"/>
      <c r="AK38" s="11"/>
      <c r="AL38" s="5"/>
      <c r="AM38" s="2515"/>
      <c r="AN38" s="2515"/>
      <c r="AP38" s="2515"/>
      <c r="AX38" s="2515"/>
      <c r="AY38" s="1916"/>
      <c r="AZ38" s="6"/>
    </row>
    <row r="39" spans="1:52" ht="12" customHeight="1" thickBot="1" x14ac:dyDescent="0.25">
      <c r="A39" s="4"/>
      <c r="B39" s="1903"/>
      <c r="C39" s="3212"/>
      <c r="D39" s="3212"/>
      <c r="E39" s="3212"/>
      <c r="F39" s="3212"/>
      <c r="G39" s="3212"/>
      <c r="H39" s="3212"/>
      <c r="I39" s="3212"/>
      <c r="J39" s="31"/>
      <c r="K39" s="3212"/>
      <c r="L39" s="3212"/>
      <c r="M39" s="3212"/>
      <c r="N39" s="3212"/>
      <c r="O39" s="3212"/>
      <c r="P39" s="3212"/>
      <c r="Q39" s="3212"/>
      <c r="R39" s="1904"/>
      <c r="S39" s="4"/>
      <c r="T39" s="5"/>
      <c r="U39" s="8"/>
      <c r="V39" s="3219"/>
      <c r="W39" s="3219"/>
      <c r="X39" s="3219"/>
      <c r="Y39" s="3220"/>
      <c r="Z39" s="3220"/>
      <c r="AA39" s="3220"/>
      <c r="AB39" s="3220"/>
      <c r="AC39" s="3220"/>
      <c r="AD39" s="3220"/>
      <c r="AE39" s="3220"/>
      <c r="AF39" s="3220"/>
      <c r="AG39" s="3220"/>
      <c r="AH39" s="3220"/>
      <c r="AI39" s="3220"/>
      <c r="AJ39" s="3220"/>
      <c r="AK39" s="11"/>
      <c r="AL39" s="5"/>
      <c r="AM39" s="2515"/>
      <c r="AN39" s="2515"/>
      <c r="AP39" s="2515"/>
      <c r="AX39" s="2515"/>
      <c r="AY39" s="1916"/>
      <c r="AZ39" s="6"/>
    </row>
    <row r="40" spans="1:52" ht="12" customHeight="1" thickBot="1" x14ac:dyDescent="0.25">
      <c r="A40" s="4"/>
      <c r="B40" s="1903"/>
      <c r="C40" s="3212"/>
      <c r="D40" s="3212"/>
      <c r="E40" s="3212"/>
      <c r="F40" s="3212"/>
      <c r="G40" s="3212"/>
      <c r="H40" s="3212"/>
      <c r="I40" s="3212"/>
      <c r="J40" s="31"/>
      <c r="K40" s="3212"/>
      <c r="L40" s="3212"/>
      <c r="M40" s="3212"/>
      <c r="N40" s="3212"/>
      <c r="O40" s="3212"/>
      <c r="P40" s="3212"/>
      <c r="Q40" s="3212"/>
      <c r="R40" s="1904"/>
      <c r="S40" s="4"/>
      <c r="T40" s="5"/>
      <c r="U40" s="8"/>
      <c r="V40" s="3219"/>
      <c r="W40" s="3219"/>
      <c r="X40" s="3219"/>
      <c r="Y40" s="3220"/>
      <c r="Z40" s="3220"/>
      <c r="AA40" s="3220"/>
      <c r="AB40" s="3220"/>
      <c r="AC40" s="3220"/>
      <c r="AD40" s="3220"/>
      <c r="AE40" s="3220"/>
      <c r="AF40" s="3220"/>
      <c r="AG40" s="3220"/>
      <c r="AH40" s="3220"/>
      <c r="AI40" s="3220"/>
      <c r="AJ40" s="3220"/>
      <c r="AK40" s="11"/>
      <c r="AL40" s="5"/>
      <c r="AM40" s="2515"/>
      <c r="AN40" s="2515"/>
      <c r="AP40" s="2515"/>
      <c r="AX40" s="2515"/>
      <c r="AY40" s="1916"/>
      <c r="AZ40" s="6"/>
    </row>
    <row r="41" spans="1:52" ht="12" customHeight="1" thickBot="1" x14ac:dyDescent="0.25">
      <c r="A41" s="4"/>
      <c r="B41" s="1903"/>
      <c r="C41" s="3212"/>
      <c r="D41" s="3212"/>
      <c r="E41" s="3212"/>
      <c r="F41" s="3212"/>
      <c r="G41" s="3212"/>
      <c r="H41" s="3212"/>
      <c r="I41" s="3212"/>
      <c r="J41" s="31"/>
      <c r="K41" s="3212"/>
      <c r="L41" s="3212"/>
      <c r="M41" s="3212"/>
      <c r="N41" s="3212"/>
      <c r="O41" s="3212"/>
      <c r="P41" s="3212"/>
      <c r="Q41" s="3212"/>
      <c r="R41" s="1904"/>
      <c r="S41" s="4"/>
      <c r="T41" s="5"/>
      <c r="U41" s="8"/>
      <c r="V41" s="3219"/>
      <c r="W41" s="3219"/>
      <c r="X41" s="3219"/>
      <c r="Y41" s="3216"/>
      <c r="Z41" s="3216"/>
      <c r="AA41" s="3216"/>
      <c r="AB41" s="3216"/>
      <c r="AC41" s="3216"/>
      <c r="AD41" s="3216"/>
      <c r="AE41" s="3216"/>
      <c r="AF41" s="3216"/>
      <c r="AG41" s="3216"/>
      <c r="AH41" s="3216"/>
      <c r="AI41" s="3216"/>
      <c r="AJ41" s="3216"/>
      <c r="AK41" s="11"/>
      <c r="AL41" s="5"/>
      <c r="AM41" s="2515"/>
      <c r="AN41" s="2515"/>
      <c r="AP41" s="2515"/>
      <c r="AX41" s="2515"/>
      <c r="AY41" s="1916"/>
      <c r="AZ41" s="6"/>
    </row>
    <row r="42" spans="1:52" ht="12" customHeight="1" thickBot="1" x14ac:dyDescent="0.25">
      <c r="A42" s="4"/>
      <c r="B42" s="1903"/>
      <c r="C42" s="3212"/>
      <c r="D42" s="3212"/>
      <c r="E42" s="3212"/>
      <c r="F42" s="3212"/>
      <c r="G42" s="3212"/>
      <c r="H42" s="3212"/>
      <c r="I42" s="3212"/>
      <c r="J42" s="7"/>
      <c r="K42" s="3212"/>
      <c r="L42" s="3212"/>
      <c r="M42" s="3212"/>
      <c r="N42" s="3212"/>
      <c r="O42" s="3212"/>
      <c r="P42" s="3212"/>
      <c r="Q42" s="3212"/>
      <c r="R42" s="1904"/>
      <c r="S42" s="4"/>
      <c r="T42" s="5"/>
      <c r="U42" s="8"/>
      <c r="V42" s="3219"/>
      <c r="W42" s="3219"/>
      <c r="X42" s="3219"/>
      <c r="Y42" s="3216"/>
      <c r="Z42" s="3216"/>
      <c r="AA42" s="3216"/>
      <c r="AB42" s="3216"/>
      <c r="AC42" s="3216"/>
      <c r="AD42" s="3216"/>
      <c r="AE42" s="3216"/>
      <c r="AF42" s="3216"/>
      <c r="AG42" s="3216"/>
      <c r="AH42" s="3216"/>
      <c r="AI42" s="3216"/>
      <c r="AJ42" s="3216"/>
      <c r="AK42" s="11"/>
      <c r="AL42" s="5"/>
      <c r="AM42" s="2515"/>
      <c r="AN42" s="2515"/>
      <c r="AP42" s="2515"/>
      <c r="AX42" s="2515"/>
      <c r="AY42" s="1916"/>
      <c r="AZ42" s="6"/>
    </row>
    <row r="43" spans="1:52" ht="12" customHeight="1" thickBot="1" x14ac:dyDescent="0.25">
      <c r="A43" s="4"/>
      <c r="B43" s="1903"/>
      <c r="C43" s="3212"/>
      <c r="D43" s="3212"/>
      <c r="E43" s="3212"/>
      <c r="F43" s="3212"/>
      <c r="G43" s="3212"/>
      <c r="H43" s="3212"/>
      <c r="I43" s="3212"/>
      <c r="J43" s="7"/>
      <c r="K43" s="3212"/>
      <c r="L43" s="3212"/>
      <c r="M43" s="3212"/>
      <c r="N43" s="3212"/>
      <c r="O43" s="3212"/>
      <c r="P43" s="3212"/>
      <c r="Q43" s="3212"/>
      <c r="R43" s="1904"/>
      <c r="S43" s="4"/>
      <c r="T43" s="5"/>
      <c r="U43" s="8"/>
      <c r="V43" s="3217"/>
      <c r="W43" s="3217"/>
      <c r="X43" s="3217"/>
      <c r="Y43" s="3218"/>
      <c r="Z43" s="3218"/>
      <c r="AA43" s="3218"/>
      <c r="AB43" s="3218"/>
      <c r="AC43" s="3218"/>
      <c r="AD43" s="3218"/>
      <c r="AE43" s="3218"/>
      <c r="AF43" s="3218"/>
      <c r="AG43" s="3218"/>
      <c r="AH43" s="3218"/>
      <c r="AI43" s="3218"/>
      <c r="AJ43" s="3218"/>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212"/>
      <c r="L44" s="3212"/>
      <c r="M44" s="3212"/>
      <c r="N44" s="3212"/>
      <c r="O44" s="3212"/>
      <c r="P44" s="3212"/>
      <c r="Q44" s="3212"/>
      <c r="R44" s="1904"/>
      <c r="S44" s="4"/>
      <c r="T44" s="5"/>
      <c r="U44" s="8"/>
      <c r="V44" s="3217"/>
      <c r="W44" s="3217"/>
      <c r="X44" s="3217"/>
      <c r="Y44" s="3218"/>
      <c r="Z44" s="3218"/>
      <c r="AA44" s="3218"/>
      <c r="AB44" s="3218"/>
      <c r="AC44" s="3218"/>
      <c r="AD44" s="3218"/>
      <c r="AE44" s="3218"/>
      <c r="AF44" s="3218"/>
      <c r="AG44" s="3218"/>
      <c r="AH44" s="3218"/>
      <c r="AI44" s="3218"/>
      <c r="AJ44" s="3218"/>
      <c r="AK44" s="11"/>
      <c r="AL44" s="5"/>
      <c r="AM44" s="2515"/>
      <c r="AN44" s="2515"/>
    </row>
    <row r="45" spans="1:52" ht="12" customHeight="1" thickBot="1" x14ac:dyDescent="0.25">
      <c r="A45" s="4"/>
      <c r="B45" s="1903"/>
      <c r="C45" s="3183" t="s">
        <v>1653</v>
      </c>
      <c r="D45" s="3183"/>
      <c r="E45" s="3183"/>
      <c r="F45" s="3183"/>
      <c r="G45" s="3183"/>
      <c r="H45" s="3183"/>
      <c r="I45" s="3183"/>
      <c r="J45" s="7"/>
      <c r="K45" s="3212"/>
      <c r="L45" s="3212"/>
      <c r="M45" s="3212"/>
      <c r="N45" s="3212"/>
      <c r="O45" s="3212"/>
      <c r="P45" s="3212"/>
      <c r="Q45" s="3212"/>
      <c r="R45" s="1904"/>
      <c r="S45" s="4"/>
      <c r="T45" s="5"/>
      <c r="U45" s="8"/>
      <c r="AK45" s="11"/>
      <c r="AL45" s="5"/>
      <c r="AM45" s="2515"/>
      <c r="AN45" s="2515"/>
      <c r="AO45" s="2515"/>
      <c r="AW45" s="2515"/>
      <c r="AX45" s="468"/>
      <c r="AY45" s="1918"/>
    </row>
    <row r="46" spans="1:52" ht="12" customHeight="1" x14ac:dyDescent="0.2">
      <c r="A46" s="4"/>
      <c r="B46" s="1903"/>
      <c r="C46" s="3212"/>
      <c r="D46" s="3212"/>
      <c r="E46" s="3212"/>
      <c r="F46" s="3212"/>
      <c r="G46" s="3212"/>
      <c r="H46" s="3212"/>
      <c r="I46" s="3212"/>
      <c r="J46" s="7"/>
      <c r="K46" s="3212"/>
      <c r="L46" s="3212"/>
      <c r="M46" s="3212"/>
      <c r="N46" s="3212"/>
      <c r="O46" s="3212"/>
      <c r="P46" s="3212"/>
      <c r="Q46" s="3212"/>
      <c r="R46" s="1904"/>
      <c r="S46" s="4"/>
      <c r="T46" s="5"/>
      <c r="U46" s="8"/>
      <c r="V46" s="3222" t="s">
        <v>1654</v>
      </c>
      <c r="W46" s="3222"/>
      <c r="X46" s="3222"/>
      <c r="Y46" s="3222"/>
      <c r="Z46" s="3222"/>
      <c r="AA46" s="3222"/>
      <c r="AB46" s="3222"/>
      <c r="AD46" s="3222" t="s">
        <v>1655</v>
      </c>
      <c r="AE46" s="3222"/>
      <c r="AF46" s="3222"/>
      <c r="AG46" s="3222"/>
      <c r="AH46" s="3222"/>
      <c r="AI46" s="3222"/>
      <c r="AJ46" s="3222"/>
      <c r="AK46" s="11"/>
      <c r="AL46" s="5"/>
      <c r="AM46" s="2515"/>
      <c r="AN46" s="2515"/>
      <c r="AO46" s="2515"/>
      <c r="AW46" s="2515"/>
      <c r="AX46" s="2515"/>
      <c r="AY46" s="1916"/>
    </row>
    <row r="47" spans="1:52" ht="12" customHeight="1" x14ac:dyDescent="0.2">
      <c r="A47" s="4"/>
      <c r="B47" s="1903"/>
      <c r="C47" s="3212"/>
      <c r="D47" s="3212"/>
      <c r="E47" s="3212"/>
      <c r="F47" s="3212"/>
      <c r="G47" s="3212"/>
      <c r="H47" s="3212"/>
      <c r="I47" s="3212"/>
      <c r="J47" s="7"/>
      <c r="K47" s="3212"/>
      <c r="L47" s="3212"/>
      <c r="M47" s="3212"/>
      <c r="N47" s="3212"/>
      <c r="O47" s="3212"/>
      <c r="P47" s="3212"/>
      <c r="Q47" s="3212"/>
      <c r="R47" s="1904"/>
      <c r="S47" s="4"/>
      <c r="T47" s="5"/>
      <c r="U47" s="8"/>
      <c r="V47" s="3223"/>
      <c r="W47" s="3223"/>
      <c r="X47" s="3223"/>
      <c r="Y47" s="3223"/>
      <c r="Z47" s="3223"/>
      <c r="AA47" s="3223"/>
      <c r="AB47" s="3223"/>
      <c r="AD47" s="3223"/>
      <c r="AE47" s="3223"/>
      <c r="AF47" s="3223"/>
      <c r="AG47" s="3223"/>
      <c r="AH47" s="3223"/>
      <c r="AI47" s="3223"/>
      <c r="AJ47" s="3223"/>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212"/>
      <c r="D48" s="3212"/>
      <c r="E48" s="3212"/>
      <c r="F48" s="3212"/>
      <c r="G48" s="3212"/>
      <c r="H48" s="3212"/>
      <c r="I48" s="3212"/>
      <c r="J48" s="7"/>
      <c r="K48" s="3212"/>
      <c r="L48" s="3212"/>
      <c r="M48" s="3212"/>
      <c r="N48" s="3212"/>
      <c r="O48" s="3212"/>
      <c r="P48" s="3212"/>
      <c r="Q48" s="3212"/>
      <c r="R48" s="1904"/>
      <c r="S48" s="4"/>
      <c r="T48" s="5"/>
      <c r="U48" s="8"/>
      <c r="V48" s="3224"/>
      <c r="W48" s="3224"/>
      <c r="X48" s="3224"/>
      <c r="Y48" s="3224"/>
      <c r="Z48" s="3224"/>
      <c r="AA48" s="3224"/>
      <c r="AB48" s="3224"/>
      <c r="AD48" s="3224"/>
      <c r="AE48" s="3224"/>
      <c r="AF48" s="3224"/>
      <c r="AG48" s="3224"/>
      <c r="AH48" s="3224"/>
      <c r="AI48" s="3224"/>
      <c r="AJ48" s="3224"/>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212"/>
      <c r="D49" s="3212"/>
      <c r="E49" s="3212"/>
      <c r="F49" s="3212"/>
      <c r="G49" s="3212"/>
      <c r="H49" s="3212"/>
      <c r="I49" s="3212"/>
      <c r="J49" s="7"/>
      <c r="K49" s="3212"/>
      <c r="L49" s="3212"/>
      <c r="M49" s="3212"/>
      <c r="N49" s="3212"/>
      <c r="O49" s="3212"/>
      <c r="P49" s="3212"/>
      <c r="Q49" s="3212"/>
      <c r="R49" s="1904"/>
      <c r="S49" s="4"/>
      <c r="T49" s="5"/>
      <c r="U49" s="8"/>
      <c r="V49" s="3224"/>
      <c r="W49" s="3224"/>
      <c r="X49" s="3224"/>
      <c r="Y49" s="3224"/>
      <c r="Z49" s="3224"/>
      <c r="AA49" s="3224"/>
      <c r="AB49" s="3224"/>
      <c r="AD49" s="3224"/>
      <c r="AE49" s="3224"/>
      <c r="AF49" s="3224"/>
      <c r="AG49" s="3224"/>
      <c r="AH49" s="3224"/>
      <c r="AI49" s="3224"/>
      <c r="AJ49" s="3224"/>
      <c r="AK49" s="11"/>
      <c r="AL49" s="5"/>
      <c r="AM49" s="2515"/>
      <c r="AN49" s="2515"/>
      <c r="AO49" s="2515"/>
      <c r="AW49" s="2515"/>
      <c r="AX49" s="2515"/>
      <c r="AY49" s="1916"/>
    </row>
    <row r="50" spans="1:51" ht="12" customHeight="1" x14ac:dyDescent="0.2">
      <c r="A50" s="4"/>
      <c r="B50" s="1903"/>
      <c r="C50" s="3212"/>
      <c r="D50" s="3212"/>
      <c r="E50" s="3212"/>
      <c r="F50" s="3212"/>
      <c r="G50" s="3212"/>
      <c r="H50" s="3212"/>
      <c r="I50" s="3212"/>
      <c r="J50" s="7"/>
      <c r="K50" s="3212"/>
      <c r="L50" s="3212"/>
      <c r="M50" s="3212"/>
      <c r="N50" s="3212"/>
      <c r="O50" s="3212"/>
      <c r="P50" s="3212"/>
      <c r="Q50" s="3212"/>
      <c r="R50" s="1904"/>
      <c r="S50" s="4"/>
      <c r="T50" s="5"/>
      <c r="U50" s="8"/>
      <c r="V50" s="3224"/>
      <c r="W50" s="3224"/>
      <c r="X50" s="3224"/>
      <c r="Y50" s="3224"/>
      <c r="Z50" s="3224"/>
      <c r="AA50" s="3224"/>
      <c r="AB50" s="3224"/>
      <c r="AD50" s="3224"/>
      <c r="AE50" s="3224"/>
      <c r="AF50" s="3224"/>
      <c r="AG50" s="3224"/>
      <c r="AH50" s="3224"/>
      <c r="AI50" s="3224"/>
      <c r="AJ50" s="3224"/>
      <c r="AK50" s="11"/>
      <c r="AL50" s="5"/>
      <c r="AM50" s="2515"/>
      <c r="AN50" s="2515"/>
      <c r="AO50" s="2515"/>
      <c r="AW50" s="2515"/>
      <c r="AX50" s="2515"/>
      <c r="AY50" s="1916"/>
    </row>
    <row r="51" spans="1:51" ht="12" customHeight="1" x14ac:dyDescent="0.2">
      <c r="A51" s="4"/>
      <c r="B51" s="1903"/>
      <c r="C51" s="3212"/>
      <c r="D51" s="3212"/>
      <c r="E51" s="3212"/>
      <c r="F51" s="3212"/>
      <c r="G51" s="3212"/>
      <c r="H51" s="3212"/>
      <c r="I51" s="3212"/>
      <c r="J51" s="7"/>
      <c r="K51" s="3212"/>
      <c r="L51" s="3212"/>
      <c r="M51" s="3212"/>
      <c r="N51" s="3212"/>
      <c r="O51" s="3212"/>
      <c r="P51" s="3212"/>
      <c r="Q51" s="3212"/>
      <c r="R51" s="1904"/>
      <c r="S51" s="4"/>
      <c r="T51" s="5"/>
      <c r="U51" s="8"/>
      <c r="V51" s="3224"/>
      <c r="W51" s="3224"/>
      <c r="X51" s="3224"/>
      <c r="Y51" s="3224"/>
      <c r="Z51" s="3224"/>
      <c r="AA51" s="3224"/>
      <c r="AB51" s="3224"/>
      <c r="AD51" s="3224"/>
      <c r="AE51" s="3224"/>
      <c r="AF51" s="3224"/>
      <c r="AG51" s="3224"/>
      <c r="AH51" s="3224"/>
      <c r="AI51" s="3224"/>
      <c r="AJ51" s="3224"/>
      <c r="AK51" s="11"/>
      <c r="AL51" s="5"/>
      <c r="AM51" s="2515"/>
      <c r="AN51" s="2515"/>
      <c r="AO51" s="2515"/>
      <c r="AW51" s="2515"/>
      <c r="AX51" s="2515"/>
      <c r="AY51" s="1916"/>
    </row>
    <row r="52" spans="1:51" ht="12" customHeight="1" x14ac:dyDescent="0.2">
      <c r="A52" s="4"/>
      <c r="B52" s="1903"/>
      <c r="C52" s="3212"/>
      <c r="D52" s="3212"/>
      <c r="E52" s="3212"/>
      <c r="F52" s="3212"/>
      <c r="G52" s="3212"/>
      <c r="H52" s="3212"/>
      <c r="I52" s="3212"/>
      <c r="J52" s="7"/>
      <c r="K52" s="3212"/>
      <c r="L52" s="3212"/>
      <c r="M52" s="3212"/>
      <c r="N52" s="3212"/>
      <c r="O52" s="3212"/>
      <c r="P52" s="3212"/>
      <c r="Q52" s="3212"/>
      <c r="R52" s="1904"/>
      <c r="S52" s="4"/>
      <c r="T52" s="5"/>
      <c r="U52" s="8"/>
      <c r="V52" s="3224"/>
      <c r="W52" s="3224"/>
      <c r="X52" s="3224"/>
      <c r="Y52" s="3224"/>
      <c r="Z52" s="3224"/>
      <c r="AA52" s="3224"/>
      <c r="AB52" s="3224"/>
      <c r="AD52" s="3224"/>
      <c r="AE52" s="3224"/>
      <c r="AF52" s="3224"/>
      <c r="AG52" s="3224"/>
      <c r="AH52" s="3224"/>
      <c r="AI52" s="3224"/>
      <c r="AJ52" s="3224"/>
      <c r="AK52" s="11"/>
      <c r="AL52" s="5"/>
      <c r="AM52" s="2515"/>
      <c r="AN52" s="2515"/>
      <c r="AO52" s="2515"/>
      <c r="AW52" s="2515"/>
      <c r="AX52" s="2515"/>
      <c r="AY52" s="1916"/>
    </row>
    <row r="53" spans="1:51" ht="12" customHeight="1" x14ac:dyDescent="0.2">
      <c r="A53" s="4"/>
      <c r="B53" s="1903"/>
      <c r="C53" s="3212"/>
      <c r="D53" s="3212"/>
      <c r="E53" s="3212"/>
      <c r="F53" s="3212"/>
      <c r="G53" s="3212"/>
      <c r="H53" s="3212"/>
      <c r="I53" s="3212"/>
      <c r="J53" s="7"/>
      <c r="K53" s="3212"/>
      <c r="L53" s="3212"/>
      <c r="M53" s="3212"/>
      <c r="N53" s="3212"/>
      <c r="O53" s="3212"/>
      <c r="P53" s="3212"/>
      <c r="Q53" s="3212"/>
      <c r="R53" s="1904"/>
      <c r="S53" s="4"/>
      <c r="T53" s="5"/>
      <c r="U53" s="8"/>
      <c r="V53" s="3224"/>
      <c r="W53" s="3224"/>
      <c r="X53" s="3224"/>
      <c r="Y53" s="3224"/>
      <c r="Z53" s="3224"/>
      <c r="AA53" s="3224"/>
      <c r="AB53" s="3224"/>
      <c r="AD53" s="3224"/>
      <c r="AE53" s="3224"/>
      <c r="AF53" s="3224"/>
      <c r="AG53" s="3224"/>
      <c r="AH53" s="3224"/>
      <c r="AI53" s="3224"/>
      <c r="AJ53" s="3224"/>
      <c r="AK53" s="11"/>
      <c r="AL53" s="5"/>
      <c r="AM53" s="2515"/>
      <c r="AN53" s="2515"/>
      <c r="AO53" s="2515"/>
      <c r="AW53" s="2515"/>
      <c r="AX53" s="2515"/>
      <c r="AY53" s="1916"/>
    </row>
    <row r="54" spans="1:51" ht="12" customHeight="1" x14ac:dyDescent="0.2">
      <c r="A54" s="4"/>
      <c r="B54" s="1903"/>
      <c r="C54" s="7"/>
      <c r="D54" s="7"/>
      <c r="E54" s="7"/>
      <c r="F54" s="7"/>
      <c r="G54" s="7"/>
      <c r="H54" s="7"/>
      <c r="I54" s="7"/>
      <c r="J54" s="7"/>
      <c r="K54" s="3212"/>
      <c r="L54" s="3212"/>
      <c r="M54" s="3212"/>
      <c r="N54" s="3212"/>
      <c r="O54" s="3212"/>
      <c r="P54" s="3212"/>
      <c r="Q54" s="3212"/>
      <c r="R54" s="1904"/>
      <c r="S54" s="4"/>
      <c r="T54" s="5"/>
      <c r="U54" s="8"/>
      <c r="V54" s="3224"/>
      <c r="W54" s="3224"/>
      <c r="X54" s="3224"/>
      <c r="Y54" s="3224"/>
      <c r="Z54" s="3224"/>
      <c r="AA54" s="3224"/>
      <c r="AB54" s="3224"/>
      <c r="AD54" s="3224"/>
      <c r="AE54" s="3224"/>
      <c r="AF54" s="3224"/>
      <c r="AG54" s="3224"/>
      <c r="AH54" s="3224"/>
      <c r="AI54" s="3224"/>
      <c r="AJ54" s="3224"/>
      <c r="AK54" s="11"/>
      <c r="AL54" s="5"/>
      <c r="AM54" s="2515"/>
      <c r="AN54" s="2515"/>
      <c r="AO54" s="2515"/>
      <c r="AW54" s="2515"/>
      <c r="AX54" s="2515"/>
      <c r="AY54" s="1916"/>
    </row>
    <row r="55" spans="1:51" ht="12" customHeight="1" x14ac:dyDescent="0.2">
      <c r="A55" s="4"/>
      <c r="B55" s="1903"/>
      <c r="C55" s="3183" t="s">
        <v>1656</v>
      </c>
      <c r="D55" s="3183"/>
      <c r="E55" s="3183"/>
      <c r="F55" s="3183"/>
      <c r="G55" s="3183"/>
      <c r="H55" s="3183"/>
      <c r="I55" s="3183"/>
      <c r="J55" s="7"/>
      <c r="K55" s="3212"/>
      <c r="L55" s="3212"/>
      <c r="M55" s="3212"/>
      <c r="N55" s="3212"/>
      <c r="O55" s="3212"/>
      <c r="P55" s="3212"/>
      <c r="Q55" s="3212"/>
      <c r="R55" s="1904"/>
      <c r="S55" s="4"/>
      <c r="T55" s="5"/>
      <c r="U55" s="8"/>
      <c r="V55" s="3221"/>
      <c r="W55" s="3221"/>
      <c r="X55" s="3221"/>
      <c r="Y55" s="3221"/>
      <c r="Z55" s="3221"/>
      <c r="AA55" s="3221"/>
      <c r="AB55" s="3221"/>
      <c r="AD55" s="3221"/>
      <c r="AE55" s="3221"/>
      <c r="AF55" s="3221"/>
      <c r="AG55" s="3221"/>
      <c r="AH55" s="3221"/>
      <c r="AI55" s="3221"/>
      <c r="AJ55" s="3221"/>
      <c r="AK55" s="11"/>
      <c r="AL55" s="5"/>
      <c r="AM55" s="2515"/>
      <c r="AN55" s="2515"/>
      <c r="AO55" s="2515"/>
      <c r="AW55" s="2515"/>
      <c r="AX55" s="2515"/>
      <c r="AY55" s="1916"/>
    </row>
    <row r="56" spans="1:51" ht="12" customHeight="1" x14ac:dyDescent="0.2">
      <c r="A56" s="4"/>
      <c r="B56" s="1903"/>
      <c r="C56" s="3212"/>
      <c r="D56" s="3212"/>
      <c r="E56" s="3212"/>
      <c r="F56" s="3212"/>
      <c r="G56" s="3212"/>
      <c r="H56" s="3212"/>
      <c r="I56" s="3212"/>
      <c r="J56" s="7"/>
      <c r="K56" s="3212"/>
      <c r="L56" s="3212"/>
      <c r="M56" s="3212"/>
      <c r="N56" s="3212"/>
      <c r="O56" s="3212"/>
      <c r="P56" s="3212"/>
      <c r="Q56" s="3212"/>
      <c r="R56" s="1904"/>
      <c r="S56" s="4"/>
      <c r="T56" s="5"/>
      <c r="U56" s="8"/>
      <c r="AK56" s="11"/>
      <c r="AL56" s="5"/>
      <c r="AM56" s="2515"/>
      <c r="AN56" s="2515"/>
      <c r="AO56" s="2515"/>
      <c r="AW56" s="2515"/>
      <c r="AX56" s="2515"/>
      <c r="AY56" s="1916"/>
    </row>
    <row r="57" spans="1:51" ht="12" customHeight="1" x14ac:dyDescent="0.2">
      <c r="A57" s="4"/>
      <c r="B57" s="1903"/>
      <c r="C57" s="3212"/>
      <c r="D57" s="3212"/>
      <c r="E57" s="3212"/>
      <c r="F57" s="3212"/>
      <c r="G57" s="3212"/>
      <c r="H57" s="3212"/>
      <c r="I57" s="3212"/>
      <c r="J57" s="7"/>
      <c r="K57" s="3212"/>
      <c r="L57" s="3212"/>
      <c r="M57" s="3212"/>
      <c r="N57" s="3212"/>
      <c r="O57" s="3212"/>
      <c r="P57" s="3212"/>
      <c r="Q57" s="3212"/>
      <c r="R57" s="1904"/>
      <c r="S57" s="4"/>
      <c r="T57" s="5"/>
      <c r="U57" s="8"/>
      <c r="V57" s="3183" t="s">
        <v>1657</v>
      </c>
      <c r="W57" s="3183"/>
      <c r="X57" s="3183"/>
      <c r="Y57" s="3183"/>
      <c r="Z57" s="3183"/>
      <c r="AA57" s="3183"/>
      <c r="AB57" s="3183"/>
      <c r="AD57" s="3237" t="s">
        <v>1658</v>
      </c>
      <c r="AE57" s="3237"/>
      <c r="AF57" s="3237"/>
      <c r="AG57" s="3237"/>
      <c r="AH57" s="3237"/>
      <c r="AI57" s="3238" t="str">
        <f>VLOOKUP(AD59,Tabla_Fama,2)</f>
        <v>Desconocido</v>
      </c>
      <c r="AJ57" s="3238"/>
      <c r="AK57" s="11"/>
      <c r="AL57" s="5"/>
      <c r="AM57" s="2515"/>
      <c r="AQ57" s="2515"/>
      <c r="AR57" s="2515"/>
      <c r="AS57" s="2515"/>
      <c r="AT57" s="2515"/>
      <c r="AU57" s="2515"/>
      <c r="AV57" s="2515"/>
      <c r="AW57" s="2515"/>
      <c r="AX57" s="2515"/>
      <c r="AY57" s="1916"/>
    </row>
    <row r="58" spans="1:51" ht="12" customHeight="1" x14ac:dyDescent="0.2">
      <c r="A58" s="4"/>
      <c r="B58" s="1903"/>
      <c r="C58" s="3212"/>
      <c r="D58" s="3212"/>
      <c r="E58" s="3212"/>
      <c r="F58" s="3212"/>
      <c r="G58" s="3212"/>
      <c r="H58" s="3212"/>
      <c r="I58" s="3212"/>
      <c r="J58" s="7"/>
      <c r="K58" s="3212"/>
      <c r="L58" s="3212"/>
      <c r="M58" s="3212"/>
      <c r="N58" s="3212"/>
      <c r="O58" s="3212"/>
      <c r="P58" s="3212"/>
      <c r="Q58" s="3212"/>
      <c r="R58" s="1904"/>
      <c r="S58" s="4"/>
      <c r="T58" s="5"/>
      <c r="U58" s="8"/>
      <c r="V58" s="3200" t="s">
        <v>1659</v>
      </c>
      <c r="W58" s="3200"/>
      <c r="X58" s="3200"/>
      <c r="Y58" s="3200"/>
      <c r="Z58" s="3239" t="s">
        <v>1660</v>
      </c>
      <c r="AA58" s="3239"/>
      <c r="AB58" s="3239"/>
      <c r="AD58" s="32" t="s">
        <v>1661</v>
      </c>
      <c r="AE58" s="3240" t="s">
        <v>1662</v>
      </c>
      <c r="AF58" s="3240"/>
      <c r="AG58" s="33"/>
      <c r="AH58" s="3240" t="s">
        <v>1663</v>
      </c>
      <c r="AI58" s="3240"/>
      <c r="AJ58" s="34"/>
      <c r="AK58" s="11"/>
      <c r="AL58" s="5"/>
    </row>
    <row r="59" spans="1:51" ht="12" customHeight="1" x14ac:dyDescent="0.2">
      <c r="A59" s="4"/>
      <c r="B59" s="1903"/>
      <c r="C59" s="3212"/>
      <c r="D59" s="3212"/>
      <c r="E59" s="3212"/>
      <c r="F59" s="3212"/>
      <c r="G59" s="3212"/>
      <c r="H59" s="3212"/>
      <c r="I59" s="3212"/>
      <c r="J59" s="7"/>
      <c r="K59" s="3212"/>
      <c r="L59" s="3212"/>
      <c r="M59" s="3212"/>
      <c r="N59" s="3212"/>
      <c r="O59" s="3212"/>
      <c r="P59" s="3212"/>
      <c r="Q59" s="3212"/>
      <c r="R59" s="1904"/>
      <c r="S59" s="4"/>
      <c r="T59" s="5"/>
      <c r="U59" s="8"/>
      <c r="V59" s="3229" t="s">
        <v>1664</v>
      </c>
      <c r="W59" s="3230"/>
      <c r="X59" s="3230"/>
      <c r="Y59" s="3230"/>
      <c r="Z59" s="3241"/>
      <c r="AA59" s="3241"/>
      <c r="AB59" s="3241"/>
      <c r="AD59" s="3242">
        <f>MAX(AG58+AG60+AJ59+AJ58+AG59,IF(Tablas!$G$478&gt;0,40,IF(Tablas!$G$479&gt;0,65)))</f>
        <v>0</v>
      </c>
      <c r="AE59" s="3243" t="s">
        <v>1665</v>
      </c>
      <c r="AF59" s="3243"/>
      <c r="AG59" s="35"/>
      <c r="AH59" s="3244" t="s">
        <v>1666</v>
      </c>
      <c r="AI59" s="3244"/>
      <c r="AJ59" s="36"/>
      <c r="AK59" s="11"/>
      <c r="AL59" s="5"/>
    </row>
    <row r="60" spans="1:51" ht="12" customHeight="1" x14ac:dyDescent="0.2">
      <c r="A60" s="4"/>
      <c r="B60" s="1903"/>
      <c r="C60" s="3212"/>
      <c r="D60" s="3212"/>
      <c r="E60" s="3212"/>
      <c r="F60" s="3212"/>
      <c r="G60" s="3212"/>
      <c r="H60" s="3212"/>
      <c r="I60" s="3212"/>
      <c r="J60" s="7"/>
      <c r="K60" s="3212"/>
      <c r="L60" s="3212"/>
      <c r="M60" s="3212"/>
      <c r="N60" s="3212"/>
      <c r="O60" s="3212"/>
      <c r="P60" s="3212"/>
      <c r="Q60" s="3212"/>
      <c r="R60" s="1904"/>
      <c r="S60" s="4"/>
      <c r="T60" s="5"/>
      <c r="U60" s="8"/>
      <c r="V60" s="3229"/>
      <c r="W60" s="3230"/>
      <c r="X60" s="3230"/>
      <c r="Y60" s="3230"/>
      <c r="Z60" s="3241"/>
      <c r="AA60" s="3241"/>
      <c r="AB60" s="3241"/>
      <c r="AD60" s="3242"/>
      <c r="AE60" s="3225" t="s">
        <v>1667</v>
      </c>
      <c r="AF60" s="3225"/>
      <c r="AG60" s="37"/>
      <c r="AH60" s="3226" t="s">
        <v>1668</v>
      </c>
      <c r="AI60" s="3226"/>
      <c r="AJ60" s="38">
        <f>VLOOKUP(AD59,Tabla_Fama,3)</f>
        <v>0</v>
      </c>
      <c r="AK60" s="11"/>
      <c r="AL60" s="5"/>
    </row>
    <row r="61" spans="1:51" ht="12" customHeight="1" x14ac:dyDescent="0.2">
      <c r="A61" s="4"/>
      <c r="B61" s="1903"/>
      <c r="C61" s="3212"/>
      <c r="D61" s="3212"/>
      <c r="E61" s="3212"/>
      <c r="F61" s="3212"/>
      <c r="G61" s="3212"/>
      <c r="H61" s="3212"/>
      <c r="I61" s="3212"/>
      <c r="J61" s="7"/>
      <c r="K61" s="3212"/>
      <c r="L61" s="3212"/>
      <c r="M61" s="3212"/>
      <c r="N61" s="3212"/>
      <c r="O61" s="3212"/>
      <c r="P61" s="3212"/>
      <c r="Q61" s="3212"/>
      <c r="R61" s="1904"/>
      <c r="S61" s="4"/>
      <c r="T61" s="5"/>
      <c r="U61" s="8"/>
      <c r="V61" s="3229" t="s">
        <v>1669</v>
      </c>
      <c r="W61" s="3230"/>
      <c r="X61" s="3230"/>
      <c r="Y61" s="3230"/>
      <c r="Z61" s="3241"/>
      <c r="AA61" s="3241"/>
      <c r="AB61" s="3241"/>
      <c r="AK61" s="11"/>
      <c r="AL61" s="5"/>
    </row>
    <row r="62" spans="1:51" ht="12" customHeight="1" x14ac:dyDescent="0.2">
      <c r="A62" s="4"/>
      <c r="B62" s="1903"/>
      <c r="C62" s="3212"/>
      <c r="D62" s="3212"/>
      <c r="E62" s="3212"/>
      <c r="F62" s="3212"/>
      <c r="G62" s="3212"/>
      <c r="H62" s="3212"/>
      <c r="I62" s="3212"/>
      <c r="J62" s="7"/>
      <c r="K62" s="3212"/>
      <c r="L62" s="3212"/>
      <c r="M62" s="3212"/>
      <c r="N62" s="3212"/>
      <c r="O62" s="3212"/>
      <c r="P62" s="3212"/>
      <c r="Q62" s="3212"/>
      <c r="R62" s="1904"/>
      <c r="S62" s="4"/>
      <c r="T62" s="5"/>
      <c r="U62" s="8"/>
      <c r="V62" s="3229"/>
      <c r="W62" s="3230"/>
      <c r="X62" s="3230"/>
      <c r="Y62" s="3230"/>
      <c r="Z62" s="3241"/>
      <c r="AA62" s="3241"/>
      <c r="AB62" s="3241"/>
      <c r="AD62" s="3183" t="s">
        <v>1670</v>
      </c>
      <c r="AE62" s="3183"/>
      <c r="AF62" s="3183"/>
      <c r="AG62" s="3183"/>
      <c r="AH62" s="3183"/>
      <c r="AI62" s="3183"/>
      <c r="AJ62" s="3183"/>
      <c r="AK62" s="11"/>
      <c r="AL62" s="5"/>
    </row>
    <row r="63" spans="1:51" ht="12" customHeight="1" x14ac:dyDescent="0.2">
      <c r="A63" s="4"/>
      <c r="B63" s="1903"/>
      <c r="C63" s="3212"/>
      <c r="D63" s="3212"/>
      <c r="E63" s="3212"/>
      <c r="F63" s="3212"/>
      <c r="G63" s="3212"/>
      <c r="H63" s="3212"/>
      <c r="I63" s="3212"/>
      <c r="J63" s="7"/>
      <c r="K63" s="3212"/>
      <c r="L63" s="3212"/>
      <c r="M63" s="3212"/>
      <c r="N63" s="3212"/>
      <c r="O63" s="3212"/>
      <c r="P63" s="3212"/>
      <c r="Q63" s="3212"/>
      <c r="R63" s="1904"/>
      <c r="S63" s="4"/>
      <c r="T63" s="5"/>
      <c r="U63" s="8"/>
      <c r="V63" s="3231" t="s">
        <v>1671</v>
      </c>
      <c r="W63" s="3232"/>
      <c r="X63" s="3232"/>
      <c r="Y63" s="3232"/>
      <c r="Z63" s="3241"/>
      <c r="AA63" s="3241"/>
      <c r="AB63" s="3241"/>
      <c r="AD63" s="3233" t="s">
        <v>1672</v>
      </c>
      <c r="AE63" s="3233"/>
      <c r="AF63" s="3233"/>
      <c r="AG63" s="39">
        <f>IF(INT+POD+VOL=0,0,VLOOKUP(INT+POD+VOL,Tabla_Cordura,3))</f>
        <v>0</v>
      </c>
      <c r="AH63" s="3234">
        <f>IF(INT+POD+VOL=0,0,VLOOKUP(INT+POD+VOL,Tabla_Cordura,2))</f>
        <v>0</v>
      </c>
      <c r="AI63" s="3235"/>
      <c r="AJ63" s="3235"/>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31"/>
      <c r="W64" s="3232"/>
      <c r="X64" s="3232"/>
      <c r="Y64" s="3232"/>
      <c r="Z64" s="3241"/>
      <c r="AA64" s="3241"/>
      <c r="AB64" s="3241"/>
      <c r="AD64" s="3236"/>
      <c r="AE64" s="3236"/>
      <c r="AF64" s="3236"/>
      <c r="AG64" s="3236"/>
      <c r="AH64" s="3234"/>
      <c r="AI64" s="3235"/>
      <c r="AJ64" s="3235"/>
      <c r="AK64" s="11"/>
      <c r="AL64" s="5"/>
    </row>
    <row r="65" spans="1:38" ht="12" customHeight="1" x14ac:dyDescent="0.2">
      <c r="A65" s="4"/>
      <c r="B65" s="3227"/>
      <c r="C65" s="3228"/>
      <c r="D65" s="3228"/>
      <c r="E65" s="3228"/>
      <c r="F65" s="3228"/>
      <c r="G65" s="3228"/>
      <c r="H65" s="3228"/>
      <c r="I65" s="3228"/>
      <c r="J65" s="3228"/>
      <c r="K65" s="3228"/>
      <c r="L65" s="3228"/>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792" priority="14" stopIfTrue="1" operator="equal">
      <formula>0</formula>
    </cfRule>
  </conditionalFormatting>
  <conditionalFormatting sqref="N23">
    <cfRule type="expression" dxfId="791" priority="7">
      <formula>$L$23=""</formula>
    </cfRule>
  </conditionalFormatting>
  <conditionalFormatting sqref="M26">
    <cfRule type="expression" dxfId="790" priority="1811" stopIfTrue="1">
      <formula>$K$26=""</formula>
    </cfRule>
  </conditionalFormatting>
  <conditionalFormatting sqref="I23:K23">
    <cfRule type="expression" dxfId="789" priority="6" stopIfTrue="1">
      <formula>ISNUMBER(SEARCH(Raza,Nephilim))</formula>
    </cfRule>
  </conditionalFormatting>
  <conditionalFormatting sqref="V12">
    <cfRule type="expression" dxfId="788" priority="2276">
      <formula>$V$12&gt;=$AA$12</formula>
    </cfRule>
  </conditionalFormatting>
  <conditionalFormatting sqref="V14:AB14">
    <cfRule type="expression" dxfId="787"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AD12" sqref="AD12:AF12"/>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0" width="5.7109375" style="1803"/>
    <col min="51" max="51" width="5.7109375" style="2479"/>
    <col min="52"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10504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13"/>
      <c r="D3" s="3113"/>
      <c r="E3" s="3113"/>
      <c r="F3" s="3113"/>
      <c r="G3" s="3113"/>
      <c r="H3" s="3113"/>
      <c r="I3" s="48"/>
      <c r="J3" s="48"/>
      <c r="K3" s="1882"/>
      <c r="L3" s="48"/>
      <c r="M3" s="48"/>
      <c r="N3" s="48"/>
      <c r="O3" s="48"/>
      <c r="P3" s="48"/>
      <c r="Q3" s="49"/>
      <c r="R3" s="1892"/>
      <c r="S3" s="2911" t="s">
        <v>10505</v>
      </c>
      <c r="T3" s="2910">
        <f>Tablas!J1824</f>
        <v>10</v>
      </c>
      <c r="U3" s="2978"/>
      <c r="V3" s="3201"/>
      <c r="W3" s="3201"/>
      <c r="X3" s="3201"/>
      <c r="Y3" s="3201"/>
      <c r="Z3" s="3201"/>
      <c r="AA3" s="3201"/>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13"/>
      <c r="D4" s="3113"/>
      <c r="E4" s="3113"/>
      <c r="F4" s="3113"/>
      <c r="G4" s="3113"/>
      <c r="H4" s="3113"/>
      <c r="I4" s="52"/>
      <c r="J4" s="3118" t="s">
        <v>1628</v>
      </c>
      <c r="K4" s="3118"/>
      <c r="L4" s="3119" t="str">
        <f>IF(OR(General!$G$22="",General!$G$22=0),"",General!$G$22)</f>
        <v/>
      </c>
      <c r="M4" s="3119"/>
      <c r="N4" s="3119"/>
      <c r="O4" s="3119"/>
      <c r="P4" s="3119"/>
      <c r="Q4" s="13"/>
      <c r="R4" s="2574"/>
      <c r="S4" s="2904"/>
      <c r="T4" s="2905"/>
      <c r="U4" s="2978"/>
      <c r="V4" s="3201"/>
      <c r="W4" s="3201"/>
      <c r="X4" s="3201"/>
      <c r="Y4" s="3201"/>
      <c r="Z4" s="3201"/>
      <c r="AA4" s="3201"/>
      <c r="AB4" s="12"/>
      <c r="AC4" s="3118" t="s">
        <v>1628</v>
      </c>
      <c r="AD4" s="3118"/>
      <c r="AE4" s="3119" t="str">
        <f>IF(OR(General!$G$22="",General!$G$22=0),"",General!$G$22)</f>
        <v/>
      </c>
      <c r="AF4" s="3119"/>
      <c r="AG4" s="3119"/>
      <c r="AH4" s="3119"/>
      <c r="AI4" s="3119"/>
      <c r="AJ4" s="13"/>
      <c r="AK4" s="2961"/>
      <c r="AL4" s="1910"/>
      <c r="AM4" s="2964"/>
      <c r="AN4" s="2963"/>
      <c r="AO4" s="2963"/>
      <c r="AP4" s="2963"/>
      <c r="AQ4" s="2963"/>
    </row>
    <row r="5" spans="1:46" ht="12" customHeight="1" thickBot="1" x14ac:dyDescent="0.25">
      <c r="A5" s="45"/>
      <c r="B5" s="2569"/>
      <c r="C5" s="3113"/>
      <c r="D5" s="3113"/>
      <c r="E5" s="3113"/>
      <c r="F5" s="3113"/>
      <c r="G5" s="3113"/>
      <c r="H5" s="3113"/>
      <c r="I5" s="52"/>
      <c r="J5" s="3197" t="s">
        <v>1629</v>
      </c>
      <c r="K5" s="3197"/>
      <c r="L5" s="3198" t="str">
        <f>IF(PDs!U13=0,IF(PDs!U11=0,IF(PDs!U9=0,IF(PDs!U7=0,IF(PDs!U5=0,"",PDs!U5),PDs!U7),PDs!U9),PDs!U11),PDs!U13)</f>
        <v>Hechicero</v>
      </c>
      <c r="M5" s="3198"/>
      <c r="N5" s="3198"/>
      <c r="O5" s="54" t="s">
        <v>1630</v>
      </c>
      <c r="P5" s="15" t="str">
        <f>PDs!X15&amp;IF(Principal!AA27=0,""," + "&amp;Principal!AA27)</f>
        <v>1</v>
      </c>
      <c r="Q5" s="55"/>
      <c r="R5" s="1892"/>
      <c r="S5" s="2904"/>
      <c r="T5" s="2905"/>
      <c r="U5" s="2978"/>
      <c r="V5" s="3201"/>
      <c r="W5" s="3201"/>
      <c r="X5" s="3201"/>
      <c r="Y5" s="3201"/>
      <c r="Z5" s="3201"/>
      <c r="AA5" s="3201"/>
      <c r="AB5" s="12"/>
      <c r="AC5" s="3197" t="s">
        <v>1629</v>
      </c>
      <c r="AD5" s="3197"/>
      <c r="AE5" s="3198" t="str">
        <f>$L$5</f>
        <v>Hechicero</v>
      </c>
      <c r="AF5" s="3198"/>
      <c r="AG5" s="3198"/>
      <c r="AH5" s="14" t="s">
        <v>1630</v>
      </c>
      <c r="AI5" s="15" t="str">
        <f>$P$5</f>
        <v>1</v>
      </c>
      <c r="AJ5" s="16"/>
      <c r="AK5" s="2961"/>
      <c r="AL5" s="1910"/>
      <c r="AM5" s="2964"/>
      <c r="AN5" s="2963"/>
      <c r="AO5" s="2963"/>
      <c r="AP5" s="2963"/>
      <c r="AQ5" s="2963"/>
    </row>
    <row r="6" spans="1:46" ht="12" customHeight="1" thickBot="1" x14ac:dyDescent="0.25">
      <c r="A6" s="45"/>
      <c r="B6" s="2569"/>
      <c r="C6" s="3113"/>
      <c r="D6" s="3113"/>
      <c r="E6" s="3113"/>
      <c r="F6" s="3113"/>
      <c r="G6" s="3113"/>
      <c r="H6" s="3113"/>
      <c r="I6" s="52"/>
      <c r="J6" s="3197" t="s">
        <v>1673</v>
      </c>
      <c r="K6" s="3197"/>
      <c r="L6" s="2737">
        <f>MIN(IF(Raza="Criatura",99,IF(Raza="Jayán",24,22)),AS21)</f>
        <v>1</v>
      </c>
      <c r="M6" s="3198" t="str">
        <f>IF(Raza="Criatura",VLOOKUP($L$6,Tablas!F90:G97,2),IF(AND(Raza="Jayán",Tamaño&gt;22),"Grande","Medio"))</f>
        <v>Medio</v>
      </c>
      <c r="N6" s="3198"/>
      <c r="O6" s="56"/>
      <c r="P6" s="56"/>
      <c r="Q6" s="55"/>
      <c r="R6" s="1892"/>
      <c r="S6" s="2904"/>
      <c r="T6" s="2905"/>
      <c r="U6" s="2978"/>
      <c r="V6" s="3201"/>
      <c r="W6" s="3201"/>
      <c r="X6" s="3201"/>
      <c r="Y6" s="3201"/>
      <c r="Z6" s="3201"/>
      <c r="AA6" s="3201"/>
      <c r="AB6" s="12"/>
      <c r="AC6" s="3199" t="s">
        <v>1674</v>
      </c>
      <c r="AD6" s="3199"/>
      <c r="AE6" s="3199"/>
      <c r="AF6" s="3199"/>
      <c r="AG6" s="3199"/>
      <c r="AH6" s="3199"/>
      <c r="AI6" s="3199"/>
      <c r="AJ6" s="16"/>
      <c r="AK6" s="2961"/>
      <c r="AL6" s="1910"/>
      <c r="AM6" s="2962"/>
      <c r="AN6" s="2963"/>
      <c r="AO6" s="2963"/>
      <c r="AP6" s="2965"/>
      <c r="AQ6" s="2965"/>
    </row>
    <row r="7" spans="1:46" ht="12" customHeight="1" thickBot="1" x14ac:dyDescent="0.25">
      <c r="A7" s="45"/>
      <c r="B7" s="2569"/>
      <c r="C7" s="3113"/>
      <c r="D7" s="3113"/>
      <c r="E7" s="3113"/>
      <c r="F7" s="3113"/>
      <c r="G7" s="3113"/>
      <c r="H7" s="3113"/>
      <c r="I7" s="52"/>
      <c r="J7" s="2744" t="s">
        <v>1675</v>
      </c>
      <c r="K7" s="3198" t="str">
        <f>TipoDeCriatura&amp;IF(AND(TipoDeCriatura="Natural",NOT(Raza=0)),", "&amp;Raza&amp;" ","")&amp;IF(Nephilim="",""," ("&amp;Nephilim&amp;")")&amp;" "&amp;Principal!AB13</f>
        <v>Natural 10</v>
      </c>
      <c r="L7" s="3198"/>
      <c r="M7" s="3198"/>
      <c r="N7" s="3198"/>
      <c r="O7" s="3198"/>
      <c r="P7" s="3198"/>
      <c r="Q7" s="55"/>
      <c r="R7" s="1892"/>
      <c r="S7" s="2904"/>
      <c r="T7" s="2905"/>
      <c r="U7" s="2978"/>
      <c r="V7" s="3201"/>
      <c r="W7" s="3201"/>
      <c r="X7" s="3201"/>
      <c r="Y7" s="3201"/>
      <c r="Z7" s="3201"/>
      <c r="AA7" s="3201"/>
      <c r="AB7" s="12"/>
      <c r="AC7" s="3199"/>
      <c r="AD7" s="3199"/>
      <c r="AE7" s="3199"/>
      <c r="AF7" s="3199"/>
      <c r="AG7" s="3199"/>
      <c r="AH7" s="3199"/>
      <c r="AI7" s="3199"/>
      <c r="AJ7" s="16"/>
      <c r="AK7" s="2961"/>
      <c r="AL7" s="1910"/>
      <c r="AM7" s="2962"/>
      <c r="AN7" s="2963"/>
      <c r="AO7" s="2963"/>
      <c r="AP7" s="2963"/>
      <c r="AQ7" s="2963"/>
    </row>
    <row r="8" spans="1:46" ht="12" customHeight="1" thickBot="1" x14ac:dyDescent="0.25">
      <c r="A8" s="45"/>
      <c r="B8" s="2569"/>
      <c r="C8" s="3113"/>
      <c r="D8" s="3113"/>
      <c r="E8" s="3113"/>
      <c r="F8" s="3113"/>
      <c r="G8" s="3113"/>
      <c r="H8" s="3113"/>
      <c r="I8" s="59"/>
      <c r="J8" s="59"/>
      <c r="K8" s="1883"/>
      <c r="L8" s="59"/>
      <c r="M8" s="59"/>
      <c r="N8" s="59"/>
      <c r="O8" s="59"/>
      <c r="P8" s="59"/>
      <c r="Q8" s="60"/>
      <c r="R8" s="1892"/>
      <c r="S8" s="2904"/>
      <c r="T8" s="2905"/>
      <c r="U8" s="2978"/>
      <c r="V8" s="3201"/>
      <c r="W8" s="3201"/>
      <c r="X8" s="3201"/>
      <c r="Y8" s="3201"/>
      <c r="Z8" s="3201"/>
      <c r="AA8" s="3201"/>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276" t="s">
        <v>1676</v>
      </c>
      <c r="D10" s="2332" t="str">
        <f>SUM(E11:E18)+COUNTIF(E11:E18,10)&amp;" pts"</f>
        <v>0 pts</v>
      </c>
      <c r="E10" s="2748" t="s">
        <v>1677</v>
      </c>
      <c r="F10" s="2733" t="s">
        <v>1678</v>
      </c>
      <c r="G10" s="67" t="s">
        <v>1661</v>
      </c>
      <c r="H10" s="25" t="s">
        <v>1679</v>
      </c>
      <c r="I10" s="100"/>
      <c r="J10" s="3183" t="s">
        <v>1680</v>
      </c>
      <c r="K10" s="3183"/>
      <c r="L10" s="3183"/>
      <c r="M10" s="100"/>
      <c r="N10" s="3183" t="s">
        <v>1681</v>
      </c>
      <c r="O10" s="3183"/>
      <c r="P10" s="3183"/>
      <c r="Q10" s="3183"/>
      <c r="R10" s="2575"/>
      <c r="S10" s="2904"/>
      <c r="T10" s="2905"/>
      <c r="U10" s="2979"/>
      <c r="V10" s="3288" t="s">
        <v>1682</v>
      </c>
      <c r="W10" s="3289"/>
      <c r="X10" s="3289"/>
      <c r="Y10" s="3289"/>
      <c r="Z10" s="3289"/>
      <c r="AA10" s="3289"/>
      <c r="AB10" s="3291"/>
      <c r="AC10" s="68"/>
      <c r="AD10" s="3288" t="s">
        <v>1683</v>
      </c>
      <c r="AE10" s="3289"/>
      <c r="AF10" s="3289"/>
      <c r="AG10" s="3289"/>
      <c r="AH10" s="3290" t="s">
        <v>1684</v>
      </c>
      <c r="AI10" s="3290"/>
      <c r="AJ10" s="2739">
        <f>SUM(AJ12:AJ23)+IF(OR(TipoDeCriatura="Ánima",TipoDeCriatura="Ánima, Elemental",TipoDeCriatura="No muerto, Espectro"),100,0)+AJ27</f>
        <v>0</v>
      </c>
      <c r="AK10" s="2105"/>
      <c r="AL10" s="1910"/>
      <c r="AO10" s="2963"/>
      <c r="AP10" s="2968" t="s">
        <v>9318</v>
      </c>
      <c r="AQ10" s="2966" t="s">
        <v>9321</v>
      </c>
      <c r="AR10" s="2966" t="s">
        <v>9323</v>
      </c>
      <c r="AS10" s="2966" t="s">
        <v>9317</v>
      </c>
      <c r="AT10" s="2963" t="s">
        <v>9336</v>
      </c>
    </row>
    <row r="11" spans="1:46" ht="12" customHeight="1" thickBot="1" x14ac:dyDescent="0.25">
      <c r="A11" s="45"/>
      <c r="B11" s="2571"/>
      <c r="C11" s="3276"/>
      <c r="D11" s="70" t="s">
        <v>1685</v>
      </c>
      <c r="E11" s="2750"/>
      <c r="F11" s="72"/>
      <c r="G11" s="73">
        <f>MIN(20,MAX(0,AS11+F11))</f>
        <v>0</v>
      </c>
      <c r="H11" s="2760">
        <f>IF(G11&lt;1,0,VLOOKUP(G11,Tablas!$C$14:$D$33,2))</f>
        <v>0</v>
      </c>
      <c r="I11" s="68"/>
      <c r="J11" s="3263">
        <f>AS19</f>
        <v>0</v>
      </c>
      <c r="K11" s="3300" t="str">
        <f>VLOOKUP(J11,Tablas!D38:F65,2)</f>
        <v>Ninguna</v>
      </c>
      <c r="L11" s="3300"/>
      <c r="M11" s="100"/>
      <c r="N11" s="3301">
        <f>PDs!Z185</f>
        <v>25</v>
      </c>
      <c r="O11" s="3301"/>
      <c r="P11" s="3302"/>
      <c r="Q11" s="3302"/>
      <c r="R11" s="2575"/>
      <c r="S11" s="2904"/>
      <c r="T11" s="2905"/>
      <c r="U11" s="2979"/>
      <c r="V11" s="3310" t="s">
        <v>1686</v>
      </c>
      <c r="W11" s="3311"/>
      <c r="X11" s="3312"/>
      <c r="Y11" s="3292" t="s">
        <v>2412</v>
      </c>
      <c r="Z11" s="3292"/>
      <c r="AA11" s="3292"/>
      <c r="AB11" s="3293"/>
      <c r="AC11" s="68"/>
      <c r="AD11" s="3205" t="s">
        <v>1754</v>
      </c>
      <c r="AE11" s="3206"/>
      <c r="AF11" s="3206"/>
      <c r="AG11" s="3206" t="s">
        <v>1679</v>
      </c>
      <c r="AH11" s="3488"/>
      <c r="AI11" s="2833" t="s">
        <v>1688</v>
      </c>
      <c r="AJ11" s="2863" t="s">
        <v>1689</v>
      </c>
      <c r="AK11" s="2105"/>
      <c r="AL11" s="1910"/>
      <c r="AM11" s="2960" t="s">
        <v>10501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276"/>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263"/>
      <c r="K12" s="3299" t="str">
        <f>IF(Tablas!S2022="",VLOOKUP(J11,Tablas!D38:G65,4),Tablas!S2022&amp;" PV al día")</f>
        <v>0 PV al día</v>
      </c>
      <c r="L12" s="3299"/>
      <c r="M12" s="100"/>
      <c r="N12" s="3301"/>
      <c r="O12" s="3301"/>
      <c r="P12" s="3302"/>
      <c r="Q12" s="3302"/>
      <c r="R12" s="2575"/>
      <c r="S12" s="2904"/>
      <c r="T12" s="2905"/>
      <c r="U12" s="2979"/>
      <c r="V12" s="3313"/>
      <c r="W12" s="3314"/>
      <c r="X12" s="3315"/>
      <c r="Y12" s="3294"/>
      <c r="Z12" s="3294"/>
      <c r="AA12" s="3294"/>
      <c r="AB12" s="3295"/>
      <c r="AC12" s="68"/>
      <c r="AD12" s="3470"/>
      <c r="AE12" s="3471"/>
      <c r="AF12" s="3471"/>
      <c r="AG12" s="3348"/>
      <c r="AH12" s="3348"/>
      <c r="AI12" s="2704" t="str">
        <f t="shared" ref="AI12:AI23" si="2">IF(AD12="","",VLOOKUP(AD12&amp;IF(AG12="",""," "&amp;AG12),Tabla_HabEsenciales,2,FALSE))</f>
        <v/>
      </c>
      <c r="AJ12" s="1671" t="str">
        <f t="shared" ref="AJ12:AJ23" si="3">IF(AD12="","",VLOOKUP(AD12&amp;IF(AG12="",""," "&amp;AG12),Tabla_HabEsenciales,3,FALSE))</f>
        <v/>
      </c>
      <c r="AK12" s="2961" t="str">
        <f t="shared" ref="AK12:AK23" si="4">SUBSTITUTE(IF(AD12="","",VLOOKUP(AD12,Tabla_Listas_PodHabMonstruo,3,FALSE)),".","")</f>
        <v/>
      </c>
      <c r="AL12" s="1910"/>
      <c r="AM12" s="2960" t="str">
        <f>AD12&amp;IF(AG12="",""," "&amp;AG12)</f>
        <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276"/>
      <c r="D13" s="70" t="s">
        <v>1690</v>
      </c>
      <c r="E13" s="2750"/>
      <c r="F13" s="76"/>
      <c r="G13" s="73">
        <f t="shared" ref="G13:G18" si="5">MIN(20,MAX(0,AS13+F13))</f>
        <v>0</v>
      </c>
      <c r="H13" s="2760">
        <f>IF(G13&lt;1,0,VLOOKUP(G13,Tablas!$C$14:$D$33,2))</f>
        <v>0</v>
      </c>
      <c r="I13" s="583"/>
      <c r="J13" s="3213" t="s">
        <v>1691</v>
      </c>
      <c r="K13" s="3213"/>
      <c r="L13" s="78"/>
      <c r="M13" s="100"/>
      <c r="N13" s="3301"/>
      <c r="O13" s="3301"/>
      <c r="P13" s="3302"/>
      <c r="Q13" s="3302"/>
      <c r="R13" s="2575"/>
      <c r="S13" s="2904"/>
      <c r="T13" s="2905"/>
      <c r="U13" s="2979"/>
      <c r="V13" s="3303" t="s">
        <v>1692</v>
      </c>
      <c r="W13" s="3304"/>
      <c r="X13" s="3304"/>
      <c r="Y13" s="1364" t="s">
        <v>1693</v>
      </c>
      <c r="Z13" s="56"/>
      <c r="AA13" s="79" t="s">
        <v>1694</v>
      </c>
      <c r="AB13" s="2315">
        <v>10</v>
      </c>
      <c r="AC13" s="68"/>
      <c r="AD13" s="3356"/>
      <c r="AE13" s="3357"/>
      <c r="AF13" s="3357"/>
      <c r="AG13" s="3348"/>
      <c r="AH13" s="3348"/>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276"/>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305" t="s">
        <v>1696</v>
      </c>
      <c r="W14" s="3306"/>
      <c r="X14" s="3306"/>
      <c r="Y14" s="1365" t="s">
        <v>1693</v>
      </c>
      <c r="Z14" s="83"/>
      <c r="AA14" s="84" t="s">
        <v>1697</v>
      </c>
      <c r="AB14" s="2736">
        <f>IF(TipoDeCriatura="Natural",MAX(Principal!AB13-IF(Raza=0,0,VLOOKUP(Raza,Tablas!$J$109:$AB$129,19,FALSE)),0),"-")</f>
        <v>10</v>
      </c>
      <c r="AC14" s="68"/>
      <c r="AD14" s="3356"/>
      <c r="AE14" s="3357"/>
      <c r="AF14" s="3357"/>
      <c r="AG14" s="3348"/>
      <c r="AH14" s="3348"/>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276"/>
      <c r="D15" s="70" t="s">
        <v>1698</v>
      </c>
      <c r="E15" s="2750"/>
      <c r="F15" s="76"/>
      <c r="G15" s="73">
        <f t="shared" si="5"/>
        <v>0</v>
      </c>
      <c r="H15" s="2760">
        <f>IF(G15&lt;1,0,VLOOKUP(G15,Tablas!$C$14:$D$33,2))</f>
        <v>0</v>
      </c>
      <c r="I15" s="2573"/>
      <c r="J15" s="3307" t="s">
        <v>1699</v>
      </c>
      <c r="K15" s="3308"/>
      <c r="L15" s="3309"/>
      <c r="M15" s="100"/>
      <c r="N15" s="3183" t="s">
        <v>1700</v>
      </c>
      <c r="O15" s="3183"/>
      <c r="P15" s="3183"/>
      <c r="Q15" s="3183"/>
      <c r="R15" s="2575"/>
      <c r="S15" s="2904"/>
      <c r="T15" s="2905"/>
      <c r="U15" s="2979"/>
      <c r="V15" s="3296" t="str">
        <f>IF(TipoDeCriatura="Natural",IF(AB14=0,"Sin tirada abierta",IF(AB14&gt;14,"Tirada abierta adicional","")),"")&amp;IF(TipoDeCriatura="Natural",IF(AB14&gt;19,", Núcleo trascendental",""),"")</f>
        <v/>
      </c>
      <c r="W15" s="3297"/>
      <c r="X15" s="3297"/>
      <c r="Y15" s="3297"/>
      <c r="Z15" s="3297"/>
      <c r="AA15" s="3297"/>
      <c r="AB15" s="3298"/>
      <c r="AC15" s="19"/>
      <c r="AD15" s="3356"/>
      <c r="AE15" s="3357"/>
      <c r="AF15" s="3357"/>
      <c r="AG15" s="3348"/>
      <c r="AH15" s="3348"/>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276"/>
      <c r="D16" s="70" t="s">
        <v>1701</v>
      </c>
      <c r="E16" s="2750"/>
      <c r="F16" s="76"/>
      <c r="G16" s="73">
        <f t="shared" si="5"/>
        <v>0</v>
      </c>
      <c r="H16" s="2760">
        <f>IF(G16&lt;1,0,VLOOKUP(G16,Tablas!$C$14:$D$33,2))</f>
        <v>0</v>
      </c>
      <c r="I16" s="210"/>
      <c r="J16" s="3286">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287">
        <f>IF(OR(Tablas!H1884&gt;0,Tablas!H1891&gt;0,Y11="Ánima",Y11="Ánima, Elemental",Y11="No muerto, Espectro",Tablas!J2462=1),0,G12+O18+IF(Raza=0,0,VLOOKUP(Raza,Tablas!$J$109:$AA$129,18,FALSE))+3*Tablas!G332+6*Tablas!G333+9*Tablas!G334-Tablas!G526+2*Tablas!H1817)</f>
        <v>0</v>
      </c>
      <c r="O16" s="3287"/>
      <c r="P16" s="3302"/>
      <c r="Q16" s="3302"/>
      <c r="R16" s="2575"/>
      <c r="S16" s="2904"/>
      <c r="T16" s="2905"/>
      <c r="U16" s="2979"/>
      <c r="V16" s="332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9"/>
      <c r="X16" s="3329"/>
      <c r="Y16" s="3329"/>
      <c r="Z16" s="3329"/>
      <c r="AA16" s="3329"/>
      <c r="AB16" s="3330"/>
      <c r="AC16" s="68"/>
      <c r="AD16" s="3356"/>
      <c r="AE16" s="3357"/>
      <c r="AF16" s="3357"/>
      <c r="AG16" s="3348"/>
      <c r="AH16" s="3348"/>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276"/>
      <c r="D17" s="70" t="s">
        <v>1703</v>
      </c>
      <c r="E17" s="2750"/>
      <c r="F17" s="76"/>
      <c r="G17" s="73">
        <f t="shared" si="5"/>
        <v>0</v>
      </c>
      <c r="H17" s="2760">
        <f>IF(G17&lt;1,0,VLOOKUP(G17,Tablas!$C$14:$D$33,2))</f>
        <v>0</v>
      </c>
      <c r="I17" s="210"/>
      <c r="J17" s="3286"/>
      <c r="K17" s="3334" t="str">
        <f>IF(J16&lt;1,"",VLOOKUP(J16,TablaTipoMovimiento,2))</f>
        <v/>
      </c>
      <c r="L17" s="3335"/>
      <c r="M17" s="109"/>
      <c r="N17" s="3287"/>
      <c r="O17" s="3287"/>
      <c r="P17" s="3302"/>
      <c r="Q17" s="3302"/>
      <c r="R17" s="2575"/>
      <c r="S17" s="2904"/>
      <c r="T17" s="2905"/>
      <c r="U17" s="2979"/>
      <c r="V17" s="3328"/>
      <c r="W17" s="3329"/>
      <c r="X17" s="3329"/>
      <c r="Y17" s="3329"/>
      <c r="Z17" s="3329"/>
      <c r="AA17" s="3329"/>
      <c r="AB17" s="3330"/>
      <c r="AC17" s="68"/>
      <c r="AD17" s="3356"/>
      <c r="AE17" s="3357"/>
      <c r="AF17" s="3357"/>
      <c r="AG17" s="3348"/>
      <c r="AH17" s="3348"/>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276"/>
      <c r="D18" s="86" t="s">
        <v>1704</v>
      </c>
      <c r="E18" s="2752"/>
      <c r="F18" s="88"/>
      <c r="G18" s="89">
        <f t="shared" si="5"/>
        <v>0</v>
      </c>
      <c r="H18" s="2755">
        <f>IF(G18&lt;1,0,VLOOKUP(G18,Tablas!$C$14:$D$33,2))</f>
        <v>0</v>
      </c>
      <c r="I18" s="100"/>
      <c r="J18" s="3284" t="s">
        <v>1691</v>
      </c>
      <c r="K18" s="3285"/>
      <c r="L18" s="2495"/>
      <c r="M18" s="210"/>
      <c r="N18" s="2759" t="s">
        <v>1691</v>
      </c>
      <c r="O18" s="92"/>
      <c r="P18" s="3302"/>
      <c r="Q18" s="3302"/>
      <c r="R18" s="2575"/>
      <c r="S18" s="2904"/>
      <c r="T18" s="2905"/>
      <c r="U18" s="2979"/>
      <c r="V18" s="3331"/>
      <c r="W18" s="3332"/>
      <c r="X18" s="3332"/>
      <c r="Y18" s="3332"/>
      <c r="Z18" s="3332"/>
      <c r="AA18" s="3332"/>
      <c r="AB18" s="3333"/>
      <c r="AC18" s="68"/>
      <c r="AD18" s="3356"/>
      <c r="AE18" s="3357"/>
      <c r="AF18" s="3357"/>
      <c r="AG18" s="3348"/>
      <c r="AH18" s="3348"/>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262"/>
      <c r="D19" s="3262"/>
      <c r="E19" s="3262"/>
      <c r="F19" s="3262"/>
      <c r="G19" s="3262"/>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356"/>
      <c r="AE19" s="3357"/>
      <c r="AF19" s="3357"/>
      <c r="AG19" s="3348"/>
      <c r="AH19" s="3348"/>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83" t="s">
        <v>1705</v>
      </c>
      <c r="D20" s="3183"/>
      <c r="E20" s="68"/>
      <c r="F20" s="3273" t="s">
        <v>1706</v>
      </c>
      <c r="G20" s="3274"/>
      <c r="H20" s="3274"/>
      <c r="I20" s="3274"/>
      <c r="J20" s="3275"/>
      <c r="K20" s="1884"/>
      <c r="L20" s="3273" t="s">
        <v>1707</v>
      </c>
      <c r="M20" s="3274"/>
      <c r="N20" s="3274"/>
      <c r="O20" s="3274"/>
      <c r="P20" s="3274"/>
      <c r="Q20" s="3275"/>
      <c r="R20" s="1892"/>
      <c r="S20" s="2904"/>
      <c r="T20" s="2905"/>
      <c r="U20" s="2979"/>
      <c r="V20" s="3183" t="s">
        <v>1708</v>
      </c>
      <c r="W20" s="3183"/>
      <c r="X20" s="3183"/>
      <c r="Y20" s="3183"/>
      <c r="Z20" s="3183"/>
      <c r="AA20" s="3183"/>
      <c r="AB20" s="3183"/>
      <c r="AC20" s="68"/>
      <c r="AD20" s="3356"/>
      <c r="AE20" s="3357"/>
      <c r="AF20" s="3357"/>
      <c r="AG20" s="3348"/>
      <c r="AH20" s="3348"/>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264" t="s">
        <v>1709</v>
      </c>
      <c r="G21" s="3265"/>
      <c r="H21" s="3266">
        <f>MAX(HA_final,HA_SinArmas_final)</f>
        <v>0</v>
      </c>
      <c r="I21" s="3277" t="s">
        <v>1710</v>
      </c>
      <c r="J21" s="3278"/>
      <c r="K21" s="1884"/>
      <c r="L21" s="2758" t="s">
        <v>1711</v>
      </c>
      <c r="M21" s="3271" t="s">
        <v>1687</v>
      </c>
      <c r="N21" s="3271"/>
      <c r="O21" s="3326" t="s">
        <v>1712</v>
      </c>
      <c r="P21" s="3326"/>
      <c r="Q21" s="1669" t="s">
        <v>1661</v>
      </c>
      <c r="R21" s="1892"/>
      <c r="S21" s="2904"/>
      <c r="T21" s="2905"/>
      <c r="U21" s="2979"/>
      <c r="V21" s="3200" t="s">
        <v>1713</v>
      </c>
      <c r="W21" s="3200"/>
      <c r="X21" s="3200"/>
      <c r="Y21" s="3327" t="s">
        <v>1714</v>
      </c>
      <c r="Z21" s="3327"/>
      <c r="AA21" s="97" t="s">
        <v>1715</v>
      </c>
      <c r="AB21" s="25" t="s">
        <v>1689</v>
      </c>
      <c r="AC21" s="68"/>
      <c r="AD21" s="3356"/>
      <c r="AE21" s="3357"/>
      <c r="AF21" s="3357"/>
      <c r="AG21" s="3348"/>
      <c r="AH21" s="3348"/>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3109">
        <f>AP21+AQ21</f>
        <v>1</v>
      </c>
    </row>
    <row r="22" spans="1:46" ht="12" customHeight="1" x14ac:dyDescent="0.2">
      <c r="A22" s="45"/>
      <c r="B22" s="2569"/>
      <c r="C22" s="98" t="s">
        <v>1685</v>
      </c>
      <c r="D22" s="2760">
        <f>AGI</f>
        <v>0</v>
      </c>
      <c r="E22" s="68"/>
      <c r="F22" s="3264"/>
      <c r="G22" s="3265"/>
      <c r="H22" s="3266"/>
      <c r="I22" s="3279" t="str">
        <f>IF(Combate!AB15=0,"",Combate!AB15)</f>
        <v/>
      </c>
      <c r="J22" s="3280"/>
      <c r="K22" s="1884"/>
      <c r="L22" s="3353" t="s">
        <v>1716</v>
      </c>
      <c r="M22" s="3272" t="s">
        <v>1717</v>
      </c>
      <c r="N22" s="3272"/>
      <c r="O22" s="3270">
        <f>Combate!$R$17</f>
        <v>0</v>
      </c>
      <c r="P22" s="3270"/>
      <c r="Q22" s="1670">
        <f>IF(Acrobacias_final="-","-",Acrobacias_final+O22)</f>
        <v>-30</v>
      </c>
      <c r="R22" s="1892"/>
      <c r="S22" s="2904"/>
      <c r="T22" s="2905"/>
      <c r="U22" s="2979"/>
      <c r="V22" s="3316" t="s">
        <v>1718</v>
      </c>
      <c r="W22" s="3316"/>
      <c r="X22" s="3317"/>
      <c r="Y22" s="3324" t="str">
        <f>IF(AA22=0,"",Raza)</f>
        <v/>
      </c>
      <c r="Z22" s="3325"/>
      <c r="AA22" s="2746">
        <f>IF(Raza=0,0,VLOOKUP(Raza,Tablas!$J$109:$P$129,7,FALSE))</f>
        <v>0</v>
      </c>
      <c r="AB22" s="99">
        <v>0</v>
      </c>
      <c r="AC22" s="68"/>
      <c r="AD22" s="3356"/>
      <c r="AE22" s="3357"/>
      <c r="AF22" s="3357"/>
      <c r="AG22" s="3348"/>
      <c r="AH22" s="3348"/>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267" t="str">
        <f>IF(HP_final&gt;HE_final,"H. Parada:","H. Esquiva:")</f>
        <v>H. Esquiva:</v>
      </c>
      <c r="G23" s="3268"/>
      <c r="H23" s="3269">
        <f>MAX(HP_final,HE_final,HD_SinArmas_final)</f>
        <v>0</v>
      </c>
      <c r="I23" s="3279"/>
      <c r="J23" s="3280"/>
      <c r="K23" s="1884"/>
      <c r="L23" s="3354"/>
      <c r="M23" s="3246" t="s">
        <v>1719</v>
      </c>
      <c r="N23" s="3246"/>
      <c r="O23" s="3248">
        <f>Combate!$R$17</f>
        <v>0</v>
      </c>
      <c r="P23" s="3248"/>
      <c r="Q23" s="1671">
        <f>IF(Atletismo_final="-","-",Atletismo_final+O23)</f>
        <v>-30</v>
      </c>
      <c r="R23" s="1892"/>
      <c r="S23" s="2904"/>
      <c r="T23" s="2905"/>
      <c r="U23" s="2979"/>
      <c r="V23" s="3316" t="s">
        <v>1720</v>
      </c>
      <c r="W23" s="3316"/>
      <c r="X23" s="3317"/>
      <c r="Y23" s="3336" t="s">
        <v>1689</v>
      </c>
      <c r="Z23" s="3337"/>
      <c r="AA23" s="2746">
        <v>0</v>
      </c>
      <c r="AB23" s="99">
        <f>IF(Y23="PDs",VLOOKUP(Principal!$AB$13,Tablas!F70:G80,2),0)</f>
        <v>0</v>
      </c>
      <c r="AC23" s="68"/>
      <c r="AD23" s="3349"/>
      <c r="AE23" s="3350"/>
      <c r="AF23" s="3350"/>
      <c r="AG23" s="3351"/>
      <c r="AH23" s="3351"/>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267"/>
      <c r="G24" s="3268"/>
      <c r="H24" s="3269"/>
      <c r="I24" s="3279"/>
      <c r="J24" s="3280"/>
      <c r="K24" s="1884"/>
      <c r="L24" s="3354"/>
      <c r="M24" s="3246" t="s">
        <v>1722</v>
      </c>
      <c r="N24" s="3246"/>
      <c r="O24" s="3248"/>
      <c r="P24" s="3248"/>
      <c r="Q24" s="1671">
        <f>IF(Montar_final="-","-",Montar_final+O24)</f>
        <v>-30</v>
      </c>
      <c r="R24" s="1892"/>
      <c r="S24" s="2904"/>
      <c r="T24" s="2905"/>
      <c r="U24" s="2978"/>
      <c r="V24" s="3316" t="s">
        <v>1723</v>
      </c>
      <c r="W24" s="3316"/>
      <c r="X24" s="3317"/>
      <c r="Y24" s="3322" t="s">
        <v>2549</v>
      </c>
      <c r="Z24" s="3323"/>
      <c r="AA24" s="2746">
        <f>IF(Principal!Y24="No",0,IF(SUM(Tablas!P236:P261)&gt;0,1,0))</f>
        <v>0</v>
      </c>
      <c r="AB24" s="2749">
        <f>40*Tablas!P248+80*Tablas!P249+120*Tablas!P250</f>
        <v>0</v>
      </c>
      <c r="AC24" s="100"/>
      <c r="AD24" s="333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9"/>
      <c r="AF24" s="3339"/>
      <c r="AG24" s="3339"/>
      <c r="AH24" s="3339"/>
      <c r="AI24" s="3339"/>
      <c r="AJ24" s="3340"/>
      <c r="AK24" s="2961"/>
      <c r="AL24" s="1910"/>
      <c r="AM24" s="2962"/>
      <c r="AN24" s="2970"/>
      <c r="AO24" s="2970"/>
      <c r="AP24" s="2970"/>
    </row>
    <row r="25" spans="1:46" ht="12" customHeight="1" x14ac:dyDescent="0.2">
      <c r="A25" s="45"/>
      <c r="B25" s="2569"/>
      <c r="C25" s="98" t="s">
        <v>1724</v>
      </c>
      <c r="D25" s="2760">
        <f>Combate!R17</f>
        <v>0</v>
      </c>
      <c r="E25" s="68"/>
      <c r="F25" s="3281" t="s">
        <v>1725</v>
      </c>
      <c r="G25" s="3282"/>
      <c r="H25" s="3283">
        <f>LlevarArmadura_final</f>
        <v>0</v>
      </c>
      <c r="I25" s="3279"/>
      <c r="J25" s="3280"/>
      <c r="K25" s="1884"/>
      <c r="L25" s="3354"/>
      <c r="M25" s="3246" t="s">
        <v>1726</v>
      </c>
      <c r="N25" s="3246"/>
      <c r="O25" s="3248">
        <f>Combate!$H$17+MAX(MIN(-20*IF(OR(Combate!C12=0,Combate!B12="Natural"),0,1)-20*IF(OR(Combate!C13=0,Combate!B13="Natural"),0,1)-20*IF(OR(Combate!C14=0,Combate!B14="Natural"),0,1)+20,0),-40)</f>
        <v>0</v>
      </c>
      <c r="P25" s="3248"/>
      <c r="Q25" s="1671">
        <f>IF(Nadar_final="-","-",Nadar_final+O25)</f>
        <v>-30</v>
      </c>
      <c r="R25" s="1892"/>
      <c r="S25" s="2904"/>
      <c r="T25" s="2905"/>
      <c r="U25" s="2978"/>
      <c r="V25" s="3345" t="s">
        <v>1727</v>
      </c>
      <c r="W25" s="3345"/>
      <c r="X25" s="3346"/>
      <c r="Y25" s="3322"/>
      <c r="Z25" s="3323"/>
      <c r="AA25" s="2314">
        <f>IF(Y25="Si",1,0)</f>
        <v>0</v>
      </c>
      <c r="AB25" s="102">
        <v>0</v>
      </c>
      <c r="AC25" s="100"/>
      <c r="AD25" s="3341"/>
      <c r="AE25" s="3342"/>
      <c r="AF25" s="3342"/>
      <c r="AG25" s="3342"/>
      <c r="AH25" s="3342"/>
      <c r="AI25" s="3342"/>
      <c r="AJ25" s="3343"/>
      <c r="AK25" s="2961"/>
      <c r="AL25" s="1910"/>
      <c r="AM25" s="2962"/>
      <c r="AN25" s="2970"/>
      <c r="AO25" s="2970"/>
      <c r="AP25" s="2970"/>
    </row>
    <row r="26" spans="1:46" ht="12" customHeight="1" x14ac:dyDescent="0.2">
      <c r="A26" s="45"/>
      <c r="B26" s="2569"/>
      <c r="C26" s="98" t="s">
        <v>9350</v>
      </c>
      <c r="D26" s="2760">
        <f>20+Tablas!$S$1835</f>
        <v>20</v>
      </c>
      <c r="E26" s="68"/>
      <c r="F26" s="3281"/>
      <c r="G26" s="3282"/>
      <c r="H26" s="3283"/>
      <c r="I26" s="3279"/>
      <c r="J26" s="3280"/>
      <c r="K26" s="1884"/>
      <c r="L26" s="3354"/>
      <c r="M26" s="3246" t="s">
        <v>1729</v>
      </c>
      <c r="N26" s="3246"/>
      <c r="O26" s="3248">
        <f>Combate!$R$17</f>
        <v>0</v>
      </c>
      <c r="P26" s="3248"/>
      <c r="Q26" s="1671">
        <f>IF(Trepar_final="-","-",Trepar_final+O26)</f>
        <v>-30</v>
      </c>
      <c r="R26" s="1892"/>
      <c r="S26" s="2904"/>
      <c r="T26" s="2905"/>
      <c r="U26" s="2978"/>
      <c r="V26" s="3318" t="s">
        <v>1730</v>
      </c>
      <c r="W26" s="3318"/>
      <c r="X26" s="3319"/>
      <c r="Y26" s="3320"/>
      <c r="Z26" s="3321"/>
      <c r="AA26" s="105">
        <f>ROUNDUP((Principal!$AB$26)/100,0)</f>
        <v>0</v>
      </c>
      <c r="AB26" s="2915"/>
      <c r="AC26" s="68"/>
      <c r="AD26" s="3341"/>
      <c r="AE26" s="3342"/>
      <c r="AF26" s="3342"/>
      <c r="AG26" s="3342"/>
      <c r="AH26" s="3342"/>
      <c r="AI26" s="3342"/>
      <c r="AJ26" s="3343"/>
      <c r="AK26" s="2961"/>
      <c r="AL26" s="1910"/>
      <c r="AM26" s="2962"/>
      <c r="AN26" s="2970"/>
      <c r="AO26" s="2970"/>
      <c r="AP26" s="2970"/>
    </row>
    <row r="27" spans="1:46" ht="12" customHeight="1" thickBot="1" x14ac:dyDescent="0.25">
      <c r="A27" s="45"/>
      <c r="B27" s="2569"/>
      <c r="C27" s="103" t="s">
        <v>1731</v>
      </c>
      <c r="D27" s="104"/>
      <c r="E27" s="68"/>
      <c r="F27" s="3250" t="str">
        <f>IF(Tablas!G519&gt;0,"Arma exclusiva:","Arma desarrollada:")</f>
        <v>Arma desarrollada:</v>
      </c>
      <c r="G27" s="3251"/>
      <c r="H27" s="3251"/>
      <c r="I27" s="3252"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3"/>
      <c r="K27" s="1884"/>
      <c r="L27" s="3354"/>
      <c r="M27" s="3246" t="s">
        <v>1732</v>
      </c>
      <c r="N27" s="3246"/>
      <c r="O27" s="3248">
        <f>Combate!$R$17</f>
        <v>0</v>
      </c>
      <c r="P27" s="3248"/>
      <c r="Q27" s="1671">
        <f>IF(Saltar_final="-","-",Saltar_final+O27)</f>
        <v>-30</v>
      </c>
      <c r="R27" s="1892"/>
      <c r="S27" s="2904"/>
      <c r="T27" s="2905"/>
      <c r="U27" s="2978"/>
      <c r="V27" s="3358" t="s">
        <v>1733</v>
      </c>
      <c r="W27" s="3358"/>
      <c r="X27" s="3358"/>
      <c r="Y27" s="3358"/>
      <c r="Z27" s="3358"/>
      <c r="AA27" s="2747">
        <f>SUM(AA22:AA26)</f>
        <v>0</v>
      </c>
      <c r="AB27" s="2745">
        <f>SUM(AB22:AB26)+50*Tablas!G345+100*Tablas!G346+150*Tablas!G347</f>
        <v>0</v>
      </c>
      <c r="AC27" s="68"/>
      <c r="AD27" s="2834"/>
      <c r="AE27" s="3362" t="s">
        <v>1734</v>
      </c>
      <c r="AF27" s="3362"/>
      <c r="AG27" s="3362"/>
      <c r="AH27" s="3362"/>
      <c r="AI27" s="3362"/>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63" t="s">
        <v>1661</v>
      </c>
      <c r="D28" s="3364">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65" t="s">
        <v>2570</v>
      </c>
      <c r="G28" s="3366"/>
      <c r="H28" s="3366"/>
      <c r="I28" s="3252"/>
      <c r="J28" s="3253"/>
      <c r="K28" s="1886"/>
      <c r="L28" s="3355"/>
      <c r="M28" s="3249" t="s">
        <v>8229</v>
      </c>
      <c r="N28" s="3249"/>
      <c r="O28" s="3247"/>
      <c r="P28" s="3247"/>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63"/>
      <c r="D29" s="3364"/>
      <c r="E29" s="68"/>
      <c r="F29" s="3367" t="s">
        <v>1737</v>
      </c>
      <c r="G29" s="3368"/>
      <c r="H29" s="3368"/>
      <c r="I29" s="3368"/>
      <c r="J29" s="2740">
        <f>VLOOKUP(G13+G11,Tabla_NumAcciones,2)</f>
        <v>1</v>
      </c>
      <c r="K29" s="1884"/>
      <c r="L29" s="3354" t="s">
        <v>1735</v>
      </c>
      <c r="M29" s="3246" t="s">
        <v>1736</v>
      </c>
      <c r="N29" s="3246"/>
      <c r="O29" s="3248"/>
      <c r="P29" s="3248"/>
      <c r="Q29" s="1671">
        <f>IF(Estilo_final="-","-",Estilo_final+O29)</f>
        <v>-30</v>
      </c>
      <c r="R29" s="1892"/>
      <c r="S29" s="2904"/>
      <c r="T29" s="2905"/>
      <c r="U29" s="2978"/>
      <c r="V29" s="3183" t="s">
        <v>1739</v>
      </c>
      <c r="W29" s="3183"/>
      <c r="X29" s="3183"/>
      <c r="Y29" s="3183"/>
      <c r="Z29" s="3183"/>
      <c r="AA29" s="3183"/>
      <c r="AB29" s="3183"/>
      <c r="AC29" s="3183"/>
      <c r="AD29" s="3183"/>
      <c r="AE29" s="3183"/>
      <c r="AF29" s="3352" t="s">
        <v>1740</v>
      </c>
      <c r="AG29" s="3352"/>
      <c r="AH29" s="3352"/>
      <c r="AI29" s="3352"/>
      <c r="AJ29" s="3352"/>
      <c r="AK29" s="2961"/>
      <c r="AL29" s="1910"/>
      <c r="AM29" s="2964"/>
      <c r="AO29" s="2970"/>
      <c r="AP29" s="2970"/>
    </row>
    <row r="30" spans="1:46" ht="12" customHeight="1" thickBot="1" x14ac:dyDescent="0.25">
      <c r="A30" s="45"/>
      <c r="B30" s="2569"/>
      <c r="C30" s="68"/>
      <c r="D30" s="68"/>
      <c r="E30" s="68"/>
      <c r="F30" s="68"/>
      <c r="G30" s="68"/>
      <c r="H30" s="68"/>
      <c r="I30" s="68"/>
      <c r="J30" s="68"/>
      <c r="K30" s="1884"/>
      <c r="L30" s="3354"/>
      <c r="M30" s="3246" t="s">
        <v>1738</v>
      </c>
      <c r="N30" s="3246"/>
      <c r="O30" s="3248"/>
      <c r="P30" s="3248"/>
      <c r="Q30" s="1671">
        <f>IF(Intimidar_final="-","-",Intimidar_final+O30)</f>
        <v>-30</v>
      </c>
      <c r="R30" s="1892"/>
      <c r="S30" s="2904"/>
      <c r="T30" s="2905"/>
      <c r="U30" s="2978"/>
      <c r="V30" s="3344">
        <f>IF(Raza=0,0,VLOOKUP(Raza,Tabla_Razas,20,FALSE))</f>
        <v>0</v>
      </c>
      <c r="W30" s="3344"/>
      <c r="X30" s="3344"/>
      <c r="Y30" s="3344"/>
      <c r="Z30" s="3344"/>
      <c r="AA30" s="3467">
        <f>IF(Raza=0,0,VLOOKUP(Raza,Tabla_Razas,38,FALSE))</f>
        <v>0</v>
      </c>
      <c r="AB30" s="3467"/>
      <c r="AC30" s="3467"/>
      <c r="AD30" s="3467"/>
      <c r="AE30" s="3467"/>
      <c r="AF30" s="3372"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3"/>
      <c r="AH30" s="3373"/>
      <c r="AI30" s="3373"/>
      <c r="AJ30" s="3374"/>
      <c r="AK30" s="2971">
        <f>IF($G$45=0,0,VLOOKUP($G$45,Ventajas_Legados,7,FALSE))</f>
        <v>0</v>
      </c>
      <c r="AL30" s="1910"/>
      <c r="AM30" s="2972"/>
      <c r="AO30" s="2970"/>
      <c r="AP30" s="2970"/>
    </row>
    <row r="31" spans="1:46" ht="12" customHeight="1" x14ac:dyDescent="0.2">
      <c r="A31" s="45"/>
      <c r="B31" s="2569"/>
      <c r="C31" s="3359" t="s">
        <v>1742</v>
      </c>
      <c r="D31" s="3360"/>
      <c r="E31" s="3360"/>
      <c r="F31" s="3360"/>
      <c r="G31" s="3360"/>
      <c r="H31" s="3360"/>
      <c r="I31" s="3361"/>
      <c r="J31" s="2000">
        <f>IF(Raza="Criatura",0,3)+TRUNC((PDs!X5+PDs!X7+PDs!X9+PDs!X11+PDs!X13)/2,0)-Tablas!C234+IF(Y23="PDs",0,IF($AB$13=0,0,VLOOKUP($AB$13,Tabla_Gnosis,3,FALSE)))</f>
        <v>3</v>
      </c>
      <c r="K31" s="1884"/>
      <c r="L31" s="3354"/>
      <c r="M31" s="3246" t="s">
        <v>1741</v>
      </c>
      <c r="N31" s="3246"/>
      <c r="O31" s="3248"/>
      <c r="P31" s="3248"/>
      <c r="Q31" s="1671">
        <f>IF(Liderazgo_final="-","-",Liderazgo_final+O31)</f>
        <v>-30</v>
      </c>
      <c r="R31" s="1892"/>
      <c r="S31" s="2904"/>
      <c r="T31" s="2905"/>
      <c r="U31" s="2978"/>
      <c r="V31" s="3344">
        <f>IF(Raza=0,0,VLOOKUP(Raza,Tabla_Razas,23,FALSE))</f>
        <v>0</v>
      </c>
      <c r="W31" s="3369"/>
      <c r="X31" s="3369"/>
      <c r="Y31" s="3369"/>
      <c r="Z31" s="3370"/>
      <c r="AA31" s="3371">
        <f>IF(Raza=0,0,VLOOKUP(Raza,Tabla_Razas,41,FALSE))</f>
        <v>0</v>
      </c>
      <c r="AB31" s="3369"/>
      <c r="AC31" s="3369"/>
      <c r="AD31" s="3369"/>
      <c r="AE31" s="3370"/>
      <c r="AF31" s="3371"/>
      <c r="AG31" s="3369"/>
      <c r="AH31" s="3369"/>
      <c r="AI31" s="3369"/>
      <c r="AJ31" s="3375"/>
      <c r="AK31" s="2971"/>
      <c r="AL31" s="1910"/>
      <c r="AM31" s="2960" t="s">
        <v>9315</v>
      </c>
      <c r="AO31" s="2970"/>
      <c r="AP31" s="2970"/>
    </row>
    <row r="32" spans="1:46" ht="12" customHeight="1" x14ac:dyDescent="0.2">
      <c r="A32" s="45"/>
      <c r="B32" s="2569"/>
      <c r="C32" s="3254"/>
      <c r="D32" s="3255"/>
      <c r="E32" s="3255"/>
      <c r="F32" s="3256"/>
      <c r="G32" s="3379"/>
      <c r="H32" s="3380"/>
      <c r="I32" s="3381"/>
      <c r="J32" s="3382"/>
      <c r="K32" s="1884"/>
      <c r="L32" s="3354"/>
      <c r="M32" s="3246" t="s">
        <v>1743</v>
      </c>
      <c r="N32" s="3246"/>
      <c r="O32" s="3248"/>
      <c r="P32" s="3248"/>
      <c r="Q32" s="1671">
        <f>IF(Persuasión_final="-","-",Persuasión_final+O32)</f>
        <v>-30</v>
      </c>
      <c r="R32" s="1892"/>
      <c r="S32" s="2904"/>
      <c r="T32" s="2905"/>
      <c r="U32" s="2978"/>
      <c r="V32" s="3344">
        <f>IF(Raza=0,0,VLOOKUP(Raza,Tabla_Razas,26,FALSE))</f>
        <v>0</v>
      </c>
      <c r="W32" s="3369"/>
      <c r="X32" s="3369"/>
      <c r="Y32" s="3369"/>
      <c r="Z32" s="3370"/>
      <c r="AA32" s="3371">
        <f>IF(Raza=0,0,VLOOKUP(Raza,Tabla_Razas,44,FALSE))</f>
        <v>0</v>
      </c>
      <c r="AB32" s="3369"/>
      <c r="AC32" s="3369"/>
      <c r="AD32" s="3369"/>
      <c r="AE32" s="3370"/>
      <c r="AF32" s="3371"/>
      <c r="AG32" s="3369"/>
      <c r="AH32" s="3369"/>
      <c r="AI32" s="3369"/>
      <c r="AJ32" s="3375"/>
      <c r="AK32" s="2971"/>
      <c r="AL32" s="1910"/>
      <c r="AM32" s="2962" t="s">
        <v>8547</v>
      </c>
      <c r="AN32" s="2970" t="str">
        <f>IF(Raza="Criatura","$AO$36","V_Comunes")</f>
        <v>V_Comunes</v>
      </c>
      <c r="AO32" s="2970"/>
      <c r="AP32" s="2970"/>
    </row>
    <row r="33" spans="1:51" ht="12" customHeight="1" x14ac:dyDescent="0.2">
      <c r="A33" s="45"/>
      <c r="B33" s="2569"/>
      <c r="C33" s="3254"/>
      <c r="D33" s="3255"/>
      <c r="E33" s="3255"/>
      <c r="F33" s="3256"/>
      <c r="G33" s="3258"/>
      <c r="H33" s="3259"/>
      <c r="I33" s="3260"/>
      <c r="J33" s="3261"/>
      <c r="K33" s="1884"/>
      <c r="L33" s="3354"/>
      <c r="M33" s="3246" t="s">
        <v>1088</v>
      </c>
      <c r="N33" s="3246"/>
      <c r="O33" s="3248"/>
      <c r="P33" s="3248"/>
      <c r="Q33" s="1671">
        <f>IF(Comercio_final="-","-",Comercio_final+O33)</f>
        <v>-30</v>
      </c>
      <c r="R33" s="1892"/>
      <c r="S33" s="2904"/>
      <c r="T33" s="2905"/>
      <c r="U33" s="2978"/>
      <c r="V33" s="3344">
        <f>IF(Raza=0,0,VLOOKUP(Raza,Tabla_Razas,29,FALSE))</f>
        <v>0</v>
      </c>
      <c r="W33" s="3344"/>
      <c r="X33" s="3344"/>
      <c r="Y33" s="3344"/>
      <c r="Z33" s="3344"/>
      <c r="AA33" s="3347">
        <f>IF(Raza=0,0,VLOOKUP(Raza,Tabla_Razas,47,FALSE))</f>
        <v>0</v>
      </c>
      <c r="AB33" s="3347"/>
      <c r="AC33" s="3347"/>
      <c r="AD33" s="3347"/>
      <c r="AE33" s="3347"/>
      <c r="AF33" s="3371"/>
      <c r="AG33" s="3369"/>
      <c r="AH33" s="3369"/>
      <c r="AI33" s="3369"/>
      <c r="AJ33" s="3375"/>
      <c r="AK33" s="2971"/>
      <c r="AL33" s="1910"/>
      <c r="AM33" s="2962" t="s">
        <v>8548</v>
      </c>
      <c r="AN33" s="2970" t="str">
        <f>IF(Raza="Criatura","$AO$36",IF($AN$38,"V_Don_Y_Psi",IF($AN$36,"V_Don",IF($AN$37,"V_Psiquicos","$AO$37"))))</f>
        <v>$AO$37</v>
      </c>
      <c r="AP33" s="2970"/>
    </row>
    <row r="34" spans="1:51" ht="12" customHeight="1" x14ac:dyDescent="0.2">
      <c r="A34" s="45"/>
      <c r="B34" s="2569"/>
      <c r="C34" s="3254"/>
      <c r="D34" s="3255"/>
      <c r="E34" s="3255"/>
      <c r="F34" s="3256"/>
      <c r="G34" s="3258"/>
      <c r="H34" s="3259"/>
      <c r="I34" s="3260"/>
      <c r="J34" s="3261"/>
      <c r="K34" s="1998"/>
      <c r="L34" s="3354"/>
      <c r="M34" s="3246" t="s">
        <v>1089</v>
      </c>
      <c r="N34" s="3246"/>
      <c r="O34" s="3257"/>
      <c r="P34" s="3257"/>
      <c r="Q34" s="1671">
        <f>IF(Callejeo_final="-","-",Callejeo_final+O34)</f>
        <v>-30</v>
      </c>
      <c r="R34" s="1892"/>
      <c r="S34" s="2904"/>
      <c r="T34" s="2905"/>
      <c r="U34" s="2978"/>
      <c r="V34" s="3344">
        <f>IF(Raza=0,0,VLOOKUP(Raza,Tabla_Razas,32,FALSE))</f>
        <v>0</v>
      </c>
      <c r="W34" s="3344"/>
      <c r="X34" s="3344"/>
      <c r="Y34" s="3344"/>
      <c r="Z34" s="3344"/>
      <c r="AA34" s="3347">
        <f>IF(Raza=0,0,VLOOKUP(Raza,Tabla_Razas,50,FALSE))</f>
        <v>0</v>
      </c>
      <c r="AB34" s="3347"/>
      <c r="AC34" s="3347"/>
      <c r="AD34" s="3347"/>
      <c r="AE34" s="3347"/>
      <c r="AF34" s="3376"/>
      <c r="AG34" s="3377"/>
      <c r="AH34" s="3377"/>
      <c r="AI34" s="3377"/>
      <c r="AJ34" s="3378"/>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254"/>
      <c r="D35" s="3255"/>
      <c r="E35" s="3255"/>
      <c r="F35" s="3256"/>
      <c r="G35" s="3258"/>
      <c r="H35" s="3259"/>
      <c r="I35" s="3260"/>
      <c r="J35" s="3261"/>
      <c r="K35" s="1998"/>
      <c r="L35" s="3354"/>
      <c r="M35" s="3246" t="s">
        <v>1090</v>
      </c>
      <c r="N35" s="3246"/>
      <c r="O35" s="3257"/>
      <c r="P35" s="3257"/>
      <c r="Q35" s="1671">
        <f>IF(Etiqueta_final="-","-",Etiqueta_final+O35)</f>
        <v>-30</v>
      </c>
      <c r="R35" s="1892"/>
      <c r="S35" s="2904"/>
      <c r="T35" s="2905"/>
      <c r="U35" s="2978"/>
      <c r="V35" s="3344">
        <f>IF(Raza=0,0,VLOOKUP(Raza,Tabla_Razas,35,FALSE))</f>
        <v>0</v>
      </c>
      <c r="W35" s="3344"/>
      <c r="X35" s="3344"/>
      <c r="Y35" s="3344"/>
      <c r="Z35" s="3344"/>
      <c r="AA35" s="3347">
        <f>IF(Raza=0,0,VLOOKUP(Raza,Tabla_Razas,53,FALSE))</f>
        <v>0</v>
      </c>
      <c r="AB35" s="3347"/>
      <c r="AC35" s="3347"/>
      <c r="AD35" s="3347"/>
      <c r="AE35" s="3347"/>
      <c r="AF35" s="3466" t="str">
        <f>IF(SUM(Tablas!P236:P261)=0,"",IF(Tablas!P236+Tablas!P237+Tablas!P242+Tablas!P243+Tablas!P239+Tablas!P238+Tablas!P241&gt;0,"+10 Daño base ataques elemento afín",""))</f>
        <v/>
      </c>
      <c r="AG35" s="3466"/>
      <c r="AH35" s="3466"/>
      <c r="AI35" s="3466"/>
      <c r="AJ35" s="3466"/>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254"/>
      <c r="D36" s="3255"/>
      <c r="E36" s="3255"/>
      <c r="F36" s="3256"/>
      <c r="G36" s="3258"/>
      <c r="H36" s="3259"/>
      <c r="I36" s="3260"/>
      <c r="J36" s="3261"/>
      <c r="K36" s="1998"/>
      <c r="L36" s="3353" t="s">
        <v>1744</v>
      </c>
      <c r="M36" s="3272" t="s">
        <v>1745</v>
      </c>
      <c r="N36" s="3272"/>
      <c r="O36" s="3270">
        <f>IF(Combate!C15=0,0,VLOOKUP(Combate!C15,Tablas!$D$613:$Q$620,3))</f>
        <v>0</v>
      </c>
      <c r="P36" s="3270"/>
      <c r="Q36" s="1670">
        <f>IF(Advertir_final="-","-",Advertir_final+O36)</f>
        <v>-30</v>
      </c>
      <c r="R36" s="1892"/>
      <c r="S36" s="2904"/>
      <c r="T36" s="2905"/>
      <c r="U36" s="2978"/>
      <c r="V36" s="3462" t="s">
        <v>9166</v>
      </c>
      <c r="W36" s="3463"/>
      <c r="X36" s="3463"/>
      <c r="Y36" s="3463"/>
      <c r="Z36" s="3463"/>
      <c r="AA36" s="3463"/>
      <c r="AB36" s="3463"/>
      <c r="AC36" s="3463"/>
      <c r="AD36" s="3463"/>
      <c r="AE36" s="3464" t="str">
        <f>IF(Nephilim=0,"",IF(VLOOKUP(Nephilim,Tabla_Razas,20,FALSE)=0,"",VLOOKUP(Nephilim,Tabla_Razas,20,FALSE)))</f>
        <v/>
      </c>
      <c r="AF36" s="3388"/>
      <c r="AG36" s="3465"/>
      <c r="AH36" s="3387" t="str">
        <f>IF(Nephilim=0,"",IF(VLOOKUP(Nephilim,Tabla_Razas,23,FALSE)=0,"",VLOOKUP(Nephilim,Tabla_Razas,23,FALSE)))</f>
        <v/>
      </c>
      <c r="AI36" s="3388"/>
      <c r="AJ36" s="3389"/>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254"/>
      <c r="D37" s="3255"/>
      <c r="E37" s="3255"/>
      <c r="F37" s="3256"/>
      <c r="G37" s="3258"/>
      <c r="H37" s="3259"/>
      <c r="I37" s="3260"/>
      <c r="J37" s="3261"/>
      <c r="K37" s="1998"/>
      <c r="L37" s="3354"/>
      <c r="M37" s="3246" t="s">
        <v>1746</v>
      </c>
      <c r="N37" s="3246"/>
      <c r="O37" s="3248">
        <f>IF(Combate!C15=0,0,VLOOKUP(Combate!C15,Tablas!$D$613:$Q$620,3))</f>
        <v>0</v>
      </c>
      <c r="P37" s="3248"/>
      <c r="Q37" s="1671">
        <f>IF(Buscar_final="-","-",Buscar_final+O37)</f>
        <v>-30</v>
      </c>
      <c r="R37" s="1892"/>
      <c r="S37" s="2904"/>
      <c r="T37" s="2905"/>
      <c r="U37" s="2978"/>
      <c r="V37" s="3469" t="str">
        <f>IF(Nephilim=0,"",IF(VLOOKUP(Nephilim,Tabla_Razas,26,FALSE)=0,"",VLOOKUP(Nephilim,Tabla_Razas,26,FALSE)))</f>
        <v/>
      </c>
      <c r="W37" s="3394"/>
      <c r="X37" s="3395"/>
      <c r="Y37" s="3393" t="str">
        <f>IF(Nephilim=0,"",IF(VLOOKUP(Nephilim,Tabla_Razas,29,FALSE)=0,"",VLOOKUP(Nephilim,Tabla_Razas,29,FALSE)))</f>
        <v/>
      </c>
      <c r="Z37" s="3394"/>
      <c r="AA37" s="3395"/>
      <c r="AB37" s="3393" t="str">
        <f>IF(Nephilim=0,"",IF(VLOOKUP(Nephilim,Tabla_Razas,32,FALSE)=0,"",VLOOKUP(Nephilim,Tabla_Razas,32,FALSE)))</f>
        <v/>
      </c>
      <c r="AC37" s="3394"/>
      <c r="AD37" s="3395"/>
      <c r="AE37" s="3396" t="str">
        <f>IF(Nephilim=0,"",IF(VLOOKUP(Nephilim,Tabla_Razas,35,FALSE)=0,"",VLOOKUP(Nephilim,Tabla_Razas,35,FALSE)))</f>
        <v/>
      </c>
      <c r="AF37" s="3397"/>
      <c r="AG37" s="3398"/>
      <c r="AH37" s="3396" t="str">
        <f>IF(Nephilim=0,"",IF(VLOOKUP(Nephilim,Tabla_Razas,38,FALSE)=0,"",VLOOKUP(Nephilim,Tabla_Razas,38,FALSE)))</f>
        <v/>
      </c>
      <c r="AI37" s="3397"/>
      <c r="AJ37" s="3468"/>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254"/>
      <c r="D38" s="3255"/>
      <c r="E38" s="3255"/>
      <c r="F38" s="3256"/>
      <c r="G38" s="3258"/>
      <c r="H38" s="3259"/>
      <c r="I38" s="3260"/>
      <c r="J38" s="3261"/>
      <c r="K38" s="1998"/>
      <c r="L38" s="3355"/>
      <c r="M38" s="3249" t="s">
        <v>1747</v>
      </c>
      <c r="N38" s="3249"/>
      <c r="O38" s="3247"/>
      <c r="P38" s="3247"/>
      <c r="Q38" s="1672">
        <f>IF(Rastrear_final="-","-",Rastrear_final+O38)</f>
        <v>-30</v>
      </c>
      <c r="R38" s="1892"/>
      <c r="S38" s="2904"/>
      <c r="T38" s="2905"/>
      <c r="U38" s="2978"/>
      <c r="V38" s="3481" t="str">
        <f>IF(Nephilim=0,"",IF(VLOOKUP(Nephilim,Tabla_Razas,41,FALSE)=0,"",VLOOKUP(Nephilim,Tabla_Razas,41,FALSE)))</f>
        <v/>
      </c>
      <c r="W38" s="3482"/>
      <c r="X38" s="3483"/>
      <c r="Y38" s="3484" t="str">
        <f>IF(Nephilim=0,"",IF(VLOOKUP(Nephilim,Tabla_Razas,44,FALSE)=0,"",VLOOKUP(Nephilim,Tabla_Razas,44,FALSE)))</f>
        <v/>
      </c>
      <c r="Z38" s="3482"/>
      <c r="AA38" s="3483"/>
      <c r="AB38" s="3484" t="str">
        <f>IF(Nephilim="","",IF(VLOOKUP(Nephilim,Tabla_Razas,47,FALSE)=0,"",VLOOKUP(Nephilim,Tabla_Razas,47,FALSE)))</f>
        <v/>
      </c>
      <c r="AC38" s="3482"/>
      <c r="AD38" s="3483"/>
      <c r="AE38" s="3484" t="str">
        <f>IF(Nephilim=0,"",IF(VLOOKUP(Nephilim,Tabla_Razas,50,FALSE)=0,"",VLOOKUP(Nephilim,Tabla_Razas,50,FALSE)))</f>
        <v/>
      </c>
      <c r="AF38" s="3482"/>
      <c r="AG38" s="3483"/>
      <c r="AH38" s="3484" t="str">
        <f>IF(Nephilim=0,"",IF(VLOOKUP(Nephilim,Tabla_Razas,53,FALSE)=0,"",VLOOKUP(Nephilim,Tabla_Razas,53,FALSE)))</f>
        <v/>
      </c>
      <c r="AI38" s="3482"/>
      <c r="AJ38" s="3485"/>
      <c r="AK38" s="2105"/>
      <c r="AL38" s="1910"/>
      <c r="AM38" s="2962" t="s">
        <v>8553</v>
      </c>
      <c r="AN38" s="2970" t="b">
        <f>AND($AN$37,$AN$36)</f>
        <v>0</v>
      </c>
      <c r="AO38" s="2970"/>
      <c r="AP38" s="2970"/>
    </row>
    <row r="39" spans="1:51" ht="12" customHeight="1" x14ac:dyDescent="0.2">
      <c r="A39" s="45"/>
      <c r="B39" s="1585"/>
      <c r="C39" s="3254"/>
      <c r="D39" s="3255"/>
      <c r="E39" s="3255"/>
      <c r="F39" s="3256"/>
      <c r="G39" s="3258"/>
      <c r="H39" s="3259"/>
      <c r="I39" s="3260"/>
      <c r="J39" s="3261"/>
      <c r="K39" s="1998"/>
      <c r="L39" s="3354" t="s">
        <v>1748</v>
      </c>
      <c r="M39" s="3246" t="s">
        <v>1749</v>
      </c>
      <c r="N39" s="3246"/>
      <c r="O39" s="3248"/>
      <c r="P39" s="3248"/>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401"/>
      <c r="D40" s="3402"/>
      <c r="E40" s="3402"/>
      <c r="F40" s="3403"/>
      <c r="G40" s="3404"/>
      <c r="H40" s="3405"/>
      <c r="I40" s="3405"/>
      <c r="J40" s="3406"/>
      <c r="K40" s="1998"/>
      <c r="L40" s="3354"/>
      <c r="M40" s="3246" t="s">
        <v>1750</v>
      </c>
      <c r="N40" s="3246"/>
      <c r="O40" s="3248"/>
      <c r="P40" s="3248"/>
      <c r="Q40" s="1671" t="str">
        <f>IF(Ciencia_final="-","-",Ciencia_final+O40)</f>
        <v>-</v>
      </c>
      <c r="R40" s="1892"/>
      <c r="S40" s="2904"/>
      <c r="T40" s="2905"/>
      <c r="U40" s="2978"/>
      <c r="V40" s="3476" t="s">
        <v>1752</v>
      </c>
      <c r="W40" s="3477"/>
      <c r="X40" s="3477"/>
      <c r="Y40" s="3477"/>
      <c r="Z40" s="3477"/>
      <c r="AA40" s="3477"/>
      <c r="AB40" s="3477"/>
      <c r="AC40" s="3477"/>
      <c r="AD40" s="3477"/>
      <c r="AE40" s="3477"/>
      <c r="AF40" s="3477"/>
      <c r="AG40" s="3478"/>
      <c r="AH40" s="3479" t="s">
        <v>1684</v>
      </c>
      <c r="AI40" s="3480"/>
      <c r="AJ40" s="2880">
        <f>IF(ISNUMBER(SUM(AJ42:AJ69)+AJ70),SUM(AJ42:AJ69)+AJ70,0)</f>
        <v>0</v>
      </c>
      <c r="AK40" s="2961"/>
      <c r="AL40" s="1910"/>
      <c r="AM40" s="2962"/>
      <c r="AN40" s="2970"/>
      <c r="AO40" s="2970"/>
      <c r="AP40" s="2973"/>
    </row>
    <row r="41" spans="1:51" ht="12" customHeight="1" x14ac:dyDescent="0.2">
      <c r="A41" s="45"/>
      <c r="B41" s="1585"/>
      <c r="C41" s="3254"/>
      <c r="D41" s="3255"/>
      <c r="E41" s="3255"/>
      <c r="F41" s="3255"/>
      <c r="G41" s="3390"/>
      <c r="H41" s="3391"/>
      <c r="I41" s="3391"/>
      <c r="J41" s="3392"/>
      <c r="K41" s="1998"/>
      <c r="L41" s="3354"/>
      <c r="M41" s="3246" t="s">
        <v>3126</v>
      </c>
      <c r="N41" s="3246"/>
      <c r="O41" s="3248"/>
      <c r="P41" s="3248"/>
      <c r="Q41" s="1671">
        <f>IF(Ley_final="-","-",Ley_final+O41)</f>
        <v>-30</v>
      </c>
      <c r="R41" s="1892"/>
      <c r="S41" s="2906"/>
      <c r="T41" s="2905"/>
      <c r="U41" s="2978"/>
      <c r="V41" s="3251" t="s">
        <v>10519</v>
      </c>
      <c r="W41" s="3251"/>
      <c r="X41" s="3251"/>
      <c r="Y41" s="3251"/>
      <c r="Z41" s="3251"/>
      <c r="AA41" s="3461"/>
      <c r="AB41" s="3472" t="s">
        <v>1755</v>
      </c>
      <c r="AC41" s="3473"/>
      <c r="AD41" s="3473"/>
      <c r="AE41" s="3474"/>
      <c r="AF41" s="3473" t="s">
        <v>9461</v>
      </c>
      <c r="AG41" s="3473"/>
      <c r="AH41" s="3475"/>
      <c r="AI41" s="2879" t="s">
        <v>1688</v>
      </c>
      <c r="AJ41" s="2727" t="s">
        <v>1689</v>
      </c>
      <c r="AK41" s="2961"/>
      <c r="AL41" s="1910"/>
      <c r="AM41" s="2962" t="s">
        <v>10517</v>
      </c>
      <c r="AN41" s="2970"/>
      <c r="AO41" s="2970" t="s">
        <v>10518</v>
      </c>
      <c r="AP41" s="2963"/>
    </row>
    <row r="42" spans="1:51" ht="12" customHeight="1" x14ac:dyDescent="0.2">
      <c r="A42" s="45"/>
      <c r="B42" s="1585"/>
      <c r="C42" s="3254"/>
      <c r="D42" s="3255"/>
      <c r="E42" s="3255"/>
      <c r="F42" s="3255"/>
      <c r="G42" s="3390"/>
      <c r="H42" s="3391"/>
      <c r="I42" s="3391"/>
      <c r="J42" s="3392"/>
      <c r="K42" s="1998"/>
      <c r="L42" s="3354"/>
      <c r="M42" s="3246" t="s">
        <v>1751</v>
      </c>
      <c r="N42" s="3246"/>
      <c r="O42" s="3248"/>
      <c r="P42" s="3248"/>
      <c r="Q42" s="1671">
        <f>IF(Herbolaria_final="-","-",Herbolaria_final+O42)</f>
        <v>-30</v>
      </c>
      <c r="R42" s="1892"/>
      <c r="S42" s="2906">
        <f>IF(V42="",MAX($S$41:S41)+1,0)</f>
        <v>1</v>
      </c>
      <c r="T42" s="2905">
        <f>IF(V42="",0,MAX($T$41:T41)+1)</f>
        <v>0</v>
      </c>
      <c r="U42" s="2979">
        <f>IF(V42="",Tablas!A1,V42&amp;1)</f>
        <v>1</v>
      </c>
      <c r="V42" s="3486"/>
      <c r="W42" s="3487"/>
      <c r="X42" s="3487"/>
      <c r="Y42" s="3487"/>
      <c r="Z42" s="3487"/>
      <c r="AA42" s="3487"/>
      <c r="AB42" s="3470"/>
      <c r="AC42" s="3471"/>
      <c r="AD42" s="3471"/>
      <c r="AE42" s="3471"/>
      <c r="AF42" s="3402"/>
      <c r="AG42" s="3402"/>
      <c r="AH42" s="3403"/>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1803">
        <f>COUNTIF($AB$41:AB41,AB42&amp;"*")</f>
        <v>1</v>
      </c>
      <c r="AP42" s="2963"/>
      <c r="AQ42" s="2962" t="s">
        <v>8546</v>
      </c>
      <c r="AS42" s="2962" t="s">
        <v>8546</v>
      </c>
    </row>
    <row r="43" spans="1:51" ht="12" customHeight="1" x14ac:dyDescent="0.2">
      <c r="A43" s="45"/>
      <c r="B43" s="1585"/>
      <c r="C43" s="3254"/>
      <c r="D43" s="3255"/>
      <c r="E43" s="3255"/>
      <c r="F43" s="3255"/>
      <c r="G43" s="3455"/>
      <c r="H43" s="3456"/>
      <c r="I43" s="3456"/>
      <c r="J43" s="3457"/>
      <c r="K43" s="1998"/>
      <c r="L43" s="3354"/>
      <c r="M43" s="3246" t="s">
        <v>1753</v>
      </c>
      <c r="N43" s="3246"/>
      <c r="O43" s="3248"/>
      <c r="P43" s="3248"/>
      <c r="Q43" s="1671" t="str">
        <f>IF(Historia_final="-","-",Historia_final+O43)</f>
        <v>-</v>
      </c>
      <c r="R43" s="1892"/>
      <c r="S43" s="2906">
        <f>IF(V43="",MAX($S$41:S42)+1,0)</f>
        <v>2</v>
      </c>
      <c r="T43" s="2905">
        <f>IF(V43="",0,MAX($T$41:T42)+1)</f>
        <v>0</v>
      </c>
      <c r="U43" s="2979">
        <f>IF(V43="",Tablas!A2,IF(COUNTIF(V$42:V42,V43)&gt;0,V43&amp;COUNTIF(V$42:V42,V43)+1,V43&amp;1))</f>
        <v>2</v>
      </c>
      <c r="V43" s="3407"/>
      <c r="W43" s="3408"/>
      <c r="X43" s="3408"/>
      <c r="Y43" s="3408"/>
      <c r="Z43" s="3408"/>
      <c r="AA43" s="3408"/>
      <c r="AB43" s="3421"/>
      <c r="AC43" s="3422"/>
      <c r="AD43" s="3422"/>
      <c r="AE43" s="3422"/>
      <c r="AF43" s="3419"/>
      <c r="AG43" s="3419"/>
      <c r="AH43" s="3420"/>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1803">
        <f>COUNTIF($AB$41:AB42,AB43&amp;"*")</f>
        <v>1</v>
      </c>
      <c r="AP43" s="2963"/>
      <c r="AQ43" s="2964" t="str">
        <f>IF(A48="","",VLOOKUP(A48,Tablas!$E$491:$J$557,6,FALSE))</f>
        <v/>
      </c>
      <c r="AS43" s="2964" t="str">
        <f>IF(C48="","",VLOOKUP(C48,Tablas!$E$491:$J$557,6,FALSE))</f>
        <v/>
      </c>
    </row>
    <row r="44" spans="1:51" ht="12" customHeight="1" x14ac:dyDescent="0.2">
      <c r="A44" s="45"/>
      <c r="B44" s="1585"/>
      <c r="C44" s="3254"/>
      <c r="D44" s="3255"/>
      <c r="E44" s="3255"/>
      <c r="F44" s="3255"/>
      <c r="G44" s="3404"/>
      <c r="H44" s="3405"/>
      <c r="I44" s="3405"/>
      <c r="J44" s="3406"/>
      <c r="K44" s="1887"/>
      <c r="L44" s="3354"/>
      <c r="M44" s="3246" t="s">
        <v>1091</v>
      </c>
      <c r="N44" s="3246"/>
      <c r="O44" s="3248"/>
      <c r="P44" s="3248"/>
      <c r="Q44" s="1671">
        <f>IF(Tactica_final="-","-",Tactica_final+O44)</f>
        <v>-30</v>
      </c>
      <c r="R44" s="1892"/>
      <c r="S44" s="2906">
        <f>IF(V44="",MAX($S$41:S43)+1,0)</f>
        <v>3</v>
      </c>
      <c r="T44" s="2905">
        <f>IF(V44="",0,MAX($T$41:T43)+1)</f>
        <v>0</v>
      </c>
      <c r="U44" s="2979">
        <f>IF(V44="",Tablas!A3,IF(COUNTIF(V$42:V43,V44)&gt;0,V44&amp;COUNTIF(V$42:V43,V44)+1,V44&amp;1))</f>
        <v>3</v>
      </c>
      <c r="V44" s="3407"/>
      <c r="W44" s="3408"/>
      <c r="X44" s="3408"/>
      <c r="Y44" s="3408"/>
      <c r="Z44" s="3408"/>
      <c r="AA44" s="3408"/>
      <c r="AB44" s="3421"/>
      <c r="AC44" s="3422"/>
      <c r="AD44" s="3422"/>
      <c r="AE44" s="3422"/>
      <c r="AF44" s="3255"/>
      <c r="AG44" s="3255"/>
      <c r="AH44" s="3256"/>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1803">
        <f>COUNTIF($AB$41:AB43,AB44&amp;"*")</f>
        <v>1</v>
      </c>
      <c r="AP44" s="2970"/>
      <c r="AQ44" s="2964" t="str">
        <f>IF(A49="","",VLOOKUP(A49,Tablas!$E$491:$J$557,6,FALSE))</f>
        <v/>
      </c>
      <c r="AS44" s="2964" t="str">
        <f>IF(C49="","",VLOOKUP(C49,Tablas!$E$491:$J$557,6,FALSE))</f>
        <v/>
      </c>
      <c r="AY44" s="3110"/>
    </row>
    <row r="45" spans="1:51" ht="12" customHeight="1" x14ac:dyDescent="0.2">
      <c r="A45" s="45"/>
      <c r="B45" s="2569"/>
      <c r="C45" s="3254"/>
      <c r="D45" s="3255"/>
      <c r="E45" s="3255"/>
      <c r="F45" s="3255"/>
      <c r="G45" s="3384"/>
      <c r="H45" s="3385"/>
      <c r="I45" s="3385"/>
      <c r="J45" s="3386"/>
      <c r="K45" s="1887"/>
      <c r="L45" s="3354"/>
      <c r="M45" s="3246" t="s">
        <v>1756</v>
      </c>
      <c r="N45" s="3246"/>
      <c r="O45" s="3248"/>
      <c r="P45" s="3248"/>
      <c r="Q45" s="1671" t="str">
        <f>IF(Medicina_final="-","-",Medicina_final+O45)</f>
        <v>-</v>
      </c>
      <c r="R45" s="1892"/>
      <c r="S45" s="2906">
        <f>IF(V45="",MAX($S$41:S44)+1,0)</f>
        <v>4</v>
      </c>
      <c r="T45" s="2905">
        <f>IF(V45="",0,MAX($T$41:T44)+1)</f>
        <v>0</v>
      </c>
      <c r="U45" s="2979">
        <f>IF(V45="",Tablas!A4,IF(COUNTIF(V$42:V44,V45)&gt;0,V45&amp;COUNTIF(V$42:V44,V45)+1,V45&amp;1))</f>
        <v>4</v>
      </c>
      <c r="V45" s="3407"/>
      <c r="W45" s="3408"/>
      <c r="X45" s="3408"/>
      <c r="Y45" s="3408"/>
      <c r="Z45" s="3408"/>
      <c r="AA45" s="3408"/>
      <c r="AB45" s="3421"/>
      <c r="AC45" s="3422"/>
      <c r="AD45" s="3422"/>
      <c r="AE45" s="3422"/>
      <c r="AF45" s="3419"/>
      <c r="AG45" s="3419"/>
      <c r="AH45" s="3420"/>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1803">
        <f>COUNTIF($AB$41:AB44,AB45&amp;"*")</f>
        <v>1</v>
      </c>
      <c r="AP45" s="2970"/>
      <c r="AS45" s="2964" t="str">
        <f>IF(C50="","",VLOOKUP(C50,Tablas!$E$491:$J$557,6,FALSE))</f>
        <v/>
      </c>
      <c r="AY45" s="3110"/>
    </row>
    <row r="46" spans="1:51" ht="12" customHeight="1" x14ac:dyDescent="0.2">
      <c r="A46" s="45"/>
      <c r="B46" s="2569"/>
      <c r="C46" s="3399"/>
      <c r="D46" s="3400"/>
      <c r="E46" s="3400"/>
      <c r="F46" s="3400"/>
      <c r="G46" s="3384"/>
      <c r="H46" s="3385"/>
      <c r="I46" s="3385"/>
      <c r="J46" s="3386"/>
      <c r="K46" s="1887"/>
      <c r="L46" s="3354"/>
      <c r="M46" s="3246" t="s">
        <v>1757</v>
      </c>
      <c r="N46" s="3246"/>
      <c r="O46" s="3248"/>
      <c r="P46" s="3248"/>
      <c r="Q46" s="1671">
        <f>IF(Memorizar_final="-","-",Memorizar_final+O46)</f>
        <v>-30</v>
      </c>
      <c r="R46" s="1892"/>
      <c r="S46" s="2906">
        <f>IF(V46="",MAX($S$41:S45)+1,0)</f>
        <v>5</v>
      </c>
      <c r="T46" s="2905">
        <f>IF(V46="",0,MAX($T$41:T45)+1)</f>
        <v>0</v>
      </c>
      <c r="U46" s="2979">
        <f>IF(V46="",Tablas!A5,IF(COUNTIF(V$42:V45,V46)&gt;0,V46&amp;COUNTIF(V$42:V45,V46)+1,V46&amp;1))</f>
        <v>5</v>
      </c>
      <c r="V46" s="3407"/>
      <c r="W46" s="3408"/>
      <c r="X46" s="3408"/>
      <c r="Y46" s="3408"/>
      <c r="Z46" s="3408"/>
      <c r="AA46" s="3408"/>
      <c r="AB46" s="3421"/>
      <c r="AC46" s="3422"/>
      <c r="AD46" s="3422"/>
      <c r="AE46" s="3422"/>
      <c r="AF46" s="3419"/>
      <c r="AG46" s="3419"/>
      <c r="AH46" s="3420"/>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451" t="s">
        <v>3434</v>
      </c>
      <c r="D47" s="3452"/>
      <c r="E47" s="3452"/>
      <c r="F47" s="3452"/>
      <c r="G47" s="3384"/>
      <c r="H47" s="3385"/>
      <c r="I47" s="3385"/>
      <c r="J47" s="3386"/>
      <c r="K47" s="1885"/>
      <c r="L47" s="3354"/>
      <c r="M47" s="3246" t="s">
        <v>1758</v>
      </c>
      <c r="N47" s="3246"/>
      <c r="O47" s="3248"/>
      <c r="P47" s="3248"/>
      <c r="Q47" s="1671">
        <f>IF(Navegación_final="-","-",Navegación_final+O47)</f>
        <v>-30</v>
      </c>
      <c r="R47" s="1892"/>
      <c r="S47" s="2906">
        <f>IF(V47="",MAX($S$41:S46)+1,0)</f>
        <v>6</v>
      </c>
      <c r="T47" s="2905">
        <f>IF(V47="",0,MAX($T$41:T46)+1)</f>
        <v>0</v>
      </c>
      <c r="U47" s="2979">
        <f>IF(V47="",Tablas!A6,IF(COUNTIF(V$42:V46,V47)&gt;0,V47&amp;COUNTIF(V$42:V46,V47)+1,V47&amp;1))</f>
        <v>6</v>
      </c>
      <c r="V47" s="3407"/>
      <c r="W47" s="3408"/>
      <c r="X47" s="3408"/>
      <c r="Y47" s="3408"/>
      <c r="Z47" s="3408"/>
      <c r="AA47" s="3408"/>
      <c r="AB47" s="3421"/>
      <c r="AC47" s="3422"/>
      <c r="AD47" s="3422"/>
      <c r="AE47" s="3422"/>
      <c r="AF47" s="3419"/>
      <c r="AG47" s="3419"/>
      <c r="AH47" s="3420"/>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P47" s="2970"/>
    </row>
    <row r="48" spans="1:51" ht="12" customHeight="1" x14ac:dyDescent="0.2">
      <c r="A48" s="45"/>
      <c r="B48" s="2569"/>
      <c r="C48" s="3453"/>
      <c r="D48" s="3454"/>
      <c r="E48" s="3454"/>
      <c r="F48" s="3454"/>
      <c r="G48" s="3384"/>
      <c r="H48" s="3385"/>
      <c r="I48" s="3385"/>
      <c r="J48" s="3386"/>
      <c r="K48" s="1887"/>
      <c r="L48" s="3354"/>
      <c r="M48" s="3246" t="s">
        <v>1759</v>
      </c>
      <c r="N48" s="3246"/>
      <c r="O48" s="3248"/>
      <c r="P48" s="3248"/>
      <c r="Q48" s="1671">
        <f>IF(Ocultismo_final="-","-",Ocultismo_final+O48)</f>
        <v>-25</v>
      </c>
      <c r="R48" s="1892"/>
      <c r="S48" s="2906">
        <f>IF(V48="",MAX($S$41:S47)+1,0)</f>
        <v>7</v>
      </c>
      <c r="T48" s="2905">
        <f>IF(V48="",0,MAX($T$41:T47)+1)</f>
        <v>0</v>
      </c>
      <c r="U48" s="2979">
        <f>IF(V48="",Tablas!A7,IF(COUNTIF(V$42:V47,V48)&gt;0,V48&amp;COUNTIF(V$42:V47,V48)+1,V48&amp;1))</f>
        <v>7</v>
      </c>
      <c r="V48" s="3407"/>
      <c r="W48" s="3408"/>
      <c r="X48" s="3408"/>
      <c r="Y48" s="3408"/>
      <c r="Z48" s="3408"/>
      <c r="AA48" s="3408"/>
      <c r="AB48" s="3421"/>
      <c r="AC48" s="3422"/>
      <c r="AD48" s="3422"/>
      <c r="AE48" s="3422"/>
      <c r="AF48" s="3419"/>
      <c r="AG48" s="3419"/>
      <c r="AH48" s="3420"/>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P48" s="2970"/>
    </row>
    <row r="49" spans="1:51" ht="12" customHeight="1" x14ac:dyDescent="0.2">
      <c r="A49" s="45"/>
      <c r="B49" s="2569"/>
      <c r="C49" s="3413"/>
      <c r="D49" s="3414"/>
      <c r="E49" s="3414"/>
      <c r="F49" s="3414"/>
      <c r="G49" s="3384"/>
      <c r="H49" s="3385"/>
      <c r="I49" s="3385"/>
      <c r="J49" s="3386"/>
      <c r="K49" s="1884"/>
      <c r="L49" s="3354"/>
      <c r="M49" s="3246" t="s">
        <v>1760</v>
      </c>
      <c r="N49" s="3246"/>
      <c r="O49" s="3248"/>
      <c r="P49" s="3248"/>
      <c r="Q49" s="1671" t="str">
        <f>IF(Tasación_final="-","-",Tasación_final+O49)</f>
        <v>-</v>
      </c>
      <c r="R49" s="1892"/>
      <c r="S49" s="2906">
        <f>IF(V49="",MAX($S$41:S48)+1,0)</f>
        <v>8</v>
      </c>
      <c r="T49" s="2905">
        <f>IF(V49="",0,MAX($T$41:T48)+1)</f>
        <v>0</v>
      </c>
      <c r="U49" s="2979">
        <f>IF(V49="",Tablas!A8,IF(COUNTIF(V$42:V48,V49)&gt;0,V49&amp;COUNTIF(V$42:V48,V49)+1,V49&amp;1))</f>
        <v>8</v>
      </c>
      <c r="V49" s="3407"/>
      <c r="W49" s="3408"/>
      <c r="X49" s="3408"/>
      <c r="Y49" s="3408"/>
      <c r="Z49" s="3408"/>
      <c r="AA49" s="3408"/>
      <c r="AB49" s="3421"/>
      <c r="AC49" s="3422"/>
      <c r="AD49" s="3422"/>
      <c r="AE49" s="3422"/>
      <c r="AF49" s="3419"/>
      <c r="AG49" s="3419"/>
      <c r="AH49" s="3420"/>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P49" s="2970"/>
    </row>
    <row r="50" spans="1:51" ht="12" customHeight="1" thickBot="1" x14ac:dyDescent="0.25">
      <c r="A50" s="45"/>
      <c r="B50" s="2569"/>
      <c r="C50" s="3415"/>
      <c r="D50" s="3416"/>
      <c r="E50" s="3416"/>
      <c r="F50" s="3416"/>
      <c r="G50" s="3458"/>
      <c r="H50" s="3459"/>
      <c r="I50" s="3459"/>
      <c r="J50" s="3460"/>
      <c r="K50" s="1884"/>
      <c r="L50" s="3354"/>
      <c r="M50" s="3246" t="s">
        <v>1761</v>
      </c>
      <c r="N50" s="3246"/>
      <c r="O50" s="3248"/>
      <c r="P50" s="3248"/>
      <c r="Q50" s="1671" t="str">
        <f>IF(V.Mágica_final="-","-",V.Mágica_final+O50)</f>
        <v>-</v>
      </c>
      <c r="R50" s="1892"/>
      <c r="S50" s="2906">
        <f>IF(V50="",MAX($S$41:S49)+1,0)</f>
        <v>9</v>
      </c>
      <c r="T50" s="2905">
        <f>IF(V50="",0,MAX($T$41:T49)+1)</f>
        <v>0</v>
      </c>
      <c r="U50" s="2979">
        <f>IF(V50="",Tablas!A9,IF(COUNTIF(V$42:V49,V50)&gt;0,V50&amp;COUNTIF(V$42:V49,V50)+1,V50&amp;1))</f>
        <v>9</v>
      </c>
      <c r="V50" s="3407"/>
      <c r="W50" s="3408"/>
      <c r="X50" s="3408"/>
      <c r="Y50" s="3408"/>
      <c r="Z50" s="3408"/>
      <c r="AA50" s="3408"/>
      <c r="AB50" s="3421"/>
      <c r="AC50" s="3422"/>
      <c r="AD50" s="3422"/>
      <c r="AE50" s="3422"/>
      <c r="AF50" s="3419"/>
      <c r="AG50" s="3419"/>
      <c r="AH50" s="3420"/>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P50" s="2970"/>
    </row>
    <row r="51" spans="1:51" ht="12" customHeight="1" x14ac:dyDescent="0.2">
      <c r="A51" s="45"/>
      <c r="B51" s="2569"/>
      <c r="C51" s="3409" t="str">
        <f>IF(COUNTIF(Principal!$AS$43:$AS$45,"Trasfondo")&gt;0,"PC exclusivos trasfondo","")</f>
        <v/>
      </c>
      <c r="D51" s="3409"/>
      <c r="E51" s="3409"/>
      <c r="F51" s="2517">
        <f>-Tablas!$F$234</f>
        <v>0</v>
      </c>
      <c r="G51" s="3410" t="str">
        <f>IF(AND(COUNTIF(Principal!$AS$43:$AS$45,"Don")&gt;0,COUNTIF(Principal!$AS$43:$AS$45,"Psiquicos")&gt;0),"PC exclusivos Don/Psíquicos",IF(COUNTIF(Principal!$AS$43:$AS$45,"Don")&gt;0,"PC exclusivos Don",IF(COUNTIF(Principal!$AS$43:$AS$45,"Psiquicos")&gt;0,"PC exclusivos Psíquica","")))</f>
        <v/>
      </c>
      <c r="H51" s="3411"/>
      <c r="I51" s="3411"/>
      <c r="J51" s="1999">
        <f>-Tablas!E234</f>
        <v>0</v>
      </c>
      <c r="K51" s="1884"/>
      <c r="L51" s="3353" t="s">
        <v>1762</v>
      </c>
      <c r="M51" s="3272" t="s">
        <v>1763</v>
      </c>
      <c r="N51" s="3272"/>
      <c r="O51" s="3270"/>
      <c r="P51" s="3270"/>
      <c r="Q51" s="1670">
        <f>IF(Frialdad_final="-","-",Frialdad_final+O51)</f>
        <v>-30</v>
      </c>
      <c r="R51" s="1892"/>
      <c r="S51" s="2906">
        <f>IF(V51="",MAX($S$41:S50)+1,0)</f>
        <v>10</v>
      </c>
      <c r="T51" s="2905">
        <f>IF(V51="",0,MAX($T$41:T50)+1)</f>
        <v>0</v>
      </c>
      <c r="U51" s="2979">
        <f>IF(V51="",Tablas!A10,IF(COUNTIF(V$42:V50,V51)&gt;0,V51&amp;COUNTIF(V$42:V50,V51)+1,V51&amp;1))</f>
        <v>10</v>
      </c>
      <c r="V51" s="3407"/>
      <c r="W51" s="3408"/>
      <c r="X51" s="3408"/>
      <c r="Y51" s="3408"/>
      <c r="Z51" s="3408"/>
      <c r="AA51" s="3408"/>
      <c r="AB51" s="3421"/>
      <c r="AC51" s="3422"/>
      <c r="AD51" s="3422"/>
      <c r="AE51" s="3422"/>
      <c r="AF51" s="3419"/>
      <c r="AG51" s="3419"/>
      <c r="AH51" s="3420"/>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354"/>
      <c r="M52" s="3246" t="s">
        <v>1764</v>
      </c>
      <c r="N52" s="3246"/>
      <c r="O52" s="3248">
        <f>Combate!$R$17</f>
        <v>0</v>
      </c>
      <c r="P52" s="3248"/>
      <c r="Q52" s="1671">
        <f>IF(P.Fuerza_final="-","-",P.Fuerza_final+O52)</f>
        <v>-30</v>
      </c>
      <c r="R52" s="1892"/>
      <c r="S52" s="2906">
        <f>IF(V52="",MAX($S$41:S51)+1,0)</f>
        <v>11</v>
      </c>
      <c r="T52" s="2905">
        <f>IF(V52="",0,MAX($T$41:T51)+1)</f>
        <v>0</v>
      </c>
      <c r="U52" s="2979">
        <f>IF(V52="",Tablas!A11,IF(COUNTIF(V$42:V51,V52)&gt;0,V52&amp;COUNTIF(V$42:V51,V52)+1,V52&amp;1))</f>
        <v>11</v>
      </c>
      <c r="V52" s="3407"/>
      <c r="W52" s="3408"/>
      <c r="X52" s="3408"/>
      <c r="Y52" s="3408"/>
      <c r="Z52" s="3408"/>
      <c r="AA52" s="3408"/>
      <c r="AB52" s="3421"/>
      <c r="AC52" s="3422"/>
      <c r="AD52" s="3422"/>
      <c r="AE52" s="3422"/>
      <c r="AF52" s="3419"/>
      <c r="AG52" s="3419"/>
      <c r="AH52" s="3420"/>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55"/>
      <c r="M53" s="3249" t="s">
        <v>1767</v>
      </c>
      <c r="N53" s="3249"/>
      <c r="O53" s="3247"/>
      <c r="P53" s="3247"/>
      <c r="Q53" s="1672">
        <f>IF(Res.Dolor_final="-","-",Res.Dolor_final+O53)</f>
        <v>-30</v>
      </c>
      <c r="R53" s="1892"/>
      <c r="S53" s="2906">
        <f>IF(V53="",MAX($S$41:S52)+1,0)</f>
        <v>12</v>
      </c>
      <c r="T53" s="2905">
        <f>IF(V53="",0,MAX($T$41:T52)+1)</f>
        <v>0</v>
      </c>
      <c r="U53" s="2979">
        <f>IF(V53="",Tablas!A12,IF(COUNTIF(V$42:V52,V53)&gt;0,V53&amp;COUNTIF(V$42:V52,V53)+1,V53&amp;1))</f>
        <v>12</v>
      </c>
      <c r="V53" s="3407"/>
      <c r="W53" s="3408"/>
      <c r="X53" s="3408"/>
      <c r="Y53" s="3408"/>
      <c r="Z53" s="3408"/>
      <c r="AA53" s="3408"/>
      <c r="AB53" s="3421"/>
      <c r="AC53" s="3422"/>
      <c r="AD53" s="3422"/>
      <c r="AE53" s="3422"/>
      <c r="AF53" s="3419"/>
      <c r="AG53" s="3419"/>
      <c r="AH53" s="3420"/>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276" t="s">
        <v>1765</v>
      </c>
      <c r="D54" s="3184"/>
      <c r="E54" s="3184"/>
      <c r="F54" s="2748" t="s">
        <v>1677</v>
      </c>
      <c r="G54" s="2748" t="s">
        <v>1679</v>
      </c>
      <c r="H54" s="2748" t="s">
        <v>1766</v>
      </c>
      <c r="I54" s="2748" t="s">
        <v>1731</v>
      </c>
      <c r="J54" s="21" t="s">
        <v>1661</v>
      </c>
      <c r="K54" s="1884"/>
      <c r="L54" s="3354" t="s">
        <v>1770</v>
      </c>
      <c r="M54" s="3246" t="s">
        <v>1771</v>
      </c>
      <c r="N54" s="3246"/>
      <c r="O54" s="3248"/>
      <c r="P54" s="3248"/>
      <c r="Q54" s="1671">
        <f>IF(Cerrajería_final="-","-",Cerrajería_final+O54)</f>
        <v>-30</v>
      </c>
      <c r="R54" s="1892"/>
      <c r="S54" s="2906">
        <f>IF(V54="",MAX($S$41:S53)+1,0)</f>
        <v>13</v>
      </c>
      <c r="T54" s="2905">
        <f>IF(V54="",0,MAX($T$41:T53)+1)</f>
        <v>0</v>
      </c>
      <c r="U54" s="2979">
        <f>IF(V54="",Tablas!A13,IF(COUNTIF(V$42:V53,V54)&gt;0,V54&amp;COUNTIF(V$42:V53,V54)+1,V54&amp;1))</f>
        <v>13</v>
      </c>
      <c r="V54" s="3407"/>
      <c r="W54" s="3408"/>
      <c r="X54" s="3408"/>
      <c r="Y54" s="3408"/>
      <c r="Z54" s="3408"/>
      <c r="AA54" s="3408"/>
      <c r="AB54" s="3421"/>
      <c r="AC54" s="3422"/>
      <c r="AD54" s="3422"/>
      <c r="AE54" s="3422"/>
      <c r="AF54" s="3419"/>
      <c r="AG54" s="3419"/>
      <c r="AH54" s="3420"/>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276"/>
      <c r="D55" s="3412" t="s">
        <v>1768</v>
      </c>
      <c r="E55" s="3412"/>
      <c r="F55" s="2735">
        <f>IF(SUM(PDs!$X$5:$X$14)=0,20,25+(SUM(PDs!$X$5:$X$14)*5))</f>
        <v>30</v>
      </c>
      <c r="G55" s="2735" t="s">
        <v>1769</v>
      </c>
      <c r="H55" s="2735" t="s">
        <v>1769</v>
      </c>
      <c r="I55" s="113"/>
      <c r="J55" s="99">
        <f>F55+I55</f>
        <v>30</v>
      </c>
      <c r="K55" s="1884"/>
      <c r="L55" s="3354"/>
      <c r="M55" s="3246" t="s">
        <v>1773</v>
      </c>
      <c r="N55" s="3246"/>
      <c r="O55" s="3248"/>
      <c r="P55" s="3248"/>
      <c r="Q55" s="1671">
        <f>IF(Disfraz_final="-","-",Disfraz_final+O55)</f>
        <v>-30</v>
      </c>
      <c r="R55" s="1892"/>
      <c r="S55" s="2906">
        <f>IF(V55="",MAX($S$41:S54)+1,0)</f>
        <v>14</v>
      </c>
      <c r="T55" s="2905">
        <f>IF(V55="",0,MAX($T$41:T54)+1)</f>
        <v>0</v>
      </c>
      <c r="U55" s="2979">
        <f>IF(V55="",Tablas!A14,IF(COUNTIF(V$42:V54,V55)&gt;0,V55&amp;COUNTIF(V$42:V54,V55)+1,V55&amp;1))</f>
        <v>14</v>
      </c>
      <c r="V55" s="3407"/>
      <c r="W55" s="3408"/>
      <c r="X55" s="3408"/>
      <c r="Y55" s="3408"/>
      <c r="Z55" s="3408"/>
      <c r="AA55" s="3408"/>
      <c r="AB55" s="3421"/>
      <c r="AC55" s="3422"/>
      <c r="AD55" s="3422"/>
      <c r="AE55" s="3422"/>
      <c r="AF55" s="3419"/>
      <c r="AG55" s="3419"/>
      <c r="AH55" s="3420"/>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276"/>
      <c r="D56" s="3412" t="s">
        <v>1772</v>
      </c>
      <c r="E56" s="3412"/>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4"/>
      <c r="M56" s="3246" t="s">
        <v>1775</v>
      </c>
      <c r="N56" s="3246"/>
      <c r="O56" s="3248">
        <f>Combate!$R$17</f>
        <v>0</v>
      </c>
      <c r="P56" s="3248"/>
      <c r="Q56" s="1671">
        <f>IF(Ocultarse_final="-","-",Ocultarse_final+O56)</f>
        <v>-30</v>
      </c>
      <c r="R56" s="1892"/>
      <c r="S56" s="2906">
        <f>IF(V56="",MAX($S$41:S55)+1,0)</f>
        <v>15</v>
      </c>
      <c r="T56" s="2905">
        <f>IF(V56="",0,MAX($T$41:T55)+1)</f>
        <v>0</v>
      </c>
      <c r="U56" s="2979">
        <f>IF(V56="",Tablas!A15,IF(COUNTIF(V$42:V55,V56)&gt;0,V56&amp;COUNTIF(V$42:V55,V56)+1,V56&amp;1))</f>
        <v>15</v>
      </c>
      <c r="V56" s="3407"/>
      <c r="W56" s="3408"/>
      <c r="X56" s="3408"/>
      <c r="Y56" s="3408"/>
      <c r="Z56" s="3408"/>
      <c r="AA56" s="3408"/>
      <c r="AB56" s="3421"/>
      <c r="AC56" s="3422"/>
      <c r="AD56" s="3422"/>
      <c r="AE56" s="3422"/>
      <c r="AF56" s="3419"/>
      <c r="AG56" s="3419"/>
      <c r="AH56" s="3420"/>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276"/>
      <c r="D57" s="3412" t="s">
        <v>1774</v>
      </c>
      <c r="E57" s="3412"/>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54"/>
      <c r="M57" s="3246" t="s">
        <v>1777</v>
      </c>
      <c r="N57" s="3246"/>
      <c r="O57" s="3248"/>
      <c r="P57" s="3248"/>
      <c r="Q57" s="1671">
        <f>IF(Robo_final="-","-",Robo_final+O57)</f>
        <v>-30</v>
      </c>
      <c r="R57" s="1892"/>
      <c r="S57" s="2906">
        <f>IF(V57="",MAX($S$41:S56)+1,0)</f>
        <v>16</v>
      </c>
      <c r="T57" s="2905">
        <f>IF(V57="",0,MAX($T$41:T56)+1)</f>
        <v>0</v>
      </c>
      <c r="U57" s="2979">
        <f>IF(V57="",Tablas!A16,IF(COUNTIF(V$42:V56,V57)&gt;0,V57&amp;COUNTIF(V$42:V56,V57)+1,V57&amp;1))</f>
        <v>16</v>
      </c>
      <c r="V57" s="3407"/>
      <c r="W57" s="3408"/>
      <c r="X57" s="3408"/>
      <c r="Y57" s="3408"/>
      <c r="Z57" s="3408"/>
      <c r="AA57" s="3408"/>
      <c r="AB57" s="3421"/>
      <c r="AC57" s="3422"/>
      <c r="AD57" s="3422"/>
      <c r="AE57" s="3422"/>
      <c r="AF57" s="3419"/>
      <c r="AG57" s="3419"/>
      <c r="AH57" s="3420"/>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276"/>
      <c r="D58" s="3412" t="s">
        <v>1776</v>
      </c>
      <c r="E58" s="3412"/>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4"/>
      <c r="M58" s="3246" t="s">
        <v>1779</v>
      </c>
      <c r="N58" s="3246"/>
      <c r="O58" s="3248">
        <f>MIN(MAX(Combate!H17-Combate!H16+Principal!H25,Combate!H17),TRUNC(Combate!H17/2,0))+MAX(MIN(-20*IF(OR(Combate!C12=0,Combate!B12="Natural"),0,1)-20*IF(OR(Combate!C13=0,Combate!B13="Natural"),0,1)-20*IF(OR(Combate!C14=0,Combate!B14="Natural"),0,1)+20,0),-40)</f>
        <v>0</v>
      </c>
      <c r="P58" s="3248"/>
      <c r="Q58" s="1671">
        <f>IF(Sigilo_final="-","-",Sigilo_final+O58)</f>
        <v>-30</v>
      </c>
      <c r="R58" s="1892"/>
      <c r="S58" s="2906">
        <f>IF(V58="",MAX($S$41:S57)+1,0)</f>
        <v>17</v>
      </c>
      <c r="T58" s="2905">
        <f>IF(V58="",0,MAX($T$41:T57)+1)</f>
        <v>0</v>
      </c>
      <c r="U58" s="2979">
        <f>IF(V58="",Tablas!A17,IF(COUNTIF(V$42:V57,V58)&gt;0,V58&amp;COUNTIF(V$42:V57,V58)+1,V58&amp;1))</f>
        <v>17</v>
      </c>
      <c r="V58" s="3407"/>
      <c r="W58" s="3408"/>
      <c r="X58" s="3408"/>
      <c r="Y58" s="3408"/>
      <c r="Z58" s="3408"/>
      <c r="AA58" s="3408"/>
      <c r="AB58" s="3421"/>
      <c r="AC58" s="3422"/>
      <c r="AD58" s="3422"/>
      <c r="AE58" s="3422"/>
      <c r="AF58" s="3419"/>
      <c r="AG58" s="3419"/>
      <c r="AH58" s="3420"/>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276"/>
      <c r="D59" s="3412" t="s">
        <v>1778</v>
      </c>
      <c r="E59" s="3412"/>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4"/>
      <c r="M59" s="3246" t="s">
        <v>1781</v>
      </c>
      <c r="N59" s="3246"/>
      <c r="O59" s="3248"/>
      <c r="P59" s="3248"/>
      <c r="Q59" s="1671">
        <f>IF(Trampería_final="-","-",Trampería_final+O59)</f>
        <v>-30</v>
      </c>
      <c r="R59" s="1892"/>
      <c r="S59" s="2906">
        <f>IF(V59="",MAX($S$41:S58)+1,0)</f>
        <v>18</v>
      </c>
      <c r="T59" s="2905">
        <f>IF(V59="",0,MAX($T$41:T58)+1)</f>
        <v>0</v>
      </c>
      <c r="U59" s="2979">
        <f>IF(V59="",Tablas!A18,IF(COUNTIF(V$42:V58,V59)&gt;0,V59&amp;COUNTIF(V$42:V58,V59)+1,V59&amp;1))</f>
        <v>18</v>
      </c>
      <c r="V59" s="3407"/>
      <c r="W59" s="3408"/>
      <c r="X59" s="3408"/>
      <c r="Y59" s="3408"/>
      <c r="Z59" s="3408"/>
      <c r="AA59" s="3408"/>
      <c r="AB59" s="3421"/>
      <c r="AC59" s="3422"/>
      <c r="AD59" s="3422"/>
      <c r="AE59" s="3422"/>
      <c r="AF59" s="3419"/>
      <c r="AG59" s="3419"/>
      <c r="AH59" s="3420"/>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276"/>
      <c r="D60" s="3417" t="s">
        <v>1780</v>
      </c>
      <c r="E60" s="3417"/>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354"/>
      <c r="M60" s="3246" t="s">
        <v>1782</v>
      </c>
      <c r="N60" s="3246"/>
      <c r="O60" s="3248"/>
      <c r="P60" s="3248"/>
      <c r="Q60" s="1671">
        <f>IF(Venenos_final="-","-",Venenos_final+O60)</f>
        <v>-30</v>
      </c>
      <c r="R60" s="1892"/>
      <c r="S60" s="2906">
        <f>IF(V60="",MAX($S$41:S59)+1,0)</f>
        <v>19</v>
      </c>
      <c r="T60" s="2905">
        <f>IF(V60="",0,MAX($T$41:T59)+1)</f>
        <v>0</v>
      </c>
      <c r="U60" s="2979">
        <f>IF(V60="",Tablas!A19,IF(COUNTIF(V$42:V59,V60)&gt;0,V60&amp;COUNTIF(V$42:V59,V60)+1,V60&amp;1))</f>
        <v>19</v>
      </c>
      <c r="V60" s="3407"/>
      <c r="W60" s="3408"/>
      <c r="X60" s="3408"/>
      <c r="Y60" s="3408"/>
      <c r="Z60" s="3408"/>
      <c r="AA60" s="3408"/>
      <c r="AB60" s="3421"/>
      <c r="AC60" s="3422"/>
      <c r="AD60" s="3422"/>
      <c r="AE60" s="3422"/>
      <c r="AF60" s="3419"/>
      <c r="AG60" s="3419"/>
      <c r="AH60" s="3420"/>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276"/>
      <c r="D61" s="2734" t="s">
        <v>1691</v>
      </c>
      <c r="E61" s="3383"/>
      <c r="F61" s="3383"/>
      <c r="G61" s="3383"/>
      <c r="H61" s="3383"/>
      <c r="I61" s="3383"/>
      <c r="J61" s="3383"/>
      <c r="K61" s="1884"/>
      <c r="L61" s="3353" t="s">
        <v>1783</v>
      </c>
      <c r="M61" s="3272" t="s">
        <v>1784</v>
      </c>
      <c r="N61" s="3272"/>
      <c r="O61" s="3270"/>
      <c r="P61" s="3270"/>
      <c r="Q61" s="1670">
        <f>IF(Arte_final="-","-",Arte_final+O61)</f>
        <v>-30</v>
      </c>
      <c r="R61" s="1892"/>
      <c r="S61" s="2906">
        <f>IF(V61="",MAX($S$41:S60)+1,0)</f>
        <v>20</v>
      </c>
      <c r="T61" s="2905">
        <f>IF(V61="",0,MAX($T$41:T60)+1)</f>
        <v>0</v>
      </c>
      <c r="U61" s="2979">
        <f>IF(V61="",Tablas!A20,IF(COUNTIF(V$42:V60,V61)&gt;0,V61&amp;COUNTIF(V$42:V60,V61)+1,V61&amp;1))</f>
        <v>20</v>
      </c>
      <c r="V61" s="3407"/>
      <c r="W61" s="3408"/>
      <c r="X61" s="3408"/>
      <c r="Y61" s="3408"/>
      <c r="Z61" s="3408"/>
      <c r="AA61" s="3408"/>
      <c r="AB61" s="3421"/>
      <c r="AC61" s="3422"/>
      <c r="AD61" s="3422"/>
      <c r="AE61" s="3422"/>
      <c r="AF61" s="3419"/>
      <c r="AG61" s="3419"/>
      <c r="AH61" s="3420"/>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276"/>
      <c r="D62" s="56"/>
      <c r="E62" s="3383"/>
      <c r="F62" s="3383"/>
      <c r="G62" s="3383"/>
      <c r="H62" s="3383"/>
      <c r="I62" s="3383"/>
      <c r="J62" s="3383"/>
      <c r="K62" s="1884"/>
      <c r="L62" s="3354"/>
      <c r="M62" s="3246" t="s">
        <v>1785</v>
      </c>
      <c r="N62" s="3246"/>
      <c r="O62" s="3248">
        <f>Combate!$R$17</f>
        <v>0</v>
      </c>
      <c r="P62" s="3248"/>
      <c r="Q62" s="1671">
        <f>IF(Baile_final="-","-",Baile_final+O62)</f>
        <v>-30</v>
      </c>
      <c r="R62" s="1892"/>
      <c r="S62" s="2906">
        <f>IF(V62="",MAX($S$41:S61)+1,0)</f>
        <v>21</v>
      </c>
      <c r="T62" s="2905">
        <f>IF(V62="",0,MAX($T$41:T61)+1)</f>
        <v>0</v>
      </c>
      <c r="U62" s="2979">
        <f>IF(V62="",Tablas!A21,IF(COUNTIF(V$42:V61,V62)&gt;0,V62&amp;COUNTIF(V$42:V61,V62)+1,V62&amp;1))</f>
        <v>21</v>
      </c>
      <c r="V62" s="3407"/>
      <c r="W62" s="3408"/>
      <c r="X62" s="3408"/>
      <c r="Y62" s="3408"/>
      <c r="Z62" s="3408"/>
      <c r="AA62" s="3408"/>
      <c r="AB62" s="3421"/>
      <c r="AC62" s="3422"/>
      <c r="AD62" s="3422"/>
      <c r="AE62" s="3422"/>
      <c r="AF62" s="3419"/>
      <c r="AG62" s="3419"/>
      <c r="AH62" s="3420"/>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276"/>
      <c r="D63" s="3418"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18"/>
      <c r="F63" s="3418"/>
      <c r="G63" s="3418"/>
      <c r="H63" s="3418"/>
      <c r="I63" s="3418"/>
      <c r="J63" s="3418"/>
      <c r="K63" s="1884"/>
      <c r="L63" s="3354"/>
      <c r="M63" s="3246" t="s">
        <v>1786</v>
      </c>
      <c r="N63" s="3246"/>
      <c r="O63" s="3248"/>
      <c r="P63" s="3248"/>
      <c r="Q63" s="1671" t="str">
        <f>IF(Forja_final="-","-",Forja_final+O63)</f>
        <v>-</v>
      </c>
      <c r="R63" s="1892"/>
      <c r="S63" s="2906">
        <f>IF(V63="",MAX($S$41:S62)+1,0)</f>
        <v>22</v>
      </c>
      <c r="T63" s="2905">
        <f>IF(V63="",0,MAX($T$41:T62)+1)</f>
        <v>0</v>
      </c>
      <c r="U63" s="2979">
        <f>IF(V63="",Tablas!A22,IF(COUNTIF(V$42:V62,V63)&gt;0,V63&amp;COUNTIF(V$42:V62,V63)+1,V63&amp;1))</f>
        <v>22</v>
      </c>
      <c r="V63" s="3407"/>
      <c r="W63" s="3408"/>
      <c r="X63" s="3408"/>
      <c r="Y63" s="3408"/>
      <c r="Z63" s="3408"/>
      <c r="AA63" s="3408"/>
      <c r="AB63" s="3421"/>
      <c r="AC63" s="3422"/>
      <c r="AD63" s="3422"/>
      <c r="AE63" s="3422"/>
      <c r="AF63" s="3419"/>
      <c r="AG63" s="3419"/>
      <c r="AH63" s="3420"/>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3110"/>
    </row>
    <row r="64" spans="1:51" ht="12" customHeight="1" x14ac:dyDescent="0.2">
      <c r="A64" s="45"/>
      <c r="B64" s="2569"/>
      <c r="C64" s="68"/>
      <c r="D64" s="68"/>
      <c r="E64" s="68"/>
      <c r="F64" s="68"/>
      <c r="G64" s="68"/>
      <c r="H64" s="68"/>
      <c r="I64" s="68"/>
      <c r="J64" s="68"/>
      <c r="K64" s="1884"/>
      <c r="L64" s="3354"/>
      <c r="M64" s="3246" t="s">
        <v>1085</v>
      </c>
      <c r="N64" s="3246"/>
      <c r="O64" s="3248"/>
      <c r="P64" s="3248"/>
      <c r="Q64" s="1671" t="str">
        <f>IF(Runas_final="-","-",Runas_final+O64)</f>
        <v>-</v>
      </c>
      <c r="R64" s="1892"/>
      <c r="S64" s="2906">
        <f>IF(V64="",MAX($S$41:S63)+1,0)</f>
        <v>23</v>
      </c>
      <c r="T64" s="2905">
        <f>IF(V64="",0,MAX($T$41:T63)+1)</f>
        <v>0</v>
      </c>
      <c r="U64" s="2979">
        <f>IF(V64="",Tablas!A23,IF(COUNTIF(V$42:V63,V64)&gt;0,V64&amp;COUNTIF(V$42:V63,V64)+1,V64&amp;1))</f>
        <v>23</v>
      </c>
      <c r="V64" s="3407"/>
      <c r="W64" s="3408"/>
      <c r="X64" s="3408"/>
      <c r="Y64" s="3408"/>
      <c r="Z64" s="3408"/>
      <c r="AA64" s="3408"/>
      <c r="AB64" s="3421"/>
      <c r="AC64" s="3422"/>
      <c r="AD64" s="3422"/>
      <c r="AE64" s="3422"/>
      <c r="AF64" s="3419"/>
      <c r="AG64" s="3419"/>
      <c r="AH64" s="3420"/>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3110"/>
    </row>
    <row r="65" spans="1:59" ht="12" customHeight="1" thickBot="1" x14ac:dyDescent="0.25">
      <c r="A65" s="45"/>
      <c r="B65" s="2569"/>
      <c r="C65" s="68"/>
      <c r="D65" s="68"/>
      <c r="E65" s="68"/>
      <c r="F65" s="68"/>
      <c r="G65" s="68"/>
      <c r="H65" s="68"/>
      <c r="I65" s="68"/>
      <c r="J65" s="68"/>
      <c r="K65" s="1884"/>
      <c r="L65" s="3354"/>
      <c r="M65" s="3246" t="s">
        <v>1086</v>
      </c>
      <c r="N65" s="3246"/>
      <c r="O65" s="3248"/>
      <c r="P65" s="3248"/>
      <c r="Q65" s="1671" t="str">
        <f>IF(Alquimia_final="-","-",Alquimia_final+O65)</f>
        <v>-</v>
      </c>
      <c r="R65" s="1892"/>
      <c r="S65" s="2906">
        <f>IF(V65="",MAX($S$41:S64)+1,0)</f>
        <v>24</v>
      </c>
      <c r="T65" s="2905">
        <f>IF(V65="",0,MAX($T$41:T64)+1)</f>
        <v>0</v>
      </c>
      <c r="U65" s="2979">
        <f>IF(V65="",Tablas!A24,IF(COUNTIF(V$42:V64,V65)&gt;0,V65&amp;COUNTIF(V$42:V64,V65)+1,V65&amp;1))</f>
        <v>24</v>
      </c>
      <c r="V65" s="3407"/>
      <c r="W65" s="3408"/>
      <c r="X65" s="3408"/>
      <c r="Y65" s="3408"/>
      <c r="Z65" s="3408"/>
      <c r="AA65" s="3408"/>
      <c r="AB65" s="3421"/>
      <c r="AC65" s="3422"/>
      <c r="AD65" s="3422"/>
      <c r="AE65" s="3422"/>
      <c r="AF65" s="3419"/>
      <c r="AG65" s="3419"/>
      <c r="AH65" s="3420"/>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3110"/>
      <c r="AZ65" s="2757"/>
      <c r="BA65" s="2434"/>
      <c r="BB65" s="2422"/>
      <c r="BC65" s="2422"/>
      <c r="BD65" s="116"/>
      <c r="BE65" s="116"/>
      <c r="BF65" s="116"/>
      <c r="BG65" s="116"/>
    </row>
    <row r="66" spans="1:59" ht="12" customHeight="1" thickBot="1" x14ac:dyDescent="0.25">
      <c r="A66" s="45"/>
      <c r="B66" s="2569"/>
      <c r="C66" s="3443" t="s">
        <v>1788</v>
      </c>
      <c r="D66" s="3443"/>
      <c r="E66" s="117">
        <f>IF(INT=0,0,VLOOKUP(INT,Tabla_Idiomas,2))</f>
        <v>0</v>
      </c>
      <c r="F66" s="68"/>
      <c r="G66" s="3444" t="s">
        <v>1789</v>
      </c>
      <c r="H66" s="3444"/>
      <c r="I66" s="3444"/>
      <c r="J66" s="3444"/>
      <c r="K66" s="1884"/>
      <c r="L66" s="3354"/>
      <c r="M66" s="3246" t="s">
        <v>1087</v>
      </c>
      <c r="N66" s="3246"/>
      <c r="O66" s="3248"/>
      <c r="P66" s="3248"/>
      <c r="Q66" s="1671" t="str">
        <f>IF(Animismo_final="-","-",Animismo_final+O66)</f>
        <v>-</v>
      </c>
      <c r="R66" s="1892"/>
      <c r="S66" s="2906">
        <f>IF(V66="",MAX($S$41:S65)+1,0)</f>
        <v>25</v>
      </c>
      <c r="T66" s="2905">
        <f>IF(V66="",0,MAX($T$41:T65)+1)</f>
        <v>0</v>
      </c>
      <c r="U66" s="2979">
        <f>IF(V66="",Tablas!A25,IF(COUNTIF(V$42:V65,V66)&gt;0,V66&amp;COUNTIF(V$42:V65,V66)+1,V66&amp;1))</f>
        <v>25</v>
      </c>
      <c r="V66" s="3407"/>
      <c r="W66" s="3408"/>
      <c r="X66" s="3408"/>
      <c r="Y66" s="3408"/>
      <c r="Z66" s="3408"/>
      <c r="AA66" s="3408"/>
      <c r="AB66" s="3421"/>
      <c r="AC66" s="3422"/>
      <c r="AD66" s="3422"/>
      <c r="AE66" s="3422"/>
      <c r="AF66" s="3419"/>
      <c r="AG66" s="3419"/>
      <c r="AH66" s="3420"/>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3110"/>
      <c r="AZ66" s="2757"/>
      <c r="BA66" s="2434"/>
      <c r="BB66" s="2422"/>
      <c r="BC66" s="2422"/>
      <c r="BD66" s="116"/>
      <c r="BE66" s="116"/>
      <c r="BF66" s="116"/>
      <c r="BG66" s="116"/>
    </row>
    <row r="67" spans="1:59" ht="12" customHeight="1" thickBot="1" x14ac:dyDescent="0.25">
      <c r="A67" s="45"/>
      <c r="B67" s="2569"/>
      <c r="C67" s="93" t="s">
        <v>1677</v>
      </c>
      <c r="D67" s="3447"/>
      <c r="E67" s="3447"/>
      <c r="F67" s="68"/>
      <c r="G67" s="3448"/>
      <c r="H67" s="3448"/>
      <c r="I67" s="3448"/>
      <c r="J67" s="3448"/>
      <c r="K67" s="1884"/>
      <c r="L67" s="3354"/>
      <c r="M67" s="3246" t="s">
        <v>1787</v>
      </c>
      <c r="N67" s="3246"/>
      <c r="O67" s="3248"/>
      <c r="P67" s="3248"/>
      <c r="Q67" s="1671" t="str">
        <f>IF(Música_final="-","-",Música_final+O67)</f>
        <v>-</v>
      </c>
      <c r="R67" s="1892"/>
      <c r="S67" s="2906">
        <f>IF(V67="",MAX($S$41:S66)+1,0)</f>
        <v>26</v>
      </c>
      <c r="T67" s="2905">
        <f>IF(V67="",0,MAX($T$41:T66)+1)</f>
        <v>0</v>
      </c>
      <c r="U67" s="2979">
        <f>IF(V67="",Tablas!A26,IF(COUNTIF(V$42:V66,V67)&gt;0,V67&amp;COUNTIF(V$42:V66,V67)+1,V67&amp;1))</f>
        <v>26</v>
      </c>
      <c r="V67" s="3407"/>
      <c r="W67" s="3408"/>
      <c r="X67" s="3408"/>
      <c r="Y67" s="3408"/>
      <c r="Z67" s="3408"/>
      <c r="AA67" s="3408"/>
      <c r="AB67" s="3421"/>
      <c r="AC67" s="3422"/>
      <c r="AD67" s="3422"/>
      <c r="AE67" s="3422"/>
      <c r="AF67" s="3419"/>
      <c r="AG67" s="3419"/>
      <c r="AH67" s="3420"/>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3110"/>
      <c r="AZ67" s="2757"/>
      <c r="BA67" s="2434"/>
      <c r="BB67" s="2422"/>
      <c r="BC67" s="2422"/>
      <c r="BD67" s="116"/>
      <c r="BE67" s="116"/>
      <c r="BF67" s="116"/>
      <c r="BG67" s="116"/>
    </row>
    <row r="68" spans="1:59" ht="12" customHeight="1" thickBot="1" x14ac:dyDescent="0.25">
      <c r="A68" s="45"/>
      <c r="B68" s="2569"/>
      <c r="C68" s="118" t="s">
        <v>1792</v>
      </c>
      <c r="D68" s="3440"/>
      <c r="E68" s="3440"/>
      <c r="F68" s="68"/>
      <c r="G68" s="3448"/>
      <c r="H68" s="3448"/>
      <c r="I68" s="3448"/>
      <c r="J68" s="3448"/>
      <c r="K68" s="1884"/>
      <c r="L68" s="3354"/>
      <c r="M68" s="3246" t="s">
        <v>1790</v>
      </c>
      <c r="N68" s="3246"/>
      <c r="O68" s="3248"/>
      <c r="P68" s="3248"/>
      <c r="Q68" s="1671">
        <f>IF(T.Manos_final="-","-",T.Manos_final+O68)</f>
        <v>-30</v>
      </c>
      <c r="R68" s="1892"/>
      <c r="S68" s="2906">
        <f>IF(V68="",MAX($S$41:S67)+1,0)</f>
        <v>27</v>
      </c>
      <c r="T68" s="2905">
        <f>IF(V68="",0,MAX($T$41:T67)+1)</f>
        <v>0</v>
      </c>
      <c r="U68" s="2979">
        <f>IF(V68="",Tablas!A27,IF(COUNTIF(V$42:V67,V68)&gt;0,V68&amp;COUNTIF(V$42:V67,V68)+1,V68&amp;1))</f>
        <v>27</v>
      </c>
      <c r="V68" s="3407"/>
      <c r="W68" s="3408"/>
      <c r="X68" s="3408"/>
      <c r="Y68" s="3408"/>
      <c r="Z68" s="3408"/>
      <c r="AA68" s="3408"/>
      <c r="AB68" s="3421"/>
      <c r="AC68" s="3422"/>
      <c r="AD68" s="3422"/>
      <c r="AE68" s="3422"/>
      <c r="AF68" s="3419"/>
      <c r="AG68" s="3419"/>
      <c r="AH68" s="3420"/>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3110"/>
      <c r="AZ68" s="2757"/>
      <c r="BA68" s="2434"/>
      <c r="BB68" s="2422"/>
      <c r="BC68" s="2422"/>
      <c r="BD68" s="116"/>
      <c r="BE68" s="116"/>
      <c r="BF68" s="116"/>
      <c r="BG68" s="116"/>
    </row>
    <row r="69" spans="1:59" ht="12" customHeight="1" thickBot="1" x14ac:dyDescent="0.25">
      <c r="A69" s="45"/>
      <c r="B69" s="2569"/>
      <c r="C69" s="98" t="s">
        <v>1793</v>
      </c>
      <c r="D69" s="3440"/>
      <c r="E69" s="3440"/>
      <c r="F69" s="68"/>
      <c r="G69" s="3448"/>
      <c r="H69" s="3448"/>
      <c r="I69" s="3448"/>
      <c r="J69" s="3448"/>
      <c r="K69" s="1884"/>
      <c r="L69" s="3354"/>
      <c r="M69" s="3246" t="s">
        <v>8230</v>
      </c>
      <c r="N69" s="3246"/>
      <c r="O69" s="3248"/>
      <c r="P69" s="3248"/>
      <c r="Q69" s="1671" t="str">
        <f>IF(Caligrafíaritual_final="-","-",Caligrafíaritual_final+O69)</f>
        <v>-</v>
      </c>
      <c r="R69" s="1892"/>
      <c r="S69" s="2906">
        <f>IF(V69="",MAX($S$41:S68)+1,0)</f>
        <v>28</v>
      </c>
      <c r="T69" s="2905">
        <f>IF(V69="",0,MAX($T$41:T68)+1)</f>
        <v>0</v>
      </c>
      <c r="U69" s="2979">
        <f>IF(V69="",Tablas!A28,IF(COUNTIF(V$42:V68,V69)&gt;0,V69&amp;COUNTIF(V$42:V68,V69)+1,V69&amp;1))</f>
        <v>28</v>
      </c>
      <c r="V69" s="3427"/>
      <c r="W69" s="3428"/>
      <c r="X69" s="3428"/>
      <c r="Y69" s="3428"/>
      <c r="Z69" s="3428"/>
      <c r="AA69" s="3428"/>
      <c r="AB69" s="3491"/>
      <c r="AC69" s="3492"/>
      <c r="AD69" s="3492"/>
      <c r="AE69" s="3492"/>
      <c r="AF69" s="3489"/>
      <c r="AG69" s="3489"/>
      <c r="AH69" s="3490"/>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3110"/>
      <c r="AZ69" s="2757"/>
      <c r="BA69" s="2434"/>
      <c r="BB69" s="2422"/>
      <c r="BC69" s="2422"/>
      <c r="BD69" s="116"/>
      <c r="BE69" s="116"/>
      <c r="BF69" s="116"/>
      <c r="BG69" s="116"/>
    </row>
    <row r="70" spans="1:59" ht="12" customHeight="1" thickBot="1" x14ac:dyDescent="0.25">
      <c r="A70" s="45"/>
      <c r="B70" s="2569"/>
      <c r="C70" s="98" t="s">
        <v>1794</v>
      </c>
      <c r="D70" s="3440"/>
      <c r="E70" s="3440"/>
      <c r="F70" s="68"/>
      <c r="G70" s="3448"/>
      <c r="H70" s="3448"/>
      <c r="I70" s="3448"/>
      <c r="J70" s="3448"/>
      <c r="K70" s="1888"/>
      <c r="L70" s="3354"/>
      <c r="M70" s="3246" t="s">
        <v>8231</v>
      </c>
      <c r="N70" s="3246"/>
      <c r="O70" s="3248"/>
      <c r="P70" s="3248"/>
      <c r="Q70" s="1671">
        <f>IF(Orfebrería_final="-","-",Orfebrería_final+O70)</f>
        <v>-30</v>
      </c>
      <c r="R70" s="2574"/>
      <c r="S70" s="2904"/>
      <c r="T70" s="2905"/>
      <c r="U70" s="2978"/>
      <c r="V70" s="3429"/>
      <c r="W70" s="3430"/>
      <c r="X70" s="3430"/>
      <c r="Y70" s="3430"/>
      <c r="Z70" s="3430"/>
      <c r="AA70" s="3430"/>
      <c r="AB70" s="3433"/>
      <c r="AC70" s="3434"/>
      <c r="AD70" s="3434"/>
      <c r="AE70" s="3434"/>
      <c r="AF70" s="3434"/>
      <c r="AG70" s="3434"/>
      <c r="AH70" s="3435"/>
      <c r="AI70" s="3425"/>
      <c r="AJ70" s="3423"/>
      <c r="AK70" s="2961"/>
      <c r="AL70" s="1910"/>
      <c r="AW70" s="1985"/>
      <c r="AX70" s="1985"/>
      <c r="AY70" s="3110"/>
      <c r="AZ70" s="2757"/>
      <c r="BA70" s="2434"/>
      <c r="BB70" s="2422"/>
      <c r="BC70" s="2422"/>
      <c r="BD70" s="116"/>
      <c r="BE70" s="116"/>
      <c r="BF70" s="116"/>
      <c r="BG70" s="116"/>
    </row>
    <row r="71" spans="1:59" ht="12" customHeight="1" thickBot="1" x14ac:dyDescent="0.25">
      <c r="A71" s="45"/>
      <c r="B71" s="2569"/>
      <c r="C71" s="98" t="s">
        <v>1795</v>
      </c>
      <c r="D71" s="3440"/>
      <c r="E71" s="3440"/>
      <c r="F71" s="68"/>
      <c r="G71" s="3448"/>
      <c r="H71" s="3448"/>
      <c r="I71" s="3448"/>
      <c r="J71" s="3448"/>
      <c r="K71" s="1888"/>
      <c r="L71" s="3354"/>
      <c r="M71" s="3246" t="s">
        <v>8232</v>
      </c>
      <c r="N71" s="3246"/>
      <c r="O71" s="3248"/>
      <c r="P71" s="3248"/>
      <c r="Q71" s="1671" t="str">
        <f>IF(Confección_final="-","-",Confección_final+O71)</f>
        <v>-</v>
      </c>
      <c r="R71" s="2574"/>
      <c r="S71" s="2904"/>
      <c r="T71" s="2905"/>
      <c r="U71" s="2978"/>
      <c r="V71" s="3431"/>
      <c r="W71" s="3432"/>
      <c r="X71" s="3432"/>
      <c r="Y71" s="3432"/>
      <c r="Z71" s="3432"/>
      <c r="AA71" s="3432"/>
      <c r="AB71" s="3436"/>
      <c r="AC71" s="3437"/>
      <c r="AD71" s="3437"/>
      <c r="AE71" s="3437"/>
      <c r="AF71" s="3437"/>
      <c r="AG71" s="3437"/>
      <c r="AH71" s="3438"/>
      <c r="AI71" s="3426"/>
      <c r="AJ71" s="3424"/>
      <c r="AK71" s="2961"/>
      <c r="AL71" s="1910"/>
      <c r="AW71" s="1985"/>
      <c r="AX71" s="1985"/>
      <c r="AY71" s="3110"/>
      <c r="AZ71" s="2757"/>
      <c r="BA71" s="2434"/>
      <c r="BB71" s="2422"/>
      <c r="BC71" s="2422"/>
      <c r="BD71" s="116"/>
      <c r="BE71" s="116"/>
      <c r="BF71" s="116"/>
      <c r="BG71" s="116"/>
    </row>
    <row r="72" spans="1:59" ht="12" customHeight="1" thickBot="1" x14ac:dyDescent="0.25">
      <c r="A72" s="45"/>
      <c r="B72" s="2569"/>
      <c r="C72" s="98" t="s">
        <v>1796</v>
      </c>
      <c r="D72" s="3440"/>
      <c r="E72" s="3440"/>
      <c r="F72" s="63"/>
      <c r="G72" s="3448"/>
      <c r="H72" s="3448"/>
      <c r="I72" s="3448"/>
      <c r="J72" s="3448"/>
      <c r="K72" s="1884"/>
      <c r="L72" s="3355"/>
      <c r="M72" s="3450" t="s">
        <v>8233</v>
      </c>
      <c r="N72" s="3450"/>
      <c r="O72" s="3247"/>
      <c r="P72" s="3247"/>
      <c r="Q72" s="1672" t="str">
        <f>IF(Conf.marionetas_final="-","-",Conf.marionetas_final+O72)</f>
        <v>-</v>
      </c>
      <c r="R72" s="1892"/>
      <c r="S72" s="2904"/>
      <c r="T72" s="2905"/>
      <c r="U72" s="2978"/>
      <c r="V72" s="3441" t="str">
        <f>IF(SUM(AJ42:AJ69)&gt;PDs!Y5/2,"Exceso de PDs en Poderes","")</f>
        <v/>
      </c>
      <c r="W72" s="3441"/>
      <c r="X72" s="3441"/>
      <c r="Y72" s="3441"/>
      <c r="Z72" s="3441"/>
      <c r="AA72" s="3441"/>
      <c r="AB72" s="3441"/>
      <c r="AC72" s="3441"/>
      <c r="AD72" s="3441"/>
      <c r="AE72" s="3441"/>
      <c r="AF72" s="3441"/>
      <c r="AG72" s="3441"/>
      <c r="AH72" s="3441"/>
      <c r="AI72" s="3441"/>
      <c r="AJ72" s="3441"/>
      <c r="AK72" s="2961"/>
      <c r="AL72" s="1910"/>
      <c r="AW72" s="1985"/>
      <c r="AX72" s="1985"/>
      <c r="AY72" s="3110"/>
      <c r="AZ72" s="2757"/>
      <c r="BA72" s="2434"/>
      <c r="BB72" s="2422"/>
      <c r="BC72" s="2422"/>
      <c r="BD72" s="116"/>
      <c r="BE72" s="116"/>
      <c r="BF72" s="116"/>
      <c r="BG72" s="116"/>
    </row>
    <row r="73" spans="1:59" ht="12" customHeight="1" x14ac:dyDescent="0.2">
      <c r="A73" s="45"/>
      <c r="B73" s="2569"/>
      <c r="C73" s="98" t="s">
        <v>1797</v>
      </c>
      <c r="D73" s="3440"/>
      <c r="E73" s="3440"/>
      <c r="F73" s="63"/>
      <c r="G73" s="3449" t="s">
        <v>1798</v>
      </c>
      <c r="H73" s="3449"/>
      <c r="I73" s="3449"/>
      <c r="J73" s="2308">
        <f>IF(TipoDeCriatura="Natural",IF(AB14&gt;19,9,IF(AB14&gt;14,6,IF(AB14&gt;9,3,0))),"")</f>
        <v>3</v>
      </c>
      <c r="K73" s="1884"/>
      <c r="L73" s="3354" t="s">
        <v>1791</v>
      </c>
      <c r="M73" s="3246" t="str">
        <f>IF(PDs!E177="","-",PDs!E177)</f>
        <v>-</v>
      </c>
      <c r="N73" s="3246"/>
      <c r="O73" s="3248"/>
      <c r="P73" s="3248"/>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3110"/>
      <c r="AZ73" s="2757"/>
      <c r="BA73" s="2434"/>
      <c r="BB73" s="2422"/>
      <c r="BC73" s="2422"/>
      <c r="BD73" s="116"/>
      <c r="BE73" s="116"/>
      <c r="BF73" s="116"/>
      <c r="BG73" s="116"/>
    </row>
    <row r="74" spans="1:59" ht="12" customHeight="1" thickBot="1" x14ac:dyDescent="0.25">
      <c r="A74" s="45"/>
      <c r="B74" s="2569"/>
      <c r="C74" s="98" t="s">
        <v>1799</v>
      </c>
      <c r="D74" s="3440"/>
      <c r="E74" s="3440"/>
      <c r="F74" s="63"/>
      <c r="G74" s="3245" t="s">
        <v>9163</v>
      </c>
      <c r="H74" s="3245"/>
      <c r="I74" s="3245"/>
      <c r="J74" s="24"/>
      <c r="K74" s="1884"/>
      <c r="L74" s="3354"/>
      <c r="M74" s="3246" t="str">
        <f>IF(PDs!E178="","-",PDs!E178)</f>
        <v>-</v>
      </c>
      <c r="N74" s="3246"/>
      <c r="O74" s="3248"/>
      <c r="P74" s="3248"/>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440"/>
      <c r="E75" s="3440"/>
      <c r="F75" s="63"/>
      <c r="G75" s="63"/>
      <c r="H75" s="63"/>
      <c r="I75" s="63"/>
      <c r="J75" s="63"/>
      <c r="K75" s="1884"/>
      <c r="L75" s="3354"/>
      <c r="M75" s="3246" t="str">
        <f>IF(PDs!E179="","-",PDs!E179)</f>
        <v>-</v>
      </c>
      <c r="N75" s="3246"/>
      <c r="O75" s="3248"/>
      <c r="P75" s="3248"/>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442"/>
      <c r="E76" s="3442"/>
      <c r="F76" s="63"/>
      <c r="G76" s="63"/>
      <c r="H76" s="63"/>
      <c r="I76" s="63"/>
      <c r="J76" s="63"/>
      <c r="K76" s="1884"/>
      <c r="L76" s="3354"/>
      <c r="M76" s="3246" t="str">
        <f>IF(PDs!E180="","-",PDs!E180)</f>
        <v>-</v>
      </c>
      <c r="N76" s="3246"/>
      <c r="O76" s="3248"/>
      <c r="P76" s="3248"/>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445"/>
      <c r="M77" s="3446" t="str">
        <f>IF(PDs!E181="","-",PDs!E181)</f>
        <v>-</v>
      </c>
      <c r="N77" s="3446"/>
      <c r="O77" s="3439"/>
      <c r="P77" s="3439"/>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85" priority="57" stopIfTrue="1">
      <formula>NA()</formula>
    </cfRule>
    <cfRule type="expression" dxfId="784" priority="58" stopIfTrue="1">
      <formula>NA()</formula>
    </cfRule>
  </conditionalFormatting>
  <conditionalFormatting sqref="F32">
    <cfRule type="expression" dxfId="783" priority="59" stopIfTrue="1">
      <formula>A39=1</formula>
    </cfRule>
    <cfRule type="expression" dxfId="782" priority="60" stopIfTrue="1">
      <formula>A39</formula>
    </cfRule>
  </conditionalFormatting>
  <conditionalFormatting sqref="D111:G116">
    <cfRule type="cellIs" dxfId="781" priority="61" stopIfTrue="1" operator="equal">
      <formula>0</formula>
    </cfRule>
    <cfRule type="expression" dxfId="780" priority="62" stopIfTrue="1">
      <formula>NA()</formula>
    </cfRule>
    <cfRule type="expression" dxfId="779" priority="63" stopIfTrue="1">
      <formula>NA()</formula>
    </cfRule>
  </conditionalFormatting>
  <conditionalFormatting sqref="C111:C116">
    <cfRule type="cellIs" dxfId="778" priority="64" stopIfTrue="1" operator="equal">
      <formula>0</formula>
    </cfRule>
    <cfRule type="expression" dxfId="777" priority="65" stopIfTrue="1">
      <formula>F1=1</formula>
    </cfRule>
    <cfRule type="expression" dxfId="776" priority="66" stopIfTrue="1">
      <formula>F1=2</formula>
    </cfRule>
  </conditionalFormatting>
  <conditionalFormatting sqref="AF35:AJ35">
    <cfRule type="expression" dxfId="775" priority="69" stopIfTrue="1">
      <formula>F1=1</formula>
    </cfRule>
    <cfRule type="expression" dxfId="774" priority="70" stopIfTrue="1">
      <formula>F1=2</formula>
    </cfRule>
  </conditionalFormatting>
  <conditionalFormatting sqref="AF30">
    <cfRule type="expression" dxfId="773" priority="71" stopIfTrue="1">
      <formula>F1=1</formula>
    </cfRule>
    <cfRule type="expression" dxfId="772" priority="72" stopIfTrue="1">
      <formula>F1=2</formula>
    </cfRule>
    <cfRule type="cellIs" dxfId="771" priority="73" stopIfTrue="1" operator="equal">
      <formula>0</formula>
    </cfRule>
  </conditionalFormatting>
  <conditionalFormatting sqref="AI42 AI12:AI23">
    <cfRule type="cellIs" dxfId="770" priority="74" stopIfTrue="1" operator="greaterThan">
      <formula>$AB$13</formula>
    </cfRule>
  </conditionalFormatting>
  <conditionalFormatting sqref="D36:F38">
    <cfRule type="expression" dxfId="769" priority="75" stopIfTrue="1">
      <formula>NA()</formula>
    </cfRule>
    <cfRule type="expression" dxfId="768" priority="76" stopIfTrue="1">
      <formula>NA()</formula>
    </cfRule>
  </conditionalFormatting>
  <conditionalFormatting sqref="J31">
    <cfRule type="cellIs" dxfId="767" priority="78" stopIfTrue="1" operator="lessThan">
      <formula>0</formula>
    </cfRule>
  </conditionalFormatting>
  <conditionalFormatting sqref="V30:Z30">
    <cfRule type="expression" dxfId="766" priority="89" stopIfTrue="1">
      <formula>$V$39=1</formula>
    </cfRule>
    <cfRule type="expression" dxfId="765" priority="90" stopIfTrue="1">
      <formula>$V$39=2</formula>
    </cfRule>
    <cfRule type="cellIs" dxfId="764" priority="91" stopIfTrue="1" operator="equal">
      <formula>0</formula>
    </cfRule>
  </conditionalFormatting>
  <conditionalFormatting sqref="V31">
    <cfRule type="cellIs" dxfId="763" priority="92" stopIfTrue="1" operator="equal">
      <formula>0</formula>
    </cfRule>
    <cfRule type="expression" dxfId="762" priority="93" stopIfTrue="1">
      <formula>$W$39=1</formula>
    </cfRule>
    <cfRule type="expression" dxfId="761" priority="94" stopIfTrue="1">
      <formula>$W$39=2</formula>
    </cfRule>
  </conditionalFormatting>
  <conditionalFormatting sqref="V32">
    <cfRule type="cellIs" dxfId="760" priority="95" stopIfTrue="1" operator="equal">
      <formula>0</formula>
    </cfRule>
    <cfRule type="expression" dxfId="759" priority="96" stopIfTrue="1">
      <formula>$X$39=1</formula>
    </cfRule>
    <cfRule type="expression" dxfId="758" priority="97" stopIfTrue="1">
      <formula>$X$39=2</formula>
    </cfRule>
  </conditionalFormatting>
  <conditionalFormatting sqref="V33:Z33">
    <cfRule type="cellIs" dxfId="757" priority="98" stopIfTrue="1" operator="equal">
      <formula>0</formula>
    </cfRule>
    <cfRule type="expression" dxfId="756" priority="99" stopIfTrue="1">
      <formula>$Y$39=1</formula>
    </cfRule>
    <cfRule type="expression" dxfId="755" priority="100" stopIfTrue="1">
      <formula>$Y$39=2</formula>
    </cfRule>
  </conditionalFormatting>
  <conditionalFormatting sqref="V34:Z34">
    <cfRule type="cellIs" dxfId="754" priority="101" stopIfTrue="1" operator="equal">
      <formula>0</formula>
    </cfRule>
    <cfRule type="expression" dxfId="753" priority="102" stopIfTrue="1">
      <formula>$Z$39=1</formula>
    </cfRule>
    <cfRule type="expression" dxfId="752" priority="103" stopIfTrue="1">
      <formula>$Z$39=2</formula>
    </cfRule>
  </conditionalFormatting>
  <conditionalFormatting sqref="V35:Z35">
    <cfRule type="cellIs" dxfId="751" priority="104" stopIfTrue="1" operator="equal">
      <formula>0</formula>
    </cfRule>
    <cfRule type="expression" dxfId="750" priority="105" stopIfTrue="1">
      <formula>$AA$39=1</formula>
    </cfRule>
    <cfRule type="expression" dxfId="749" priority="106" stopIfTrue="1">
      <formula>$AA$39=2</formula>
    </cfRule>
  </conditionalFormatting>
  <conditionalFormatting sqref="AA30:AE30">
    <cfRule type="cellIs" dxfId="748" priority="107" stopIfTrue="1" operator="equal">
      <formula>0</formula>
    </cfRule>
    <cfRule type="expression" dxfId="747" priority="108" stopIfTrue="1">
      <formula>$AB$39=1</formula>
    </cfRule>
    <cfRule type="expression" dxfId="746" priority="109" stopIfTrue="1">
      <formula>$AB$39=2</formula>
    </cfRule>
  </conditionalFormatting>
  <conditionalFormatting sqref="AA31">
    <cfRule type="cellIs" dxfId="745" priority="110" stopIfTrue="1" operator="equal">
      <formula>0</formula>
    </cfRule>
    <cfRule type="expression" dxfId="744" priority="111" stopIfTrue="1">
      <formula>$AC$39=1</formula>
    </cfRule>
    <cfRule type="expression" dxfId="743" priority="112" stopIfTrue="1">
      <formula>$AC$39=2</formula>
    </cfRule>
  </conditionalFormatting>
  <conditionalFormatting sqref="AA32">
    <cfRule type="cellIs" dxfId="742" priority="113" stopIfTrue="1" operator="equal">
      <formula>0</formula>
    </cfRule>
    <cfRule type="expression" dxfId="741" priority="114" stopIfTrue="1">
      <formula>$AD$39=1</formula>
    </cfRule>
    <cfRule type="expression" dxfId="740" priority="115" stopIfTrue="1">
      <formula>$AD$39=2</formula>
    </cfRule>
  </conditionalFormatting>
  <conditionalFormatting sqref="AA33:AE33">
    <cfRule type="cellIs" dxfId="739" priority="116" stopIfTrue="1" operator="equal">
      <formula>0</formula>
    </cfRule>
    <cfRule type="expression" dxfId="738" priority="117" stopIfTrue="1">
      <formula>$AE$39=1</formula>
    </cfRule>
    <cfRule type="expression" dxfId="737" priority="118" stopIfTrue="1">
      <formula>$AE$39=2</formula>
    </cfRule>
  </conditionalFormatting>
  <conditionalFormatting sqref="AA34:AE34">
    <cfRule type="cellIs" dxfId="736" priority="119" stopIfTrue="1" operator="equal">
      <formula>0</formula>
    </cfRule>
    <cfRule type="expression" dxfId="735" priority="120" stopIfTrue="1">
      <formula>$AF$39=1</formula>
    </cfRule>
    <cfRule type="expression" dxfId="734" priority="121" stopIfTrue="1">
      <formula>$AF$39=2</formula>
    </cfRule>
  </conditionalFormatting>
  <conditionalFormatting sqref="AA35:AE35">
    <cfRule type="cellIs" dxfId="733" priority="122" stopIfTrue="1" operator="equal">
      <formula>0</formula>
    </cfRule>
    <cfRule type="expression" dxfId="732" priority="123" stopIfTrue="1">
      <formula>$AG$39=1</formula>
    </cfRule>
    <cfRule type="expression" dxfId="731" priority="124" stopIfTrue="1">
      <formula>$AG$39=2</formula>
    </cfRule>
  </conditionalFormatting>
  <conditionalFormatting sqref="D32:E32">
    <cfRule type="expression" dxfId="730" priority="125" stopIfTrue="1">
      <formula>NA()</formula>
    </cfRule>
    <cfRule type="expression" dxfId="729" priority="126" stopIfTrue="1">
      <formula>NA()</formula>
    </cfRule>
  </conditionalFormatting>
  <conditionalFormatting sqref="C32">
    <cfRule type="expression" dxfId="728" priority="127" stopIfTrue="1">
      <formula>NA()</formula>
    </cfRule>
    <cfRule type="expression" dxfId="727" priority="128" stopIfTrue="1">
      <formula>NA()</formula>
    </cfRule>
  </conditionalFormatting>
  <conditionalFormatting sqref="D33:F33">
    <cfRule type="expression" dxfId="726" priority="129" stopIfTrue="1">
      <formula>NA()</formula>
    </cfRule>
    <cfRule type="expression" dxfId="725" priority="130" stopIfTrue="1">
      <formula>NA()</formula>
    </cfRule>
  </conditionalFormatting>
  <conditionalFormatting sqref="C33">
    <cfRule type="expression" dxfId="724" priority="131" stopIfTrue="1">
      <formula>NA()</formula>
    </cfRule>
    <cfRule type="expression" dxfId="723" priority="132" stopIfTrue="1">
      <formula>NA()</formula>
    </cfRule>
  </conditionalFormatting>
  <conditionalFormatting sqref="C37">
    <cfRule type="expression" dxfId="722" priority="133" stopIfTrue="1">
      <formula>NA()</formula>
    </cfRule>
    <cfRule type="expression" dxfId="721" priority="134" stopIfTrue="1">
      <formula>NA()</formula>
    </cfRule>
  </conditionalFormatting>
  <conditionalFormatting sqref="D35:F35">
    <cfRule type="expression" dxfId="720" priority="135" stopIfTrue="1">
      <formula>NA()</formula>
    </cfRule>
    <cfRule type="expression" dxfId="719" priority="136" stopIfTrue="1">
      <formula>NA()</formula>
    </cfRule>
  </conditionalFormatting>
  <conditionalFormatting sqref="C34:C35">
    <cfRule type="expression" dxfId="718" priority="137" stopIfTrue="1">
      <formula>NA()</formula>
    </cfRule>
    <cfRule type="expression" dxfId="717" priority="138" stopIfTrue="1">
      <formula>NA()</formula>
    </cfRule>
  </conditionalFormatting>
  <conditionalFormatting sqref="D34:F34">
    <cfRule type="expression" dxfId="716" priority="139" stopIfTrue="1">
      <formula>NA()</formula>
    </cfRule>
    <cfRule type="expression" dxfId="715" priority="140" stopIfTrue="1">
      <formula>NA()</formula>
    </cfRule>
  </conditionalFormatting>
  <conditionalFormatting sqref="AI70">
    <cfRule type="cellIs" dxfId="714" priority="157" stopIfTrue="1" operator="greaterThan">
      <formula>$AB$13</formula>
    </cfRule>
  </conditionalFormatting>
  <conditionalFormatting sqref="V69">
    <cfRule type="cellIs" dxfId="713" priority="158" stopIfTrue="1" operator="equal">
      <formula>"Armas naturales"</formula>
    </cfRule>
  </conditionalFormatting>
  <conditionalFormatting sqref="C43">
    <cfRule type="expression" dxfId="712" priority="41" stopIfTrue="1">
      <formula>NA()</formula>
    </cfRule>
    <cfRule type="expression" dxfId="711" priority="42" stopIfTrue="1">
      <formula>NA()</formula>
    </cfRule>
  </conditionalFormatting>
  <conditionalFormatting sqref="D40:F40">
    <cfRule type="expression" dxfId="710" priority="45" stopIfTrue="1">
      <formula>NA()</formula>
    </cfRule>
    <cfRule type="expression" dxfId="709" priority="46" stopIfTrue="1">
      <formula>NA()</formula>
    </cfRule>
  </conditionalFormatting>
  <conditionalFormatting sqref="C40">
    <cfRule type="expression" dxfId="708" priority="47" stopIfTrue="1">
      <formula>NA()</formula>
    </cfRule>
    <cfRule type="expression" dxfId="707" priority="48" stopIfTrue="1">
      <formula>NA()</formula>
    </cfRule>
  </conditionalFormatting>
  <conditionalFormatting sqref="C44">
    <cfRule type="expression" dxfId="706" priority="49" stopIfTrue="1">
      <formula>NA()</formula>
    </cfRule>
    <cfRule type="expression" dxfId="705" priority="50" stopIfTrue="1">
      <formula>NA()</formula>
    </cfRule>
  </conditionalFormatting>
  <conditionalFormatting sqref="D42:F42">
    <cfRule type="expression" dxfId="704" priority="51" stopIfTrue="1">
      <formula>NA()</formula>
    </cfRule>
    <cfRule type="expression" dxfId="703" priority="52" stopIfTrue="1">
      <formula>NA()</formula>
    </cfRule>
  </conditionalFormatting>
  <conditionalFormatting sqref="C41:C42">
    <cfRule type="expression" dxfId="702" priority="53" stopIfTrue="1">
      <formula>NA()</formula>
    </cfRule>
    <cfRule type="expression" dxfId="701" priority="54" stopIfTrue="1">
      <formula>NA()</formula>
    </cfRule>
  </conditionalFormatting>
  <conditionalFormatting sqref="D41:F41">
    <cfRule type="expression" dxfId="700" priority="55" stopIfTrue="1">
      <formula>NA()</formula>
    </cfRule>
    <cfRule type="expression" dxfId="699" priority="56" stopIfTrue="1">
      <formula>NA()</formula>
    </cfRule>
  </conditionalFormatting>
  <conditionalFormatting sqref="C40:F44 C46:F46">
    <cfRule type="expression" dxfId="698" priority="1741">
      <formula>AND(NOT($AN$36),NOT($AN$37))</formula>
    </cfRule>
  </conditionalFormatting>
  <conditionalFormatting sqref="D45:F45">
    <cfRule type="expression" dxfId="697" priority="29" stopIfTrue="1">
      <formula>NA()</formula>
    </cfRule>
    <cfRule type="expression" dxfId="696" priority="30" stopIfTrue="1">
      <formula>NA()</formula>
    </cfRule>
  </conditionalFormatting>
  <conditionalFormatting sqref="C45">
    <cfRule type="expression" dxfId="695" priority="27" stopIfTrue="1">
      <formula>NA()</formula>
    </cfRule>
    <cfRule type="expression" dxfId="694" priority="28" stopIfTrue="1">
      <formula>NA()</formula>
    </cfRule>
  </conditionalFormatting>
  <conditionalFormatting sqref="C45:F45">
    <cfRule type="expression" dxfId="693" priority="31">
      <formula>AND(NOT($AN$36),NOT($AN$37))</formula>
    </cfRule>
  </conditionalFormatting>
  <conditionalFormatting sqref="J51 F51">
    <cfRule type="cellIs" dxfId="692" priority="26" operator="greaterThan">
      <formula>0</formula>
    </cfRule>
  </conditionalFormatting>
  <conditionalFormatting sqref="G51:J51">
    <cfRule type="expression" dxfId="691" priority="25">
      <formula>$J$51&lt;=0</formula>
    </cfRule>
  </conditionalFormatting>
  <conditionalFormatting sqref="C51:F51">
    <cfRule type="expression" dxfId="690" priority="24">
      <formula>$F$51&lt;=0</formula>
    </cfRule>
  </conditionalFormatting>
  <conditionalFormatting sqref="F51">
    <cfRule type="expression" dxfId="689" priority="19">
      <formula>$F$51&gt;0</formula>
    </cfRule>
    <cfRule type="expression" dxfId="688" priority="23">
      <formula>AND($C$51="",$G$51="")</formula>
    </cfRule>
  </conditionalFormatting>
  <conditionalFormatting sqref="Y23:Z23">
    <cfRule type="expression" dxfId="687" priority="22">
      <formula>$AB$13&lt;30</formula>
    </cfRule>
  </conditionalFormatting>
  <conditionalFormatting sqref="E12">
    <cfRule type="expression" dxfId="686" priority="1" stopIfTrue="1">
      <formula>OR(TipoDeCriatura="Ánima",TipoDeCriatura="Ánima, Elemental",TipoDeCriatura="No muerto, Espectro")</formula>
    </cfRule>
    <cfRule type="expression" dxfId="685" priority="2280" stopIfTrue="1">
      <formula>$D$12="-"</formula>
    </cfRule>
  </conditionalFormatting>
  <conditionalFormatting sqref="E17">
    <cfRule type="expression" dxfId="684" priority="2289" stopIfTrue="1">
      <formula>AND(OR($K$7="Ánima",$K$7="Ánima, Elemental",$K$7="No muerto, Espectro"),NOT($E$12=$E$17))</formula>
    </cfRule>
  </conditionalFormatting>
  <conditionalFormatting sqref="G51:I51">
    <cfRule type="expression" dxfId="683" priority="18">
      <formula>$J$51&gt;0</formula>
    </cfRule>
  </conditionalFormatting>
  <conditionalFormatting sqref="AI43:AI69">
    <cfRule type="cellIs" dxfId="682" priority="11" stopIfTrue="1" operator="greaterThan">
      <formula>$AB$13</formula>
    </cfRule>
  </conditionalFormatting>
  <conditionalFormatting sqref="AD13:AD23">
    <cfRule type="expression" dxfId="681" priority="6" stopIfTrue="1">
      <formula>H2=1</formula>
    </cfRule>
    <cfRule type="expression" dxfId="680" priority="7" stopIfTrue="1">
      <formula>H2=2</formula>
    </cfRule>
  </conditionalFormatting>
  <conditionalFormatting sqref="AB42:AE69">
    <cfRule type="expression" dxfId="679" priority="4766">
      <formula>AND($AK42&lt;&gt;"",$AF42="")</formula>
    </cfRule>
  </conditionalFormatting>
  <conditionalFormatting sqref="AB42:AH69">
    <cfRule type="expression" dxfId="678" priority="5">
      <formula>$AB42=""</formula>
    </cfRule>
  </conditionalFormatting>
  <conditionalFormatting sqref="AD12:AF23">
    <cfRule type="expression" dxfId="677" priority="4">
      <formula>AND($AK12&lt;&gt;"",$AG12="")</formula>
    </cfRule>
  </conditionalFormatting>
  <conditionalFormatting sqref="AG12:AH23">
    <cfRule type="expression" dxfId="676" priority="2">
      <formula>$AD12=""</formula>
    </cfRule>
  </conditionalFormatting>
  <conditionalFormatting sqref="E11:E14">
    <cfRule type="cellIs" dxfId="675" priority="4808" stopIfTrue="1" operator="greaterThan">
      <formula>$T$2</formula>
    </cfRule>
  </conditionalFormatting>
  <conditionalFormatting sqref="E15:E18">
    <cfRule type="cellIs" dxfId="674"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U5" sqref="U5:W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739"/>
      <c r="D4" s="3740"/>
      <c r="E4" s="3740"/>
      <c r="F4" s="3740"/>
      <c r="G4" s="3740"/>
      <c r="H4" s="3740"/>
      <c r="I4" s="1680"/>
      <c r="J4" s="1680"/>
      <c r="K4" s="1680"/>
      <c r="L4" s="1681"/>
      <c r="M4" s="1680"/>
      <c r="N4" s="1680"/>
      <c r="O4" s="1680"/>
      <c r="P4" s="1680"/>
      <c r="Q4" s="1680"/>
      <c r="R4" s="1682"/>
      <c r="T4" s="3725" t="s">
        <v>1802</v>
      </c>
      <c r="U4" s="3723" t="s">
        <v>1803</v>
      </c>
      <c r="V4" s="3724"/>
      <c r="W4" s="3184"/>
      <c r="X4" s="66" t="s">
        <v>1715</v>
      </c>
      <c r="Y4" s="134" t="s">
        <v>1677</v>
      </c>
      <c r="Z4" s="1641" t="s">
        <v>1804</v>
      </c>
      <c r="AA4" s="25" t="s">
        <v>1689</v>
      </c>
      <c r="AB4" s="3089"/>
      <c r="AC4" s="2616"/>
    </row>
    <row r="5" spans="1:52" ht="12" customHeight="1" x14ac:dyDescent="0.2">
      <c r="A5" s="1983"/>
      <c r="B5" s="2306"/>
      <c r="C5" s="3741"/>
      <c r="D5" s="3742"/>
      <c r="E5" s="3742"/>
      <c r="F5" s="3742"/>
      <c r="G5" s="3742"/>
      <c r="H5" s="3742"/>
      <c r="I5" s="12"/>
      <c r="J5" s="12"/>
      <c r="K5" s="12"/>
      <c r="L5" s="56"/>
      <c r="M5" s="56"/>
      <c r="N5" s="56"/>
      <c r="O5" s="56"/>
      <c r="P5" s="56"/>
      <c r="Q5" s="56"/>
      <c r="R5" s="1683"/>
      <c r="T5" s="3726"/>
      <c r="U5" s="3746" t="s">
        <v>2524</v>
      </c>
      <c r="V5" s="3747"/>
      <c r="W5" s="3748"/>
      <c r="X5" s="3708">
        <v>1</v>
      </c>
      <c r="Y5" s="3706">
        <f>IF($X$5&gt;0,(500+100*$X$5),400)</f>
        <v>600</v>
      </c>
      <c r="Z5" s="3715">
        <f>MAX(Principal!AJ10+Principal!AJ40-Principal!$AB$27,0)</f>
        <v>0</v>
      </c>
      <c r="AA5" s="3705">
        <f>Y5-Z5</f>
        <v>600</v>
      </c>
      <c r="AB5" s="3090"/>
      <c r="AC5" s="2616"/>
    </row>
    <row r="6" spans="1:52" ht="12" customHeight="1" x14ac:dyDescent="0.2">
      <c r="A6" s="1983"/>
      <c r="B6" s="2306"/>
      <c r="C6" s="3741"/>
      <c r="D6" s="3742"/>
      <c r="E6" s="3742"/>
      <c r="F6" s="3742"/>
      <c r="G6" s="3742"/>
      <c r="H6" s="3742"/>
      <c r="I6" s="3762" t="s">
        <v>1628</v>
      </c>
      <c r="J6" s="3762"/>
      <c r="K6" s="3119" t="str">
        <f>IF(OR(General!$G$22="",General!$G$22=0),"",General!$G$22)</f>
        <v/>
      </c>
      <c r="L6" s="3119"/>
      <c r="M6" s="3119"/>
      <c r="N6" s="3119"/>
      <c r="O6" s="3119"/>
      <c r="P6" s="406"/>
      <c r="Q6" s="406"/>
      <c r="R6" s="1683"/>
      <c r="T6" s="3726"/>
      <c r="U6" s="3749"/>
      <c r="V6" s="3750"/>
      <c r="W6" s="3751"/>
      <c r="X6" s="3709"/>
      <c r="Y6" s="3707"/>
      <c r="Z6" s="3716"/>
      <c r="AA6" s="3702"/>
      <c r="AB6" s="3049"/>
      <c r="AC6" s="2616"/>
    </row>
    <row r="7" spans="1:52" ht="12" customHeight="1" x14ac:dyDescent="0.2">
      <c r="A7" s="1983"/>
      <c r="B7" s="2306"/>
      <c r="C7" s="3741"/>
      <c r="D7" s="3742"/>
      <c r="E7" s="3742"/>
      <c r="F7" s="3742"/>
      <c r="G7" s="3742"/>
      <c r="H7" s="3742"/>
      <c r="I7" s="3763" t="s">
        <v>1629</v>
      </c>
      <c r="J7" s="3763"/>
      <c r="K7" s="3198" t="str">
        <f>Principal!$L$5</f>
        <v>Hechicero</v>
      </c>
      <c r="L7" s="3198"/>
      <c r="M7" s="3198"/>
      <c r="N7" s="3198"/>
      <c r="O7" s="1679"/>
      <c r="P7" s="14" t="s">
        <v>1630</v>
      </c>
      <c r="Q7" s="15" t="str">
        <f>Principal!$P$5</f>
        <v>1</v>
      </c>
      <c r="R7" s="1683"/>
      <c r="T7" s="3726"/>
      <c r="U7" s="3752"/>
      <c r="V7" s="3753"/>
      <c r="W7" s="3754"/>
      <c r="X7" s="3712"/>
      <c r="Y7" s="3713">
        <f>IF($X$7&gt;0,(100*$X$7),0)</f>
        <v>0</v>
      </c>
      <c r="Z7" s="371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04">
        <f>IF(Raza="Criatura",0,Y7-Z7)</f>
        <v>0</v>
      </c>
      <c r="AB7" s="3091"/>
      <c r="AC7" s="2616"/>
    </row>
    <row r="8" spans="1:52" ht="12" customHeight="1" x14ac:dyDescent="0.2">
      <c r="A8" s="1983"/>
      <c r="B8" s="2306"/>
      <c r="C8" s="3741"/>
      <c r="D8" s="3742"/>
      <c r="E8" s="3742"/>
      <c r="F8" s="3742"/>
      <c r="G8" s="3742"/>
      <c r="H8" s="3742"/>
      <c r="I8" s="3763" t="s">
        <v>1673</v>
      </c>
      <c r="J8" s="3763"/>
      <c r="K8" s="1644">
        <f>Tamaño</f>
        <v>1</v>
      </c>
      <c r="L8" s="3198" t="str">
        <f>Principal!M6</f>
        <v>Medio</v>
      </c>
      <c r="M8" s="3198"/>
      <c r="N8" s="3198"/>
      <c r="O8" s="1679"/>
      <c r="P8" s="56"/>
      <c r="Q8" s="56"/>
      <c r="R8" s="1683"/>
      <c r="T8" s="3726"/>
      <c r="U8" s="3752"/>
      <c r="V8" s="3753"/>
      <c r="W8" s="3754"/>
      <c r="X8" s="3712"/>
      <c r="Y8" s="3713"/>
      <c r="Z8" s="3717"/>
      <c r="AA8" s="3704"/>
      <c r="AB8" s="3091"/>
      <c r="AC8" s="2616"/>
    </row>
    <row r="9" spans="1:52" ht="12" customHeight="1" x14ac:dyDescent="0.2">
      <c r="A9" s="1983"/>
      <c r="B9" s="2306"/>
      <c r="C9" s="3741"/>
      <c r="D9" s="3742"/>
      <c r="E9" s="3742"/>
      <c r="F9" s="3742"/>
      <c r="G9" s="3742"/>
      <c r="H9" s="3742"/>
      <c r="I9" s="58" t="s">
        <v>1675</v>
      </c>
      <c r="J9" s="3682" t="str">
        <f>Principal!K7</f>
        <v>Natural 10</v>
      </c>
      <c r="K9" s="3682"/>
      <c r="L9" s="3682"/>
      <c r="M9" s="3682"/>
      <c r="N9" s="3682"/>
      <c r="O9" s="3682"/>
      <c r="P9" s="3682"/>
      <c r="Q9" s="3682"/>
      <c r="R9" s="3683"/>
      <c r="T9" s="3726"/>
      <c r="U9" s="3749"/>
      <c r="V9" s="3750"/>
      <c r="W9" s="3751"/>
      <c r="X9" s="3710"/>
      <c r="Y9" s="3714">
        <f>IF($X$9&gt;0,(100*$X$9),0)</f>
        <v>0</v>
      </c>
      <c r="Z9" s="371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2">
        <f>IF(Raza="Criatura",0,Y9-Z9)</f>
        <v>0</v>
      </c>
      <c r="AB9" s="3091"/>
      <c r="AC9" s="2616"/>
    </row>
    <row r="10" spans="1:52" ht="12" customHeight="1" x14ac:dyDescent="0.2">
      <c r="A10" s="1983"/>
      <c r="B10" s="2306"/>
      <c r="C10" s="3741"/>
      <c r="D10" s="3742"/>
      <c r="E10" s="3742"/>
      <c r="F10" s="3742"/>
      <c r="G10" s="3742"/>
      <c r="H10" s="3742"/>
      <c r="I10" s="58"/>
      <c r="J10" s="3682"/>
      <c r="K10" s="3682"/>
      <c r="L10" s="3682"/>
      <c r="M10" s="3682"/>
      <c r="N10" s="3682"/>
      <c r="O10" s="3682"/>
      <c r="P10" s="3682"/>
      <c r="Q10" s="3682"/>
      <c r="R10" s="3683"/>
      <c r="S10" s="64"/>
      <c r="T10" s="3726"/>
      <c r="U10" s="3749"/>
      <c r="V10" s="3750"/>
      <c r="W10" s="3751"/>
      <c r="X10" s="3710"/>
      <c r="Y10" s="3714"/>
      <c r="Z10" s="3716"/>
      <c r="AA10" s="3702"/>
      <c r="AB10" s="3091"/>
      <c r="AC10" s="2616"/>
    </row>
    <row r="11" spans="1:52" ht="12" customHeight="1" x14ac:dyDescent="0.2">
      <c r="A11" s="1983"/>
      <c r="B11" s="2306"/>
      <c r="C11" s="3741"/>
      <c r="D11" s="3742"/>
      <c r="E11" s="3742"/>
      <c r="F11" s="3742"/>
      <c r="G11" s="3742"/>
      <c r="H11" s="3742"/>
      <c r="I11" s="58"/>
      <c r="J11" s="3682"/>
      <c r="K11" s="3682"/>
      <c r="L11" s="3682"/>
      <c r="M11" s="3682"/>
      <c r="N11" s="3682"/>
      <c r="O11" s="3682"/>
      <c r="P11" s="3682"/>
      <c r="Q11" s="3682"/>
      <c r="R11" s="3683"/>
      <c r="T11" s="3726"/>
      <c r="U11" s="3752"/>
      <c r="V11" s="3753"/>
      <c r="W11" s="3754"/>
      <c r="X11" s="3738"/>
      <c r="Y11" s="3736">
        <f>IF($X$11&gt;0,(100*$X$11),0)</f>
        <v>0</v>
      </c>
      <c r="Z11" s="371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04">
        <f>IF(Raza="Criatura",0,Y11-Z11)</f>
        <v>0</v>
      </c>
      <c r="AB11" s="3049"/>
      <c r="AC11" s="2616"/>
    </row>
    <row r="12" spans="1:52" ht="12" customHeight="1" x14ac:dyDescent="0.2">
      <c r="A12" s="1983"/>
      <c r="B12" s="2306"/>
      <c r="C12" s="3743"/>
      <c r="D12" s="3744"/>
      <c r="E12" s="3744"/>
      <c r="F12" s="3744"/>
      <c r="G12" s="3744"/>
      <c r="H12" s="3744"/>
      <c r="I12" s="1684"/>
      <c r="J12" s="1684"/>
      <c r="K12" s="1685"/>
      <c r="L12" s="1685"/>
      <c r="M12" s="1685"/>
      <c r="N12" s="1685"/>
      <c r="O12" s="1685"/>
      <c r="P12" s="1685"/>
      <c r="Q12" s="1685"/>
      <c r="R12" s="1686"/>
      <c r="T12" s="3726"/>
      <c r="U12" s="3752"/>
      <c r="V12" s="3753"/>
      <c r="W12" s="3754"/>
      <c r="X12" s="3738"/>
      <c r="Y12" s="3736"/>
      <c r="Z12" s="3717"/>
      <c r="AA12" s="3704"/>
      <c r="AB12" s="3049"/>
      <c r="AC12" s="2616"/>
    </row>
    <row r="13" spans="1:52" ht="12" customHeight="1" x14ac:dyDescent="0.2">
      <c r="A13" s="1983"/>
      <c r="B13" s="2306"/>
      <c r="C13" s="3728" t="s">
        <v>1805</v>
      </c>
      <c r="D13" s="3199"/>
      <c r="E13" s="3199"/>
      <c r="F13" s="3199"/>
      <c r="G13" s="3199"/>
      <c r="H13" s="3199"/>
      <c r="I13" s="3199"/>
      <c r="J13" s="3199"/>
      <c r="K13" s="3199"/>
      <c r="L13" s="3199"/>
      <c r="M13" s="3199"/>
      <c r="N13" s="3199"/>
      <c r="O13" s="3199"/>
      <c r="P13" s="3199"/>
      <c r="Q13" s="3199"/>
      <c r="R13" s="3729"/>
      <c r="T13" s="3726"/>
      <c r="U13" s="3749"/>
      <c r="V13" s="3750"/>
      <c r="W13" s="3751"/>
      <c r="X13" s="3710"/>
      <c r="Y13" s="3714">
        <f>IF($X$13&gt;0,(100*$X$13),0)</f>
        <v>0</v>
      </c>
      <c r="Z13" s="371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2">
        <f>IF(Raza="Criatura",0,Y13-Z13)</f>
        <v>0</v>
      </c>
      <c r="AB13" s="3092" t="str">
        <f>IF(Principal!AD18=0,"",VLOOKUP(Principal!AD18,Tabla_HabEsenciales,5,FALSE))</f>
        <v/>
      </c>
      <c r="AC13" s="2616"/>
    </row>
    <row r="14" spans="1:52" ht="12" customHeight="1" thickBot="1" x14ac:dyDescent="0.25">
      <c r="A14" s="1983"/>
      <c r="B14" s="2306"/>
      <c r="C14" s="3728"/>
      <c r="D14" s="3199"/>
      <c r="E14" s="3199"/>
      <c r="F14" s="3199"/>
      <c r="G14" s="3199"/>
      <c r="H14" s="3199"/>
      <c r="I14" s="3199"/>
      <c r="J14" s="3199"/>
      <c r="K14" s="3199"/>
      <c r="L14" s="3199"/>
      <c r="M14" s="3199"/>
      <c r="N14" s="3199"/>
      <c r="O14" s="3199"/>
      <c r="P14" s="3199"/>
      <c r="Q14" s="3199"/>
      <c r="R14" s="3729"/>
      <c r="T14" s="3726"/>
      <c r="U14" s="3755"/>
      <c r="V14" s="3756"/>
      <c r="W14" s="3757"/>
      <c r="X14" s="3711"/>
      <c r="Y14" s="3737"/>
      <c r="Z14" s="3718"/>
      <c r="AA14" s="3703"/>
      <c r="AB14" s="3092" t="str">
        <f>IF(Principal!AD19=0,"",VLOOKUP(Principal!AD19,Tabla_HabEsenciales,5,FALSE))</f>
        <v/>
      </c>
      <c r="AC14" s="3093"/>
    </row>
    <row r="15" spans="1:52" ht="12" customHeight="1" x14ac:dyDescent="0.2">
      <c r="A15" s="1983"/>
      <c r="B15" s="2306"/>
      <c r="C15" s="3728"/>
      <c r="D15" s="3199"/>
      <c r="E15" s="3199"/>
      <c r="F15" s="3199"/>
      <c r="G15" s="3199"/>
      <c r="H15" s="3199"/>
      <c r="I15" s="3199"/>
      <c r="J15" s="3199"/>
      <c r="K15" s="3199"/>
      <c r="L15" s="3199"/>
      <c r="M15" s="3199"/>
      <c r="N15" s="3199"/>
      <c r="O15" s="3199"/>
      <c r="P15" s="3199"/>
      <c r="Q15" s="3199"/>
      <c r="R15" s="3729"/>
      <c r="T15" s="3726"/>
      <c r="U15" s="3758" t="s">
        <v>1806</v>
      </c>
      <c r="V15" s="3759"/>
      <c r="W15" s="3721"/>
      <c r="X15" s="3719">
        <f>SUM(X5:X14)</f>
        <v>1</v>
      </c>
      <c r="Y15" s="3635" t="s">
        <v>1807</v>
      </c>
      <c r="Z15" s="3721"/>
      <c r="AA15" s="3700">
        <f>SUM(AA5:AA14)</f>
        <v>600</v>
      </c>
      <c r="AB15" s="3092" t="str">
        <f>IF(Principal!AD20=0,"",VLOOKUP(Principal!AD20,Tabla_HabEsenciales,5,FALSE))</f>
        <v/>
      </c>
      <c r="AC15" s="3093"/>
    </row>
    <row r="16" spans="1:52" ht="12" customHeight="1" thickBot="1" x14ac:dyDescent="0.25">
      <c r="A16" s="1983"/>
      <c r="B16" s="2306"/>
      <c r="C16" s="3730"/>
      <c r="D16" s="3731"/>
      <c r="E16" s="3731"/>
      <c r="F16" s="3731"/>
      <c r="G16" s="3731"/>
      <c r="H16" s="3731"/>
      <c r="I16" s="3731"/>
      <c r="J16" s="3731"/>
      <c r="K16" s="3731"/>
      <c r="L16" s="3731"/>
      <c r="M16" s="3731"/>
      <c r="N16" s="3731"/>
      <c r="O16" s="3731"/>
      <c r="P16" s="3731"/>
      <c r="Q16" s="3731"/>
      <c r="R16" s="3732"/>
      <c r="T16" s="3727"/>
      <c r="U16" s="3760"/>
      <c r="V16" s="3761"/>
      <c r="W16" s="3722"/>
      <c r="X16" s="3720"/>
      <c r="Y16" s="3636"/>
      <c r="Z16" s="3722"/>
      <c r="AA16" s="3701"/>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622" t="str">
        <f>IF(Categoría_1=0,"",Categoría_1)</f>
        <v>Hechicero</v>
      </c>
      <c r="M19" s="3618"/>
      <c r="N19" s="3596" t="str">
        <f>IF(Categoría_2=0,"",Categoría_2)</f>
        <v/>
      </c>
      <c r="O19" s="3618"/>
      <c r="P19" s="3596" t="str">
        <f>IF(Categoría_3=0,"",Categoría_3)</f>
        <v/>
      </c>
      <c r="Q19" s="3618"/>
      <c r="R19" s="3596" t="str">
        <f>IF(Categoría_4=0,"",Categoría_4)</f>
        <v/>
      </c>
      <c r="S19" s="3618"/>
      <c r="T19" s="3596" t="str">
        <f>IF(Categoría_5=0,"",Categoría_5)</f>
        <v/>
      </c>
      <c r="U19" s="3597"/>
      <c r="V19" s="68"/>
      <c r="AB19" s="3091"/>
      <c r="AC19" s="3095"/>
    </row>
    <row r="20" spans="1:31" ht="12" customHeight="1" thickBot="1" x14ac:dyDescent="0.25">
      <c r="A20" s="1983"/>
      <c r="B20" s="2306"/>
      <c r="C20" s="68"/>
      <c r="D20" s="68"/>
      <c r="E20" s="68"/>
      <c r="F20" s="68"/>
      <c r="I20" s="68"/>
      <c r="J20" s="68"/>
      <c r="K20" s="68"/>
      <c r="L20" s="3733"/>
      <c r="M20" s="3734"/>
      <c r="N20" s="3735"/>
      <c r="O20" s="3734"/>
      <c r="P20" s="3735"/>
      <c r="Q20" s="3734"/>
      <c r="R20" s="3735"/>
      <c r="S20" s="3734"/>
      <c r="T20" s="3735"/>
      <c r="U20" s="3745"/>
      <c r="V20" s="68"/>
      <c r="W20" s="68"/>
      <c r="X20" s="68"/>
      <c r="Y20" s="68"/>
      <c r="Z20" s="68"/>
      <c r="AA20" s="68"/>
      <c r="AB20" s="3091"/>
      <c r="AC20" s="3093"/>
    </row>
    <row r="21" spans="1:31" ht="12" customHeight="1" thickBot="1" x14ac:dyDescent="0.25">
      <c r="A21" s="1983"/>
      <c r="B21" s="2306"/>
      <c r="C21" s="3562" t="s">
        <v>1706</v>
      </c>
      <c r="D21" s="1687" t="s">
        <v>1711</v>
      </c>
      <c r="E21" s="3690" t="s">
        <v>1687</v>
      </c>
      <c r="F21" s="3691"/>
      <c r="G21" s="3691"/>
      <c r="H21" s="3691"/>
      <c r="I21" s="3691"/>
      <c r="J21" s="3691"/>
      <c r="K21" s="3692"/>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6" t="s">
        <v>1803</v>
      </c>
      <c r="Y21" s="3586"/>
      <c r="Z21" s="1688" t="s">
        <v>1731</v>
      </c>
      <c r="AA21" s="1690" t="s">
        <v>1661</v>
      </c>
      <c r="AB21" s="3091"/>
      <c r="AC21" s="3093"/>
      <c r="AE21" s="2960"/>
    </row>
    <row r="22" spans="1:31" ht="12" customHeight="1" x14ac:dyDescent="0.2">
      <c r="A22" s="1983"/>
      <c r="B22" s="2306"/>
      <c r="C22" s="3563"/>
      <c r="D22" s="3766" t="s">
        <v>1677</v>
      </c>
      <c r="E22" s="3693" t="s">
        <v>1808</v>
      </c>
      <c r="F22" s="3290"/>
      <c r="G22" s="3290"/>
      <c r="H22" s="3290"/>
      <c r="I22" s="3290"/>
      <c r="J22" s="3290"/>
      <c r="K22" s="3694"/>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99">
        <f>MIN(50,HLOOKUP($E22,Bonos_Cat_Base,2,FALSE)+5*Nivel_Total*Tablas!$G$357)</f>
        <v>0</v>
      </c>
      <c r="Y22" s="3699"/>
      <c r="Z22" s="1709"/>
      <c r="AA22" s="1710">
        <f>Z22+X22+V22+W22+Bono_ATA</f>
        <v>0</v>
      </c>
      <c r="AB22" s="3091"/>
      <c r="AC22" s="3093"/>
      <c r="AD22" s="2960" t="s">
        <v>9337</v>
      </c>
    </row>
    <row r="23" spans="1:31" ht="12" customHeight="1" x14ac:dyDescent="0.2">
      <c r="A23" s="1983"/>
      <c r="B23" s="2306"/>
      <c r="C23" s="3563"/>
      <c r="D23" s="3765"/>
      <c r="E23" s="3687" t="s">
        <v>1809</v>
      </c>
      <c r="F23" s="3688"/>
      <c r="G23" s="3688"/>
      <c r="H23" s="3688"/>
      <c r="I23" s="3688"/>
      <c r="J23" s="3688"/>
      <c r="K23" s="3695"/>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88">
        <f>MIN(50,HLOOKUP($E23,Bonos_Cat_Base,2,FALSE)+5*Nivel_Total*Tablas!$G$358)</f>
        <v>0</v>
      </c>
      <c r="Y23" s="3588"/>
      <c r="Z23" s="148"/>
      <c r="AA23" s="1711">
        <f>W23+X23+V23+Z23+Bono_ATA</f>
        <v>0</v>
      </c>
      <c r="AB23" s="3091"/>
      <c r="AC23" s="3093"/>
      <c r="AD23" s="2960">
        <f>MAX(HP_final,HE_final)</f>
        <v>0</v>
      </c>
    </row>
    <row r="24" spans="1:31" ht="12" customHeight="1" x14ac:dyDescent="0.2">
      <c r="A24" s="1983"/>
      <c r="B24" s="2306"/>
      <c r="C24" s="3563"/>
      <c r="D24" s="3765"/>
      <c r="E24" s="3672" t="s">
        <v>1810</v>
      </c>
      <c r="F24" s="3246"/>
      <c r="G24" s="3246"/>
      <c r="H24" s="3246"/>
      <c r="I24" s="3246"/>
      <c r="J24" s="3246"/>
      <c r="K24" s="3696"/>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87">
        <f>MIN(50,HLOOKUP($E24,Bonos_Cat_Base,2,FALSE)+5*Nivel_Total*Tablas!$G$359)</f>
        <v>0</v>
      </c>
      <c r="Y24" s="3587"/>
      <c r="Z24" s="76"/>
      <c r="AA24" s="1712">
        <f>V24+W24+X24+Z24+Bono_ATA</f>
        <v>0</v>
      </c>
      <c r="AB24" s="3091"/>
      <c r="AC24" s="3093"/>
    </row>
    <row r="25" spans="1:31" ht="12" customHeight="1" x14ac:dyDescent="0.2">
      <c r="A25" s="1983"/>
      <c r="B25" s="2306"/>
      <c r="C25" s="3563"/>
      <c r="D25" s="3765"/>
      <c r="E25" s="3687" t="s">
        <v>1811</v>
      </c>
      <c r="F25" s="3688"/>
      <c r="G25" s="3688"/>
      <c r="H25" s="3688"/>
      <c r="I25" s="3688"/>
      <c r="J25" s="3688"/>
      <c r="K25" s="3695"/>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70">
        <f>HLOOKUP($E25,Bonos_Cat_Base,2,FALSE)</f>
        <v>0</v>
      </c>
      <c r="Y25" s="3670">
        <f>HLOOKUP($E25,Bonos_Cat_Base,2,FALSE)</f>
        <v>0</v>
      </c>
      <c r="Z25" s="148"/>
      <c r="AA25" s="1713">
        <f>V25+W25+X25+Z25</f>
        <v>0</v>
      </c>
      <c r="AB25" s="3091"/>
      <c r="AC25" s="3093"/>
    </row>
    <row r="26" spans="1:31" ht="12" customHeight="1" x14ac:dyDescent="0.2">
      <c r="A26" s="1983"/>
      <c r="B26" s="2306"/>
      <c r="C26" s="3563"/>
      <c r="D26" s="3767"/>
      <c r="E26" s="3697"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8"/>
      <c r="G26" s="3698"/>
      <c r="H26" s="3698"/>
      <c r="I26" s="3698"/>
      <c r="J26" s="3698"/>
      <c r="K26" s="3698"/>
      <c r="L26" s="3698"/>
      <c r="M26" s="3698"/>
      <c r="N26" s="3698"/>
      <c r="O26" s="3698"/>
      <c r="P26" s="3698"/>
      <c r="Q26" s="3698"/>
      <c r="R26" s="3698"/>
      <c r="S26" s="3698"/>
      <c r="T26" s="3698"/>
      <c r="U26" s="3698"/>
      <c r="V26" s="3698"/>
      <c r="W26" s="3698"/>
      <c r="X26" s="3698"/>
      <c r="Y26" s="3698"/>
      <c r="Z26" s="3698"/>
      <c r="AA26" s="1714" t="str">
        <f>IF((M22+M23+M24+O22+O23+O24+Q22+Q23+Q24+S22+S23+S24+U22+U23+U24)&gt;(($Y$5+$Y$7+$Y$9+$Y$11+$Y$13)/2),($Y$5+$Y$7+$Y$9+$Y$11+$Y$13)/2,"")</f>
        <v/>
      </c>
      <c r="AB26" s="3091"/>
      <c r="AC26" s="3093"/>
    </row>
    <row r="27" spans="1:31" ht="12" customHeight="1" x14ac:dyDescent="0.2">
      <c r="A27" s="1983"/>
      <c r="B27" s="2306"/>
      <c r="C27" s="3563"/>
      <c r="D27" s="3764" t="s">
        <v>1812</v>
      </c>
      <c r="E27" s="3684" t="s">
        <v>1685</v>
      </c>
      <c r="F27" s="3685"/>
      <c r="G27" s="3685"/>
      <c r="H27" s="3685"/>
      <c r="I27" s="3685"/>
      <c r="J27" s="3685"/>
      <c r="K27" s="3775"/>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69" t="s">
        <v>1769</v>
      </c>
      <c r="Y27" s="3669"/>
      <c r="Z27" s="1282"/>
      <c r="AA27" s="1715">
        <f t="shared" ref="AA27:AA32" si="6">W27+V27+Z27</f>
        <v>0</v>
      </c>
      <c r="AB27" s="3091"/>
      <c r="AC27" s="3093"/>
    </row>
    <row r="28" spans="1:31" ht="12" customHeight="1" x14ac:dyDescent="0.2">
      <c r="A28" s="1983"/>
      <c r="B28" s="2306"/>
      <c r="C28" s="3563"/>
      <c r="D28" s="3765"/>
      <c r="E28" s="3687" t="s">
        <v>1813</v>
      </c>
      <c r="F28" s="3688"/>
      <c r="G28" s="3688"/>
      <c r="H28" s="3688"/>
      <c r="I28" s="3688"/>
      <c r="J28" s="3688"/>
      <c r="K28" s="3695"/>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88" t="s">
        <v>1769</v>
      </c>
      <c r="Y28" s="3588"/>
      <c r="Z28" s="1284"/>
      <c r="AA28" s="1716">
        <f t="shared" si="6"/>
        <v>0</v>
      </c>
      <c r="AB28" s="3091"/>
      <c r="AC28" s="3093"/>
    </row>
    <row r="29" spans="1:31" ht="12" customHeight="1" x14ac:dyDescent="0.2">
      <c r="A29" s="1983"/>
      <c r="B29" s="2306"/>
      <c r="C29" s="3563"/>
      <c r="D29" s="3765"/>
      <c r="E29" s="3672" t="s">
        <v>1690</v>
      </c>
      <c r="F29" s="3246"/>
      <c r="G29" s="3246"/>
      <c r="H29" s="3246"/>
      <c r="I29" s="3246"/>
      <c r="J29" s="3246"/>
      <c r="K29" s="3696"/>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87" t="s">
        <v>1769</v>
      </c>
      <c r="Y29" s="3587"/>
      <c r="Z29" s="1286"/>
      <c r="AA29" s="1717">
        <f t="shared" si="6"/>
        <v>0</v>
      </c>
      <c r="AB29" s="3091"/>
      <c r="AC29" s="3093"/>
    </row>
    <row r="30" spans="1:31" ht="12" customHeight="1" x14ac:dyDescent="0.2">
      <c r="A30" s="1983"/>
      <c r="B30" s="2306"/>
      <c r="C30" s="3563"/>
      <c r="D30" s="3765"/>
      <c r="E30" s="3687" t="s">
        <v>1695</v>
      </c>
      <c r="F30" s="3688"/>
      <c r="G30" s="3688"/>
      <c r="H30" s="3688"/>
      <c r="I30" s="3688"/>
      <c r="J30" s="3688"/>
      <c r="K30" s="3695"/>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88" t="s">
        <v>1769</v>
      </c>
      <c r="Y30" s="3588"/>
      <c r="Z30" s="1284"/>
      <c r="AA30" s="1716">
        <f t="shared" si="6"/>
        <v>0</v>
      </c>
      <c r="AB30" s="3091"/>
      <c r="AC30" s="3093"/>
    </row>
    <row r="31" spans="1:31" ht="12" customHeight="1" x14ac:dyDescent="0.2">
      <c r="A31" s="1983"/>
      <c r="B31" s="2306"/>
      <c r="C31" s="3563"/>
      <c r="D31" s="3765"/>
      <c r="E31" s="3672" t="s">
        <v>1703</v>
      </c>
      <c r="F31" s="3246"/>
      <c r="G31" s="3246"/>
      <c r="H31" s="3246"/>
      <c r="I31" s="3246"/>
      <c r="J31" s="3246"/>
      <c r="K31" s="3696"/>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87" t="s">
        <v>1769</v>
      </c>
      <c r="Y31" s="3587"/>
      <c r="Z31" s="1286"/>
      <c r="AA31" s="1717">
        <f t="shared" si="6"/>
        <v>0</v>
      </c>
      <c r="AB31" s="3091"/>
      <c r="AC31" s="3093"/>
    </row>
    <row r="32" spans="1:31" ht="12" customHeight="1" x14ac:dyDescent="0.2">
      <c r="A32" s="1983"/>
      <c r="B32" s="2306"/>
      <c r="C32" s="3563"/>
      <c r="D32" s="3765"/>
      <c r="E32" s="3687" t="s">
        <v>1704</v>
      </c>
      <c r="F32" s="3688"/>
      <c r="G32" s="3688"/>
      <c r="H32" s="3688"/>
      <c r="I32" s="3688"/>
      <c r="J32" s="3688"/>
      <c r="K32" s="3695"/>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670" t="s">
        <v>1769</v>
      </c>
      <c r="Y32" s="3670"/>
      <c r="Z32" s="1288"/>
      <c r="AA32" s="1718">
        <f t="shared" si="6"/>
        <v>0</v>
      </c>
      <c r="AB32" s="3049"/>
      <c r="AC32" s="1802"/>
    </row>
    <row r="33" spans="1:60" ht="12" customHeight="1" x14ac:dyDescent="0.2">
      <c r="A33" s="1983"/>
      <c r="B33" s="2306"/>
      <c r="C33" s="3563"/>
      <c r="D33" s="3768" t="s">
        <v>1814</v>
      </c>
      <c r="E33" s="3684" t="s">
        <v>1685</v>
      </c>
      <c r="F33" s="3685"/>
      <c r="G33" s="3685"/>
      <c r="H33" s="3685"/>
      <c r="I33" s="3685"/>
      <c r="J33" s="3685"/>
      <c r="K33" s="3686"/>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1" t="s">
        <v>1769</v>
      </c>
      <c r="Y33" s="3671"/>
      <c r="Z33" s="1282"/>
      <c r="AA33" s="1719">
        <f t="shared" ref="AA33:AA38" si="12">W33+V33+Z33+IF(Bono_ATA&lt;0,TRUNC(Bono_ATA/20,0),0)</f>
        <v>0</v>
      </c>
      <c r="AB33" s="3049"/>
      <c r="AC33" s="1802"/>
    </row>
    <row r="34" spans="1:60" ht="12" customHeight="1" x14ac:dyDescent="0.2">
      <c r="A34" s="1983"/>
      <c r="B34" s="2306"/>
      <c r="C34" s="3563"/>
      <c r="D34" s="3765"/>
      <c r="E34" s="3687" t="s">
        <v>1813</v>
      </c>
      <c r="F34" s="3688"/>
      <c r="G34" s="3688"/>
      <c r="H34" s="3688"/>
      <c r="I34" s="3688"/>
      <c r="J34" s="3688"/>
      <c r="K34" s="3689"/>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88" t="s">
        <v>1769</v>
      </c>
      <c r="Y34" s="3588"/>
      <c r="Z34" s="1284"/>
      <c r="AA34" s="1716">
        <f t="shared" si="12"/>
        <v>0</v>
      </c>
      <c r="AB34" s="3049"/>
      <c r="AC34" s="1802"/>
    </row>
    <row r="35" spans="1:60" ht="12" customHeight="1" x14ac:dyDescent="0.2">
      <c r="A35" s="1983"/>
      <c r="B35" s="2306"/>
      <c r="C35" s="3563"/>
      <c r="D35" s="3765"/>
      <c r="E35" s="3672" t="s">
        <v>1690</v>
      </c>
      <c r="F35" s="3246"/>
      <c r="G35" s="3246"/>
      <c r="H35" s="3246"/>
      <c r="I35" s="3246"/>
      <c r="J35" s="3246"/>
      <c r="K35" s="3673"/>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87" t="s">
        <v>1769</v>
      </c>
      <c r="Y35" s="3587"/>
      <c r="Z35" s="1286"/>
      <c r="AA35" s="1717">
        <f t="shared" si="12"/>
        <v>0</v>
      </c>
      <c r="AB35" s="3049"/>
      <c r="AC35" s="1802"/>
    </row>
    <row r="36" spans="1:60" ht="12" customHeight="1" x14ac:dyDescent="0.2">
      <c r="A36" s="1983"/>
      <c r="B36" s="2306"/>
      <c r="C36" s="3563"/>
      <c r="D36" s="3765"/>
      <c r="E36" s="3687" t="s">
        <v>1695</v>
      </c>
      <c r="F36" s="3688"/>
      <c r="G36" s="3688"/>
      <c r="H36" s="3688"/>
      <c r="I36" s="3688"/>
      <c r="J36" s="3688"/>
      <c r="K36" s="3689"/>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88" t="s">
        <v>1769</v>
      </c>
      <c r="Y36" s="3588"/>
      <c r="Z36" s="1284"/>
      <c r="AA36" s="1716">
        <f t="shared" si="12"/>
        <v>0</v>
      </c>
      <c r="AB36" s="3049"/>
      <c r="AC36" s="1802"/>
      <c r="BB36" s="161"/>
      <c r="BC36" s="161"/>
      <c r="BD36" s="162"/>
      <c r="BE36" s="162"/>
      <c r="BF36" s="162"/>
      <c r="BG36" s="162"/>
      <c r="BH36" s="162"/>
    </row>
    <row r="37" spans="1:60" ht="12" customHeight="1" x14ac:dyDescent="0.2">
      <c r="A37" s="1983"/>
      <c r="B37" s="2306"/>
      <c r="C37" s="3563"/>
      <c r="D37" s="3765"/>
      <c r="E37" s="3672" t="s">
        <v>1703</v>
      </c>
      <c r="F37" s="3246"/>
      <c r="G37" s="3246"/>
      <c r="H37" s="3246"/>
      <c r="I37" s="3246"/>
      <c r="J37" s="3246"/>
      <c r="K37" s="3673"/>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87" t="s">
        <v>1769</v>
      </c>
      <c r="Y37" s="3587"/>
      <c r="Z37" s="1286"/>
      <c r="AA37" s="1717">
        <f t="shared" si="12"/>
        <v>0</v>
      </c>
      <c r="AB37" s="3049"/>
      <c r="AC37" s="1802"/>
      <c r="BB37" s="68"/>
      <c r="BC37" s="68"/>
      <c r="BD37" s="68"/>
      <c r="BE37" s="68"/>
      <c r="BF37" s="68"/>
      <c r="BG37" s="68"/>
      <c r="BH37" s="68"/>
    </row>
    <row r="38" spans="1:60" ht="12" customHeight="1" x14ac:dyDescent="0.2">
      <c r="A38" s="1983"/>
      <c r="B38" s="2306"/>
      <c r="C38" s="3563"/>
      <c r="D38" s="3769"/>
      <c r="E38" s="3674" t="s">
        <v>1704</v>
      </c>
      <c r="F38" s="3675"/>
      <c r="G38" s="3675"/>
      <c r="H38" s="3675"/>
      <c r="I38" s="3675"/>
      <c r="J38" s="3675"/>
      <c r="K38" s="3676"/>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70" t="s">
        <v>1769</v>
      </c>
      <c r="Y38" s="3770"/>
      <c r="Z38" s="1288"/>
      <c r="AA38" s="1718">
        <f t="shared" si="12"/>
        <v>0</v>
      </c>
      <c r="AB38" s="3049"/>
      <c r="AC38" s="1802"/>
      <c r="BB38" s="68"/>
      <c r="BC38" s="68"/>
      <c r="BD38" s="68"/>
      <c r="BE38" s="68"/>
      <c r="BF38" s="68"/>
      <c r="BG38" s="68"/>
      <c r="BH38" s="68"/>
    </row>
    <row r="39" spans="1:60" ht="12" customHeight="1" x14ac:dyDescent="0.2">
      <c r="A39" s="1983"/>
      <c r="B39" s="2306"/>
      <c r="C39" s="3563"/>
      <c r="D39" s="1720" t="s">
        <v>1815</v>
      </c>
      <c r="E39" s="3677" t="s">
        <v>1816</v>
      </c>
      <c r="F39" s="3678"/>
      <c r="G39" s="3678"/>
      <c r="H39" s="3678"/>
      <c r="I39" s="3678"/>
      <c r="J39" s="3678"/>
      <c r="K39" s="3679"/>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1">
        <f>HLOOKUP($E39,Bonos_Cat_Base,2,FALSE)</f>
        <v>10</v>
      </c>
      <c r="Y39" s="3771">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63"/>
      <c r="D40" s="3764" t="s">
        <v>1817</v>
      </c>
      <c r="E40" s="3680"/>
      <c r="F40" s="3616"/>
      <c r="G40" s="3616"/>
      <c r="H40" s="3616"/>
      <c r="I40" s="3616"/>
      <c r="J40" s="3616"/>
      <c r="K40" s="3617"/>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3" t="str">
        <f t="shared" ref="V40:V41" si="13">IF(E40=0,"",VLOOKUP(E40,Tabla_TablasArmas,3,FALSE))</f>
        <v/>
      </c>
      <c r="W40" s="3574"/>
      <c r="X40" s="3574"/>
      <c r="Y40" s="3579"/>
      <c r="Z40" s="3579"/>
      <c r="AA40" s="3580"/>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3"/>
      <c r="D41" s="3765"/>
      <c r="E41" s="3681"/>
      <c r="F41" s="3613"/>
      <c r="G41" s="3613"/>
      <c r="H41" s="3613"/>
      <c r="I41" s="3613"/>
      <c r="J41" s="3613"/>
      <c r="K41" s="3614"/>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75" t="str">
        <f t="shared" si="13"/>
        <v/>
      </c>
      <c r="W41" s="3576"/>
      <c r="X41" s="3576"/>
      <c r="Y41" s="3581"/>
      <c r="Z41" s="3581"/>
      <c r="AA41" s="3582"/>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3"/>
      <c r="D42" s="3765"/>
      <c r="E42" s="3680"/>
      <c r="F42" s="3616"/>
      <c r="G42" s="3616"/>
      <c r="H42" s="3616"/>
      <c r="I42" s="3616"/>
      <c r="J42" s="3616"/>
      <c r="K42" s="3617"/>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3" t="str">
        <f t="shared" ref="V42" si="15">IF(E42=0,"",VLOOKUP(E42,Tabla_TablasArmas,3,FALSE))</f>
        <v/>
      </c>
      <c r="W42" s="3574"/>
      <c r="X42" s="3574"/>
      <c r="Y42" s="3579"/>
      <c r="Z42" s="3579"/>
      <c r="AA42" s="3580"/>
      <c r="AB42" s="3049"/>
      <c r="AC42" s="1802"/>
      <c r="AD42" s="2960" t="str">
        <f t="shared" si="14"/>
        <v>Lista_Armas</v>
      </c>
      <c r="BB42" s="68"/>
      <c r="BC42" s="68"/>
      <c r="BD42" s="68"/>
      <c r="BE42" s="68"/>
      <c r="BF42" s="68"/>
      <c r="BG42" s="68"/>
      <c r="BH42" s="68"/>
    </row>
    <row r="43" spans="1:60" ht="12" customHeight="1" x14ac:dyDescent="0.2">
      <c r="A43" s="1983"/>
      <c r="B43" s="2306"/>
      <c r="C43" s="3563"/>
      <c r="D43" s="3765"/>
      <c r="E43" s="3681"/>
      <c r="F43" s="3613"/>
      <c r="G43" s="3613"/>
      <c r="H43" s="3613"/>
      <c r="I43" s="3613"/>
      <c r="J43" s="3613"/>
      <c r="K43" s="3614"/>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75" t="str">
        <f t="shared" ref="V43:V45" si="16">IF(E43=0,"",VLOOKUP(E43,Tabla_TablasArmas,3,FALSE))</f>
        <v/>
      </c>
      <c r="W43" s="3576"/>
      <c r="X43" s="3576"/>
      <c r="Y43" s="3581"/>
      <c r="Z43" s="3581"/>
      <c r="AA43" s="3582"/>
      <c r="AB43" s="3049"/>
      <c r="AC43" s="1802"/>
      <c r="AD43" s="2960" t="str">
        <f t="shared" si="14"/>
        <v>Lista_Armas</v>
      </c>
      <c r="BB43" s="81"/>
      <c r="BC43" s="81"/>
      <c r="BD43" s="81"/>
      <c r="BE43" s="81"/>
      <c r="BF43" s="81"/>
      <c r="BG43" s="81"/>
      <c r="BH43" s="81"/>
    </row>
    <row r="44" spans="1:60" ht="12" customHeight="1" x14ac:dyDescent="0.2">
      <c r="A44" s="1983"/>
      <c r="B44" s="2306"/>
      <c r="C44" s="3563"/>
      <c r="D44" s="3765"/>
      <c r="E44" s="3680"/>
      <c r="F44" s="3616"/>
      <c r="G44" s="3616"/>
      <c r="H44" s="3616"/>
      <c r="I44" s="3616"/>
      <c r="J44" s="3616"/>
      <c r="K44" s="3617"/>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3" t="str">
        <f t="shared" si="16"/>
        <v/>
      </c>
      <c r="W44" s="3574"/>
      <c r="X44" s="3574"/>
      <c r="Y44" s="3579"/>
      <c r="Z44" s="3579"/>
      <c r="AA44" s="3580"/>
      <c r="AB44" s="3049"/>
      <c r="AC44" s="1802"/>
      <c r="AD44" s="2960" t="str">
        <f t="shared" si="14"/>
        <v>Lista_Armas</v>
      </c>
      <c r="BB44" s="81"/>
      <c r="BC44" s="81"/>
      <c r="BD44" s="81"/>
      <c r="BE44" s="81"/>
      <c r="BF44" s="81"/>
      <c r="BG44" s="81"/>
      <c r="BH44" s="81"/>
    </row>
    <row r="45" spans="1:60" ht="12" customHeight="1" x14ac:dyDescent="0.2">
      <c r="A45" s="1983"/>
      <c r="B45" s="2306"/>
      <c r="C45" s="3563"/>
      <c r="D45" s="3767"/>
      <c r="E45" s="3681"/>
      <c r="F45" s="3613"/>
      <c r="G45" s="3613"/>
      <c r="H45" s="3613"/>
      <c r="I45" s="3613"/>
      <c r="J45" s="3613"/>
      <c r="K45" s="3614"/>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77" t="str">
        <f t="shared" si="16"/>
        <v/>
      </c>
      <c r="W45" s="3578"/>
      <c r="X45" s="3578"/>
      <c r="Y45" s="3583"/>
      <c r="Z45" s="3583"/>
      <c r="AA45" s="3584"/>
      <c r="AB45" s="3049"/>
      <c r="AC45" s="1802"/>
      <c r="AD45" s="2960" t="str">
        <f t="shared" si="14"/>
        <v>Lista_Armas</v>
      </c>
      <c r="BB45" s="81"/>
      <c r="BC45" s="81"/>
      <c r="BD45" s="81"/>
      <c r="BE45" s="81"/>
      <c r="BF45" s="81"/>
      <c r="BG45" s="81"/>
      <c r="BH45" s="81"/>
    </row>
    <row r="46" spans="1:60" ht="12" customHeight="1" x14ac:dyDescent="0.2">
      <c r="A46" s="1983"/>
      <c r="B46" s="2306"/>
      <c r="C46" s="3563"/>
      <c r="D46" s="3772" t="s">
        <v>1818</v>
      </c>
      <c r="E46" s="3609"/>
      <c r="F46" s="3610"/>
      <c r="G46" s="3610"/>
      <c r="H46" s="3610"/>
      <c r="I46" s="3610"/>
      <c r="J46" s="3610"/>
      <c r="K46" s="3611"/>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67" t="str">
        <f t="shared" ref="V46:V55" si="22">IF($E46="","",VLOOKUP($E46,Tabla_Tabla_Estilos,3,FALSE))</f>
        <v/>
      </c>
      <c r="W46" s="3667"/>
      <c r="X46" s="3667"/>
      <c r="Y46" s="3667"/>
      <c r="Z46" s="3667"/>
      <c r="AA46" s="3668"/>
      <c r="AB46" s="3049"/>
      <c r="AC46" s="1802"/>
      <c r="BB46" s="81"/>
      <c r="BC46" s="81"/>
      <c r="BD46" s="81"/>
      <c r="BE46" s="81"/>
      <c r="BF46" s="81"/>
      <c r="BG46" s="81"/>
      <c r="BH46" s="81"/>
    </row>
    <row r="47" spans="1:60" ht="12" customHeight="1" x14ac:dyDescent="0.2">
      <c r="A47" s="1983"/>
      <c r="B47" s="2306"/>
      <c r="C47" s="3563"/>
      <c r="D47" s="3773"/>
      <c r="E47" s="3612"/>
      <c r="F47" s="3613"/>
      <c r="G47" s="3613"/>
      <c r="H47" s="3613"/>
      <c r="I47" s="3613"/>
      <c r="J47" s="3613"/>
      <c r="K47" s="3614"/>
      <c r="L47" s="141" t="str">
        <f t="shared" si="17"/>
        <v/>
      </c>
      <c r="M47" s="1650"/>
      <c r="N47" s="141">
        <f t="shared" si="18"/>
        <v>0</v>
      </c>
      <c r="O47" s="1650"/>
      <c r="P47" s="141">
        <f t="shared" si="19"/>
        <v>0</v>
      </c>
      <c r="Q47" s="1650"/>
      <c r="R47" s="141">
        <f t="shared" si="20"/>
        <v>0</v>
      </c>
      <c r="S47" s="1650"/>
      <c r="T47" s="141">
        <f t="shared" si="21"/>
        <v>0</v>
      </c>
      <c r="U47" s="1699"/>
      <c r="V47" s="3631" t="str">
        <f t="shared" si="22"/>
        <v/>
      </c>
      <c r="W47" s="3631"/>
      <c r="X47" s="3631"/>
      <c r="Y47" s="3631"/>
      <c r="Z47" s="3631"/>
      <c r="AA47" s="3632"/>
      <c r="AB47" s="3049"/>
      <c r="AC47" s="1802"/>
      <c r="BB47" s="81"/>
      <c r="BC47" s="81"/>
      <c r="BD47" s="81"/>
      <c r="BE47" s="81"/>
      <c r="BF47" s="81"/>
      <c r="BG47" s="81"/>
      <c r="BH47" s="81"/>
    </row>
    <row r="48" spans="1:60" ht="12" customHeight="1" x14ac:dyDescent="0.2">
      <c r="A48" s="1983"/>
      <c r="B48" s="2306"/>
      <c r="C48" s="3563"/>
      <c r="D48" s="3773"/>
      <c r="E48" s="3615"/>
      <c r="F48" s="3616"/>
      <c r="G48" s="3616"/>
      <c r="H48" s="3616"/>
      <c r="I48" s="3616"/>
      <c r="J48" s="3616"/>
      <c r="K48" s="3617"/>
      <c r="L48" s="146" t="str">
        <f t="shared" si="17"/>
        <v/>
      </c>
      <c r="M48" s="1649"/>
      <c r="N48" s="146">
        <f t="shared" si="18"/>
        <v>0</v>
      </c>
      <c r="O48" s="1649"/>
      <c r="P48" s="146">
        <f t="shared" si="19"/>
        <v>0</v>
      </c>
      <c r="Q48" s="1649"/>
      <c r="R48" s="146">
        <f t="shared" si="20"/>
        <v>0</v>
      </c>
      <c r="S48" s="1649"/>
      <c r="T48" s="146">
        <f t="shared" si="21"/>
        <v>0</v>
      </c>
      <c r="U48" s="1700"/>
      <c r="V48" s="3650" t="str">
        <f t="shared" si="22"/>
        <v/>
      </c>
      <c r="W48" s="3650"/>
      <c r="X48" s="3650"/>
      <c r="Y48" s="3650"/>
      <c r="Z48" s="3650"/>
      <c r="AA48" s="3651"/>
      <c r="AB48" s="3049"/>
      <c r="AC48" s="1802"/>
      <c r="BB48" s="81"/>
      <c r="BC48" s="81"/>
      <c r="BD48" s="81"/>
      <c r="BE48" s="81"/>
      <c r="BF48" s="81"/>
      <c r="BG48" s="81"/>
      <c r="BH48" s="81"/>
    </row>
    <row r="49" spans="1:65" ht="12" customHeight="1" x14ac:dyDescent="0.2">
      <c r="A49" s="1983"/>
      <c r="B49" s="2306"/>
      <c r="C49" s="3563"/>
      <c r="D49" s="3773"/>
      <c r="E49" s="3612"/>
      <c r="F49" s="3613"/>
      <c r="G49" s="3613"/>
      <c r="H49" s="3613"/>
      <c r="I49" s="3613"/>
      <c r="J49" s="3613"/>
      <c r="K49" s="3614"/>
      <c r="L49" s="141" t="str">
        <f t="shared" si="17"/>
        <v/>
      </c>
      <c r="M49" s="1650"/>
      <c r="N49" s="141">
        <f t="shared" si="18"/>
        <v>0</v>
      </c>
      <c r="O49" s="1650"/>
      <c r="P49" s="141">
        <f t="shared" si="19"/>
        <v>0</v>
      </c>
      <c r="Q49" s="1650"/>
      <c r="R49" s="141">
        <f t="shared" si="20"/>
        <v>0</v>
      </c>
      <c r="S49" s="1650"/>
      <c r="T49" s="141">
        <f t="shared" si="21"/>
        <v>0</v>
      </c>
      <c r="U49" s="1699"/>
      <c r="V49" s="3631" t="str">
        <f t="shared" si="22"/>
        <v/>
      </c>
      <c r="W49" s="3631"/>
      <c r="X49" s="3631"/>
      <c r="Y49" s="3631"/>
      <c r="Z49" s="3631"/>
      <c r="AA49" s="3632"/>
      <c r="AB49" s="3049"/>
      <c r="AC49" s="1802"/>
    </row>
    <row r="50" spans="1:65" ht="12" customHeight="1" x14ac:dyDescent="0.2">
      <c r="A50" s="1983"/>
      <c r="B50" s="2306"/>
      <c r="C50" s="3563"/>
      <c r="D50" s="3773"/>
      <c r="E50" s="3615"/>
      <c r="F50" s="3616"/>
      <c r="G50" s="3616"/>
      <c r="H50" s="3616"/>
      <c r="I50" s="3616"/>
      <c r="J50" s="3616"/>
      <c r="K50" s="3617"/>
      <c r="L50" s="146" t="str">
        <f t="shared" si="17"/>
        <v/>
      </c>
      <c r="M50" s="1649"/>
      <c r="N50" s="146">
        <f t="shared" si="18"/>
        <v>0</v>
      </c>
      <c r="O50" s="1649"/>
      <c r="P50" s="146">
        <f t="shared" si="19"/>
        <v>0</v>
      </c>
      <c r="Q50" s="1649"/>
      <c r="R50" s="146">
        <f t="shared" si="20"/>
        <v>0</v>
      </c>
      <c r="S50" s="1649"/>
      <c r="T50" s="146">
        <f t="shared" si="21"/>
        <v>0</v>
      </c>
      <c r="U50" s="1700"/>
      <c r="V50" s="3650" t="str">
        <f t="shared" si="22"/>
        <v/>
      </c>
      <c r="W50" s="3650"/>
      <c r="X50" s="3650"/>
      <c r="Y50" s="3650"/>
      <c r="Z50" s="3650"/>
      <c r="AA50" s="3651"/>
      <c r="AB50" s="3049"/>
      <c r="AC50" s="1802"/>
      <c r="AD50" s="2960" t="str">
        <f>IF(PDs!$AD75=0,"",IF(PDs!$V75="FALTAN REQUISITOS",PDs!$V75,VLOOKUP(X50,Tabla_AM_Armas,9,FALSE)))</f>
        <v/>
      </c>
    </row>
    <row r="51" spans="1:65" ht="12" customHeight="1" x14ac:dyDescent="0.2">
      <c r="A51" s="1983"/>
      <c r="B51" s="2306"/>
      <c r="C51" s="3563"/>
      <c r="D51" s="3773"/>
      <c r="E51" s="3612"/>
      <c r="F51" s="3613"/>
      <c r="G51" s="3613"/>
      <c r="H51" s="3613"/>
      <c r="I51" s="3613"/>
      <c r="J51" s="3613"/>
      <c r="K51" s="3614"/>
      <c r="L51" s="141" t="str">
        <f t="shared" si="17"/>
        <v/>
      </c>
      <c r="M51" s="1650"/>
      <c r="N51" s="141">
        <f t="shared" si="18"/>
        <v>0</v>
      </c>
      <c r="O51" s="1650"/>
      <c r="P51" s="141">
        <f t="shared" si="19"/>
        <v>0</v>
      </c>
      <c r="Q51" s="1650"/>
      <c r="R51" s="141">
        <f t="shared" si="20"/>
        <v>0</v>
      </c>
      <c r="S51" s="1650"/>
      <c r="T51" s="141">
        <f t="shared" si="21"/>
        <v>0</v>
      </c>
      <c r="U51" s="1699"/>
      <c r="V51" s="3631" t="str">
        <f t="shared" si="22"/>
        <v/>
      </c>
      <c r="W51" s="3631"/>
      <c r="X51" s="3631"/>
      <c r="Y51" s="3631"/>
      <c r="Z51" s="3631"/>
      <c r="AA51" s="3632"/>
      <c r="AB51" s="3049"/>
      <c r="AC51" s="1802"/>
      <c r="AD51" s="2960" t="str">
        <f>IF(PDs!$AD76=0,"",IF(PDs!$V76="FALTAN REQUISITOS",PDs!$V76,VLOOKUP(X51,Tabla_AM_Armas,9,FALSE)))</f>
        <v/>
      </c>
    </row>
    <row r="52" spans="1:65" ht="12" customHeight="1" x14ac:dyDescent="0.2">
      <c r="A52" s="1983"/>
      <c r="B52" s="2306"/>
      <c r="C52" s="3563"/>
      <c r="D52" s="3773"/>
      <c r="E52" s="3615"/>
      <c r="F52" s="3616"/>
      <c r="G52" s="3616"/>
      <c r="H52" s="3616"/>
      <c r="I52" s="3616"/>
      <c r="J52" s="3616"/>
      <c r="K52" s="3617"/>
      <c r="L52" s="146" t="str">
        <f t="shared" si="17"/>
        <v/>
      </c>
      <c r="M52" s="171"/>
      <c r="N52" s="146">
        <f t="shared" si="18"/>
        <v>0</v>
      </c>
      <c r="O52" s="171"/>
      <c r="P52" s="146">
        <f t="shared" si="19"/>
        <v>0</v>
      </c>
      <c r="Q52" s="171"/>
      <c r="R52" s="146">
        <f t="shared" si="20"/>
        <v>0</v>
      </c>
      <c r="S52" s="171"/>
      <c r="T52" s="146">
        <f t="shared" si="21"/>
        <v>0</v>
      </c>
      <c r="U52" s="1701"/>
      <c r="V52" s="3650" t="str">
        <f t="shared" si="22"/>
        <v/>
      </c>
      <c r="W52" s="3650"/>
      <c r="X52" s="3650"/>
      <c r="Y52" s="3650"/>
      <c r="Z52" s="3650"/>
      <c r="AA52" s="3651"/>
      <c r="AB52" s="3049"/>
      <c r="AC52" s="1802"/>
      <c r="AD52" s="2960" t="str">
        <f>IF(PDs!$AD77=0,"",IF(PDs!$V77="FALTAN REQUISITOS",PDs!$V77,VLOOKUP(X52,Tabla_AM_Armas,9,FALSE)))</f>
        <v/>
      </c>
    </row>
    <row r="53" spans="1:65" ht="12" customHeight="1" x14ac:dyDescent="0.2">
      <c r="A53" s="1983"/>
      <c r="B53" s="2306"/>
      <c r="C53" s="3563"/>
      <c r="D53" s="3773"/>
      <c r="E53" s="3612"/>
      <c r="F53" s="3613"/>
      <c r="G53" s="3613"/>
      <c r="H53" s="3613"/>
      <c r="I53" s="3613"/>
      <c r="J53" s="3613"/>
      <c r="K53" s="3614"/>
      <c r="L53" s="141" t="str">
        <f t="shared" si="17"/>
        <v/>
      </c>
      <c r="M53" s="172"/>
      <c r="N53" s="141">
        <f t="shared" si="18"/>
        <v>0</v>
      </c>
      <c r="O53" s="172"/>
      <c r="P53" s="141">
        <f t="shared" si="19"/>
        <v>0</v>
      </c>
      <c r="Q53" s="172"/>
      <c r="R53" s="141">
        <f t="shared" si="20"/>
        <v>0</v>
      </c>
      <c r="S53" s="172"/>
      <c r="T53" s="141">
        <f t="shared" si="21"/>
        <v>0</v>
      </c>
      <c r="U53" s="1702"/>
      <c r="V53" s="3631" t="str">
        <f t="shared" si="22"/>
        <v/>
      </c>
      <c r="W53" s="3631"/>
      <c r="X53" s="3631"/>
      <c r="Y53" s="3631"/>
      <c r="Z53" s="3631"/>
      <c r="AA53" s="3632"/>
      <c r="AB53" s="3049"/>
      <c r="AC53" s="1802"/>
    </row>
    <row r="54" spans="1:65" ht="12" customHeight="1" x14ac:dyDescent="0.2">
      <c r="A54" s="1983"/>
      <c r="B54" s="2306"/>
      <c r="C54" s="3563"/>
      <c r="D54" s="3773"/>
      <c r="E54" s="3615"/>
      <c r="F54" s="3616"/>
      <c r="G54" s="3616"/>
      <c r="H54" s="3616"/>
      <c r="I54" s="3616"/>
      <c r="J54" s="3616"/>
      <c r="K54" s="3617"/>
      <c r="L54" s="146" t="str">
        <f t="shared" si="17"/>
        <v/>
      </c>
      <c r="M54" s="171"/>
      <c r="N54" s="146">
        <f t="shared" si="18"/>
        <v>0</v>
      </c>
      <c r="O54" s="171"/>
      <c r="P54" s="146">
        <f t="shared" si="19"/>
        <v>0</v>
      </c>
      <c r="Q54" s="171"/>
      <c r="R54" s="146">
        <f t="shared" si="20"/>
        <v>0</v>
      </c>
      <c r="S54" s="171"/>
      <c r="T54" s="146">
        <f t="shared" si="21"/>
        <v>0</v>
      </c>
      <c r="U54" s="1701"/>
      <c r="V54" s="3650" t="str">
        <f t="shared" si="22"/>
        <v/>
      </c>
      <c r="W54" s="3650"/>
      <c r="X54" s="3650"/>
      <c r="Y54" s="3650"/>
      <c r="Z54" s="3650"/>
      <c r="AA54" s="3651"/>
      <c r="AB54" s="3049"/>
      <c r="AC54" s="1802"/>
      <c r="BB54" s="68"/>
      <c r="BC54" s="68"/>
      <c r="BD54" s="68"/>
      <c r="BE54" s="68"/>
      <c r="BF54" s="68"/>
      <c r="BG54" s="68"/>
      <c r="BH54" s="68"/>
      <c r="BI54" s="68"/>
    </row>
    <row r="55" spans="1:65" ht="12" customHeight="1" x14ac:dyDescent="0.2">
      <c r="A55" s="1983"/>
      <c r="B55" s="2306"/>
      <c r="C55" s="3563"/>
      <c r="D55" s="3774"/>
      <c r="E55" s="3652"/>
      <c r="F55" s="3653"/>
      <c r="G55" s="3653"/>
      <c r="H55" s="3653"/>
      <c r="I55" s="3653"/>
      <c r="J55" s="3653"/>
      <c r="K55" s="3654"/>
      <c r="L55" s="1694" t="str">
        <f t="shared" si="17"/>
        <v/>
      </c>
      <c r="M55" s="1703"/>
      <c r="N55" s="1694">
        <f t="shared" si="18"/>
        <v>0</v>
      </c>
      <c r="O55" s="1703"/>
      <c r="P55" s="1694">
        <f t="shared" si="19"/>
        <v>0</v>
      </c>
      <c r="Q55" s="1703"/>
      <c r="R55" s="1694">
        <f t="shared" si="20"/>
        <v>0</v>
      </c>
      <c r="S55" s="1703"/>
      <c r="T55" s="1694">
        <f t="shared" si="21"/>
        <v>0</v>
      </c>
      <c r="U55" s="1704"/>
      <c r="V55" s="3664" t="str">
        <f t="shared" si="22"/>
        <v/>
      </c>
      <c r="W55" s="3664"/>
      <c r="X55" s="3664"/>
      <c r="Y55" s="3664"/>
      <c r="Z55" s="3664"/>
      <c r="AA55" s="3665"/>
      <c r="AB55" s="3049"/>
      <c r="AC55" s="1802"/>
      <c r="AE55" s="2982"/>
      <c r="BB55" s="68"/>
      <c r="BC55" s="68"/>
      <c r="BD55" s="68"/>
      <c r="BE55" s="68"/>
      <c r="BF55" s="68"/>
      <c r="BG55" s="68"/>
      <c r="BH55" s="68"/>
      <c r="BI55" s="68"/>
    </row>
    <row r="56" spans="1:65" ht="12" customHeight="1" x14ac:dyDescent="0.2">
      <c r="A56" s="1983"/>
      <c r="B56" s="2306"/>
      <c r="C56" s="3563"/>
      <c r="D56" s="3772" t="s">
        <v>1819</v>
      </c>
      <c r="E56" s="3815"/>
      <c r="F56" s="3816"/>
      <c r="G56" s="3816"/>
      <c r="H56" s="3816"/>
      <c r="I56" s="3817"/>
      <c r="J56" s="3813"/>
      <c r="K56" s="3814"/>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666" t="str">
        <f t="shared" ref="V56:V74" si="28">IF($AD56=0,"",IF(VLOOKUP($AD56,Tabla_ArtesMarciales,21,FALSE)="-",VLOOKUP($AD56,Tabla_ArtesMarciales,9,FALSE),"FALTAN REQUISITOS"))</f>
        <v/>
      </c>
      <c r="W56" s="3667"/>
      <c r="X56" s="3667"/>
      <c r="Y56" s="3667"/>
      <c r="Z56" s="3667"/>
      <c r="AA56" s="3668"/>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3"/>
      <c r="D57" s="3773"/>
      <c r="E57" s="3818"/>
      <c r="F57" s="3819"/>
      <c r="G57" s="3819"/>
      <c r="H57" s="3819"/>
      <c r="I57" s="3820"/>
      <c r="J57" s="3821"/>
      <c r="K57" s="3822"/>
      <c r="L57" s="2379" t="str">
        <f t="shared" si="23"/>
        <v/>
      </c>
      <c r="M57" s="1650"/>
      <c r="N57" s="141" t="str">
        <f t="shared" si="24"/>
        <v/>
      </c>
      <c r="O57" s="1650"/>
      <c r="P57" s="141" t="str">
        <f t="shared" si="25"/>
        <v/>
      </c>
      <c r="Q57" s="1650"/>
      <c r="R57" s="141" t="str">
        <f t="shared" si="26"/>
        <v/>
      </c>
      <c r="S57" s="1650"/>
      <c r="T57" s="141" t="str">
        <f t="shared" si="27"/>
        <v/>
      </c>
      <c r="U57" s="1650"/>
      <c r="V57" s="3630" t="str">
        <f t="shared" si="28"/>
        <v/>
      </c>
      <c r="W57" s="3631"/>
      <c r="X57" s="3631"/>
      <c r="Y57" s="3631"/>
      <c r="Z57" s="3631"/>
      <c r="AA57" s="3632"/>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3"/>
      <c r="D58" s="3773"/>
      <c r="E58" s="3823"/>
      <c r="F58" s="3824"/>
      <c r="G58" s="3824"/>
      <c r="H58" s="3824"/>
      <c r="I58" s="3825"/>
      <c r="J58" s="3826"/>
      <c r="K58" s="3827"/>
      <c r="L58" s="2378" t="str">
        <f t="shared" si="23"/>
        <v/>
      </c>
      <c r="M58" s="1649"/>
      <c r="N58" s="146" t="str">
        <f t="shared" si="24"/>
        <v/>
      </c>
      <c r="O58" s="1649"/>
      <c r="P58" s="146" t="str">
        <f t="shared" si="25"/>
        <v/>
      </c>
      <c r="Q58" s="1649"/>
      <c r="R58" s="146" t="str">
        <f t="shared" si="26"/>
        <v/>
      </c>
      <c r="S58" s="1649"/>
      <c r="T58" s="146" t="str">
        <f t="shared" si="27"/>
        <v/>
      </c>
      <c r="U58" s="1649"/>
      <c r="V58" s="3649" t="str">
        <f t="shared" si="28"/>
        <v/>
      </c>
      <c r="W58" s="3650"/>
      <c r="X58" s="3650"/>
      <c r="Y58" s="3650"/>
      <c r="Z58" s="3650"/>
      <c r="AA58" s="3651"/>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3"/>
      <c r="D59" s="3773"/>
      <c r="E59" s="3818"/>
      <c r="F59" s="3819"/>
      <c r="G59" s="3819"/>
      <c r="H59" s="3819"/>
      <c r="I59" s="3820"/>
      <c r="J59" s="3821"/>
      <c r="K59" s="3822"/>
      <c r="L59" s="2379" t="str">
        <f t="shared" si="23"/>
        <v/>
      </c>
      <c r="M59" s="1650"/>
      <c r="N59" s="141" t="str">
        <f t="shared" si="24"/>
        <v/>
      </c>
      <c r="O59" s="1650"/>
      <c r="P59" s="141" t="str">
        <f t="shared" si="25"/>
        <v/>
      </c>
      <c r="Q59" s="1650"/>
      <c r="R59" s="141" t="str">
        <f t="shared" si="26"/>
        <v/>
      </c>
      <c r="S59" s="1650"/>
      <c r="T59" s="141" t="str">
        <f t="shared" si="27"/>
        <v/>
      </c>
      <c r="U59" s="1650"/>
      <c r="V59" s="3630" t="str">
        <f t="shared" si="28"/>
        <v/>
      </c>
      <c r="W59" s="3631"/>
      <c r="X59" s="3631"/>
      <c r="Y59" s="3631"/>
      <c r="Z59" s="3631"/>
      <c r="AA59" s="3632"/>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3"/>
      <c r="D60" s="3773"/>
      <c r="E60" s="3823"/>
      <c r="F60" s="3824"/>
      <c r="G60" s="3824"/>
      <c r="H60" s="3824"/>
      <c r="I60" s="3825"/>
      <c r="J60" s="3826"/>
      <c r="K60" s="3827"/>
      <c r="L60" s="2378" t="str">
        <f t="shared" si="23"/>
        <v/>
      </c>
      <c r="M60" s="1649"/>
      <c r="N60" s="146" t="str">
        <f t="shared" si="24"/>
        <v/>
      </c>
      <c r="O60" s="1649"/>
      <c r="P60" s="146" t="str">
        <f t="shared" si="25"/>
        <v/>
      </c>
      <c r="Q60" s="1649"/>
      <c r="R60" s="146" t="str">
        <f t="shared" si="26"/>
        <v/>
      </c>
      <c r="S60" s="1649"/>
      <c r="T60" s="146" t="str">
        <f t="shared" si="27"/>
        <v/>
      </c>
      <c r="U60" s="1649"/>
      <c r="V60" s="3649" t="str">
        <f t="shared" si="28"/>
        <v/>
      </c>
      <c r="W60" s="3650"/>
      <c r="X60" s="3650"/>
      <c r="Y60" s="3650"/>
      <c r="Z60" s="3650"/>
      <c r="AA60" s="3651"/>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3"/>
      <c r="D61" s="3773"/>
      <c r="E61" s="3818"/>
      <c r="F61" s="3819"/>
      <c r="G61" s="3819"/>
      <c r="H61" s="3819"/>
      <c r="I61" s="3820"/>
      <c r="J61" s="3821"/>
      <c r="K61" s="3822"/>
      <c r="L61" s="2379" t="str">
        <f t="shared" si="23"/>
        <v/>
      </c>
      <c r="M61" s="1650"/>
      <c r="N61" s="141" t="str">
        <f t="shared" si="24"/>
        <v/>
      </c>
      <c r="O61" s="1650"/>
      <c r="P61" s="141" t="str">
        <f t="shared" si="25"/>
        <v/>
      </c>
      <c r="Q61" s="1650"/>
      <c r="R61" s="141" t="str">
        <f t="shared" si="26"/>
        <v/>
      </c>
      <c r="S61" s="1650"/>
      <c r="T61" s="141" t="str">
        <f t="shared" si="27"/>
        <v/>
      </c>
      <c r="U61" s="1650"/>
      <c r="V61" s="3630" t="str">
        <f t="shared" si="28"/>
        <v/>
      </c>
      <c r="W61" s="3631"/>
      <c r="X61" s="3631"/>
      <c r="Y61" s="3631"/>
      <c r="Z61" s="3631"/>
      <c r="AA61" s="3632"/>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3"/>
      <c r="D62" s="3773"/>
      <c r="E62" s="3823"/>
      <c r="F62" s="3824"/>
      <c r="G62" s="3824"/>
      <c r="H62" s="3824"/>
      <c r="I62" s="3825"/>
      <c r="J62" s="3826"/>
      <c r="K62" s="3827"/>
      <c r="L62" s="2378" t="str">
        <f t="shared" si="23"/>
        <v/>
      </c>
      <c r="M62" s="1649"/>
      <c r="N62" s="146" t="str">
        <f t="shared" si="24"/>
        <v/>
      </c>
      <c r="O62" s="1649"/>
      <c r="P62" s="146" t="str">
        <f t="shared" si="25"/>
        <v/>
      </c>
      <c r="Q62" s="1649"/>
      <c r="R62" s="146" t="str">
        <f t="shared" si="26"/>
        <v/>
      </c>
      <c r="S62" s="1649"/>
      <c r="T62" s="146" t="str">
        <f t="shared" si="27"/>
        <v/>
      </c>
      <c r="U62" s="1649"/>
      <c r="V62" s="3649" t="str">
        <f t="shared" si="28"/>
        <v/>
      </c>
      <c r="W62" s="3650"/>
      <c r="X62" s="3650"/>
      <c r="Y62" s="3650"/>
      <c r="Z62" s="3650"/>
      <c r="AA62" s="3651"/>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3"/>
      <c r="D63" s="3773"/>
      <c r="E63" s="3818"/>
      <c r="F63" s="3819"/>
      <c r="G63" s="3819"/>
      <c r="H63" s="3819"/>
      <c r="I63" s="3820"/>
      <c r="J63" s="3821"/>
      <c r="K63" s="3822"/>
      <c r="L63" s="2379" t="str">
        <f t="shared" si="23"/>
        <v/>
      </c>
      <c r="M63" s="1650"/>
      <c r="N63" s="141" t="str">
        <f t="shared" si="24"/>
        <v/>
      </c>
      <c r="O63" s="1650"/>
      <c r="P63" s="141" t="str">
        <f t="shared" si="25"/>
        <v/>
      </c>
      <c r="Q63" s="1650"/>
      <c r="R63" s="141" t="str">
        <f t="shared" si="26"/>
        <v/>
      </c>
      <c r="S63" s="1650"/>
      <c r="T63" s="141" t="str">
        <f t="shared" si="27"/>
        <v/>
      </c>
      <c r="U63" s="1650"/>
      <c r="V63" s="3630" t="str">
        <f t="shared" si="28"/>
        <v/>
      </c>
      <c r="W63" s="3631"/>
      <c r="X63" s="3631"/>
      <c r="Y63" s="3631"/>
      <c r="Z63" s="3631"/>
      <c r="AA63" s="3632"/>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3"/>
      <c r="D64" s="3773"/>
      <c r="E64" s="3823"/>
      <c r="F64" s="3824"/>
      <c r="G64" s="3824"/>
      <c r="H64" s="3824"/>
      <c r="I64" s="3825"/>
      <c r="J64" s="3826"/>
      <c r="K64" s="3827"/>
      <c r="L64" s="2378" t="str">
        <f t="shared" si="23"/>
        <v/>
      </c>
      <c r="M64" s="1649"/>
      <c r="N64" s="146" t="str">
        <f t="shared" si="24"/>
        <v/>
      </c>
      <c r="O64" s="1649"/>
      <c r="P64" s="146" t="str">
        <f t="shared" si="25"/>
        <v/>
      </c>
      <c r="Q64" s="1649"/>
      <c r="R64" s="146" t="str">
        <f t="shared" si="26"/>
        <v/>
      </c>
      <c r="S64" s="1649"/>
      <c r="T64" s="146" t="str">
        <f t="shared" si="27"/>
        <v/>
      </c>
      <c r="U64" s="1649"/>
      <c r="V64" s="3649" t="str">
        <f t="shared" si="28"/>
        <v/>
      </c>
      <c r="W64" s="3650"/>
      <c r="X64" s="3650"/>
      <c r="Y64" s="3650"/>
      <c r="Z64" s="3650"/>
      <c r="AA64" s="3651"/>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3"/>
      <c r="D65" s="3773"/>
      <c r="E65" s="3818"/>
      <c r="F65" s="3819"/>
      <c r="G65" s="3819"/>
      <c r="H65" s="3819"/>
      <c r="I65" s="3820"/>
      <c r="J65" s="3821"/>
      <c r="K65" s="3822"/>
      <c r="L65" s="2379" t="str">
        <f t="shared" si="23"/>
        <v/>
      </c>
      <c r="M65" s="1650"/>
      <c r="N65" s="141" t="str">
        <f t="shared" si="24"/>
        <v/>
      </c>
      <c r="O65" s="1650"/>
      <c r="P65" s="141" t="str">
        <f t="shared" si="25"/>
        <v/>
      </c>
      <c r="Q65" s="1650"/>
      <c r="R65" s="141" t="str">
        <f t="shared" si="26"/>
        <v/>
      </c>
      <c r="S65" s="1650"/>
      <c r="T65" s="141" t="str">
        <f t="shared" si="27"/>
        <v/>
      </c>
      <c r="U65" s="1650"/>
      <c r="V65" s="3630" t="str">
        <f t="shared" si="28"/>
        <v/>
      </c>
      <c r="W65" s="3631"/>
      <c r="X65" s="3631"/>
      <c r="Y65" s="3631"/>
      <c r="Z65" s="3631"/>
      <c r="AA65" s="3632"/>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63"/>
      <c r="D66" s="3773"/>
      <c r="E66" s="3823"/>
      <c r="F66" s="3824"/>
      <c r="G66" s="3824"/>
      <c r="H66" s="3824"/>
      <c r="I66" s="3825"/>
      <c r="J66" s="3826"/>
      <c r="K66" s="3827"/>
      <c r="L66" s="2378" t="str">
        <f t="shared" si="23"/>
        <v/>
      </c>
      <c r="M66" s="1649"/>
      <c r="N66" s="146" t="str">
        <f t="shared" si="24"/>
        <v/>
      </c>
      <c r="O66" s="1649"/>
      <c r="P66" s="146" t="str">
        <f t="shared" si="25"/>
        <v/>
      </c>
      <c r="Q66" s="1649"/>
      <c r="R66" s="146" t="str">
        <f t="shared" si="26"/>
        <v/>
      </c>
      <c r="S66" s="1649"/>
      <c r="T66" s="146" t="str">
        <f t="shared" si="27"/>
        <v/>
      </c>
      <c r="U66" s="1649"/>
      <c r="V66" s="3649" t="str">
        <f t="shared" si="28"/>
        <v/>
      </c>
      <c r="W66" s="3650"/>
      <c r="X66" s="3650"/>
      <c r="Y66" s="3650"/>
      <c r="Z66" s="3650"/>
      <c r="AA66" s="3651"/>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63"/>
      <c r="D67" s="3773"/>
      <c r="E67" s="3818"/>
      <c r="F67" s="3819"/>
      <c r="G67" s="3819"/>
      <c r="H67" s="3819"/>
      <c r="I67" s="3820"/>
      <c r="J67" s="3821"/>
      <c r="K67" s="3822"/>
      <c r="L67" s="2379" t="str">
        <f t="shared" si="23"/>
        <v/>
      </c>
      <c r="M67" s="1650"/>
      <c r="N67" s="141" t="str">
        <f t="shared" si="24"/>
        <v/>
      </c>
      <c r="O67" s="1650"/>
      <c r="P67" s="141" t="str">
        <f t="shared" si="25"/>
        <v/>
      </c>
      <c r="Q67" s="1650"/>
      <c r="R67" s="141" t="str">
        <f t="shared" si="26"/>
        <v/>
      </c>
      <c r="S67" s="1650"/>
      <c r="T67" s="141" t="str">
        <f t="shared" si="27"/>
        <v/>
      </c>
      <c r="U67" s="1650"/>
      <c r="V67" s="3630" t="str">
        <f t="shared" si="28"/>
        <v/>
      </c>
      <c r="W67" s="3631"/>
      <c r="X67" s="3631"/>
      <c r="Y67" s="3631"/>
      <c r="Z67" s="3631"/>
      <c r="AA67" s="3632"/>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63"/>
      <c r="D68" s="3773"/>
      <c r="E68" s="3823"/>
      <c r="F68" s="3824"/>
      <c r="G68" s="3824"/>
      <c r="H68" s="3824"/>
      <c r="I68" s="3825"/>
      <c r="J68" s="3826"/>
      <c r="K68" s="3827"/>
      <c r="L68" s="2378" t="str">
        <f t="shared" si="23"/>
        <v/>
      </c>
      <c r="M68" s="1649"/>
      <c r="N68" s="146" t="str">
        <f t="shared" si="24"/>
        <v/>
      </c>
      <c r="O68" s="1649"/>
      <c r="P68" s="146" t="str">
        <f t="shared" si="25"/>
        <v/>
      </c>
      <c r="Q68" s="1649"/>
      <c r="R68" s="146" t="str">
        <f t="shared" si="26"/>
        <v/>
      </c>
      <c r="S68" s="1649"/>
      <c r="T68" s="146" t="str">
        <f t="shared" si="27"/>
        <v/>
      </c>
      <c r="U68" s="1649"/>
      <c r="V68" s="3649" t="str">
        <f t="shared" si="28"/>
        <v/>
      </c>
      <c r="W68" s="3650"/>
      <c r="X68" s="3650"/>
      <c r="Y68" s="3650"/>
      <c r="Z68" s="3650"/>
      <c r="AA68" s="3651"/>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63"/>
      <c r="D69" s="3773"/>
      <c r="E69" s="3818"/>
      <c r="F69" s="3819"/>
      <c r="G69" s="3819"/>
      <c r="H69" s="3819"/>
      <c r="I69" s="3820"/>
      <c r="J69" s="3821"/>
      <c r="K69" s="3822"/>
      <c r="L69" s="2379" t="str">
        <f t="shared" si="23"/>
        <v/>
      </c>
      <c r="M69" s="1650"/>
      <c r="N69" s="141" t="str">
        <f t="shared" si="24"/>
        <v/>
      </c>
      <c r="O69" s="1650"/>
      <c r="P69" s="141" t="str">
        <f t="shared" si="25"/>
        <v/>
      </c>
      <c r="Q69" s="1650"/>
      <c r="R69" s="141" t="str">
        <f t="shared" si="26"/>
        <v/>
      </c>
      <c r="S69" s="1650"/>
      <c r="T69" s="141" t="str">
        <f t="shared" si="27"/>
        <v/>
      </c>
      <c r="U69" s="1650"/>
      <c r="V69" s="3630" t="str">
        <f t="shared" si="28"/>
        <v/>
      </c>
      <c r="W69" s="3631"/>
      <c r="X69" s="3631"/>
      <c r="Y69" s="3631"/>
      <c r="Z69" s="3631"/>
      <c r="AA69" s="3632"/>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63"/>
      <c r="D70" s="3773"/>
      <c r="E70" s="3823"/>
      <c r="F70" s="3824"/>
      <c r="G70" s="3824"/>
      <c r="H70" s="3824"/>
      <c r="I70" s="3825"/>
      <c r="J70" s="3826"/>
      <c r="K70" s="3827"/>
      <c r="L70" s="2378" t="str">
        <f t="shared" si="23"/>
        <v/>
      </c>
      <c r="M70" s="1649"/>
      <c r="N70" s="146" t="str">
        <f t="shared" si="24"/>
        <v/>
      </c>
      <c r="O70" s="1649"/>
      <c r="P70" s="146" t="str">
        <f t="shared" si="25"/>
        <v/>
      </c>
      <c r="Q70" s="1649"/>
      <c r="R70" s="146" t="str">
        <f t="shared" si="26"/>
        <v/>
      </c>
      <c r="S70" s="1649"/>
      <c r="T70" s="146" t="str">
        <f t="shared" si="27"/>
        <v/>
      </c>
      <c r="U70" s="1649"/>
      <c r="V70" s="3649" t="str">
        <f t="shared" si="28"/>
        <v/>
      </c>
      <c r="W70" s="3650"/>
      <c r="X70" s="3650"/>
      <c r="Y70" s="3650"/>
      <c r="Z70" s="3650"/>
      <c r="AA70" s="3651"/>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63"/>
      <c r="D71" s="3773"/>
      <c r="E71" s="3818"/>
      <c r="F71" s="3819"/>
      <c r="G71" s="3819"/>
      <c r="H71" s="3819"/>
      <c r="I71" s="3820"/>
      <c r="J71" s="3821"/>
      <c r="K71" s="3822"/>
      <c r="L71" s="2379" t="str">
        <f t="shared" si="23"/>
        <v/>
      </c>
      <c r="M71" s="1650"/>
      <c r="N71" s="1651" t="str">
        <f t="shared" si="24"/>
        <v/>
      </c>
      <c r="O71" s="1650"/>
      <c r="P71" s="1651" t="str">
        <f t="shared" si="25"/>
        <v/>
      </c>
      <c r="Q71" s="1650"/>
      <c r="R71" s="1651" t="str">
        <f t="shared" si="26"/>
        <v/>
      </c>
      <c r="S71" s="1650"/>
      <c r="T71" s="1651" t="str">
        <f t="shared" si="27"/>
        <v/>
      </c>
      <c r="U71" s="1650"/>
      <c r="V71" s="3630" t="str">
        <f t="shared" si="28"/>
        <v/>
      </c>
      <c r="W71" s="3631"/>
      <c r="X71" s="3631"/>
      <c r="Y71" s="3631"/>
      <c r="Z71" s="3631"/>
      <c r="AA71" s="3632"/>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63"/>
      <c r="D72" s="3773"/>
      <c r="E72" s="3823"/>
      <c r="F72" s="3824"/>
      <c r="G72" s="3824"/>
      <c r="H72" s="3824"/>
      <c r="I72" s="3825"/>
      <c r="J72" s="3826"/>
      <c r="K72" s="3827"/>
      <c r="L72" s="2378" t="str">
        <f t="shared" si="23"/>
        <v/>
      </c>
      <c r="M72" s="1649"/>
      <c r="N72" s="1646" t="str">
        <f t="shared" si="24"/>
        <v/>
      </c>
      <c r="O72" s="1649"/>
      <c r="P72" s="1646" t="str">
        <f t="shared" si="25"/>
        <v/>
      </c>
      <c r="Q72" s="1649"/>
      <c r="R72" s="1646" t="str">
        <f t="shared" si="26"/>
        <v/>
      </c>
      <c r="S72" s="1649"/>
      <c r="T72" s="1646" t="str">
        <f t="shared" si="27"/>
        <v/>
      </c>
      <c r="U72" s="1649"/>
      <c r="V72" s="3649" t="str">
        <f t="shared" si="28"/>
        <v/>
      </c>
      <c r="W72" s="3650"/>
      <c r="X72" s="3650"/>
      <c r="Y72" s="3650"/>
      <c r="Z72" s="3650"/>
      <c r="AA72" s="3651"/>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63"/>
      <c r="D73" s="3773"/>
      <c r="E73" s="3818"/>
      <c r="F73" s="3819"/>
      <c r="G73" s="3819"/>
      <c r="H73" s="3819"/>
      <c r="I73" s="3820"/>
      <c r="J73" s="3821"/>
      <c r="K73" s="3822"/>
      <c r="L73" s="2379" t="str">
        <f t="shared" si="23"/>
        <v/>
      </c>
      <c r="M73" s="1650"/>
      <c r="N73" s="1651" t="str">
        <f t="shared" si="24"/>
        <v/>
      </c>
      <c r="O73" s="1650"/>
      <c r="P73" s="1651" t="str">
        <f t="shared" si="25"/>
        <v/>
      </c>
      <c r="Q73" s="1650"/>
      <c r="R73" s="1651" t="str">
        <f t="shared" si="26"/>
        <v/>
      </c>
      <c r="S73" s="1650"/>
      <c r="T73" s="1651" t="str">
        <f t="shared" si="27"/>
        <v/>
      </c>
      <c r="U73" s="1650"/>
      <c r="V73" s="3630" t="str">
        <f t="shared" si="28"/>
        <v/>
      </c>
      <c r="W73" s="3631"/>
      <c r="X73" s="3631"/>
      <c r="Y73" s="3631"/>
      <c r="Z73" s="3631"/>
      <c r="AA73" s="3632"/>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63"/>
      <c r="D74" s="3773"/>
      <c r="E74" s="3829"/>
      <c r="F74" s="3830"/>
      <c r="G74" s="3830"/>
      <c r="H74" s="3830"/>
      <c r="I74" s="3831"/>
      <c r="J74" s="3832"/>
      <c r="K74" s="3833"/>
      <c r="L74" s="2378" t="str">
        <f t="shared" si="23"/>
        <v/>
      </c>
      <c r="M74" s="1649"/>
      <c r="N74" s="1646" t="str">
        <f t="shared" si="24"/>
        <v/>
      </c>
      <c r="O74" s="1649"/>
      <c r="P74" s="1646" t="str">
        <f t="shared" si="25"/>
        <v/>
      </c>
      <c r="Q74" s="1649"/>
      <c r="R74" s="1646" t="str">
        <f t="shared" si="26"/>
        <v/>
      </c>
      <c r="S74" s="1649"/>
      <c r="T74" s="1646" t="str">
        <f t="shared" si="27"/>
        <v/>
      </c>
      <c r="U74" s="1649"/>
      <c r="V74" s="3649" t="str">
        <f t="shared" si="28"/>
        <v/>
      </c>
      <c r="W74" s="3650"/>
      <c r="X74" s="3650"/>
      <c r="Y74" s="3650"/>
      <c r="Z74" s="3650"/>
      <c r="AA74" s="3651"/>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63"/>
      <c r="D75" s="3773"/>
      <c r="E75" s="3612"/>
      <c r="F75" s="3613"/>
      <c r="G75" s="3613"/>
      <c r="H75" s="3613"/>
      <c r="I75" s="3613"/>
      <c r="J75" s="3613"/>
      <c r="K75" s="3614"/>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55" t="str">
        <f>IF(E75=0,"",IF(VLOOKUP(E75,Tabla_AM_Armas,4,FALSE)="-","-","FALTAN REQUISITOS"))</f>
        <v/>
      </c>
      <c r="W75" s="3656"/>
      <c r="X75" s="3656"/>
      <c r="Y75" s="3656"/>
      <c r="Z75" s="3656"/>
      <c r="AA75" s="3657"/>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63"/>
      <c r="D76" s="3773"/>
      <c r="E76" s="3615"/>
      <c r="F76" s="3616"/>
      <c r="G76" s="3616"/>
      <c r="H76" s="3616"/>
      <c r="I76" s="3616"/>
      <c r="J76" s="3616"/>
      <c r="K76" s="3617"/>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58" t="str">
        <f>IF(E76=0,"",IF(VLOOKUP(E76,Tabla_AM_Armas,4,FALSE)="-","-","FALTAN REQUISITOS"))</f>
        <v/>
      </c>
      <c r="W76" s="3659"/>
      <c r="X76" s="3659"/>
      <c r="Y76" s="3659"/>
      <c r="Z76" s="3659"/>
      <c r="AA76" s="3660"/>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63"/>
      <c r="D77" s="3774"/>
      <c r="E77" s="3652"/>
      <c r="F77" s="3653"/>
      <c r="G77" s="3653"/>
      <c r="H77" s="3653"/>
      <c r="I77" s="3653"/>
      <c r="J77" s="3653"/>
      <c r="K77" s="3654"/>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1" t="str">
        <f>IF(E77=0,"",IF(VLOOKUP(E77,Tabla_AM_Armas,4,FALSE)="-","-","FALTAN REQUISITOS"))</f>
        <v/>
      </c>
      <c r="W77" s="3662"/>
      <c r="X77" s="3662"/>
      <c r="Y77" s="3662"/>
      <c r="Z77" s="3662"/>
      <c r="AA77" s="3663"/>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63"/>
      <c r="D78" s="3764" t="s">
        <v>1820</v>
      </c>
      <c r="E78" s="3776"/>
      <c r="F78" s="3777"/>
      <c r="G78" s="3777"/>
      <c r="H78" s="3777"/>
      <c r="I78" s="3777"/>
      <c r="J78" s="3777"/>
      <c r="K78" s="3778"/>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2" t="str">
        <f>IF(E78=0,"",IF(VLOOKUP(E78,Tabla_ArsMagnus,5,FALSE)="-","Ver Descripción","FALTAN REQUISITOS"))</f>
        <v/>
      </c>
      <c r="W78" s="3783"/>
      <c r="X78" s="3783"/>
      <c r="Y78" s="3783"/>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63"/>
      <c r="D79" s="3765"/>
      <c r="E79" s="3779"/>
      <c r="F79" s="3780"/>
      <c r="G79" s="3780"/>
      <c r="H79" s="3780"/>
      <c r="I79" s="3780"/>
      <c r="J79" s="3780"/>
      <c r="K79" s="3781"/>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84" t="str">
        <f>IF(E79=0,"",IF(VLOOKUP(E79,Tabla_ArsMagnus,5,FALSE)="-","Ver Descripción","FALTAN REQUISITOS"))</f>
        <v/>
      </c>
      <c r="W79" s="3785"/>
      <c r="X79" s="3785"/>
      <c r="Y79" s="3785"/>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63"/>
      <c r="D80" s="3765"/>
      <c r="E80" s="3776"/>
      <c r="F80" s="3777"/>
      <c r="G80" s="3777"/>
      <c r="H80" s="3777"/>
      <c r="I80" s="3777"/>
      <c r="J80" s="3777"/>
      <c r="K80" s="3778"/>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2" t="str">
        <f>IF(E80=0,"",IF(VLOOKUP(E80,Tabla_ArsMagnus,5,FALSE)="-","Ver Descripción","FALTAN REQUISITOS"))</f>
        <v/>
      </c>
      <c r="W80" s="3783"/>
      <c r="X80" s="3783"/>
      <c r="Y80" s="3783"/>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63"/>
      <c r="D81" s="3765"/>
      <c r="E81" s="3779"/>
      <c r="F81" s="3780"/>
      <c r="G81" s="3780"/>
      <c r="H81" s="3780"/>
      <c r="I81" s="3780"/>
      <c r="J81" s="3780"/>
      <c r="K81" s="3781"/>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84" t="str">
        <f>IF(E81=0,"",IF(VLOOKUP(E81,Tabla_ArsMagnus,5,FALSE)="-","Ver Descripción","FALTAN REQUISITOS"))</f>
        <v/>
      </c>
      <c r="W81" s="3785"/>
      <c r="X81" s="3785"/>
      <c r="Y81" s="3785"/>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63"/>
      <c r="D82" s="3765"/>
      <c r="E82" s="3776"/>
      <c r="F82" s="3777"/>
      <c r="G82" s="3777"/>
      <c r="H82" s="3777"/>
      <c r="I82" s="3777"/>
      <c r="J82" s="3777"/>
      <c r="K82" s="3778"/>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2" t="str">
        <f>IF(E82=0,"",IF(VLOOKUP(E82,Tabla_ArsMagnus,5,FALSE)="-","Ver Descripción","FALTAN REQUISITOS"))</f>
        <v/>
      </c>
      <c r="W82" s="3783"/>
      <c r="X82" s="3783"/>
      <c r="Y82" s="3783"/>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63"/>
      <c r="D83" s="3637" t="s">
        <v>1822</v>
      </c>
      <c r="E83" s="3638"/>
      <c r="F83" s="3638"/>
      <c r="G83" s="3638"/>
      <c r="H83" s="3638"/>
      <c r="I83" s="3638"/>
      <c r="J83" s="3638"/>
      <c r="K83" s="3790"/>
      <c r="L83" s="3543">
        <f>Y$5*IF(Categoría_1=0,0.5,VLOOKUP(Categoría_1,Tabla_Categorías,6,FALSE))</f>
        <v>300</v>
      </c>
      <c r="M83" s="3541">
        <f>SUM(M27:M82)+SUM(M22:M25)</f>
        <v>0</v>
      </c>
      <c r="N83" s="3543">
        <f>SUM(Y$5:Y$7)*IF(Categoría_2=0,0,VLOOKUP(Categoría_2,Tabla_Categorías,6,FALSE))</f>
        <v>0</v>
      </c>
      <c r="O83" s="3541">
        <f>(SUM(O27:O82)+SUM(O22:O25)+M83)*IF(Categoría_2=0,0,1)</f>
        <v>0</v>
      </c>
      <c r="P83" s="3543">
        <f>SUM(Y$5:Y$9)*IF(Categoría_3=0,0,VLOOKUP(Categoría_3,Tabla_Categorías,6,FALSE))</f>
        <v>0</v>
      </c>
      <c r="Q83" s="3547">
        <f>(SUM(Q27:Q82)+SUM(Q22:Q25)+O83)*IF(Categoría_3=0,0,1)</f>
        <v>0</v>
      </c>
      <c r="R83" s="3543">
        <f>SUM(Y$5:Y$11)*IF(Categoría_4=0,0,VLOOKUP(Categoría_4,Tabla_Categorías,6,FALSE))</f>
        <v>0</v>
      </c>
      <c r="S83" s="3541">
        <f>(SUM(S27:S82)+SUM(S22:S25)+Q83)*IF(Categoría_4=0,0,1)</f>
        <v>0</v>
      </c>
      <c r="T83" s="3543">
        <f>SUM(Y$5:Y$13)*IF(Categoría_5=0,0,VLOOKUP(Categoría_5,Tabla_Categorías,6,FALSE))</f>
        <v>0</v>
      </c>
      <c r="U83" s="3541">
        <f>(SUM(U27:U82)+SUM(U22:U25)+S83)*IF(Categoría_5=0,0,1)</f>
        <v>0</v>
      </c>
      <c r="V83" s="3590"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1"/>
      <c r="X83" s="3591"/>
      <c r="Y83" s="3591"/>
      <c r="Z83" s="3591"/>
      <c r="AA83" s="3592"/>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64"/>
      <c r="D84" s="3640"/>
      <c r="E84" s="3641"/>
      <c r="F84" s="3641"/>
      <c r="G84" s="3641"/>
      <c r="H84" s="3641"/>
      <c r="I84" s="3641"/>
      <c r="J84" s="3641"/>
      <c r="K84" s="3791"/>
      <c r="L84" s="3544"/>
      <c r="M84" s="3542"/>
      <c r="N84" s="3544"/>
      <c r="O84" s="3542"/>
      <c r="P84" s="3544"/>
      <c r="Q84" s="3550"/>
      <c r="R84" s="3544"/>
      <c r="S84" s="3542"/>
      <c r="T84" s="3544"/>
      <c r="U84" s="3542"/>
      <c r="V84" s="3593"/>
      <c r="W84" s="3594"/>
      <c r="X84" s="3594"/>
      <c r="Y84" s="3594"/>
      <c r="Z84" s="3594"/>
      <c r="AA84" s="3595"/>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622" t="str">
        <f>IF(Categoría_1=0,"",Categoría_1)</f>
        <v>Hechicero</v>
      </c>
      <c r="M87" s="3618"/>
      <c r="N87" s="3596" t="str">
        <f>IF(Categoría_2=0,"",Categoría_2)</f>
        <v/>
      </c>
      <c r="O87" s="3618"/>
      <c r="P87" s="3596" t="str">
        <f>IF(Categoría_3=0,"",Categoría_3)</f>
        <v/>
      </c>
      <c r="Q87" s="3618"/>
      <c r="R87" s="3596" t="str">
        <f>IF(Categoría_4=0,"",Categoría_4)</f>
        <v/>
      </c>
      <c r="S87" s="3618"/>
      <c r="T87" s="3596" t="str">
        <f>IF(Categoría_5=0,"",Categoría_5)</f>
        <v/>
      </c>
      <c r="U87" s="3597"/>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834"/>
      <c r="M88" s="3835"/>
      <c r="N88" s="3836"/>
      <c r="O88" s="3835"/>
      <c r="P88" s="3836"/>
      <c r="Q88" s="3835"/>
      <c r="R88" s="3836"/>
      <c r="S88" s="3835"/>
      <c r="T88" s="3836"/>
      <c r="U88" s="3837"/>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62" t="s">
        <v>1823</v>
      </c>
      <c r="D89" s="1687" t="s">
        <v>1711</v>
      </c>
      <c r="E89" s="3794" t="s">
        <v>1687</v>
      </c>
      <c r="F89" s="3586"/>
      <c r="G89" s="3586"/>
      <c r="H89" s="3586"/>
      <c r="I89" s="3586"/>
      <c r="J89" s="3586"/>
      <c r="K89" s="3795"/>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6" t="s">
        <v>1803</v>
      </c>
      <c r="Y89" s="3586"/>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726"/>
      <c r="D90" s="3799" t="s">
        <v>1677</v>
      </c>
      <c r="E90" s="3672" t="s">
        <v>1824</v>
      </c>
      <c r="F90" s="3246"/>
      <c r="G90" s="3246"/>
      <c r="H90" s="3246"/>
      <c r="I90" s="3246"/>
      <c r="J90" s="3246"/>
      <c r="K90" s="3696"/>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87">
        <f>HLOOKUP($E90,Bonos_Cat_Base,2,FALSE)</f>
        <v>100</v>
      </c>
      <c r="Y90" s="3587">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726"/>
      <c r="D91" s="3799"/>
      <c r="E91" s="3687" t="s">
        <v>1825</v>
      </c>
      <c r="F91" s="3688"/>
      <c r="G91" s="3688"/>
      <c r="H91" s="3688"/>
      <c r="I91" s="3688"/>
      <c r="J91" s="3688"/>
      <c r="K91" s="3695"/>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88" t="s">
        <v>1769</v>
      </c>
      <c r="Y91" s="3588"/>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726"/>
      <c r="D92" s="3799"/>
      <c r="E92" s="3672" t="s">
        <v>1826</v>
      </c>
      <c r="F92" s="3246"/>
      <c r="G92" s="3246"/>
      <c r="H92" s="3246"/>
      <c r="I92" s="3246"/>
      <c r="J92" s="3246"/>
      <c r="K92" s="3696"/>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87" t="s">
        <v>1769</v>
      </c>
      <c r="Y92" s="3587"/>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726"/>
      <c r="D93" s="3799"/>
      <c r="E93" s="3687" t="s">
        <v>1827</v>
      </c>
      <c r="F93" s="3688"/>
      <c r="G93" s="3688"/>
      <c r="H93" s="3688"/>
      <c r="I93" s="3688"/>
      <c r="J93" s="3688"/>
      <c r="K93" s="3695"/>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88" t="s">
        <v>1769</v>
      </c>
      <c r="Y93" s="3588"/>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726"/>
      <c r="D94" s="3800"/>
      <c r="E94" s="3672" t="s">
        <v>1828</v>
      </c>
      <c r="F94" s="3246"/>
      <c r="G94" s="3246"/>
      <c r="H94" s="3246"/>
      <c r="I94" s="3246"/>
      <c r="J94" s="3246"/>
      <c r="K94" s="3696"/>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87">
        <f>IF(Tablas!G442&gt;0,5*Nivel_Total,0)</f>
        <v>0</v>
      </c>
      <c r="Y94" s="3587"/>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726"/>
      <c r="D95" s="3801" t="s">
        <v>1829</v>
      </c>
      <c r="E95" s="3796" t="s">
        <v>1830</v>
      </c>
      <c r="F95" s="3797"/>
      <c r="G95" s="3797"/>
      <c r="H95" s="3797"/>
      <c r="I95" s="3797"/>
      <c r="J95" s="3797"/>
      <c r="K95" s="3798"/>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89">
        <f t="shared" ref="X95:Y98" si="31">HLOOKUP($E95,Bonos_Cat_Base,2,FALSE)</f>
        <v>0</v>
      </c>
      <c r="Y95" s="3589">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726"/>
      <c r="D96" s="3802"/>
      <c r="E96" s="3496" t="s">
        <v>9028</v>
      </c>
      <c r="F96" s="3497"/>
      <c r="G96" s="3497"/>
      <c r="H96" s="3497"/>
      <c r="I96" s="3497"/>
      <c r="J96" s="3497"/>
      <c r="K96" s="3603"/>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2">
        <f t="shared" si="31"/>
        <v>0</v>
      </c>
      <c r="Y96" s="3792">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726"/>
      <c r="D97" s="3802"/>
      <c r="E97" s="3494" t="s">
        <v>653</v>
      </c>
      <c r="F97" s="3495"/>
      <c r="G97" s="3495"/>
      <c r="H97" s="3495"/>
      <c r="I97" s="3495"/>
      <c r="J97" s="3495"/>
      <c r="K97" s="3605"/>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3">
        <f t="shared" si="31"/>
        <v>0</v>
      </c>
      <c r="Y97" s="3793">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726"/>
      <c r="D98" s="3803"/>
      <c r="E98" s="3498" t="s">
        <v>1833</v>
      </c>
      <c r="F98" s="3499"/>
      <c r="G98" s="3499"/>
      <c r="H98" s="3499"/>
      <c r="I98" s="3499"/>
      <c r="J98" s="3499"/>
      <c r="K98" s="3806"/>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38">
        <f t="shared" si="31"/>
        <v>0</v>
      </c>
      <c r="Y98" s="3838">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726"/>
      <c r="D99" s="3804" t="s">
        <v>1834</v>
      </c>
      <c r="E99" s="3680"/>
      <c r="F99" s="3616"/>
      <c r="G99" s="3616"/>
      <c r="H99" s="3616"/>
      <c r="I99" s="3616"/>
      <c r="J99" s="3616"/>
      <c r="K99" s="3617"/>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58" t="str">
        <f>IF(E99=0,"",VLOOKUP(E99,Tablas!$E$999:$G$1000,3))</f>
        <v/>
      </c>
      <c r="W99" s="3659"/>
      <c r="X99" s="3659"/>
      <c r="Y99" s="3659"/>
      <c r="Z99" s="3659"/>
      <c r="AA99" s="3786"/>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726"/>
      <c r="D100" s="3805"/>
      <c r="E100" s="3681"/>
      <c r="F100" s="3613"/>
      <c r="G100" s="3613"/>
      <c r="H100" s="3613"/>
      <c r="I100" s="3613"/>
      <c r="J100" s="3613"/>
      <c r="K100" s="3614"/>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87" t="str">
        <f>IF(E100=0,"",VLOOKUP(E100,Tablas!$E$999:$G$1000,3))</f>
        <v/>
      </c>
      <c r="W100" s="3788"/>
      <c r="X100" s="3788"/>
      <c r="Y100" s="3788"/>
      <c r="Z100" s="3788"/>
      <c r="AA100" s="3789"/>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63"/>
      <c r="D101" s="3637" t="s">
        <v>1835</v>
      </c>
      <c r="E101" s="3638"/>
      <c r="F101" s="3638"/>
      <c r="G101" s="3638"/>
      <c r="H101" s="3638"/>
      <c r="I101" s="3638"/>
      <c r="J101" s="3638"/>
      <c r="K101" s="3639"/>
      <c r="L101" s="3759">
        <f>Y$5*IF(Categoría_1=0,0.5,VLOOKUP(Categoría_1,Tabla_Categorías,7,FALSE))</f>
        <v>360.00000000000006</v>
      </c>
      <c r="M101" s="3633">
        <f>SUM(M90:M100)</f>
        <v>0</v>
      </c>
      <c r="N101" s="3635">
        <f>SUM(Y$5:Y$8)*IF(Categoría_2=0,0,VLOOKUP(Categoría_2,Tabla_Categorías,7,FALSE))</f>
        <v>0</v>
      </c>
      <c r="O101" s="3633">
        <f>(SUM(O90:O100)+M101)*IF(Categoría_2=0,0,1)</f>
        <v>0</v>
      </c>
      <c r="P101" s="3635">
        <f>SUM(Y$5:Y$10)*IF(Categoría_3=0,0,VLOOKUP(Categoría_3,Tabla_Categorías,7,FALSE))</f>
        <v>0</v>
      </c>
      <c r="Q101" s="3721">
        <f>(SUM(Q90:Q100)+O101)*IF(Categoría_3=0,0,1)</f>
        <v>0</v>
      </c>
      <c r="R101" s="3635">
        <f>SUM(Y$5:Y$11)*IF(Categoría_4=0,0,VLOOKUP(Categoría_4,Tabla_Categorías,7,FALSE))</f>
        <v>0</v>
      </c>
      <c r="S101" s="3633">
        <f>(SUM(S90:S100)+Q101)*IF(Categoría_4=0,0,1)</f>
        <v>0</v>
      </c>
      <c r="T101" s="3635">
        <f>SUM(Y$5:Y$13)*IF(Categoría_5=0,0,VLOOKUP(Categoría_5,Tabla_Categorías,7,FALSE))</f>
        <v>0</v>
      </c>
      <c r="U101" s="3633">
        <f>(SUM(U90:U100)+S101)*IF(Categoría_5=0,0,1)</f>
        <v>0</v>
      </c>
      <c r="V101" s="3643"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44"/>
      <c r="X101" s="3644"/>
      <c r="Y101" s="3644"/>
      <c r="Z101" s="3644"/>
      <c r="AA101" s="3645"/>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64"/>
      <c r="D102" s="3640"/>
      <c r="E102" s="3641"/>
      <c r="F102" s="3641"/>
      <c r="G102" s="3641"/>
      <c r="H102" s="3641"/>
      <c r="I102" s="3641"/>
      <c r="J102" s="3641"/>
      <c r="K102" s="3642"/>
      <c r="L102" s="3761"/>
      <c r="M102" s="3634"/>
      <c r="N102" s="3636"/>
      <c r="O102" s="3634"/>
      <c r="P102" s="3636"/>
      <c r="Q102" s="3722"/>
      <c r="R102" s="3636"/>
      <c r="S102" s="3634"/>
      <c r="T102" s="3636"/>
      <c r="U102" s="3634"/>
      <c r="V102" s="3646"/>
      <c r="W102" s="3647"/>
      <c r="X102" s="3647"/>
      <c r="Y102" s="3647"/>
      <c r="Z102" s="3647"/>
      <c r="AA102" s="3648"/>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2" t="str">
        <f>IF(Categoría_1=0,"",Categoría_1)</f>
        <v>Hechicero</v>
      </c>
      <c r="M105" s="3618"/>
      <c r="N105" s="3596" t="str">
        <f>IF(Categoría_2=0,"",Categoría_2)</f>
        <v/>
      </c>
      <c r="O105" s="3618"/>
      <c r="P105" s="3596" t="str">
        <f>IF(Categoría_3=0,"",Categoría_3)</f>
        <v/>
      </c>
      <c r="Q105" s="3618"/>
      <c r="R105" s="3596" t="str">
        <f>IF(Categoría_4=0,"",Categoría_4)</f>
        <v/>
      </c>
      <c r="S105" s="3618"/>
      <c r="T105" s="3596" t="str">
        <f>IF(Categoría_5=0,"",Categoría_5)</f>
        <v/>
      </c>
      <c r="U105" s="3597"/>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3"/>
      <c r="M106" s="3619"/>
      <c r="N106" s="3598"/>
      <c r="O106" s="3619"/>
      <c r="P106" s="3598"/>
      <c r="Q106" s="3619"/>
      <c r="R106" s="3598"/>
      <c r="S106" s="3619"/>
      <c r="T106" s="3598"/>
      <c r="U106" s="3599"/>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25" t="s">
        <v>1836</v>
      </c>
      <c r="D107" s="1647" t="s">
        <v>1711</v>
      </c>
      <c r="E107" s="3807" t="s">
        <v>1687</v>
      </c>
      <c r="F107" s="3808"/>
      <c r="G107" s="3808"/>
      <c r="H107" s="3808"/>
      <c r="I107" s="3808"/>
      <c r="J107" s="3808"/>
      <c r="K107" s="3809"/>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85" t="s">
        <v>1803</v>
      </c>
      <c r="Y107" s="3585"/>
      <c r="Z107" s="1647" t="s">
        <v>1731</v>
      </c>
      <c r="AA107" s="140" t="s">
        <v>1661</v>
      </c>
      <c r="AB107" s="3049"/>
      <c r="AC107" s="1802"/>
      <c r="AE107" s="2960"/>
      <c r="AO107" s="2960"/>
      <c r="AZ107" s="44"/>
    </row>
    <row r="108" spans="1:63" ht="12" customHeight="1" x14ac:dyDescent="0.2">
      <c r="A108" s="1981"/>
      <c r="B108" s="2307"/>
      <c r="C108" s="3726"/>
      <c r="D108" s="3620" t="s">
        <v>1677</v>
      </c>
      <c r="E108" s="3602" t="s">
        <v>1837</v>
      </c>
      <c r="F108" s="3497"/>
      <c r="G108" s="3497"/>
      <c r="H108" s="3497"/>
      <c r="I108" s="3497"/>
      <c r="J108" s="3497"/>
      <c r="K108" s="3603"/>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600">
        <f>ROUNDUP(HLOOKUP($E108,Bonos_Cat_Base,2,FALSE),0)</f>
        <v>1</v>
      </c>
      <c r="Y108" s="3600"/>
      <c r="Z108" s="193"/>
      <c r="AA108" s="181">
        <f>V108+Z108+X108</f>
        <v>1</v>
      </c>
      <c r="AB108" s="3049"/>
      <c r="AC108" s="1802"/>
      <c r="AO108" s="2960"/>
      <c r="AZ108" s="44"/>
    </row>
    <row r="109" spans="1:63" ht="12" customHeight="1" x14ac:dyDescent="0.2">
      <c r="A109" s="1981"/>
      <c r="B109" s="2307"/>
      <c r="C109" s="3726"/>
      <c r="D109" s="3621"/>
      <c r="E109" s="3604" t="s">
        <v>1838</v>
      </c>
      <c r="F109" s="3495"/>
      <c r="G109" s="3495"/>
      <c r="H109" s="3495"/>
      <c r="I109" s="3495"/>
      <c r="J109" s="3495"/>
      <c r="K109" s="3605"/>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1" t="s">
        <v>1769</v>
      </c>
      <c r="Y109" s="3601"/>
      <c r="Z109" s="194"/>
      <c r="AA109" s="150">
        <f>V109+W109+Z109+Bono_ATA</f>
        <v>0</v>
      </c>
      <c r="AB109" s="3049"/>
      <c r="AC109" s="1802"/>
      <c r="AO109" s="2960"/>
      <c r="AZ109" s="44"/>
    </row>
    <row r="110" spans="1:63" ht="12" customHeight="1" x14ac:dyDescent="0.2">
      <c r="A110" s="1981"/>
      <c r="B110" s="2307"/>
      <c r="C110" s="3726"/>
      <c r="D110" s="1731" t="s">
        <v>1834</v>
      </c>
      <c r="E110" s="3606"/>
      <c r="F110" s="3607"/>
      <c r="G110" s="3607"/>
      <c r="H110" s="3607"/>
      <c r="I110" s="3607"/>
      <c r="J110" s="3607"/>
      <c r="K110" s="3608"/>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24" t="str">
        <f>IF(E110=0,"",VLOOKUP(E110,Tablas_Psíquicas:F1122,3))</f>
        <v/>
      </c>
      <c r="W110" s="3625"/>
      <c r="X110" s="3625"/>
      <c r="Y110" s="3625"/>
      <c r="Z110" s="3625"/>
      <c r="AA110" s="3626"/>
      <c r="AB110" s="3049"/>
      <c r="AC110" s="1802"/>
      <c r="AO110" s="2960"/>
      <c r="AZ110" s="44"/>
    </row>
    <row r="111" spans="1:63" ht="12" customHeight="1" x14ac:dyDescent="0.2">
      <c r="A111" s="1981"/>
      <c r="B111" s="2307"/>
      <c r="C111" s="3726"/>
      <c r="D111" s="3801" t="s">
        <v>1839</v>
      </c>
      <c r="E111" s="3609"/>
      <c r="F111" s="3610"/>
      <c r="G111" s="3610"/>
      <c r="H111" s="3610"/>
      <c r="I111" s="3610"/>
      <c r="J111" s="3610"/>
      <c r="K111" s="3611"/>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27" t="str">
        <f>IF(E111=0,"",VLOOKUP(E111,Tablas!$D$1072:$R$1087,4,FALSE))</f>
        <v/>
      </c>
      <c r="W111" s="3628"/>
      <c r="X111" s="3628"/>
      <c r="Y111" s="3628"/>
      <c r="Z111" s="3628"/>
      <c r="AA111" s="3629"/>
      <c r="AB111" s="3049"/>
      <c r="AC111" s="1802"/>
      <c r="AO111" s="2960"/>
      <c r="AZ111" s="44"/>
    </row>
    <row r="112" spans="1:63" ht="12" customHeight="1" x14ac:dyDescent="0.2">
      <c r="A112" s="1981"/>
      <c r="B112" s="2307"/>
      <c r="C112" s="3726"/>
      <c r="D112" s="3802"/>
      <c r="E112" s="3612"/>
      <c r="F112" s="3613"/>
      <c r="G112" s="3613"/>
      <c r="H112" s="3613"/>
      <c r="I112" s="3613"/>
      <c r="J112" s="3613"/>
      <c r="K112" s="3614"/>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70" t="str">
        <f>IF(E112=0,"",VLOOKUP(E112,Tablas!$D$1072:$R$1087,4,FALSE))</f>
        <v/>
      </c>
      <c r="W112" s="3571"/>
      <c r="X112" s="3571"/>
      <c r="Y112" s="3571"/>
      <c r="Z112" s="3571"/>
      <c r="AA112" s="3572"/>
      <c r="AB112" s="3049"/>
      <c r="AC112" s="1802"/>
      <c r="AO112" s="2960"/>
      <c r="AZ112" s="44"/>
    </row>
    <row r="113" spans="1:52" ht="12" customHeight="1" x14ac:dyDescent="0.2">
      <c r="A113" s="1981"/>
      <c r="B113" s="2307"/>
      <c r="C113" s="3726"/>
      <c r="D113" s="3802"/>
      <c r="E113" s="3615"/>
      <c r="F113" s="3616"/>
      <c r="G113" s="3616"/>
      <c r="H113" s="3616"/>
      <c r="I113" s="3616"/>
      <c r="J113" s="3616"/>
      <c r="K113" s="3617"/>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67" t="str">
        <f>IF(E113=0,"",VLOOKUP(E113,Tablas!$D$1072:$R$1087,4,FALSE))</f>
        <v/>
      </c>
      <c r="W113" s="3568"/>
      <c r="X113" s="3568"/>
      <c r="Y113" s="3568"/>
      <c r="Z113" s="3568"/>
      <c r="AA113" s="3569"/>
      <c r="AB113" s="3049"/>
      <c r="AC113" s="1802"/>
      <c r="AO113" s="2960"/>
      <c r="AZ113" s="44"/>
    </row>
    <row r="114" spans="1:52" ht="12" customHeight="1" x14ac:dyDescent="0.2">
      <c r="A114" s="1981"/>
      <c r="B114" s="2307"/>
      <c r="C114" s="3726"/>
      <c r="D114" s="3802"/>
      <c r="E114" s="3612"/>
      <c r="F114" s="3613"/>
      <c r="G114" s="3613"/>
      <c r="H114" s="3613"/>
      <c r="I114" s="3613"/>
      <c r="J114" s="3613"/>
      <c r="K114" s="3614"/>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70" t="str">
        <f>IF(E114=0,"",VLOOKUP(E114,Tablas!$D$1072:$R$1087,4,FALSE))</f>
        <v/>
      </c>
      <c r="W114" s="3571"/>
      <c r="X114" s="3571"/>
      <c r="Y114" s="3571"/>
      <c r="Z114" s="3571"/>
      <c r="AA114" s="3572"/>
      <c r="AB114" s="3049"/>
      <c r="AC114" s="1802"/>
      <c r="AO114" s="2960"/>
      <c r="AZ114" s="44"/>
    </row>
    <row r="115" spans="1:52" ht="12" customHeight="1" x14ac:dyDescent="0.2">
      <c r="A115" s="1981"/>
      <c r="B115" s="2307"/>
      <c r="C115" s="3726"/>
      <c r="D115" s="3802"/>
      <c r="E115" s="3615"/>
      <c r="F115" s="3616"/>
      <c r="G115" s="3616"/>
      <c r="H115" s="3616"/>
      <c r="I115" s="3616"/>
      <c r="J115" s="3616"/>
      <c r="K115" s="3617"/>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67" t="str">
        <f>IF(E115=0,"",VLOOKUP(E115,Tablas!$D$1072:$R$1087,4,FALSE))</f>
        <v/>
      </c>
      <c r="W115" s="3568"/>
      <c r="X115" s="3568"/>
      <c r="Y115" s="3568"/>
      <c r="Z115" s="3568"/>
      <c r="AA115" s="3569"/>
      <c r="AB115" s="3049"/>
      <c r="AC115" s="1802"/>
      <c r="AH115" s="2986"/>
      <c r="AO115" s="2960"/>
      <c r="AZ115" s="44"/>
    </row>
    <row r="116" spans="1:52" ht="12" customHeight="1" thickBot="1" x14ac:dyDescent="0.25">
      <c r="A116" s="1981"/>
      <c r="B116" s="2307"/>
      <c r="C116" s="3726"/>
      <c r="D116" s="3802"/>
      <c r="E116" s="3612"/>
      <c r="F116" s="3613"/>
      <c r="G116" s="3613"/>
      <c r="H116" s="3613"/>
      <c r="I116" s="3613"/>
      <c r="J116" s="3613"/>
      <c r="K116" s="3614"/>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70" t="str">
        <f>IF(E116=0,"",VLOOKUP(E116,Tablas!$D$1072:$R$1087,4,FALSE))</f>
        <v/>
      </c>
      <c r="W116" s="3571"/>
      <c r="X116" s="3571"/>
      <c r="Y116" s="3571"/>
      <c r="Z116" s="3571"/>
      <c r="AA116" s="3572"/>
      <c r="AB116" s="3049"/>
      <c r="AC116" s="1802"/>
      <c r="AO116" s="2960"/>
      <c r="AZ116" s="44"/>
    </row>
    <row r="117" spans="1:52" ht="12" customHeight="1" x14ac:dyDescent="0.2">
      <c r="A117" s="1981"/>
      <c r="B117" s="2307"/>
      <c r="C117" s="3563"/>
      <c r="D117" s="3545" t="s">
        <v>1840</v>
      </c>
      <c r="E117" s="3546"/>
      <c r="F117" s="3546"/>
      <c r="G117" s="3546"/>
      <c r="H117" s="3546"/>
      <c r="I117" s="3546"/>
      <c r="J117" s="3546"/>
      <c r="K117" s="3547"/>
      <c r="L117" s="3543">
        <f>Y$5*IF(Categoría_1=0,0.5,VLOOKUP(Categoría_1,Tabla_Categorías,8,FALSE))</f>
        <v>300</v>
      </c>
      <c r="M117" s="3541">
        <f>SUM(M108:M116)</f>
        <v>0</v>
      </c>
      <c r="N117" s="3543">
        <f>SUM(Y$5:Y$7)*IF(Categoría_2=0,0,VLOOKUP(Categoría_2,Tabla_Categorías,8,FALSE))</f>
        <v>0</v>
      </c>
      <c r="O117" s="3541">
        <f>(SUM(O108:O116)+M117)*IF(Categoría_2=0,0,1)</f>
        <v>0</v>
      </c>
      <c r="P117" s="3543">
        <f>SUM(Y$5:Y$9)*IF(Categoría_3=0,0,VLOOKUP(Categoría_3,Tabla_Categorías,8,FALSE))</f>
        <v>0</v>
      </c>
      <c r="Q117" s="3547">
        <f>(SUM(Q108:Q116)+O117)*IF(Categoría_3=0,0,1)</f>
        <v>0</v>
      </c>
      <c r="R117" s="3543">
        <f>SUM(Y$5:Y$11)*IF(Categoría_4=0,0,VLOOKUP(Categoría_4,Tabla_Categorías,8,FALSE))</f>
        <v>0</v>
      </c>
      <c r="S117" s="3541">
        <f>(SUM(S108:S116)+Q117)*IF(Categoría_4=0,0,1)</f>
        <v>0</v>
      </c>
      <c r="T117" s="3543">
        <f>SUM(Y$5:Y$13)*IF(Categoría_5=0,0,VLOOKUP(Categoría_5,Tabla_Categorías,8,FALSE))</f>
        <v>0</v>
      </c>
      <c r="U117" s="3541">
        <f>(SUM(U108:U116)+S117)*IF(Categoría_5=0,0,1)</f>
        <v>0</v>
      </c>
      <c r="V117" s="3590" t="str">
        <f>IF(OR(M109&gt;L117/2,O109&gt;N117/2,Q109&gt;P117/2,S109&gt;R117/2,U109&gt;T117/2),"Exceso en Proyección Psíquica",IF(OR(M117&gt;L117,O117&gt;N117,Q117&gt;P117,S117&gt;R117,U117&gt;T117),"Exceso de PDs en Habilidades Psíquicas",""))</f>
        <v/>
      </c>
      <c r="W117" s="3591"/>
      <c r="X117" s="3591"/>
      <c r="Y117" s="3591"/>
      <c r="Z117" s="3591"/>
      <c r="AA117" s="3592"/>
      <c r="AB117" s="3049"/>
      <c r="AC117" s="1802"/>
      <c r="AO117" s="2960"/>
      <c r="AZ117" s="44"/>
    </row>
    <row r="118" spans="1:52" ht="12" customHeight="1" thickBot="1" x14ac:dyDescent="0.25">
      <c r="A118" s="1981"/>
      <c r="B118" s="2307"/>
      <c r="C118" s="3564"/>
      <c r="D118" s="3548"/>
      <c r="E118" s="3549"/>
      <c r="F118" s="3549"/>
      <c r="G118" s="3549"/>
      <c r="H118" s="3549"/>
      <c r="I118" s="3549"/>
      <c r="J118" s="3549"/>
      <c r="K118" s="3550"/>
      <c r="L118" s="3544"/>
      <c r="M118" s="3542"/>
      <c r="N118" s="3544"/>
      <c r="O118" s="3542"/>
      <c r="P118" s="3544"/>
      <c r="Q118" s="3550"/>
      <c r="R118" s="3544"/>
      <c r="S118" s="3542"/>
      <c r="T118" s="3544"/>
      <c r="U118" s="3542"/>
      <c r="V118" s="3593"/>
      <c r="W118" s="3594"/>
      <c r="X118" s="3594"/>
      <c r="Y118" s="3594"/>
      <c r="Z118" s="3594"/>
      <c r="AA118" s="3595"/>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512" t="str">
        <f>IF(Categoría_1=0,"",Categoría_1)</f>
        <v>Hechicero</v>
      </c>
      <c r="K123" s="3510"/>
      <c r="L123" s="3506" t="str">
        <f>IF(Categoría_2=0,"",Categoría_2)</f>
        <v/>
      </c>
      <c r="M123" s="3510"/>
      <c r="N123" s="3506" t="str">
        <f>IF(Categoría_3=0,"",Categoría_3)</f>
        <v/>
      </c>
      <c r="O123" s="3510"/>
      <c r="P123" s="3506" t="str">
        <f>IF(Categoría_4=0,"",Categoría_4)</f>
        <v/>
      </c>
      <c r="Q123" s="3510"/>
      <c r="R123" s="3506" t="str">
        <f>IF(Categoría_5=0,"",Categoría_5)</f>
        <v/>
      </c>
      <c r="S123" s="3507"/>
      <c r="T123" s="173"/>
      <c r="U123" s="173"/>
      <c r="V123" s="173"/>
      <c r="W123" s="68"/>
      <c r="X123" s="68"/>
      <c r="Y123" s="173"/>
      <c r="Z123" s="173"/>
      <c r="AA123" s="173"/>
      <c r="AB123" s="3049"/>
      <c r="AC123" s="1802"/>
      <c r="AE123" s="2982" t="s">
        <v>9026</v>
      </c>
      <c r="AF123" s="2970" t="b">
        <f>IF(Tablas!G480&gt;0,TRUE,IF(Personalización!G22="Si",TRUE,FALSE))</f>
        <v>0</v>
      </c>
    </row>
    <row r="124" spans="1:52" ht="12" customHeight="1" thickBot="1" x14ac:dyDescent="0.25">
      <c r="A124" s="1982"/>
      <c r="B124" s="2307"/>
      <c r="C124" s="173"/>
      <c r="D124" s="173"/>
      <c r="E124" s="173"/>
      <c r="F124" s="173"/>
      <c r="I124" s="173"/>
      <c r="J124" s="3513"/>
      <c r="K124" s="3511"/>
      <c r="L124" s="3508"/>
      <c r="M124" s="3511"/>
      <c r="N124" s="3508"/>
      <c r="O124" s="3511"/>
      <c r="P124" s="3508"/>
      <c r="Q124" s="3511"/>
      <c r="R124" s="3508"/>
      <c r="S124" s="3509"/>
      <c r="T124" s="173"/>
      <c r="U124" s="173"/>
      <c r="V124" s="173"/>
      <c r="W124" s="3504" t="s">
        <v>1852</v>
      </c>
      <c r="X124" s="3505"/>
      <c r="Y124" s="173"/>
      <c r="Z124" s="173"/>
      <c r="AA124" s="173"/>
      <c r="AB124" s="3049"/>
      <c r="AC124" s="1802"/>
      <c r="AE124" s="3828" t="s">
        <v>3000</v>
      </c>
      <c r="AF124" s="3828"/>
      <c r="AG124" s="3828"/>
      <c r="AH124" s="3828"/>
      <c r="AI124" s="3828"/>
      <c r="AJ124" s="3828"/>
      <c r="AL124" s="3828" t="s">
        <v>9423</v>
      </c>
      <c r="AM124" s="3828"/>
      <c r="AN124" s="3828"/>
      <c r="AO124" s="3828"/>
      <c r="AP124" s="3828"/>
      <c r="AQ124" s="3828"/>
      <c r="AR124" s="3828"/>
      <c r="AS124" s="3828"/>
      <c r="AT124" s="3828"/>
    </row>
    <row r="125" spans="1:52" ht="12" customHeight="1" thickBot="1" x14ac:dyDescent="0.25">
      <c r="A125" s="1982"/>
      <c r="B125" s="2307"/>
      <c r="C125" s="3562" t="s">
        <v>1707</v>
      </c>
      <c r="D125" s="1752" t="s">
        <v>1711</v>
      </c>
      <c r="E125" s="3811" t="s">
        <v>1687</v>
      </c>
      <c r="F125" s="3808"/>
      <c r="G125" s="3808"/>
      <c r="H125" s="3812"/>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63"/>
      <c r="D126" s="3516" t="s">
        <v>1716</v>
      </c>
      <c r="E126" s="3565" t="s">
        <v>1717</v>
      </c>
      <c r="F126" s="3566"/>
      <c r="G126" s="3566"/>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t="e">
        <f>HLOOKUP(Region&amp;ClaseSocial,Tabla_RaicesCulturales,Tablas!F142,FALSE)</f>
        <v>#N/A</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3"/>
      <c r="D127" s="3354"/>
      <c r="E127" s="3494" t="s">
        <v>1719</v>
      </c>
      <c r="F127" s="3495"/>
      <c r="G127" s="3495"/>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t="e">
        <f>HLOOKUP(Region&amp;ClaseSocial,Tabla_RaicesCulturales,Tablas!F143,FALSE)</f>
        <v>#N/A</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3"/>
      <c r="D128" s="3354"/>
      <c r="E128" s="3496" t="s">
        <v>1722</v>
      </c>
      <c r="F128" s="3497"/>
      <c r="G128" s="3497"/>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0</v>
      </c>
      <c r="AG128" s="2960" t="e">
        <f>HLOOKUP(Region&amp;ClaseSocial,Tabla_RaicesCulturales,Tablas!F144,FALSE)</f>
        <v>#N/A</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3"/>
      <c r="D129" s="3354"/>
      <c r="E129" s="3494" t="s">
        <v>1726</v>
      </c>
      <c r="F129" s="3495"/>
      <c r="G129" s="3495"/>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t="e">
        <f>HLOOKUP(Region&amp;ClaseSocial,Tabla_RaicesCulturales,Tablas!F145,FALSE)</f>
        <v>#N/A</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3"/>
      <c r="D130" s="3354"/>
      <c r="E130" s="3496" t="s">
        <v>1729</v>
      </c>
      <c r="F130" s="3497"/>
      <c r="G130" s="3497"/>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t="e">
        <f>HLOOKUP(Region&amp;ClaseSocial,Tabla_RaicesCulturales,Tablas!F146,FALSE)</f>
        <v>#N/A</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3"/>
      <c r="D131" s="3354"/>
      <c r="E131" s="3494" t="s">
        <v>1732</v>
      </c>
      <c r="F131" s="3495"/>
      <c r="G131" s="3495"/>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t="e">
        <f>HLOOKUP(Region&amp;ClaseSocial,Tabla_RaicesCulturales,Tablas!F147,FALSE)</f>
        <v>#N/A</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3"/>
      <c r="D132" s="3354"/>
      <c r="E132" s="3496" t="s">
        <v>8229</v>
      </c>
      <c r="F132" s="3497"/>
      <c r="G132" s="3497"/>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t="e">
        <f>HLOOKUP(Region&amp;ClaseSocial,Tabla_RaicesCulturales,Tablas!F148,FALSE)</f>
        <v>#N/A</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3"/>
      <c r="D133" s="3493" t="s">
        <v>1735</v>
      </c>
      <c r="E133" s="3796" t="s">
        <v>1736</v>
      </c>
      <c r="F133" s="3797"/>
      <c r="G133" s="3797"/>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0</v>
      </c>
      <c r="AG133" s="2960" t="e">
        <f>HLOOKUP(Region&amp;ClaseSocial,Tabla_RaicesCulturales,Tablas!F149,FALSE)</f>
        <v>#N/A</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3"/>
      <c r="D134" s="3354"/>
      <c r="E134" s="3496" t="s">
        <v>1738</v>
      </c>
      <c r="F134" s="3497"/>
      <c r="G134" s="3497"/>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t="e">
        <f>HLOOKUP(Region&amp;ClaseSocial,Tabla_RaicesCulturales,Tablas!F150,FALSE)</f>
        <v>#N/A</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3"/>
      <c r="D135" s="3354"/>
      <c r="E135" s="3494" t="s">
        <v>1741</v>
      </c>
      <c r="F135" s="3495"/>
      <c r="G135" s="3495"/>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0</v>
      </c>
      <c r="AG135" s="2960" t="e">
        <f>HLOOKUP(Region&amp;ClaseSocial,Tabla_RaicesCulturales,Tablas!F151,FALSE)</f>
        <v>#N/A</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3"/>
      <c r="D136" s="3354"/>
      <c r="E136" s="3496" t="s">
        <v>1743</v>
      </c>
      <c r="F136" s="3497"/>
      <c r="G136" s="3497"/>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0</v>
      </c>
      <c r="AG136" s="2960" t="e">
        <f>HLOOKUP(Region&amp;ClaseSocial,Tabla_RaicesCulturales,Tablas!F152,FALSE)</f>
        <v>#N/A</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3"/>
      <c r="D137" s="3354"/>
      <c r="E137" s="3494" t="s">
        <v>1088</v>
      </c>
      <c r="F137" s="3495"/>
      <c r="G137" s="3495"/>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t="e">
        <f>HLOOKUP(Region&amp;ClaseSocial,Tabla_RaicesCulturales,Tablas!F153,FALSE)</f>
        <v>#N/A</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3"/>
      <c r="D138" s="3354"/>
      <c r="E138" s="3496" t="s">
        <v>1089</v>
      </c>
      <c r="F138" s="3497"/>
      <c r="G138" s="3497"/>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t="e">
        <f>HLOOKUP(Region&amp;ClaseSocial,Tabla_RaicesCulturales,Tablas!F154,FALSE)</f>
        <v>#N/A</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3"/>
      <c r="D139" s="3355"/>
      <c r="E139" s="3517" t="s">
        <v>1090</v>
      </c>
      <c r="F139" s="3518"/>
      <c r="G139" s="351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t="e">
        <f>HLOOKUP(Region&amp;ClaseSocial,Tabla_RaicesCulturales,Tablas!F155,FALSE)</f>
        <v>#N/A</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3"/>
      <c r="D140" s="3354" t="s">
        <v>1744</v>
      </c>
      <c r="E140" s="3496" t="s">
        <v>1745</v>
      </c>
      <c r="F140" s="3497"/>
      <c r="G140" s="3497"/>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t="e">
        <f>HLOOKUP(Region&amp;ClaseSocial,Tabla_RaicesCulturales,Tablas!F156,FALSE)</f>
        <v>#N/A</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3"/>
      <c r="D141" s="3354"/>
      <c r="E141" s="3494" t="s">
        <v>1746</v>
      </c>
      <c r="F141" s="3495"/>
      <c r="G141" s="3495"/>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t="e">
        <f>HLOOKUP(Region&amp;ClaseSocial,Tabla_RaicesCulturales,Tablas!F157,FALSE)</f>
        <v>#N/A</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3"/>
      <c r="D142" s="3354"/>
      <c r="E142" s="3496" t="s">
        <v>1747</v>
      </c>
      <c r="F142" s="3497"/>
      <c r="G142" s="3497"/>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t="e">
        <f>HLOOKUP(Region&amp;ClaseSocial,Tabla_RaicesCulturales,Tablas!F158,FALSE)</f>
        <v>#N/A</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3"/>
      <c r="D143" s="3493" t="s">
        <v>1748</v>
      </c>
      <c r="E143" s="3796" t="s">
        <v>1749</v>
      </c>
      <c r="F143" s="3797"/>
      <c r="G143" s="3797"/>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t="e">
        <f>HLOOKUP(Region&amp;ClaseSocial,Tabla_RaicesCulturales,Tablas!F159,FALSE)</f>
        <v>#N/A</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3"/>
      <c r="D144" s="3354"/>
      <c r="E144" s="3496" t="s">
        <v>1750</v>
      </c>
      <c r="F144" s="3497"/>
      <c r="G144" s="3497"/>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t="e">
        <f>HLOOKUP(Region&amp;ClaseSocial,Tabla_RaicesCulturales,Tablas!F160,FALSE)</f>
        <v>#N/A</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3"/>
      <c r="D145" s="3354"/>
      <c r="E145" s="3494" t="s">
        <v>3126</v>
      </c>
      <c r="F145" s="3495"/>
      <c r="G145" s="3495"/>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t="e">
        <f>HLOOKUP(Region&amp;ClaseSocial,Tabla_RaicesCulturales,Tablas!F161,FALSE)</f>
        <v>#N/A</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3"/>
      <c r="D146" s="3354"/>
      <c r="E146" s="3496" t="s">
        <v>1751</v>
      </c>
      <c r="F146" s="3497"/>
      <c r="G146" s="3497"/>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t="e">
        <f>HLOOKUP(Region&amp;ClaseSocial,Tabla_RaicesCulturales,Tablas!F162,FALSE)</f>
        <v>#N/A</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3"/>
      <c r="D147" s="3354"/>
      <c r="E147" s="3494" t="s">
        <v>1753</v>
      </c>
      <c r="F147" s="3495"/>
      <c r="G147" s="3495"/>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e">
        <f>HLOOKUP(Region&amp;ClaseSocial,Tabla_RaicesCulturales,Tablas!F163,FALSE)</f>
        <v>#N/A</v>
      </c>
      <c r="AH147" s="2987">
        <f>IF(AND(E147="Historia",Personalización!$E$26="Historia (Local)"),20&amp;" "&amp;Personalización!$E$26,IF(OR(E147=Personalización!$E$25,E147=Personalización!$E$26),VLOOKUP(E147,Tablas!$L$136:$M$137,2,FALSE),0))</f>
        <v>0</v>
      </c>
      <c r="AI147" s="2987" t="b">
        <f t="shared" si="46"/>
        <v>0</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3"/>
      <c r="D148" s="3354"/>
      <c r="E148" s="3496" t="s">
        <v>1091</v>
      </c>
      <c r="F148" s="3497"/>
      <c r="G148" s="3497"/>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t="e">
        <f>HLOOKUP(Region&amp;ClaseSocial,Tabla_RaicesCulturales,Tablas!F164,FALSE)</f>
        <v>#N/A</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3"/>
      <c r="D149" s="3354"/>
      <c r="E149" s="3494" t="s">
        <v>1756</v>
      </c>
      <c r="F149" s="3495"/>
      <c r="G149" s="3495"/>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t="e">
        <f>HLOOKUP(Region&amp;ClaseSocial,Tabla_RaicesCulturales,Tablas!F165,FALSE)</f>
        <v>#N/A</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3"/>
      <c r="D150" s="3354"/>
      <c r="E150" s="3496" t="s">
        <v>1757</v>
      </c>
      <c r="F150" s="3497"/>
      <c r="G150" s="3497"/>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t="e">
        <f>HLOOKUP(Region&amp;ClaseSocial,Tabla_RaicesCulturales,Tablas!F166,FALSE)</f>
        <v>#N/A</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3"/>
      <c r="D151" s="3354"/>
      <c r="E151" s="3494" t="s">
        <v>1758</v>
      </c>
      <c r="F151" s="3495"/>
      <c r="G151" s="3495"/>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t="e">
        <f>HLOOKUP(Region&amp;ClaseSocial,Tabla_RaicesCulturales,Tablas!F167,FALSE)</f>
        <v>#N/A</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3"/>
      <c r="D152" s="3354"/>
      <c r="E152" s="3496" t="s">
        <v>1759</v>
      </c>
      <c r="F152" s="3497"/>
      <c r="G152" s="3497"/>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t="e">
        <f>HLOOKUP(Region&amp;ClaseSocial,Tabla_RaicesCulturales,Tablas!F168,FALSE)</f>
        <v>#N/A</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3"/>
      <c r="D153" s="3354"/>
      <c r="E153" s="3494" t="s">
        <v>1760</v>
      </c>
      <c r="F153" s="3495"/>
      <c r="G153" s="3495"/>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t="e">
        <f>HLOOKUP(Region&amp;ClaseSocial,Tabla_RaicesCulturales,Tablas!F169,FALSE)</f>
        <v>#N/A</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3"/>
      <c r="D154" s="3355"/>
      <c r="E154" s="3498" t="s">
        <v>1761</v>
      </c>
      <c r="F154" s="3499"/>
      <c r="G154" s="3499"/>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t="e">
        <f>HLOOKUP(Region&amp;ClaseSocial,Tabla_RaicesCulturales,Tablas!F170,FALSE)</f>
        <v>#N/A</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3"/>
      <c r="D155" s="3354" t="s">
        <v>1762</v>
      </c>
      <c r="E155" s="3494" t="s">
        <v>1763</v>
      </c>
      <c r="F155" s="3495"/>
      <c r="G155" s="3495"/>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t="e">
        <f>HLOOKUP(Region&amp;ClaseSocial,Tabla_RaicesCulturales,Tablas!F171,FALSE)</f>
        <v>#N/A</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3"/>
      <c r="D156" s="3354"/>
      <c r="E156" s="3496" t="s">
        <v>1764</v>
      </c>
      <c r="F156" s="3497"/>
      <c r="G156" s="3497"/>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t="e">
        <f>HLOOKUP(Region&amp;ClaseSocial,Tabla_RaicesCulturales,Tablas!F172,FALSE)</f>
        <v>#N/A</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3"/>
      <c r="D157" s="3354"/>
      <c r="E157" s="3494" t="s">
        <v>1767</v>
      </c>
      <c r="F157" s="3495"/>
      <c r="G157" s="3495"/>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t="e">
        <f>HLOOKUP(Region&amp;ClaseSocial,Tabla_RaicesCulturales,Tablas!F173,FALSE)</f>
        <v>#N/A</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3"/>
      <c r="D158" s="3493" t="s">
        <v>1770</v>
      </c>
      <c r="E158" s="3810" t="s">
        <v>1771</v>
      </c>
      <c r="F158" s="3685"/>
      <c r="G158" s="3685"/>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t="e">
        <f>HLOOKUP(Region&amp;ClaseSocial,Tabla_RaicesCulturales,Tablas!F174,FALSE)</f>
        <v>#N/A</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3"/>
      <c r="D159" s="3354"/>
      <c r="E159" s="3494" t="s">
        <v>1773</v>
      </c>
      <c r="F159" s="3495"/>
      <c r="G159" s="3495"/>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t="e">
        <f>HLOOKUP(Region&amp;ClaseSocial,Tabla_RaicesCulturales,Tablas!F175,FALSE)</f>
        <v>#N/A</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3"/>
      <c r="D160" s="3354"/>
      <c r="E160" s="3496" t="s">
        <v>1775</v>
      </c>
      <c r="F160" s="3497"/>
      <c r="G160" s="3497"/>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t="e">
        <f>HLOOKUP(Region&amp;ClaseSocial,Tabla_RaicesCulturales,Tablas!F176,FALSE)</f>
        <v>#N/A</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3"/>
      <c r="D161" s="3354"/>
      <c r="E161" s="3494" t="s">
        <v>1777</v>
      </c>
      <c r="F161" s="3495"/>
      <c r="G161" s="3495"/>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t="e">
        <f>HLOOKUP(Region&amp;ClaseSocial,Tabla_RaicesCulturales,Tablas!F177,FALSE)</f>
        <v>#N/A</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3"/>
      <c r="D162" s="3354"/>
      <c r="E162" s="3496" t="s">
        <v>1779</v>
      </c>
      <c r="F162" s="3497"/>
      <c r="G162" s="3497"/>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t="e">
        <f>HLOOKUP(Region&amp;ClaseSocial,Tabla_RaicesCulturales,Tablas!F178,FALSE)</f>
        <v>#N/A</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3"/>
      <c r="D163" s="3354"/>
      <c r="E163" s="3494" t="s">
        <v>1781</v>
      </c>
      <c r="F163" s="3495"/>
      <c r="G163" s="3495"/>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t="e">
        <f>HLOOKUP(Region&amp;ClaseSocial,Tabla_RaicesCulturales,Tablas!F179,FALSE)</f>
        <v>#N/A</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3"/>
      <c r="D164" s="3355"/>
      <c r="E164" s="3498" t="s">
        <v>1782</v>
      </c>
      <c r="F164" s="3499"/>
      <c r="G164" s="3499"/>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t="e">
        <f>HLOOKUP(Region&amp;ClaseSocial,Tabla_RaicesCulturales,Tablas!F180,FALSE)</f>
        <v>#N/A</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3"/>
      <c r="D165" s="3354" t="s">
        <v>1783</v>
      </c>
      <c r="E165" s="3494" t="s">
        <v>1784</v>
      </c>
      <c r="F165" s="3495"/>
      <c r="G165" s="3495"/>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t="e">
        <f>HLOOKUP(Region&amp;ClaseSocial,Tabla_RaicesCulturales,Tablas!F181,FALSE)</f>
        <v>#N/A</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3"/>
      <c r="D166" s="3354"/>
      <c r="E166" s="3496" t="s">
        <v>1785</v>
      </c>
      <c r="F166" s="3497"/>
      <c r="G166" s="3497"/>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0</v>
      </c>
      <c r="AG166" s="2960" t="e">
        <f>HLOOKUP(Region&amp;ClaseSocial,Tabla_RaicesCulturales,Tablas!F182,FALSE)</f>
        <v>#N/A</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3"/>
      <c r="D167" s="3354"/>
      <c r="E167" s="3494" t="s">
        <v>1786</v>
      </c>
      <c r="F167" s="3495"/>
      <c r="G167" s="3495"/>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t="e">
        <f>HLOOKUP(Region&amp;ClaseSocial,Tabla_RaicesCulturales,Tablas!F183,FALSE)</f>
        <v>#N/A</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3"/>
      <c r="D168" s="3354"/>
      <c r="E168" s="3496" t="s">
        <v>1085</v>
      </c>
      <c r="F168" s="3497"/>
      <c r="G168" s="3497"/>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t="e">
        <f>HLOOKUP(Region&amp;ClaseSocial,Tabla_RaicesCulturales,Tablas!F184,FALSE)</f>
        <v>#N/A</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3"/>
      <c r="D169" s="3354"/>
      <c r="E169" s="3494" t="s">
        <v>1086</v>
      </c>
      <c r="F169" s="3495"/>
      <c r="G169" s="3495"/>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t="e">
        <f>HLOOKUP(Region&amp;ClaseSocial,Tabla_RaicesCulturales,Tablas!F185,FALSE)</f>
        <v>#N/A</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3"/>
      <c r="D170" s="3354"/>
      <c r="E170" s="3496" t="s">
        <v>1087</v>
      </c>
      <c r="F170" s="3497"/>
      <c r="G170" s="3497"/>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t="e">
        <f>HLOOKUP(Region&amp;ClaseSocial,Tabla_RaicesCulturales,Tablas!F186,FALSE)</f>
        <v>#N/A</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3"/>
      <c r="D171" s="3354"/>
      <c r="E171" s="3494" t="s">
        <v>1787</v>
      </c>
      <c r="F171" s="3495"/>
      <c r="G171" s="3495"/>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t="e">
        <f>HLOOKUP(Region&amp;ClaseSocial,Tabla_RaicesCulturales,Tablas!F187,FALSE)</f>
        <v>#N/A</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3"/>
      <c r="D172" s="3354"/>
      <c r="E172" s="3496" t="s">
        <v>1790</v>
      </c>
      <c r="F172" s="3497"/>
      <c r="G172" s="3497"/>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t="e">
        <f>HLOOKUP(Region&amp;ClaseSocial,Tabla_RaicesCulturales,Tablas!F188,FALSE)</f>
        <v>#N/A</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3"/>
      <c r="D173" s="3354"/>
      <c r="E173" s="3494" t="s">
        <v>8230</v>
      </c>
      <c r="F173" s="3495"/>
      <c r="G173" s="3495"/>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t="e">
        <f>HLOOKUP(Region&amp;ClaseSocial,Tabla_RaicesCulturales,Tablas!F189,FALSE)</f>
        <v>#N/A</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3"/>
      <c r="D174" s="3354"/>
      <c r="E174" s="3496" t="s">
        <v>8231</v>
      </c>
      <c r="F174" s="3497"/>
      <c r="G174" s="3497"/>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t="e">
        <f>HLOOKUP(Region&amp;ClaseSocial,Tabla_RaicesCulturales,Tablas!F190,FALSE)</f>
        <v>#N/A</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3"/>
      <c r="D175" s="3354"/>
      <c r="E175" s="3494" t="s">
        <v>8232</v>
      </c>
      <c r="F175" s="3495"/>
      <c r="G175" s="3495"/>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t="e">
        <f>HLOOKUP(Region&amp;ClaseSocial,Tabla_RaicesCulturales,Tablas!F191,FALSE)</f>
        <v>#N/A</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3"/>
      <c r="D176" s="3354"/>
      <c r="E176" s="3496" t="s">
        <v>8233</v>
      </c>
      <c r="F176" s="3497"/>
      <c r="G176" s="3497"/>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t="e">
        <f>HLOOKUP(Region&amp;ClaseSocial,Tabla_RaicesCulturales,Tablas!F192,FALSE)</f>
        <v>#N/A</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3"/>
      <c r="D177" s="2409" t="s">
        <v>1769</v>
      </c>
      <c r="E177" s="3529"/>
      <c r="F177" s="3530"/>
      <c r="G177" s="3530"/>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63"/>
      <c r="D178" s="2410" t="s">
        <v>1769</v>
      </c>
      <c r="E178" s="3531"/>
      <c r="F178" s="3532"/>
      <c r="G178" s="3532"/>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63"/>
      <c r="D179" s="2410" t="s">
        <v>1769</v>
      </c>
      <c r="E179" s="3533"/>
      <c r="F179" s="3534"/>
      <c r="G179" s="353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63"/>
      <c r="D180" s="2410" t="s">
        <v>1769</v>
      </c>
      <c r="E180" s="3531"/>
      <c r="F180" s="3532"/>
      <c r="G180" s="353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63"/>
      <c r="D181" s="2411" t="s">
        <v>1769</v>
      </c>
      <c r="E181" s="3523"/>
      <c r="F181" s="3524"/>
      <c r="G181" s="352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63"/>
      <c r="D182" s="3551" t="s">
        <v>1856</v>
      </c>
      <c r="E182" s="3552"/>
      <c r="F182" s="3552"/>
      <c r="G182" s="3552"/>
      <c r="H182" s="3552"/>
      <c r="I182" s="3552"/>
      <c r="J182" s="3552"/>
      <c r="K182" s="3552"/>
      <c r="L182" s="3552"/>
      <c r="M182" s="3552"/>
      <c r="N182" s="3552"/>
      <c r="O182" s="3552"/>
      <c r="P182" s="3552"/>
      <c r="Q182" s="3552"/>
      <c r="R182" s="3552"/>
      <c r="S182" s="3552"/>
      <c r="T182" s="3552"/>
      <c r="U182" s="3552"/>
      <c r="V182" s="3552"/>
      <c r="W182" s="3552"/>
      <c r="X182" s="3552"/>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63"/>
      <c r="D183" s="3553" t="s">
        <v>1858</v>
      </c>
      <c r="E183" s="3554"/>
      <c r="F183" s="3554"/>
      <c r="G183" s="3554"/>
      <c r="H183" s="3554"/>
      <c r="I183" s="3554"/>
      <c r="J183" s="3554"/>
      <c r="K183" s="3554"/>
      <c r="L183" s="3554"/>
      <c r="M183" s="3554"/>
      <c r="N183" s="3554"/>
      <c r="O183" s="3554"/>
      <c r="P183" s="3554"/>
      <c r="Q183" s="3554"/>
      <c r="R183" s="3554"/>
      <c r="S183" s="3554"/>
      <c r="T183" s="3554"/>
      <c r="U183" s="3554"/>
      <c r="V183" s="3554"/>
      <c r="W183" s="3554"/>
      <c r="X183" s="3554"/>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63"/>
      <c r="D184" s="3555" t="s">
        <v>1859</v>
      </c>
      <c r="E184" s="3497"/>
      <c r="F184" s="3497"/>
      <c r="G184" s="3497"/>
      <c r="H184" s="3497"/>
      <c r="I184" s="3497"/>
      <c r="J184" s="3497"/>
      <c r="K184" s="3497"/>
      <c r="L184" s="3497"/>
      <c r="M184" s="3497"/>
      <c r="N184" s="3497"/>
      <c r="O184" s="3497"/>
      <c r="P184" s="3497"/>
      <c r="Q184" s="3497"/>
      <c r="R184" s="3497"/>
      <c r="S184" s="3497"/>
      <c r="T184" s="3497"/>
      <c r="U184" s="3497"/>
      <c r="V184" s="3497"/>
      <c r="W184" s="3497"/>
      <c r="X184" s="3497"/>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63"/>
      <c r="D185" s="3556" t="s">
        <v>1860</v>
      </c>
      <c r="E185" s="3525" t="str">
        <f>IF(Acumulacion="Si","Múltiplos de Acumulación","Múltiplos de Vida")</f>
        <v>Múltiplos de Vida</v>
      </c>
      <c r="F185" s="3526"/>
      <c r="G185" s="3526"/>
      <c r="H185" s="3526"/>
      <c r="I185" s="3527"/>
      <c r="J185" s="3500">
        <f>IF(Acumulacion="Si","X",IF(Categoría_1=0,0,VLOOKUP(Categoría_1,Tabla_Categorías,4,FALSE)))</f>
        <v>20</v>
      </c>
      <c r="K185" s="3502"/>
      <c r="L185" s="3500">
        <f>IF(Acumulacion="Si","X",IF(Categoría_2=0,0,VLOOKUP(Categoría_2,Tabla_Categorías,4,FALSE)))</f>
        <v>0</v>
      </c>
      <c r="M185" s="3502"/>
      <c r="N185" s="3500">
        <f>IF(Acumulacion="Si","X",IF(Categoría_3=0,0,VLOOKUP(Categoría_3,Tabla_Categorías,4,FALSE)))</f>
        <v>0</v>
      </c>
      <c r="O185" s="3502"/>
      <c r="P185" s="3500">
        <f>IF(Acumulacion="Si","X",IF(Categoría_4=0,0,VLOOKUP(Categoría_4,Tabla_Categorías,4,FALSE)))</f>
        <v>0</v>
      </c>
      <c r="Q185" s="3502"/>
      <c r="R185" s="3500">
        <f>IF(Acumulacion="Si","X",IF(Categoría_5=0,0,VLOOKUP(Categoría_5,Tabla_Categorías,4,FALSE)))</f>
        <v>0</v>
      </c>
      <c r="S185" s="3502"/>
      <c r="T185" s="3500">
        <f>IF(Acumulacion="Si",IF(Tablas!$S$2300&gt;0,Tablas!$S$2300,VLOOKUP(Tamaño,Tabla_CreaciónSeres,5)),IF(J185=0,0,TRUNC((K185/J185),0))+IF(L185=0,0,TRUNC((M185/L185),0))+IF(N185=0,0,TRUNC((O185/N185),0))+IF(P185=0,0,TRUNC((Q185/P185),0))+IF(R185=0,0,TRUNC((S185/R185),0)))</f>
        <v>0</v>
      </c>
      <c r="U185" s="3514">
        <f>20+CON*10+Bono_Con</f>
        <v>20</v>
      </c>
      <c r="V185" s="3514">
        <f>(HLOOKUP("PV",Bonos_Cat_Base,2,FALSE)+(10*Tablas!$G$349+20*Tablas!$G$350+30*Tablas!$G$351)*Nivel_Total)*IF(Acumulacion="Si",VLOOKUP(Tamaño,Tabla_CreaciónSeres,5),1)</f>
        <v>5</v>
      </c>
      <c r="W185" s="3514">
        <f>IF(Acumulacion="Si",T185*(K185+M185+O185+Q185+S185),T185*CON)</f>
        <v>0</v>
      </c>
      <c r="X185" s="3558"/>
      <c r="Y185" s="3559"/>
      <c r="Z185" s="3519">
        <f>U185+W185+V185+X185</f>
        <v>25</v>
      </c>
      <c r="AA185" s="3520"/>
      <c r="AB185" s="3049"/>
      <c r="AC185" s="1802"/>
    </row>
    <row r="186" spans="1:35" ht="12" customHeight="1" thickBot="1" x14ac:dyDescent="0.25">
      <c r="A186" s="1984"/>
      <c r="B186" s="2307"/>
      <c r="C186" s="3564"/>
      <c r="D186" s="3557"/>
      <c r="E186" s="3501"/>
      <c r="F186" s="3515"/>
      <c r="G186" s="3515"/>
      <c r="H186" s="3515"/>
      <c r="I186" s="3528"/>
      <c r="J186" s="3501"/>
      <c r="K186" s="3503"/>
      <c r="L186" s="3501"/>
      <c r="M186" s="3503"/>
      <c r="N186" s="3501"/>
      <c r="O186" s="3503"/>
      <c r="P186" s="3501"/>
      <c r="Q186" s="3503"/>
      <c r="R186" s="3501"/>
      <c r="S186" s="3503"/>
      <c r="T186" s="3501"/>
      <c r="U186" s="3515"/>
      <c r="V186" s="3515"/>
      <c r="W186" s="3515"/>
      <c r="X186" s="3560"/>
      <c r="Y186" s="3561"/>
      <c r="Z186" s="3521"/>
      <c r="AA186" s="3522"/>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545" t="s">
        <v>1861</v>
      </c>
      <c r="D189" s="3546"/>
      <c r="E189" s="3546"/>
      <c r="F189" s="3546"/>
      <c r="G189" s="3546"/>
      <c r="H189" s="3546"/>
      <c r="I189" s="3547"/>
      <c r="J189" s="3543">
        <f>$AA$5</f>
        <v>600</v>
      </c>
      <c r="K189" s="3541">
        <f>M83+M101+M117+SUM(K126:K181)+K185</f>
        <v>0</v>
      </c>
      <c r="L189" s="3543">
        <f>SUM($AA$5:$AA$7)</f>
        <v>600</v>
      </c>
      <c r="M189" s="3541">
        <f>O83+O101+O117+M185+SUM(M126:M181)+K189-M83-M101-M117</f>
        <v>0</v>
      </c>
      <c r="N189" s="3543">
        <f>SUM($AA$5:$AA$9)</f>
        <v>600</v>
      </c>
      <c r="O189" s="3541">
        <f>Q83+Q101+Q117+O185+SUM(O126:O181)+M189-O83-O101-O117</f>
        <v>0</v>
      </c>
      <c r="P189" s="3543">
        <f>SUM($AA$5:$AA$11)</f>
        <v>600</v>
      </c>
      <c r="Q189" s="3541">
        <f>S83+S101+S117+Q185+SUM(Q126:Q181)+O189-Q83-Q101-Q117</f>
        <v>0</v>
      </c>
      <c r="R189" s="3543">
        <f>SUM($AA$5:$AA$13)</f>
        <v>600</v>
      </c>
      <c r="S189" s="3541">
        <f>U83+U101+U117+S185+SUM(S126:S181)+Q189-S83-S101-S117</f>
        <v>0</v>
      </c>
      <c r="T189" s="3535" t="str">
        <f>IF(OR(K189&gt;J189,M189&gt;L189,O189&gt;N189,Q189&gt;P189,S189&gt;R189),"Límite por Categoría excedido","")</f>
        <v/>
      </c>
      <c r="U189" s="3536"/>
      <c r="V189" s="3536"/>
      <c r="W189" s="3536"/>
      <c r="X189" s="3536"/>
      <c r="Y189" s="3536"/>
      <c r="Z189" s="3536"/>
      <c r="AA189" s="3537"/>
      <c r="AB189" s="3049"/>
      <c r="AC189" s="1802"/>
    </row>
    <row r="190" spans="1:35" ht="12" customHeight="1" thickBot="1" x14ac:dyDescent="0.25">
      <c r="A190" s="1984"/>
      <c r="B190" s="2307"/>
      <c r="C190" s="3548"/>
      <c r="D190" s="3549"/>
      <c r="E190" s="3549"/>
      <c r="F190" s="3549"/>
      <c r="G190" s="3549"/>
      <c r="H190" s="3549"/>
      <c r="I190" s="3550"/>
      <c r="J190" s="3544"/>
      <c r="K190" s="3542"/>
      <c r="L190" s="3544"/>
      <c r="M190" s="3542"/>
      <c r="N190" s="3544"/>
      <c r="O190" s="3542"/>
      <c r="P190" s="3544"/>
      <c r="Q190" s="3542"/>
      <c r="R190" s="3544"/>
      <c r="S190" s="3542"/>
      <c r="T190" s="3538"/>
      <c r="U190" s="3539"/>
      <c r="V190" s="3539"/>
      <c r="W190" s="3539"/>
      <c r="X190" s="3539"/>
      <c r="Y190" s="3539"/>
      <c r="Z190" s="3539"/>
      <c r="AA190" s="3540"/>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72" priority="376" stopIfTrue="1" operator="equal">
      <formula>"Tabla de Esquiva con Escudo"</formula>
    </cfRule>
  </conditionalFormatting>
  <conditionalFormatting sqref="K189">
    <cfRule type="cellIs" dxfId="671" priority="377" stopIfTrue="1" operator="greaterThan">
      <formula>$J$189</formula>
    </cfRule>
  </conditionalFormatting>
  <conditionalFormatting sqref="Y184">
    <cfRule type="cellIs" dxfId="670" priority="378" stopIfTrue="1" operator="notEqual">
      <formula>$AA$184</formula>
    </cfRule>
  </conditionalFormatting>
  <conditionalFormatting sqref="Y183">
    <cfRule type="cellIs" dxfId="669" priority="379" stopIfTrue="1" operator="notEqual">
      <formula>$AA$183</formula>
    </cfRule>
  </conditionalFormatting>
  <conditionalFormatting sqref="Y182">
    <cfRule type="cellIs" dxfId="668" priority="380" stopIfTrue="1" operator="notEqual">
      <formula>$AA$182</formula>
    </cfRule>
  </conditionalFormatting>
  <conditionalFormatting sqref="Y126:Y128">
    <cfRule type="cellIs" dxfId="667" priority="381" stopIfTrue="1" operator="greaterThan">
      <formula>$AA$184/5</formula>
    </cfRule>
  </conditionalFormatting>
  <conditionalFormatting sqref="M83">
    <cfRule type="cellIs" dxfId="666" priority="384" stopIfTrue="1" operator="greaterThan">
      <formula>$L$83</formula>
    </cfRule>
  </conditionalFormatting>
  <conditionalFormatting sqref="AA126:AA128">
    <cfRule type="expression" dxfId="665" priority="385" stopIfTrue="1">
      <formula>B1</formula>
    </cfRule>
  </conditionalFormatting>
  <conditionalFormatting sqref="U7 U9 U11 U13">
    <cfRule type="expression" dxfId="664" priority="427" stopIfTrue="1">
      <formula>$U$5=0</formula>
    </cfRule>
  </conditionalFormatting>
  <conditionalFormatting sqref="M101">
    <cfRule type="cellIs" dxfId="663" priority="149" stopIfTrue="1" operator="greaterThan">
      <formula>$L$101</formula>
    </cfRule>
  </conditionalFormatting>
  <conditionalFormatting sqref="M117">
    <cfRule type="cellIs" dxfId="662" priority="134" stopIfTrue="1" operator="greaterThan">
      <formula>$L$117</formula>
    </cfRule>
  </conditionalFormatting>
  <conditionalFormatting sqref="Y129:Y132">
    <cfRule type="cellIs" dxfId="661" priority="57" stopIfTrue="1" operator="greaterThan">
      <formula>$AA$184/5</formula>
    </cfRule>
  </conditionalFormatting>
  <conditionalFormatting sqref="AA129:AA132">
    <cfRule type="expression" dxfId="660" priority="58" stopIfTrue="1">
      <formula>B4</formula>
    </cfRule>
  </conditionalFormatting>
  <conditionalFormatting sqref="Y133:Y180">
    <cfRule type="cellIs" dxfId="659" priority="46" stopIfTrue="1" operator="greaterThan">
      <formula>$AA$184/5</formula>
    </cfRule>
  </conditionalFormatting>
  <conditionalFormatting sqref="AA133:AA180">
    <cfRule type="expression" dxfId="658" priority="47" stopIfTrue="1">
      <formula>B8</formula>
    </cfRule>
  </conditionalFormatting>
  <conditionalFormatting sqref="Y181">
    <cfRule type="cellIs" dxfId="657" priority="39" stopIfTrue="1" operator="greaterThan">
      <formula>$AA$184/5</formula>
    </cfRule>
  </conditionalFormatting>
  <conditionalFormatting sqref="AA181">
    <cfRule type="expression" dxfId="656" priority="40" stopIfTrue="1">
      <formula>B56</formula>
    </cfRule>
  </conditionalFormatting>
  <conditionalFormatting sqref="V41:V45">
    <cfRule type="expression" dxfId="655" priority="1593" stopIfTrue="1">
      <formula>AND(NOT($V41="Armas improvisadas"),$Y41=0)</formula>
    </cfRule>
  </conditionalFormatting>
  <conditionalFormatting sqref="E40:E56 E99:E100 E110:E116 E75:E82">
    <cfRule type="expression" dxfId="654" priority="1596">
      <formula>NOT(OR(L40=M40,$N40=$O40,$P40=$Q40,$R40=$S40,$T40=$U40))</formula>
    </cfRule>
  </conditionalFormatting>
  <conditionalFormatting sqref="Y40:AA45">
    <cfRule type="expression" dxfId="653" priority="38" stopIfTrue="1">
      <formula>$V40=""</formula>
    </cfRule>
  </conditionalFormatting>
  <conditionalFormatting sqref="E113">
    <cfRule type="expression" dxfId="652" priority="1708" stopIfTrue="1">
      <formula>NOT(OR(#REF!=#REF!,#REF!=#REF!,#REF!=#REF!,#REF!=#REF!,#REF!=#REF!))</formula>
    </cfRule>
  </conditionalFormatting>
  <conditionalFormatting sqref="E114">
    <cfRule type="expression" dxfId="651" priority="2248" stopIfTrue="1">
      <formula>NOT(OR(#REF!=#REF!,#REF!=#REF!,#REF!=#REF!,#REF!=#REF!,#REF!=#REF!))</formula>
    </cfRule>
  </conditionalFormatting>
  <conditionalFormatting sqref="E115:E116">
    <cfRule type="expression" dxfId="650" priority="2251" stopIfTrue="1">
      <formula>NOT(OR(M123=L123,O123=N123,Q123=P123,S123=R123,U123=T123))</formula>
    </cfRule>
  </conditionalFormatting>
  <conditionalFormatting sqref="E57">
    <cfRule type="expression" dxfId="649" priority="22">
      <formula>NOT(OR(L57=M57,$N57=$O57,$P57=$Q57,$R57=$S57,$T57=$U57))</formula>
    </cfRule>
  </conditionalFormatting>
  <conditionalFormatting sqref="E59">
    <cfRule type="expression" dxfId="648" priority="20">
      <formula>NOT(OR(L59=M59,$N59=$O59,$P59=$Q59,$R59=$S59,$T59=$U59))</formula>
    </cfRule>
  </conditionalFormatting>
  <conditionalFormatting sqref="E58">
    <cfRule type="expression" dxfId="647" priority="19">
      <formula>NOT(OR(L58=M58,$N58=$O58,$P58=$Q58,$R58=$S58,$T58=$U58))</formula>
    </cfRule>
  </conditionalFormatting>
  <conditionalFormatting sqref="E61">
    <cfRule type="expression" dxfId="646" priority="18">
      <formula>NOT(OR(L61=M61,$N61=$O61,$P61=$Q61,$R61=$S61,$T61=$U61))</formula>
    </cfRule>
  </conditionalFormatting>
  <conditionalFormatting sqref="E60">
    <cfRule type="expression" dxfId="645" priority="17">
      <formula>NOT(OR(L60=M60,$N60=$O60,$P60=$Q60,$R60=$S60,$T60=$U60))</formula>
    </cfRule>
  </conditionalFormatting>
  <conditionalFormatting sqref="E63">
    <cfRule type="expression" dxfId="644" priority="16">
      <formula>NOT(OR(L63=M63,$N63=$O63,$P63=$Q63,$R63=$S63,$T63=$U63))</formula>
    </cfRule>
  </conditionalFormatting>
  <conditionalFormatting sqref="E62">
    <cfRule type="expression" dxfId="643" priority="15">
      <formula>NOT(OR(L62=M62,$N62=$O62,$P62=$Q62,$R62=$S62,$T62=$U62))</formula>
    </cfRule>
  </conditionalFormatting>
  <conditionalFormatting sqref="E65">
    <cfRule type="expression" dxfId="642" priority="14">
      <formula>NOT(OR(L65=M65,$N65=$O65,$P65=$Q65,$R65=$S65,$T65=$U65))</formula>
    </cfRule>
  </conditionalFormatting>
  <conditionalFormatting sqref="E64">
    <cfRule type="expression" dxfId="641" priority="13">
      <formula>NOT(OR(L64=M64,$N64=$O64,$P64=$Q64,$R64=$S64,$T64=$U64))</formula>
    </cfRule>
  </conditionalFormatting>
  <conditionalFormatting sqref="E67">
    <cfRule type="expression" dxfId="640" priority="12">
      <formula>NOT(OR(L67=M67,$N67=$O67,$P67=$Q67,$R67=$S67,$T67=$U67))</formula>
    </cfRule>
  </conditionalFormatting>
  <conditionalFormatting sqref="E66">
    <cfRule type="expression" dxfId="639" priority="11">
      <formula>NOT(OR(L66=M66,$N66=$O66,$P66=$Q66,$R66=$S66,$T66=$U66))</formula>
    </cfRule>
  </conditionalFormatting>
  <conditionalFormatting sqref="E69">
    <cfRule type="expression" dxfId="638" priority="10">
      <formula>NOT(OR(L69=M69,$N69=$O69,$P69=$Q69,$R69=$S69,$T69=$U69))</formula>
    </cfRule>
  </conditionalFormatting>
  <conditionalFormatting sqref="E68">
    <cfRule type="expression" dxfId="637" priority="9">
      <formula>NOT(OR(L68=M68,$N68=$O68,$P68=$Q68,$R68=$S68,$T68=$U68))</formula>
    </cfRule>
  </conditionalFormatting>
  <conditionalFormatting sqref="E71">
    <cfRule type="expression" dxfId="636" priority="8">
      <formula>NOT(OR(L71=M71,$N71=$O71,$P71=$Q71,$R71=$S71,$T71=$U71))</formula>
    </cfRule>
  </conditionalFormatting>
  <conditionalFormatting sqref="E70">
    <cfRule type="expression" dxfId="635" priority="7">
      <formula>NOT(OR(L70=M70,$N70=$O70,$P70=$Q70,$R70=$S70,$T70=$U70))</formula>
    </cfRule>
  </conditionalFormatting>
  <conditionalFormatting sqref="E73">
    <cfRule type="expression" dxfId="634" priority="6">
      <formula>NOT(OR(L73=M73,$N73=$O73,$P73=$Q73,$R73=$S73,$T73=$U73))</formula>
    </cfRule>
  </conditionalFormatting>
  <conditionalFormatting sqref="E72">
    <cfRule type="expression" dxfId="633" priority="5">
      <formula>NOT(OR(L72=M72,$N72=$O72,$P72=$Q72,$R72=$S72,$T72=$U72))</formula>
    </cfRule>
  </conditionalFormatting>
  <conditionalFormatting sqref="E74">
    <cfRule type="expression" dxfId="632" priority="4">
      <formula>NOT(OR(L74=M74,$N74=$O74,$P74=$Q74,$R74=$S74,$T74=$U74))</formula>
    </cfRule>
  </conditionalFormatting>
  <conditionalFormatting sqref="E56:I74">
    <cfRule type="expression" dxfId="631" priority="2">
      <formula>$J56=""</formula>
    </cfRule>
  </conditionalFormatting>
  <conditionalFormatting sqref="L189:M189">
    <cfRule type="cellIs" dxfId="630" priority="4043" stopIfTrue="1" operator="greaterThan">
      <formula>$L$189</formula>
    </cfRule>
    <cfRule type="expression" dxfId="629" priority="4044" stopIfTrue="1">
      <formula>$U$7=0</formula>
    </cfRule>
  </conditionalFormatting>
  <conditionalFormatting sqref="N189:O189">
    <cfRule type="cellIs" dxfId="628" priority="4045" stopIfTrue="1" operator="greaterThan">
      <formula>$N$189</formula>
    </cfRule>
    <cfRule type="expression" dxfId="627" priority="4046" stopIfTrue="1">
      <formula>$U$9=0</formula>
    </cfRule>
  </conditionalFormatting>
  <conditionalFormatting sqref="P189:Q189">
    <cfRule type="cellIs" dxfId="626" priority="4047" stopIfTrue="1" operator="greaterThan">
      <formula>$P$189</formula>
    </cfRule>
    <cfRule type="expression" dxfId="625" priority="4048" stopIfTrue="1">
      <formula>$U$11=0</formula>
    </cfRule>
  </conditionalFormatting>
  <conditionalFormatting sqref="R189:S189">
    <cfRule type="cellIs" dxfId="624" priority="4049" stopIfTrue="1" operator="greaterThan">
      <formula>$R$189</formula>
    </cfRule>
    <cfRule type="expression" dxfId="623"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2"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1"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20"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9" priority="4261" stopIfTrue="1">
      <formula>Categoría_5=0</formula>
    </cfRule>
  </conditionalFormatting>
  <conditionalFormatting sqref="W126:X181">
    <cfRule type="cellIs" dxfId="618"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7"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6"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5"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4" priority="4533" stopIfTrue="1">
      <formula>Categoría_5=0</formula>
    </cfRule>
  </conditionalFormatting>
  <conditionalFormatting sqref="N83:O83 N101:O101 N117:O117">
    <cfRule type="expression" dxfId="613" priority="4601" stopIfTrue="1">
      <formula>Categoría_2=0</formula>
    </cfRule>
  </conditionalFormatting>
  <conditionalFormatting sqref="P83:Q83 P101:Q101 P117:Q117">
    <cfRule type="expression" dxfId="612" priority="4607" stopIfTrue="1">
      <formula>Categoría_3=0</formula>
    </cfRule>
  </conditionalFormatting>
  <conditionalFormatting sqref="R83 R101 R117">
    <cfRule type="expression" dxfId="611" priority="4613" stopIfTrue="1">
      <formula>Categoría_4=0</formula>
    </cfRule>
  </conditionalFormatting>
  <conditionalFormatting sqref="T83 T101 T117">
    <cfRule type="expression" dxfId="610" priority="4619" stopIfTrue="1">
      <formula>Categoría_5=0</formula>
    </cfRule>
  </conditionalFormatting>
  <conditionalFormatting sqref="S83 S101 S117">
    <cfRule type="cellIs" dxfId="609" priority="4624" stopIfTrue="1" operator="greaterThan">
      <formula>$N$83</formula>
    </cfRule>
    <cfRule type="expression" dxfId="608" priority="4625" stopIfTrue="1">
      <formula>Categoría_4=0</formula>
    </cfRule>
  </conditionalFormatting>
  <conditionalFormatting sqref="U83 U101 U117">
    <cfRule type="cellIs" dxfId="607" priority="4630" stopIfTrue="1" operator="greaterThan">
      <formula>$N$83</formula>
    </cfRule>
    <cfRule type="expression" dxfId="606" priority="4631" stopIfTrue="1">
      <formula>$U$13=0</formula>
    </cfRule>
  </conditionalFormatting>
  <conditionalFormatting sqref="V40">
    <cfRule type="expression" dxfId="605"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1"/>
      <c r="D3" s="3201"/>
      <c r="E3" s="3201"/>
      <c r="F3" s="3201"/>
      <c r="G3" s="3201"/>
      <c r="H3" s="3201"/>
      <c r="I3" s="9"/>
      <c r="J3" s="9"/>
      <c r="K3" s="9"/>
      <c r="L3" s="9"/>
      <c r="M3" s="9"/>
      <c r="N3" s="9"/>
      <c r="O3" s="9"/>
      <c r="P3" s="9"/>
      <c r="Q3" s="9"/>
      <c r="R3" s="9"/>
      <c r="S3" s="2188"/>
      <c r="T3" s="2552"/>
      <c r="U3" s="45"/>
      <c r="V3" s="45"/>
      <c r="W3" s="131"/>
      <c r="X3" s="3201"/>
      <c r="Y3" s="3201"/>
      <c r="Z3" s="3201"/>
      <c r="AA3" s="3201"/>
      <c r="AB3" s="3201"/>
      <c r="AC3" s="3201"/>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01"/>
      <c r="D4" s="3201"/>
      <c r="E4" s="3201"/>
      <c r="F4" s="3201"/>
      <c r="G4" s="3201"/>
      <c r="H4" s="3201"/>
      <c r="I4" s="12"/>
      <c r="J4" s="12"/>
      <c r="K4" s="3118" t="s">
        <v>1628</v>
      </c>
      <c r="L4" s="3118"/>
      <c r="M4" s="3119" t="str">
        <f>IF(OR(General!$G$22="",General!$G$22=0),"",General!$G$22)</f>
        <v/>
      </c>
      <c r="N4" s="3119"/>
      <c r="O4" s="3119"/>
      <c r="P4" s="3119"/>
      <c r="Q4" s="3119"/>
      <c r="R4" s="2185"/>
      <c r="S4" s="13"/>
      <c r="T4" s="2552"/>
      <c r="U4" s="45"/>
      <c r="V4" s="45"/>
      <c r="W4" s="131"/>
      <c r="X4" s="3201"/>
      <c r="Y4" s="3201"/>
      <c r="Z4" s="3201"/>
      <c r="AA4" s="3201"/>
      <c r="AB4" s="3201"/>
      <c r="AC4" s="3201"/>
      <c r="AD4" s="12"/>
      <c r="AE4" s="12"/>
      <c r="AF4" s="3118" t="s">
        <v>1628</v>
      </c>
      <c r="AG4" s="3118"/>
      <c r="AH4" s="3119" t="str">
        <f>IF(OR(General!$G$22="",General!$G$22=0),"",General!$G$22)</f>
        <v/>
      </c>
      <c r="AI4" s="3119"/>
      <c r="AJ4" s="3119"/>
      <c r="AK4" s="3119"/>
      <c r="AL4" s="3119"/>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01"/>
      <c r="D5" s="3201"/>
      <c r="E5" s="3201"/>
      <c r="F5" s="3201"/>
      <c r="G5" s="3201"/>
      <c r="H5" s="3201"/>
      <c r="I5" s="12"/>
      <c r="J5" s="12"/>
      <c r="K5" s="3197" t="s">
        <v>1629</v>
      </c>
      <c r="L5" s="3197"/>
      <c r="M5" s="3198" t="str">
        <f>Principal!$L$5</f>
        <v>Hechicero</v>
      </c>
      <c r="N5" s="3198"/>
      <c r="O5" s="3198"/>
      <c r="P5" s="14" t="s">
        <v>1630</v>
      </c>
      <c r="Q5" s="15" t="str">
        <f>Principal!$P$5</f>
        <v>1</v>
      </c>
      <c r="R5" s="12"/>
      <c r="S5" s="16"/>
      <c r="T5" s="2552"/>
      <c r="U5" s="45"/>
      <c r="V5" s="45"/>
      <c r="W5" s="131"/>
      <c r="X5" s="3201"/>
      <c r="Y5" s="3201"/>
      <c r="Z5" s="3201"/>
      <c r="AA5" s="3201"/>
      <c r="AB5" s="3201"/>
      <c r="AC5" s="3201"/>
      <c r="AD5" s="12"/>
      <c r="AE5" s="12"/>
      <c r="AF5" s="3197" t="s">
        <v>1629</v>
      </c>
      <c r="AG5" s="3197"/>
      <c r="AH5" s="3198" t="str">
        <f>Principal!$L$5</f>
        <v>Hechicero</v>
      </c>
      <c r="AI5" s="3198"/>
      <c r="AJ5" s="3198"/>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01"/>
      <c r="D6" s="3201"/>
      <c r="E6" s="3201"/>
      <c r="F6" s="3201"/>
      <c r="G6" s="3201"/>
      <c r="H6" s="3201"/>
      <c r="I6" s="12"/>
      <c r="J6" s="12"/>
      <c r="K6" s="3199" t="s">
        <v>1862</v>
      </c>
      <c r="L6" s="3199"/>
      <c r="M6" s="3199"/>
      <c r="N6" s="3199"/>
      <c r="O6" s="3199"/>
      <c r="P6" s="3199"/>
      <c r="Q6" s="3199"/>
      <c r="R6" s="12"/>
      <c r="S6" s="16"/>
      <c r="T6" s="2552"/>
      <c r="U6" s="45"/>
      <c r="V6" s="45"/>
      <c r="W6" s="131"/>
      <c r="X6" s="3201"/>
      <c r="Y6" s="3201"/>
      <c r="Z6" s="3201"/>
      <c r="AA6" s="3201"/>
      <c r="AB6" s="3201"/>
      <c r="AC6" s="3201"/>
      <c r="AD6" s="12"/>
      <c r="AE6" s="12"/>
      <c r="AF6" s="3199" t="s">
        <v>1863</v>
      </c>
      <c r="AG6" s="3199"/>
      <c r="AH6" s="3199"/>
      <c r="AI6" s="3199"/>
      <c r="AJ6" s="3199"/>
      <c r="AK6" s="3199"/>
      <c r="AL6" s="3199"/>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01"/>
      <c r="D7" s="3201"/>
      <c r="E7" s="3201"/>
      <c r="F7" s="3201"/>
      <c r="G7" s="3201"/>
      <c r="H7" s="3201"/>
      <c r="I7" s="12"/>
      <c r="J7" s="12"/>
      <c r="K7" s="3199"/>
      <c r="L7" s="3199"/>
      <c r="M7" s="3199"/>
      <c r="N7" s="3199"/>
      <c r="O7" s="3199"/>
      <c r="P7" s="3199"/>
      <c r="Q7" s="3199"/>
      <c r="R7" s="12"/>
      <c r="S7" s="16"/>
      <c r="T7" s="2552"/>
      <c r="U7" s="45"/>
      <c r="V7" s="45"/>
      <c r="W7" s="131"/>
      <c r="X7" s="3201"/>
      <c r="Y7" s="3201"/>
      <c r="Z7" s="3201"/>
      <c r="AA7" s="3201"/>
      <c r="AB7" s="3201"/>
      <c r="AC7" s="3201"/>
      <c r="AD7" s="12"/>
      <c r="AE7" s="12"/>
      <c r="AF7" s="3199"/>
      <c r="AG7" s="3199"/>
      <c r="AH7" s="3199"/>
      <c r="AI7" s="3199"/>
      <c r="AJ7" s="3199"/>
      <c r="AK7" s="3199"/>
      <c r="AL7" s="3199"/>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01"/>
      <c r="D8" s="3201"/>
      <c r="E8" s="3201"/>
      <c r="F8" s="3201"/>
      <c r="G8" s="3201"/>
      <c r="H8" s="3201"/>
      <c r="I8" s="17"/>
      <c r="J8" s="17"/>
      <c r="K8" s="17"/>
      <c r="L8" s="17"/>
      <c r="M8" s="17"/>
      <c r="N8" s="17"/>
      <c r="O8" s="17"/>
      <c r="P8" s="17"/>
      <c r="Q8" s="17"/>
      <c r="R8" s="17"/>
      <c r="S8" s="2189"/>
      <c r="T8" s="2552"/>
      <c r="U8" s="45"/>
      <c r="V8" s="45"/>
      <c r="W8" s="131"/>
      <c r="X8" s="3201"/>
      <c r="Y8" s="3201"/>
      <c r="Z8" s="3201"/>
      <c r="AA8" s="3201"/>
      <c r="AB8" s="3201"/>
      <c r="AC8" s="3201"/>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847" t="s">
        <v>1864</v>
      </c>
      <c r="D10" s="3848"/>
      <c r="E10" s="3848"/>
      <c r="F10" s="3848"/>
      <c r="G10" s="3848"/>
      <c r="H10" s="3848"/>
      <c r="I10" s="3848"/>
      <c r="J10" s="3848"/>
      <c r="K10" s="3848"/>
      <c r="L10" s="3848"/>
      <c r="M10" s="3848"/>
      <c r="N10" s="3848"/>
      <c r="O10" s="3848"/>
      <c r="P10" s="3848"/>
      <c r="Q10" s="3848"/>
      <c r="R10" s="3848"/>
      <c r="S10" s="2191"/>
      <c r="T10" s="2552"/>
      <c r="U10" s="45"/>
      <c r="V10" s="45"/>
      <c r="W10" s="131"/>
      <c r="X10" s="3849" t="s">
        <v>1710</v>
      </c>
      <c r="Y10" s="3850" t="s">
        <v>1865</v>
      </c>
      <c r="Z10" s="3850"/>
      <c r="AA10" s="3850"/>
      <c r="AB10" s="220"/>
      <c r="AD10" s="3183" t="s">
        <v>1817</v>
      </c>
      <c r="AE10" s="3183"/>
      <c r="AF10" s="3183"/>
      <c r="AG10" s="3183"/>
      <c r="AH10" s="3851" t="s">
        <v>1866</v>
      </c>
      <c r="AI10" s="3851"/>
      <c r="AJ10" s="3851"/>
      <c r="AK10" s="3851"/>
      <c r="AL10" s="3851"/>
      <c r="AM10" s="3851"/>
      <c r="AN10" s="2994"/>
      <c r="AO10" s="2990"/>
      <c r="AR10" s="2992"/>
      <c r="BL10" s="68"/>
      <c r="BM10" s="68"/>
      <c r="BN10" s="68"/>
      <c r="BO10" s="68"/>
      <c r="BP10" s="68"/>
      <c r="BQ10" s="68"/>
    </row>
    <row r="11" spans="1:72" ht="12" customHeight="1" thickBot="1" x14ac:dyDescent="0.25">
      <c r="A11" s="45"/>
      <c r="B11" s="131"/>
      <c r="C11" s="3852" t="s">
        <v>1864</v>
      </c>
      <c r="D11" s="3852"/>
      <c r="E11" s="3852"/>
      <c r="F11" s="3853" t="s">
        <v>1633</v>
      </c>
      <c r="G11" s="3853"/>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849"/>
      <c r="Y11" s="3854" t="s">
        <v>1877</v>
      </c>
      <c r="Z11" s="3854"/>
      <c r="AA11" s="3854"/>
      <c r="AB11" s="222"/>
      <c r="AD11" s="3855" t="str">
        <f>IF(PDs!$E40=0,"",PDs!$E40)</f>
        <v/>
      </c>
      <c r="AE11" s="3855"/>
      <c r="AF11" s="3855"/>
      <c r="AG11" s="3855"/>
      <c r="AH11" s="3856" t="str">
        <f>IF(PDs!$AD40=0,"",PDs!$V40&amp;" ")&amp;IF(PDs!$AD40=0,"",IF(PDs!$Y40=0,"",PDs!$Y40))</f>
        <v xml:space="preserve"> </v>
      </c>
      <c r="AI11" s="3856"/>
      <c r="AJ11" s="3856"/>
      <c r="AK11" s="3856"/>
      <c r="AL11" s="3856"/>
      <c r="AM11" s="3856"/>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862"/>
      <c r="D12" s="3862"/>
      <c r="E12" s="3862"/>
      <c r="F12" s="3861" t="str">
        <f>IF(C12=0,"",VLOOKUP(C12,Tabla_Armaduras,7,FALSE))</f>
        <v/>
      </c>
      <c r="G12" s="3861"/>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849"/>
      <c r="Y12" s="3854" t="s">
        <v>1878</v>
      </c>
      <c r="Z12" s="3854"/>
      <c r="AA12" s="3854"/>
      <c r="AB12" s="222"/>
      <c r="AD12" s="3858" t="str">
        <f>IF(PDs!$E41=0,"",PDs!$E41)</f>
        <v/>
      </c>
      <c r="AE12" s="3858"/>
      <c r="AF12" s="3858"/>
      <c r="AG12" s="3858"/>
      <c r="AH12" s="3859" t="str">
        <f>IF(PDs!$AD41=0,"",PDs!$V41&amp;" ")&amp;IF(PDs!$AD41=0,"",IF(PDs!$Y41=0,"",PDs!$Y41))</f>
        <v xml:space="preserve"> </v>
      </c>
      <c r="AI12" s="3859"/>
      <c r="AJ12" s="3859"/>
      <c r="AK12" s="3859"/>
      <c r="AL12" s="3859"/>
      <c r="AM12" s="3859"/>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860"/>
      <c r="D13" s="3860"/>
      <c r="E13" s="3860"/>
      <c r="F13" s="3861" t="str">
        <f>IF(C13=0,"",VLOOKUP(C13,Tabla_Armaduras,7,FALSE))</f>
        <v/>
      </c>
      <c r="G13" s="3861"/>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849"/>
      <c r="Y13" s="3854" t="s">
        <v>1879</v>
      </c>
      <c r="Z13" s="3854"/>
      <c r="AA13" s="3854"/>
      <c r="AB13" s="222"/>
      <c r="AD13" s="3858" t="str">
        <f>IF(PDs!$E42=0,"",PDs!$E42)</f>
        <v/>
      </c>
      <c r="AE13" s="3858"/>
      <c r="AF13" s="3858"/>
      <c r="AG13" s="3858"/>
      <c r="AH13" s="3859" t="str">
        <f>IF(PDs!$AD42=0,"",PDs!$V42&amp;" ")&amp;IF(PDs!$AD42=0,"",IF(PDs!$Y42=0,"",PDs!$Y42))</f>
        <v xml:space="preserve"> </v>
      </c>
      <c r="AI13" s="3859"/>
      <c r="AJ13" s="3859"/>
      <c r="AK13" s="3859"/>
      <c r="AL13" s="3859"/>
      <c r="AM13" s="3859"/>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871"/>
      <c r="D14" s="3871"/>
      <c r="E14" s="3871"/>
      <c r="F14" s="3872" t="str">
        <f>IF(C14=0,"",VLOOKUP(C14,Tabla_Armaduras,7,FALSE))</f>
        <v/>
      </c>
      <c r="G14" s="3872"/>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849"/>
      <c r="Y14" s="3857" t="s">
        <v>1880</v>
      </c>
      <c r="Z14" s="3857"/>
      <c r="AA14" s="3857"/>
      <c r="AB14" s="228"/>
      <c r="AD14" s="3858" t="str">
        <f>IF(PDs!$E43=0,"",PDs!$E43)</f>
        <v/>
      </c>
      <c r="AE14" s="3858"/>
      <c r="AF14" s="3858"/>
      <c r="AG14" s="3858"/>
      <c r="AH14" s="3859" t="str">
        <f>IF(PDs!$AD43=0,"",PDs!$V43&amp;" ")&amp;IF(PDs!$AD43=0,"",IF(PDs!$Y43=0,"",PDs!$Y43))</f>
        <v xml:space="preserve"> </v>
      </c>
      <c r="AI14" s="3859"/>
      <c r="AJ14" s="3859"/>
      <c r="AK14" s="3859"/>
      <c r="AL14" s="3859"/>
      <c r="AM14" s="3859"/>
      <c r="AN14" s="2994"/>
      <c r="AO14" s="2990"/>
      <c r="BJ14" s="173"/>
      <c r="BL14" s="68"/>
    </row>
    <row r="15" spans="1:72" ht="12" customHeight="1" thickBot="1" x14ac:dyDescent="0.25">
      <c r="A15" s="45"/>
      <c r="B15" s="131"/>
      <c r="C15" s="3864"/>
      <c r="D15" s="3865"/>
      <c r="E15" s="3230"/>
      <c r="F15" s="3866" t="s">
        <v>1881</v>
      </c>
      <c r="G15" s="3866"/>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849"/>
      <c r="Y15" s="3876" t="s">
        <v>1661</v>
      </c>
      <c r="Z15" s="3876"/>
      <c r="AA15" s="3876"/>
      <c r="AB15" s="3879">
        <f>SUM(AB10:AB14)</f>
        <v>0</v>
      </c>
      <c r="AD15" s="3858" t="str">
        <f>IF(PDs!$E44=0,"",PDs!$E44)</f>
        <v/>
      </c>
      <c r="AE15" s="3858"/>
      <c r="AF15" s="3858"/>
      <c r="AG15" s="3858"/>
      <c r="AH15" s="3859" t="str">
        <f>IF(PDs!$AD44=0,"",PDs!$V44&amp;" ")&amp;IF(PDs!$AD44=0,"",IF(PDs!$Y44=0,"",PDs!$Y44))</f>
        <v xml:space="preserve"> </v>
      </c>
      <c r="AI15" s="3859"/>
      <c r="AJ15" s="3859"/>
      <c r="AK15" s="3859"/>
      <c r="AL15" s="3859"/>
      <c r="AM15" s="3859"/>
      <c r="AN15" s="2994"/>
      <c r="AO15" s="2990"/>
      <c r="AR15" s="2996" t="s">
        <v>9351</v>
      </c>
      <c r="AT15" s="2996"/>
      <c r="BJ15" s="173"/>
      <c r="BL15" s="81"/>
    </row>
    <row r="16" spans="1:72" ht="12" customHeight="1" thickBot="1" x14ac:dyDescent="0.25">
      <c r="A16" s="45"/>
      <c r="B16" s="131"/>
      <c r="C16" s="3867" t="s">
        <v>1882</v>
      </c>
      <c r="D16" s="3867"/>
      <c r="E16" s="3868">
        <f>R12+R13+R14</f>
        <v>0</v>
      </c>
      <c r="F16" s="3869" t="s">
        <v>1883</v>
      </c>
      <c r="G16" s="3869"/>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70">
        <f t="shared" ref="I16:O16" si="4">AT$9</f>
        <v>0</v>
      </c>
      <c r="J16" s="3874">
        <f t="shared" si="4"/>
        <v>0</v>
      </c>
      <c r="K16" s="3874">
        <f t="shared" si="4"/>
        <v>0</v>
      </c>
      <c r="L16" s="3874">
        <f t="shared" si="4"/>
        <v>0</v>
      </c>
      <c r="M16" s="3874">
        <f t="shared" si="4"/>
        <v>0</v>
      </c>
      <c r="N16" s="3874">
        <f t="shared" si="4"/>
        <v>0</v>
      </c>
      <c r="O16" s="3880">
        <f t="shared" si="4"/>
        <v>0</v>
      </c>
      <c r="P16" s="3869" t="s">
        <v>1884</v>
      </c>
      <c r="Q16" s="3869"/>
      <c r="R16" s="2186" t="str">
        <f>IF(H16=0,"",IF((-H16+Principal!H25)&lt;0,-H16+Principal!H25,""))</f>
        <v/>
      </c>
      <c r="S16" s="2184"/>
      <c r="T16" s="2552"/>
      <c r="U16" s="45"/>
      <c r="V16" s="45"/>
      <c r="W16" s="131"/>
      <c r="X16" s="3849"/>
      <c r="Y16" s="3876"/>
      <c r="Z16" s="3876"/>
      <c r="AA16" s="3876"/>
      <c r="AB16" s="3879"/>
      <c r="AD16" s="3877" t="str">
        <f>IF(PDs!$E45=0,"",PDs!$E45)</f>
        <v/>
      </c>
      <c r="AE16" s="3877"/>
      <c r="AF16" s="3877"/>
      <c r="AG16" s="3877"/>
      <c r="AH16" s="3878" t="str">
        <f>IF(PDs!$AD45=0,"",PDs!$V45&amp;" ")&amp;IF(PDs!$AD45=0,"",IF(PDs!$Y45=0,"",PDs!$Y45))</f>
        <v xml:space="preserve"> </v>
      </c>
      <c r="AI16" s="3878"/>
      <c r="AJ16" s="3878"/>
      <c r="AK16" s="3878"/>
      <c r="AL16" s="3878"/>
      <c r="AM16" s="3878"/>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867"/>
      <c r="D17" s="3867"/>
      <c r="E17" s="3868"/>
      <c r="F17" s="3863" t="s">
        <v>1885</v>
      </c>
      <c r="G17" s="3863"/>
      <c r="H17" s="137">
        <f>IF(C12=0,0,IF(H12+VLOOKUP(C12,Tabla_Armaduras,3,FALSE)&gt;0,0,H12+VLOOKUP(C12,Tabla_Armaduras,3,FALSE)))+IF(C13=0,0,IF(H13+VLOOKUP(C13,Tabla_Armaduras,3,FALSE)&gt;0,0,H13+VLOOKUP(C13,Tabla_Armaduras,3,FALSE)))+IF(C14=0,0,IF(H14+VLOOKUP(C14,Tabla_Armaduras,3,FALSE)&gt;0,0,H14+VLOOKUP(C14,Tabla_Armaduras,3,FALSE)))</f>
        <v>0</v>
      </c>
      <c r="I17" s="3870"/>
      <c r="J17" s="3875"/>
      <c r="K17" s="3875"/>
      <c r="L17" s="3875"/>
      <c r="M17" s="3875"/>
      <c r="N17" s="3875"/>
      <c r="O17" s="3881"/>
      <c r="P17" s="3873" t="s">
        <v>1886</v>
      </c>
      <c r="Q17" s="3873"/>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83" t="s">
        <v>1818</v>
      </c>
      <c r="Y18" s="3183"/>
      <c r="Z18" s="3183"/>
      <c r="AA18" s="3183"/>
      <c r="AB18" s="3183"/>
      <c r="AC18" s="3183"/>
      <c r="AD18" s="3851" t="s">
        <v>1866</v>
      </c>
      <c r="AE18" s="3851"/>
      <c r="AF18" s="3851"/>
      <c r="AG18" s="3851"/>
      <c r="AH18" s="3851"/>
      <c r="AI18" s="3851"/>
      <c r="AJ18" s="3851"/>
      <c r="AK18" s="3851"/>
      <c r="AL18" s="3851"/>
      <c r="AM18" s="3851"/>
      <c r="AN18" s="2994"/>
      <c r="AO18" s="2990"/>
      <c r="AP18" s="2991" t="s">
        <v>10508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83" t="s">
        <v>1887</v>
      </c>
      <c r="D19" s="3183"/>
      <c r="E19" s="3183"/>
      <c r="F19" s="3183"/>
      <c r="G19" s="3183"/>
      <c r="H19" s="64"/>
      <c r="I19" s="3183" t="s">
        <v>1888</v>
      </c>
      <c r="J19" s="3183"/>
      <c r="K19" s="3891" t="str">
        <f>IF(COUNTA(PDs!$E$56:$E$74)&gt;0,"Artes Marciales","Desarmado")</f>
        <v>Desarmado</v>
      </c>
      <c r="L19" s="3891"/>
      <c r="M19" s="3891"/>
      <c r="N19" s="192" t="s">
        <v>1705</v>
      </c>
      <c r="O19" s="232" t="s">
        <v>1889</v>
      </c>
      <c r="P19" s="3892" t="s">
        <v>1890</v>
      </c>
      <c r="Q19" s="3892"/>
      <c r="R19" s="2202" t="s">
        <v>1891</v>
      </c>
      <c r="S19" s="2200" t="s">
        <v>9024</v>
      </c>
      <c r="T19" s="2552"/>
      <c r="U19" s="45"/>
      <c r="V19" s="45"/>
      <c r="W19" s="131"/>
      <c r="X19" s="3839" t="str">
        <f>IF(PDs!$E46="","",PDs!$E46)</f>
        <v/>
      </c>
      <c r="Y19" s="3839"/>
      <c r="Z19" s="3839"/>
      <c r="AA19" s="3839"/>
      <c r="AB19" s="3839"/>
      <c r="AC19" s="3839"/>
      <c r="AD19" s="3840" t="str">
        <f>IF(PDs!$V46=0,"",PDs!$V46)</f>
        <v/>
      </c>
      <c r="AE19" s="3840"/>
      <c r="AF19" s="3840"/>
      <c r="AG19" s="3840"/>
      <c r="AH19" s="3840"/>
      <c r="AI19" s="3840"/>
      <c r="AJ19" s="3840"/>
      <c r="AK19" s="3840"/>
      <c r="AL19" s="3840"/>
      <c r="AM19" s="3840"/>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885" t="s">
        <v>1892</v>
      </c>
      <c r="D20" s="3886"/>
      <c r="E20" s="3887"/>
      <c r="F20" s="3887"/>
      <c r="G20" s="3888"/>
      <c r="H20" s="64"/>
      <c r="I20" s="3889" t="str">
        <f>IF(K19="Artes Marciales","Conocida",VLOOKUP(K19,Tabla_ArmasyEscudos,9,FALSE))</f>
        <v>Conocida</v>
      </c>
      <c r="J20" s="3889"/>
      <c r="K20" s="3890" t="str">
        <f>IF(K19&lt;&gt;"Artes Marciales",IF(OR(COUNTIF(PoderesDeCriatura_Adquiridos,"Armas naturales")&gt;0,Tablas!$P$256&gt;0,Raza="Jayán",Raza="Daimah",Raza="Tuan Dalyr",Nephilim="Nephilim Turak",Raza="Turak"),"Armas Naturales",""),"")</f>
        <v/>
      </c>
      <c r="L20" s="3890"/>
      <c r="M20" s="3890"/>
      <c r="N20" s="3882">
        <f>Turno_Nat_final+Combate!J23</f>
        <v>45</v>
      </c>
      <c r="O20" s="3882">
        <f>IF(K19="Desarmado",MAX(HA_final-IF(I20="Conocida",0,60),0),HA_final-PDs!$X$22+MIN(PDs!$X$22+L23,50)+BonoMaestro_HA)-IF(Tablas!$H$519&lt;0,IF(Arma_Desarrollada="Desarmado",0,30),0)</f>
        <v>0</v>
      </c>
      <c r="P20" s="3883">
        <f>MAX(HP_SinArmas,HE_SinArmas)</f>
        <v>0</v>
      </c>
      <c r="Q20" s="3880" t="str">
        <f>IF(HP_SinArmas&gt;HE_SinArmas,"Par","Esq")</f>
        <v>Esq</v>
      </c>
      <c r="R20" s="3884">
        <f>IF(K19="Desarmado",IF(Raza="Criatura",IF(K20="Armas Naturales",VLOOKUP(Tamaño,Tabla_CreaciónSeres,8),VLOOKUP(Tamaño,Tabla_CreaciónSeres,7)),IF(K20="Armas Naturales",ArmasNaturales_Daño,10)+Bono_Fue),ArtesM_Daño)+R23+Tablas!$K$2341</f>
        <v>10</v>
      </c>
      <c r="S20" s="3844"/>
      <c r="T20" s="2552"/>
      <c r="U20" s="45"/>
      <c r="V20" s="45"/>
      <c r="W20" s="131"/>
      <c r="X20" s="3839" t="str">
        <f>IF(PDs!$E47="","",PDs!$E47)</f>
        <v/>
      </c>
      <c r="Y20" s="3839"/>
      <c r="Z20" s="3839"/>
      <c r="AA20" s="3839"/>
      <c r="AB20" s="3839"/>
      <c r="AC20" s="3839"/>
      <c r="AD20" s="3840" t="str">
        <f>IF(PDs!$V47=0,"",PDs!$V47)</f>
        <v/>
      </c>
      <c r="AE20" s="3840"/>
      <c r="AF20" s="3840"/>
      <c r="AG20" s="3840"/>
      <c r="AH20" s="3840"/>
      <c r="AI20" s="3840"/>
      <c r="AJ20" s="3840"/>
      <c r="AK20" s="3840"/>
      <c r="AL20" s="3840"/>
      <c r="AM20" s="3840"/>
      <c r="AN20" s="2994"/>
      <c r="AO20" s="2990"/>
      <c r="AP20" s="2991" t="s">
        <v>10509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885"/>
      <c r="D21" s="3886"/>
      <c r="E21" s="3887"/>
      <c r="F21" s="3887"/>
      <c r="G21" s="3888"/>
      <c r="H21" s="64"/>
      <c r="I21" s="235" t="s">
        <v>1893</v>
      </c>
      <c r="J21" s="204" t="s">
        <v>1894</v>
      </c>
      <c r="K21" s="204" t="s">
        <v>1874</v>
      </c>
      <c r="L21" s="204" t="s">
        <v>1895</v>
      </c>
      <c r="M21" s="204" t="s">
        <v>1875</v>
      </c>
      <c r="N21" s="3882"/>
      <c r="O21" s="3882"/>
      <c r="P21" s="3883"/>
      <c r="Q21" s="3880"/>
      <c r="R21" s="3884"/>
      <c r="S21" s="3845"/>
      <c r="T21" s="2552"/>
      <c r="U21" s="45"/>
      <c r="V21" s="45"/>
      <c r="W21" s="131"/>
      <c r="X21" s="3839" t="str">
        <f>IF(PDs!$E48="","",PDs!$E48)</f>
        <v/>
      </c>
      <c r="Y21" s="3839"/>
      <c r="Z21" s="3839"/>
      <c r="AA21" s="3839"/>
      <c r="AB21" s="3839"/>
      <c r="AC21" s="3839"/>
      <c r="AD21" s="3840" t="str">
        <f>IF(PDs!$V48=0,"",PDs!$V48)</f>
        <v/>
      </c>
      <c r="AE21" s="3840"/>
      <c r="AF21" s="3840"/>
      <c r="AG21" s="3840"/>
      <c r="AH21" s="3840"/>
      <c r="AI21" s="3840"/>
      <c r="AJ21" s="3840"/>
      <c r="AK21" s="3840"/>
      <c r="AL21" s="3840"/>
      <c r="AM21" s="3840"/>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3"/>
      <c r="O22" s="3893"/>
      <c r="P22" s="3893"/>
      <c r="Q22" s="3893"/>
      <c r="R22" s="3894"/>
      <c r="S22" s="2193"/>
      <c r="T22" s="2552"/>
      <c r="U22" s="45"/>
      <c r="V22" s="45"/>
      <c r="W22" s="131"/>
      <c r="X22" s="3839" t="str">
        <f>IF(PDs!$E49="","",PDs!$E49)</f>
        <v/>
      </c>
      <c r="Y22" s="3839"/>
      <c r="Z22" s="3839"/>
      <c r="AA22" s="3839"/>
      <c r="AB22" s="3839"/>
      <c r="AC22" s="3839"/>
      <c r="AD22" s="3840" t="str">
        <f>IF(PDs!$V49=0,"",PDs!$V49)</f>
        <v/>
      </c>
      <c r="AE22" s="3840"/>
      <c r="AF22" s="3840"/>
      <c r="AG22" s="3840"/>
      <c r="AH22" s="3840"/>
      <c r="AI22" s="3840"/>
      <c r="AJ22" s="3840"/>
      <c r="AK22" s="3840"/>
      <c r="AL22" s="3840"/>
      <c r="AM22" s="3840"/>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96" t="s">
        <v>1896</v>
      </c>
      <c r="J23" s="3897">
        <f>Tablas!$K$896</f>
        <v>0</v>
      </c>
      <c r="K23" s="3895" t="s">
        <v>1897</v>
      </c>
      <c r="L23" s="3897">
        <f>MIN(Tablas!$H$896,50)</f>
        <v>0</v>
      </c>
      <c r="M23" s="3895" t="s">
        <v>1898</v>
      </c>
      <c r="N23" s="3897">
        <f>MIN(Tablas!$J$896,50)</f>
        <v>0</v>
      </c>
      <c r="O23" s="3895" t="s">
        <v>1899</v>
      </c>
      <c r="P23" s="3898">
        <f>MIN(Tablas!$I$896,50)</f>
        <v>0</v>
      </c>
      <c r="Q23" s="3899" t="s">
        <v>1900</v>
      </c>
      <c r="R23" s="3900">
        <f>IF(Extensióndelauraalarma,10,0)+IF(DañoIncrementado,10,0)+IF($K$19="Artes Marciales",Tablas!F896,0)</f>
        <v>0</v>
      </c>
      <c r="S23" s="2201"/>
      <c r="T23" s="2552"/>
      <c r="U23" s="45"/>
      <c r="V23" s="45"/>
      <c r="W23" s="131"/>
      <c r="X23" s="3839" t="str">
        <f>IF(PDs!$E50="","",PDs!$E50)</f>
        <v/>
      </c>
      <c r="Y23" s="3839"/>
      <c r="Z23" s="3839"/>
      <c r="AA23" s="3839"/>
      <c r="AB23" s="3839"/>
      <c r="AC23" s="3839"/>
      <c r="AD23" s="3840" t="str">
        <f>IF(PDs!$V50=0,"",PDs!$V50)</f>
        <v/>
      </c>
      <c r="AE23" s="3840"/>
      <c r="AF23" s="3840"/>
      <c r="AG23" s="3840"/>
      <c r="AH23" s="3840"/>
      <c r="AI23" s="3840"/>
      <c r="AJ23" s="3840"/>
      <c r="AK23" s="3840"/>
      <c r="AL23" s="3840"/>
      <c r="AM23" s="3840"/>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96"/>
      <c r="J24" s="3897"/>
      <c r="K24" s="3895"/>
      <c r="L24" s="3897"/>
      <c r="M24" s="3895"/>
      <c r="N24" s="3897"/>
      <c r="O24" s="3895"/>
      <c r="P24" s="3898"/>
      <c r="Q24" s="3899"/>
      <c r="R24" s="3900"/>
      <c r="S24" s="2194"/>
      <c r="T24" s="2552"/>
      <c r="U24" s="45"/>
      <c r="V24" s="45"/>
      <c r="W24" s="131"/>
      <c r="X24" s="3839" t="str">
        <f>IF(PDs!$E51="","",PDs!$E51)</f>
        <v/>
      </c>
      <c r="Y24" s="3839"/>
      <c r="Z24" s="3839"/>
      <c r="AA24" s="3839"/>
      <c r="AB24" s="3839"/>
      <c r="AC24" s="3839"/>
      <c r="AD24" s="3840" t="str">
        <f>IF(PDs!$V51=0,"",PDs!$V51)</f>
        <v/>
      </c>
      <c r="AE24" s="3840"/>
      <c r="AF24" s="3840"/>
      <c r="AG24" s="3840"/>
      <c r="AH24" s="3840"/>
      <c r="AI24" s="3840"/>
      <c r="AJ24" s="3840"/>
      <c r="AK24" s="3840"/>
      <c r="AL24" s="3840"/>
      <c r="AM24" s="3840"/>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839" t="str">
        <f>IF(PDs!$E52="","",PDs!$E52)</f>
        <v/>
      </c>
      <c r="Y25" s="3839"/>
      <c r="Z25" s="3839"/>
      <c r="AA25" s="3839"/>
      <c r="AB25" s="3839"/>
      <c r="AC25" s="3839"/>
      <c r="AD25" s="3840" t="str">
        <f>IF(PDs!$V52=0,"",PDs!$V52)</f>
        <v/>
      </c>
      <c r="AE25" s="3840"/>
      <c r="AF25" s="3840"/>
      <c r="AG25" s="3840"/>
      <c r="AH25" s="3840"/>
      <c r="AI25" s="3840"/>
      <c r="AJ25" s="3840"/>
      <c r="AK25" s="3840"/>
      <c r="AL25" s="3840"/>
      <c r="AM25" s="3840"/>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3" t="s">
        <v>1728</v>
      </c>
      <c r="J26" s="3911"/>
      <c r="K26" s="3912"/>
      <c r="L26" s="3913"/>
      <c r="M26" s="3914"/>
      <c r="N26" s="1367" t="s">
        <v>1705</v>
      </c>
      <c r="O26" s="2754" t="s">
        <v>1889</v>
      </c>
      <c r="P26" s="3915" t="s">
        <v>1890</v>
      </c>
      <c r="Q26" s="3915"/>
      <c r="R26" s="2209" t="s">
        <v>1891</v>
      </c>
      <c r="S26" s="2192" t="s">
        <v>9024</v>
      </c>
      <c r="T26" s="2552"/>
      <c r="U26" s="45"/>
      <c r="V26" s="45"/>
      <c r="W26" s="131"/>
      <c r="X26" s="3839" t="str">
        <f>IF(PDs!$E53="","",PDs!$E53)</f>
        <v/>
      </c>
      <c r="Y26" s="3839"/>
      <c r="Z26" s="3839"/>
      <c r="AA26" s="3839"/>
      <c r="AB26" s="3839"/>
      <c r="AC26" s="3839"/>
      <c r="AD26" s="3840" t="str">
        <f>IF(PDs!$V53=0,"",PDs!$V53)</f>
        <v/>
      </c>
      <c r="AE26" s="3840"/>
      <c r="AF26" s="3840"/>
      <c r="AG26" s="3840"/>
      <c r="AH26" s="3840"/>
      <c r="AI26" s="3840"/>
      <c r="AJ26" s="3840"/>
      <c r="AK26" s="3840"/>
      <c r="AL26" s="3840"/>
      <c r="AM26" s="3840"/>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06" t="str">
        <f>IF(K26=0,"",VLOOKUP(K26,Tabla_ArmasyEscudos,9,FALSE))</f>
        <v/>
      </c>
      <c r="J27" s="3907"/>
      <c r="K27" s="2743" t="s">
        <v>1901</v>
      </c>
      <c r="L27" s="3908"/>
      <c r="M27" s="3908"/>
      <c r="N27" s="3909">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2">
        <f>IF(K26=0,HA_final,HA_final+VLOOKUP(I27,Tabla_ArmaDistinta,2)+O29-MIN(0,10*(FUE-VLOOKUP(K26,Tabla_ArmasyEscudos,4,FALSE)-IF(L27=0,0,VLOOKUP(L27,Tabla_ArmasEnormes,4,FALSE))))-IF(Tablas!$H$519&lt;0,IF(K26=Arma_Desarrollada,0,30),0))+SUMPRODUCT(--ISNUMBER(SEARCH(K26,ArmasAM)),ArmasAM_HA)</f>
        <v>0</v>
      </c>
      <c r="P27" s="3910">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269"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84">
        <f>IF(K26=0,0,VLOOKUP(K26,Tabla_ArmasyEscudos,2,FALSE)*IF(L27=0,1,VLOOKUP(L27,Tabla_ArmasEnormes,5,FALSE))+Bono_Fue+2*O29+IF(DañoIncrementado,10,0)+IF(Extensióndelauraalarma,10,0)+Tablas!$K$2341)</f>
        <v>0</v>
      </c>
      <c r="S27" s="3844"/>
      <c r="T27" s="2552"/>
      <c r="U27" s="45"/>
      <c r="V27" s="45"/>
      <c r="W27" s="131"/>
      <c r="X27" s="3839" t="str">
        <f>IF(PDs!$E54="","",PDs!$E54)</f>
        <v/>
      </c>
      <c r="Y27" s="3839"/>
      <c r="Z27" s="3839"/>
      <c r="AA27" s="3839"/>
      <c r="AB27" s="3839"/>
      <c r="AC27" s="3839"/>
      <c r="AD27" s="3840" t="str">
        <f>IF(PDs!$V54=0,"",PDs!$V54)</f>
        <v/>
      </c>
      <c r="AE27" s="3840"/>
      <c r="AF27" s="3840"/>
      <c r="AG27" s="3840"/>
      <c r="AH27" s="3840"/>
      <c r="AI27" s="3840"/>
      <c r="AJ27" s="3840"/>
      <c r="AK27" s="3840"/>
      <c r="AL27" s="3840"/>
      <c r="AM27" s="3840"/>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269"/>
      <c r="O28" s="3882"/>
      <c r="P28" s="3910"/>
      <c r="Q28" s="3269"/>
      <c r="R28" s="3884"/>
      <c r="S28" s="3845"/>
      <c r="T28" s="2552"/>
      <c r="U28" s="45"/>
      <c r="V28" s="45"/>
      <c r="W28" s="131"/>
      <c r="X28" s="3841" t="str">
        <f>IF(PDs!$E55="","",PDs!$E55)</f>
        <v/>
      </c>
      <c r="Y28" s="3841"/>
      <c r="Z28" s="3841"/>
      <c r="AA28" s="3841"/>
      <c r="AB28" s="3841"/>
      <c r="AC28" s="3841"/>
      <c r="AD28" s="3842" t="str">
        <f>IF(PDs!$V55=0,"",PDs!$V55)</f>
        <v/>
      </c>
      <c r="AE28" s="3842"/>
      <c r="AF28" s="3842"/>
      <c r="AG28" s="3842"/>
      <c r="AH28" s="3842"/>
      <c r="AI28" s="3842"/>
      <c r="AJ28" s="3842"/>
      <c r="AK28" s="3842"/>
      <c r="AL28" s="3842"/>
      <c r="AM28" s="3842"/>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901" t="str">
        <f>IF(L27=0,IF(O29=0,"","TA defensor:"),IF(Tamaño&lt;VLOOKUP(L27,Tabla_ArmasEnormes,2,FALSE),"Tam. excesivo",IF(O29=0,"","TA defensor:")))</f>
        <v/>
      </c>
      <c r="Q29" s="3901"/>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2" t="str">
        <f>IF(K26=0,"",VLOOKUP(K26,Tabla_ArmasyEscudos,19,FALSE))</f>
        <v/>
      </c>
      <c r="J30" s="3903"/>
      <c r="K30" s="3903"/>
      <c r="L30" s="3903"/>
      <c r="M30" s="3903"/>
      <c r="N30" s="3904"/>
      <c r="O30" s="3904"/>
      <c r="P30" s="3904"/>
      <c r="Q30" s="3904"/>
      <c r="R30" s="3905"/>
      <c r="S30" s="2768"/>
      <c r="T30" s="2552"/>
      <c r="U30" s="45"/>
      <c r="V30" s="45"/>
      <c r="W30" s="131"/>
      <c r="X30" s="3183" t="s">
        <v>1819</v>
      </c>
      <c r="Y30" s="3183"/>
      <c r="Z30" s="3183"/>
      <c r="AA30" s="3183"/>
      <c r="AB30" s="3183"/>
      <c r="AC30" s="3183"/>
      <c r="AD30" s="3200" t="s">
        <v>1866</v>
      </c>
      <c r="AE30" s="3200"/>
      <c r="AF30" s="3200"/>
      <c r="AG30" s="3200"/>
      <c r="AH30" s="3200"/>
      <c r="AI30" s="3200"/>
      <c r="AJ30" s="3200"/>
      <c r="AK30" s="3200"/>
      <c r="AL30" s="3200"/>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16" t="s">
        <v>1904</v>
      </c>
      <c r="J31" s="3183"/>
      <c r="K31" s="3917"/>
      <c r="L31" s="3918"/>
      <c r="M31" s="3919"/>
      <c r="N31" s="2753" t="s">
        <v>1705</v>
      </c>
      <c r="O31" s="2753" t="s">
        <v>1889</v>
      </c>
      <c r="P31" s="3892" t="s">
        <v>1890</v>
      </c>
      <c r="Q31" s="3892"/>
      <c r="R31" s="2202" t="s">
        <v>1891</v>
      </c>
      <c r="S31" s="2196" t="s">
        <v>9024</v>
      </c>
      <c r="T31" s="2552"/>
      <c r="U31" s="45"/>
      <c r="V31" s="45"/>
      <c r="W31" s="131"/>
      <c r="X31" s="3858" t="str">
        <f>IF(PDs!$AD56=0,"",PDs!$AD56)</f>
        <v/>
      </c>
      <c r="Y31" s="3858"/>
      <c r="Z31" s="3858"/>
      <c r="AA31" s="3858"/>
      <c r="AB31" s="3858"/>
      <c r="AC31" s="3858"/>
      <c r="AD31" s="3843" t="str">
        <f>IF(PDs!$V56=0,"",PDs!$V56)</f>
        <v/>
      </c>
      <c r="AE31" s="3843"/>
      <c r="AF31" s="3843"/>
      <c r="AG31" s="3843"/>
      <c r="AH31" s="3843"/>
      <c r="AI31" s="3843"/>
      <c r="AJ31" s="3843"/>
      <c r="AK31" s="3843"/>
      <c r="AL31" s="3843"/>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3" t="str">
        <f>IF(K31=0,"",VLOOKUP(K31,Tabla_ArmasyEscudos,9,FALSE))</f>
        <v/>
      </c>
      <c r="J32" s="3924"/>
      <c r="K32" s="1481" t="s">
        <v>1901</v>
      </c>
      <c r="L32" s="3925"/>
      <c r="M32" s="3925"/>
      <c r="N32" s="3882" t="s">
        <v>1905</v>
      </c>
      <c r="O32" s="3882">
        <f>IF(K31=0,HA_final,HA_final+VLOOKUP(I32,Tabla_ArmaDistinta,2)+O34-MIN(0,10*(FUE-VLOOKUP(K31,Tabla_ArmasyEscudos,4,FALSE)-IF(L32=0,0,VLOOKUP(L32,Tabla_ArmasEnormes,4,FALSE))))-IF(Tablas!$H$519&lt;0,IF(K31=Arma_Desarrollada,0,30),0))+SUMPRODUCT(--ISNUMBER(SEARCH(K31,ArmasAM)),ArmasAM_HA)</f>
        <v>0</v>
      </c>
      <c r="P32" s="3910">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269"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84">
        <f>IF(K31=0,0,VLOOKUP(K31,Tabla_ArmasyEscudos,2,FALSE)*IF(L32=0,1,VLOOKUP(L32,Tabla_ArmasEnormes,5,FALSE))+Bono_Fue+2*O34+IF(DañoIncrementado,10,0)+IF(Extensióndelauraalarma,10,0)+Tablas!$K$2341)</f>
        <v>0</v>
      </c>
      <c r="S32" s="3844"/>
      <c r="T32" s="2552"/>
      <c r="U32" s="45"/>
      <c r="V32" s="45"/>
      <c r="W32" s="131"/>
      <c r="X32" s="3858" t="str">
        <f>IF(PDs!$AD57=0,"",PDs!$AD57)</f>
        <v/>
      </c>
      <c r="Y32" s="3858"/>
      <c r="Z32" s="3858"/>
      <c r="AA32" s="3858"/>
      <c r="AB32" s="3858"/>
      <c r="AC32" s="3858"/>
      <c r="AD32" s="3371" t="str">
        <f>IF(PDs!$V57=0,"",PDs!$V57)</f>
        <v/>
      </c>
      <c r="AE32" s="3371"/>
      <c r="AF32" s="3371"/>
      <c r="AG32" s="3371"/>
      <c r="AH32" s="3371"/>
      <c r="AI32" s="3371"/>
      <c r="AJ32" s="3371"/>
      <c r="AK32" s="3371"/>
      <c r="AL32" s="3371"/>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82"/>
      <c r="O33" s="3882"/>
      <c r="P33" s="3910"/>
      <c r="Q33" s="3269"/>
      <c r="R33" s="3884"/>
      <c r="S33" s="3845"/>
      <c r="T33" s="2552"/>
      <c r="U33" s="45"/>
      <c r="V33" s="45"/>
      <c r="W33" s="131"/>
      <c r="X33" s="3858" t="str">
        <f>IF(PDs!$AD58=0,"",PDs!$AD58)</f>
        <v/>
      </c>
      <c r="Y33" s="3858"/>
      <c r="Z33" s="3858"/>
      <c r="AA33" s="3858"/>
      <c r="AB33" s="3858"/>
      <c r="AC33" s="3858"/>
      <c r="AD33" s="3371" t="str">
        <f>IF(PDs!$V58=0,"",PDs!$V58)</f>
        <v/>
      </c>
      <c r="AE33" s="3371"/>
      <c r="AF33" s="3371"/>
      <c r="AG33" s="3371"/>
      <c r="AH33" s="3371"/>
      <c r="AI33" s="3371"/>
      <c r="AJ33" s="3371"/>
      <c r="AK33" s="3371"/>
      <c r="AL33" s="3371"/>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901" t="str">
        <f>IF(L32=0,IF(O34=0,"","TA defensor:"),IF(Tamaño&lt;VLOOKUP(L32,Tabla_ArmasEnormes,2,FALSE),"Tam. excesivo",IF(O34=0,"","TA defensor:")))</f>
        <v/>
      </c>
      <c r="Q34" s="3901"/>
      <c r="R34" s="2204" t="str">
        <f>IF(P34="TA defensor:",O34/(-5),"")</f>
        <v/>
      </c>
      <c r="S34" s="2213"/>
      <c r="T34" s="2552"/>
      <c r="U34" s="45"/>
      <c r="V34" s="45"/>
      <c r="W34" s="131"/>
      <c r="X34" s="3858" t="str">
        <f>IF(PDs!$AD59=0,"",PDs!$AD59)</f>
        <v/>
      </c>
      <c r="Y34" s="3858"/>
      <c r="Z34" s="3858"/>
      <c r="AA34" s="3858"/>
      <c r="AB34" s="3858"/>
      <c r="AC34" s="3858"/>
      <c r="AD34" s="3371" t="str">
        <f>IF(PDs!$V59=0,"",PDs!$V59)</f>
        <v/>
      </c>
      <c r="AE34" s="3371"/>
      <c r="AF34" s="3371"/>
      <c r="AG34" s="3371"/>
      <c r="AH34" s="3371"/>
      <c r="AI34" s="3371"/>
      <c r="AJ34" s="3371"/>
      <c r="AK34" s="3371"/>
      <c r="AL34" s="3371"/>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20" t="str">
        <f>IF(K31=0,"",VLOOKUP(K31,Tabla_ArmasyEscudos,19,FALSE))</f>
        <v/>
      </c>
      <c r="J35" s="3921"/>
      <c r="K35" s="3921"/>
      <c r="L35" s="3921"/>
      <c r="M35" s="3921"/>
      <c r="N35" s="3921"/>
      <c r="O35" s="3921"/>
      <c r="P35" s="3921"/>
      <c r="Q35" s="3921"/>
      <c r="R35" s="3922"/>
      <c r="S35" s="2768"/>
      <c r="T35" s="2552"/>
      <c r="U35" s="45"/>
      <c r="V35" s="45"/>
      <c r="W35" s="131"/>
      <c r="X35" s="3858" t="str">
        <f>IF(PDs!$AD60=0,"",PDs!$AD60)</f>
        <v/>
      </c>
      <c r="Y35" s="3858"/>
      <c r="Z35" s="3858"/>
      <c r="AA35" s="3858"/>
      <c r="AB35" s="3858"/>
      <c r="AC35" s="3858"/>
      <c r="AD35" s="3371" t="str">
        <f>IF(PDs!$V60=0,"",PDs!$V60)</f>
        <v/>
      </c>
      <c r="AE35" s="3371"/>
      <c r="AF35" s="3371"/>
      <c r="AG35" s="3371"/>
      <c r="AH35" s="3371"/>
      <c r="AI35" s="3371"/>
      <c r="AJ35" s="3371"/>
      <c r="AK35" s="3371"/>
      <c r="AL35" s="3371"/>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58" t="str">
        <f>IF(PDs!$AD61=0,"",PDs!$AD61)</f>
        <v/>
      </c>
      <c r="Y36" s="3858"/>
      <c r="Z36" s="3858"/>
      <c r="AA36" s="3858"/>
      <c r="AB36" s="3858"/>
      <c r="AC36" s="3858"/>
      <c r="AD36" s="3371" t="str">
        <f>IF(PDs!$V61=0,"",PDs!$V61)</f>
        <v/>
      </c>
      <c r="AE36" s="3371"/>
      <c r="AF36" s="3371"/>
      <c r="AG36" s="3371"/>
      <c r="AH36" s="3371"/>
      <c r="AI36" s="3371"/>
      <c r="AJ36" s="3371"/>
      <c r="AK36" s="3371"/>
      <c r="AL36" s="3371"/>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3" t="s">
        <v>1728</v>
      </c>
      <c r="J37" s="3274"/>
      <c r="K37" s="3912"/>
      <c r="L37" s="3913"/>
      <c r="M37" s="3914"/>
      <c r="N37" s="2754" t="s">
        <v>1705</v>
      </c>
      <c r="O37" s="2754" t="s">
        <v>1889</v>
      </c>
      <c r="P37" s="3915" t="s">
        <v>1890</v>
      </c>
      <c r="Q37" s="3915"/>
      <c r="R37" s="2209" t="s">
        <v>1891</v>
      </c>
      <c r="S37" s="2192" t="s">
        <v>9024</v>
      </c>
      <c r="T37" s="2552"/>
      <c r="U37" s="45"/>
      <c r="V37" s="45"/>
      <c r="W37" s="131"/>
      <c r="X37" s="3846" t="str">
        <f>IF(PDs!$AD62=0,"",PDs!$AD62)</f>
        <v/>
      </c>
      <c r="Y37" s="3846"/>
      <c r="Z37" s="3846"/>
      <c r="AA37" s="3846"/>
      <c r="AB37" s="3846"/>
      <c r="AC37" s="3846"/>
      <c r="AD37" s="3371" t="str">
        <f>IF(PDs!$V62=0,"",PDs!$V62)</f>
        <v/>
      </c>
      <c r="AE37" s="3371"/>
      <c r="AF37" s="3371"/>
      <c r="AG37" s="3371"/>
      <c r="AH37" s="3371"/>
      <c r="AI37" s="3371"/>
      <c r="AJ37" s="3371"/>
      <c r="AK37" s="3371"/>
      <c r="AL37" s="3371"/>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06" t="str">
        <f>IF(K37=0,"",VLOOKUP(K37,Tabla_ArmasyEscudos,9,FALSE))</f>
        <v/>
      </c>
      <c r="J38" s="3907"/>
      <c r="K38" s="2743" t="s">
        <v>1901</v>
      </c>
      <c r="L38" s="3928"/>
      <c r="M38" s="3928"/>
      <c r="N38" s="3909">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2">
        <f>IF(K37=0,HA_final,HA_final+VLOOKUP(I38,Tabla_ArmaDistinta,2)+O40-MIN(0,10*(FUE-VLOOKUP(K37,Tabla_ArmasyEscudos,4,FALSE)-IF(L38=0,0,VLOOKUP(L38,Tabla_ArmasEnormes,4,FALSE))))-IF(Tablas!$H$519&lt;0,IF(K37=Arma_Desarrollada,0,30),0))+SUMPRODUCT(--ISNUMBER(SEARCH(K37,ArmasAM)),ArmasAM_HA)</f>
        <v>0</v>
      </c>
      <c r="P38" s="3910">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269"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84">
        <f>IF(K37=0,0,VLOOKUP(K37,Tabla_ArmasyEscudos,2,FALSE)*IF(L38=0,1,VLOOKUP(L38,Tabla_ArmasEnormes,5,FALSE))+Bono_Fue+2*O40+IF(DañoIncrementado,10,0)+IF(Extensióndelauraalarma,10,0)+Tablas!$K$2341)</f>
        <v>0</v>
      </c>
      <c r="S38" s="3844"/>
      <c r="T38" s="2552"/>
      <c r="U38" s="45"/>
      <c r="V38" s="45"/>
      <c r="W38" s="131"/>
      <c r="X38" s="3846" t="str">
        <f>IF(PDs!$AD63=0,"",PDs!$AD63)</f>
        <v/>
      </c>
      <c r="Y38" s="3846"/>
      <c r="Z38" s="3846"/>
      <c r="AA38" s="3846"/>
      <c r="AB38" s="3846"/>
      <c r="AC38" s="3846"/>
      <c r="AD38" s="3369" t="str">
        <f>IF(PDs!$V63=0,"",PDs!$V63)</f>
        <v/>
      </c>
      <c r="AE38" s="3369"/>
      <c r="AF38" s="3369"/>
      <c r="AG38" s="3369"/>
      <c r="AH38" s="3369"/>
      <c r="AI38" s="3369"/>
      <c r="AJ38" s="3369"/>
      <c r="AK38" s="3369"/>
      <c r="AL38" s="3369"/>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269"/>
      <c r="O39" s="3882"/>
      <c r="P39" s="3910"/>
      <c r="Q39" s="3269"/>
      <c r="R39" s="3884"/>
      <c r="S39" s="3845"/>
      <c r="T39" s="2552"/>
      <c r="U39" s="45"/>
      <c r="V39" s="45"/>
      <c r="W39" s="131"/>
      <c r="X39" s="3846" t="str">
        <f>IF(PDs!$AD64=0,"",PDs!$AD64)</f>
        <v/>
      </c>
      <c r="Y39" s="3846"/>
      <c r="Z39" s="3846"/>
      <c r="AA39" s="3846"/>
      <c r="AB39" s="3846"/>
      <c r="AC39" s="3846"/>
      <c r="AD39" s="3371" t="str">
        <f>IF(PDs!$V64=0,"",PDs!$V64)</f>
        <v/>
      </c>
      <c r="AE39" s="3371"/>
      <c r="AF39" s="3371"/>
      <c r="AG39" s="3371"/>
      <c r="AH39" s="3371"/>
      <c r="AI39" s="3371"/>
      <c r="AJ39" s="3371"/>
      <c r="AK39" s="3371"/>
      <c r="AL39" s="3371"/>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901" t="str">
        <f>IF(L38=0,IF(O40=0,"","TA defensor:"),IF(Tamaño&lt;VLOOKUP(L38,Tabla_ArmasEnormes,2,FALSE),"Tam. excesivo",IF(O40=0,"","TA defensor:")))</f>
        <v/>
      </c>
      <c r="Q40" s="3901"/>
      <c r="R40" s="2204" t="str">
        <f>IF(P40="TA defensor:",O40/(-5),"")</f>
        <v/>
      </c>
      <c r="S40" s="2213"/>
      <c r="T40" s="2552"/>
      <c r="U40" s="45"/>
      <c r="V40" s="45"/>
      <c r="W40" s="131"/>
      <c r="X40" s="3846" t="str">
        <f>IF(PDs!$AD65=0,"",PDs!$AD65)</f>
        <v/>
      </c>
      <c r="Y40" s="3846"/>
      <c r="Z40" s="3846"/>
      <c r="AA40" s="3846"/>
      <c r="AB40" s="3846"/>
      <c r="AC40" s="3846"/>
      <c r="AD40" s="3347" t="str">
        <f>IF(PDs!$V65=0,"",PDs!$V65)</f>
        <v/>
      </c>
      <c r="AE40" s="3347"/>
      <c r="AF40" s="3347"/>
      <c r="AG40" s="3347"/>
      <c r="AH40" s="3347"/>
      <c r="AI40" s="3347"/>
      <c r="AJ40" s="3347"/>
      <c r="AK40" s="3347"/>
      <c r="AL40" s="3347"/>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2" t="str">
        <f>IF(K37=0,"",VLOOKUP(K37,Tabla_ArmasyEscudos,19,FALSE))</f>
        <v/>
      </c>
      <c r="J41" s="3903"/>
      <c r="K41" s="3903"/>
      <c r="L41" s="3903"/>
      <c r="M41" s="3903"/>
      <c r="N41" s="3904"/>
      <c r="O41" s="3904"/>
      <c r="P41" s="3904"/>
      <c r="Q41" s="3904"/>
      <c r="R41" s="3905"/>
      <c r="S41" s="2768"/>
      <c r="T41" s="2552"/>
      <c r="U41" s="45"/>
      <c r="V41" s="45"/>
      <c r="W41" s="131"/>
      <c r="X41" s="3846" t="str">
        <f>IF(PDs!$AD66=0,"",PDs!$AD66)</f>
        <v/>
      </c>
      <c r="Y41" s="3846"/>
      <c r="Z41" s="3846"/>
      <c r="AA41" s="3846"/>
      <c r="AB41" s="3846"/>
      <c r="AC41" s="3846"/>
      <c r="AD41" s="3347" t="str">
        <f>IF(PDs!$V66=0,"",PDs!$V66)</f>
        <v/>
      </c>
      <c r="AE41" s="3347"/>
      <c r="AF41" s="3347"/>
      <c r="AG41" s="3347"/>
      <c r="AH41" s="3347"/>
      <c r="AI41" s="3347"/>
      <c r="AJ41" s="3347"/>
      <c r="AK41" s="3347"/>
      <c r="AL41" s="3347"/>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16" t="s">
        <v>1904</v>
      </c>
      <c r="J42" s="3183"/>
      <c r="K42" s="3917"/>
      <c r="L42" s="3926"/>
      <c r="M42" s="3927"/>
      <c r="N42" s="2753" t="s">
        <v>1705</v>
      </c>
      <c r="O42" s="2753" t="s">
        <v>1889</v>
      </c>
      <c r="P42" s="3892" t="s">
        <v>1890</v>
      </c>
      <c r="Q42" s="3892"/>
      <c r="R42" s="2202" t="s">
        <v>1891</v>
      </c>
      <c r="S42" s="2205" t="s">
        <v>9024</v>
      </c>
      <c r="T42" s="2552"/>
      <c r="U42" s="45"/>
      <c r="V42" s="45"/>
      <c r="W42" s="131"/>
      <c r="X42" s="3846" t="str">
        <f>IF(PDs!$AD67=0,"",PDs!$AD67)</f>
        <v/>
      </c>
      <c r="Y42" s="3846"/>
      <c r="Z42" s="3846"/>
      <c r="AA42" s="3846"/>
      <c r="AB42" s="3846"/>
      <c r="AC42" s="3846"/>
      <c r="AD42" s="3347" t="str">
        <f>IF(PDs!$V67=0,"",PDs!$V67)</f>
        <v/>
      </c>
      <c r="AE42" s="3347"/>
      <c r="AF42" s="3347"/>
      <c r="AG42" s="3347"/>
      <c r="AH42" s="3347"/>
      <c r="AI42" s="3347"/>
      <c r="AJ42" s="3347"/>
      <c r="AK42" s="3347"/>
      <c r="AL42" s="3347"/>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3" t="str">
        <f>IF(K42=0,"",VLOOKUP(K42,Tabla_ArmasyEscudos,9,FALSE))</f>
        <v/>
      </c>
      <c r="J43" s="3924"/>
      <c r="K43" s="1481" t="s">
        <v>1901</v>
      </c>
      <c r="L43" s="3929"/>
      <c r="M43" s="3930"/>
      <c r="N43" s="3269" t="s">
        <v>1905</v>
      </c>
      <c r="O43" s="3882">
        <f>IF(K42=0,HA_final,HA_final+VLOOKUP(I43,Tabla_ArmaDistinta,2)+O45-MIN(0,10*(FUE-VLOOKUP(K42,Tabla_ArmasyEscudos,4,FALSE)-IF(L43=0,0,VLOOKUP(L43,Tabla_ArmasEnormes,4,FALSE))))-IF(Tablas!$H$519&lt;0,IF(K42=Arma_Desarrollada,0,30),0))+SUMPRODUCT(--ISNUMBER(SEARCH(K42,ArmasAM)),ArmasAM_HA)</f>
        <v>0</v>
      </c>
      <c r="P43" s="3910">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269"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84">
        <f>IF(K42=0,0,VLOOKUP(K42,Tabla_ArmasyEscudos,2,FALSE)*IF(L43=0,1,VLOOKUP(L43,Tabla_ArmasEnormes,5,FALSE))+Bono_Fue+2*O45+IF(DañoIncrementado,10,0)+IF(Extensióndelauraalarma,10,0)+Tablas!$K$2341)</f>
        <v>0</v>
      </c>
      <c r="S43" s="3844"/>
      <c r="T43" s="2552"/>
      <c r="U43" s="45"/>
      <c r="V43" s="45"/>
      <c r="W43" s="131"/>
      <c r="X43" s="3846" t="str">
        <f>IF(PDs!$AD68=0,"",PDs!$AD68)</f>
        <v/>
      </c>
      <c r="Y43" s="3846"/>
      <c r="Z43" s="3846"/>
      <c r="AA43" s="3846"/>
      <c r="AB43" s="3846"/>
      <c r="AC43" s="3846"/>
      <c r="AD43" s="3347" t="str">
        <f>IF(PDs!$V68=0,"",PDs!$V68)</f>
        <v/>
      </c>
      <c r="AE43" s="3347"/>
      <c r="AF43" s="3347"/>
      <c r="AG43" s="3347"/>
      <c r="AH43" s="3347"/>
      <c r="AI43" s="3347"/>
      <c r="AJ43" s="3347"/>
      <c r="AK43" s="3347"/>
      <c r="AL43" s="3347"/>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82"/>
      <c r="O44" s="3882"/>
      <c r="P44" s="3910"/>
      <c r="Q44" s="3269"/>
      <c r="R44" s="3884"/>
      <c r="S44" s="3845"/>
      <c r="T44" s="2552"/>
      <c r="U44" s="45"/>
      <c r="V44" s="45"/>
      <c r="W44" s="131"/>
      <c r="X44" s="3846" t="str">
        <f>IF(PDs!$AD69=0,"",PDs!$AD69)</f>
        <v/>
      </c>
      <c r="Y44" s="3846"/>
      <c r="Z44" s="3846"/>
      <c r="AA44" s="3846"/>
      <c r="AB44" s="3846"/>
      <c r="AC44" s="3846"/>
      <c r="AD44" s="3347" t="str">
        <f>IF(PDs!$V69=0,"",PDs!$V69)</f>
        <v/>
      </c>
      <c r="AE44" s="3347"/>
      <c r="AF44" s="3347"/>
      <c r="AG44" s="3347"/>
      <c r="AH44" s="3347"/>
      <c r="AI44" s="3347"/>
      <c r="AJ44" s="3347"/>
      <c r="AK44" s="3347"/>
      <c r="AL44" s="3347"/>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901" t="str">
        <f>IF(L43=0,IF(O45=0,"","TA defensor:"),IF(Tamaño&lt;VLOOKUP(L43,Tabla_ArmasEnormes,2,FALSE),"Tam. excesivo",IF(O45=0,"","TA defensor:")))</f>
        <v/>
      </c>
      <c r="Q45" s="3901"/>
      <c r="R45" s="2204" t="str">
        <f>IF(P45="TA defensor:",O45/(-5),"")</f>
        <v/>
      </c>
      <c r="S45" s="2211"/>
      <c r="T45" s="2552"/>
      <c r="U45" s="45"/>
      <c r="V45" s="45"/>
      <c r="W45" s="131"/>
      <c r="X45" s="3846" t="str">
        <f>IF(PDs!$AD70=0,"",PDs!$AD70)</f>
        <v/>
      </c>
      <c r="Y45" s="3846"/>
      <c r="Z45" s="3846"/>
      <c r="AA45" s="3846"/>
      <c r="AB45" s="3846"/>
      <c r="AC45" s="3846"/>
      <c r="AD45" s="3347" t="str">
        <f>IF(PDs!$V70=0,"",PDs!$V70)</f>
        <v/>
      </c>
      <c r="AE45" s="3347"/>
      <c r="AF45" s="3347"/>
      <c r="AG45" s="3347"/>
      <c r="AH45" s="3347"/>
      <c r="AI45" s="3347"/>
      <c r="AJ45" s="3347"/>
      <c r="AK45" s="3347"/>
      <c r="AL45" s="3347"/>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20" t="str">
        <f>IF(K42=0,"",VLOOKUP(K42,Tabla_ArmasyEscudos,19,FALSE))</f>
        <v/>
      </c>
      <c r="J46" s="3921"/>
      <c r="K46" s="3921"/>
      <c r="L46" s="3921"/>
      <c r="M46" s="3921"/>
      <c r="N46" s="3921"/>
      <c r="O46" s="3921"/>
      <c r="P46" s="3921"/>
      <c r="Q46" s="3921"/>
      <c r="R46" s="3922"/>
      <c r="S46" s="2768"/>
      <c r="T46" s="2552"/>
      <c r="U46" s="45"/>
      <c r="V46" s="45"/>
      <c r="W46" s="131"/>
      <c r="X46" s="3846" t="str">
        <f>IF(PDs!$AD71=0,"",PDs!$AD71)</f>
        <v/>
      </c>
      <c r="Y46" s="3846"/>
      <c r="Z46" s="3846"/>
      <c r="AA46" s="3846"/>
      <c r="AB46" s="3846"/>
      <c r="AC46" s="3846"/>
      <c r="AD46" s="3371" t="str">
        <f>IF(PDs!$V71=0,"",PDs!$V71)</f>
        <v/>
      </c>
      <c r="AE46" s="3371"/>
      <c r="AF46" s="3371"/>
      <c r="AG46" s="3371"/>
      <c r="AH46" s="3371"/>
      <c r="AI46" s="3371"/>
      <c r="AJ46" s="3371"/>
      <c r="AK46" s="3371"/>
      <c r="AL46" s="3371"/>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46" t="str">
        <f>IF(PDs!$AD72=0,"",PDs!$AD72)</f>
        <v/>
      </c>
      <c r="Y47" s="3846"/>
      <c r="Z47" s="3846"/>
      <c r="AA47" s="3846"/>
      <c r="AB47" s="3846"/>
      <c r="AC47" s="3846"/>
      <c r="AD47" s="3371" t="str">
        <f>IF(PDs!$V72=0,"",PDs!$V72)</f>
        <v/>
      </c>
      <c r="AE47" s="3371"/>
      <c r="AF47" s="3371"/>
      <c r="AG47" s="3371"/>
      <c r="AH47" s="3371"/>
      <c r="AI47" s="3371"/>
      <c r="AJ47" s="3371"/>
      <c r="AK47" s="3371"/>
      <c r="AL47" s="3371"/>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3" t="s">
        <v>1906</v>
      </c>
      <c r="J48" s="3183"/>
      <c r="K48" s="3917"/>
      <c r="L48" s="3918"/>
      <c r="M48" s="3919"/>
      <c r="N48" s="232" t="s">
        <v>1705</v>
      </c>
      <c r="O48" s="232" t="s">
        <v>1889</v>
      </c>
      <c r="P48" s="3892" t="s">
        <v>1890</v>
      </c>
      <c r="Q48" s="3892"/>
      <c r="R48" s="2206" t="s">
        <v>1891</v>
      </c>
      <c r="S48" s="2200" t="s">
        <v>9024</v>
      </c>
      <c r="T48" s="2552"/>
      <c r="U48" s="45"/>
      <c r="V48" s="45"/>
      <c r="W48" s="131"/>
      <c r="X48" s="3846" t="str">
        <f>IF(PDs!$AD73=0,"",PDs!$AD73)</f>
        <v/>
      </c>
      <c r="Y48" s="3846"/>
      <c r="Z48" s="3846"/>
      <c r="AA48" s="3846"/>
      <c r="AB48" s="3846"/>
      <c r="AC48" s="3846"/>
      <c r="AD48" s="3371" t="str">
        <f>IF(PDs!$V73=0,"",PDs!$V73)</f>
        <v/>
      </c>
      <c r="AE48" s="3371"/>
      <c r="AF48" s="3371"/>
      <c r="AG48" s="3371"/>
      <c r="AH48" s="3371"/>
      <c r="AI48" s="3371"/>
      <c r="AJ48" s="3371"/>
      <c r="AK48" s="3371"/>
      <c r="AL48" s="3371"/>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24" t="str">
        <f>IF(K48=0,"",VLOOKUP(K48,Tabla_ArmasyEscudos,9,FALSE))</f>
        <v/>
      </c>
      <c r="J49" s="3924"/>
      <c r="K49" s="1481" t="s">
        <v>1901</v>
      </c>
      <c r="L49" s="3925"/>
      <c r="M49" s="3939"/>
      <c r="N49" s="3940">
        <f>IF(K48=0,0,Turno_Nat_final-20+O51+VLOOKUP(K48,Tabla_ArmasyEscudos,3,FALSE)+IF(L49=0,0,IF(Tamaño&lt;VLOOKUP(L49,Tabla_ArmasEnormes,2,FALSE),-40,0)))</f>
        <v>0</v>
      </c>
      <c r="O49" s="3882">
        <f>IF(K48=0,HA_final,HA_final+VLOOKUP(I49,Tabla_ArmaDistinta,2)+O51-MIN(0,10*(FUE-VLOOKUP(K48,Tabla_ArmasyEscudos,4,FALSE)-IF(L49=0,0,VLOOKUP(L49,Tabla_ArmasEnormes,4,FALSE))))-IF(Tablas!$H$519&lt;0,IF(K48=Arma_Desarrollada,0,30),0))+SUMPRODUCT(--ISNUMBER(SEARCH(K48,ArmasAM)),ArmasAM_HA)</f>
        <v>0</v>
      </c>
      <c r="P49" s="3910">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269"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84">
        <f>IF(K48=0,0,VLOOKUP(K48,Tabla_ArmasyEscudos,2,FALSE)*IF(L49=0,1,VLOOKUP(L49,Tabla_ArmasEnormes,5,FALSE))+2*Bono_Fue+2*O51+IF(DañoIncrementado,10,0)+IF(Extensióndelauraalarma,10,0)+Tablas!$K$2341)</f>
        <v>0</v>
      </c>
      <c r="S49" s="3844"/>
      <c r="T49" s="2552"/>
      <c r="U49" s="45"/>
      <c r="V49" s="45"/>
      <c r="W49" s="131"/>
      <c r="X49" s="3846" t="str">
        <f>IF(PDs!$AD74=0,"",PDs!$AD74)</f>
        <v/>
      </c>
      <c r="Y49" s="3846"/>
      <c r="Z49" s="3846"/>
      <c r="AA49" s="3846"/>
      <c r="AB49" s="3846"/>
      <c r="AC49" s="3846"/>
      <c r="AD49" s="3371" t="str">
        <f>IF(PDs!$V74=0,"",PDs!$V74)</f>
        <v/>
      </c>
      <c r="AE49" s="3371"/>
      <c r="AF49" s="3371"/>
      <c r="AG49" s="3371"/>
      <c r="AH49" s="3371"/>
      <c r="AI49" s="3371"/>
      <c r="AJ49" s="3371"/>
      <c r="AK49" s="3371"/>
      <c r="AL49" s="3371"/>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940"/>
      <c r="O50" s="3882"/>
      <c r="P50" s="3910"/>
      <c r="Q50" s="3269"/>
      <c r="R50" s="3884"/>
      <c r="S50" s="3845"/>
      <c r="T50" s="2552"/>
      <c r="U50" s="45"/>
      <c r="V50" s="45"/>
      <c r="W50" s="131"/>
      <c r="X50" s="3936" t="str">
        <f>IF(PDs!$E75=0,"",PDs!$E75)</f>
        <v/>
      </c>
      <c r="Y50" s="3936"/>
      <c r="Z50" s="3936"/>
      <c r="AA50" s="3936"/>
      <c r="AB50" s="3936"/>
      <c r="AC50" s="3936"/>
      <c r="AD50" s="3937" t="str">
        <f>IF($X50="","",IF(PDs!$V75="FALTAN REQUISITOS",PDs!$V75,VLOOKUP(X50,Tabla_AM_Armas,5,FALSE)))</f>
        <v/>
      </c>
      <c r="AE50" s="3937"/>
      <c r="AF50" s="3937"/>
      <c r="AG50" s="3937"/>
      <c r="AH50" s="3937"/>
      <c r="AI50" s="3937"/>
      <c r="AJ50" s="3937"/>
      <c r="AK50" s="3937"/>
      <c r="AL50" s="3937"/>
      <c r="AM50" s="3937"/>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901" t="str">
        <f>IF(L49=0,IF(O51=0,"","TA defensor:"),IF(Tamaño&lt;VLOOKUP(L49,Tabla_ArmasEnormes,2,FALSE),"Tam. excesivo",IF(O51=0,"","TA defensor:")))</f>
        <v/>
      </c>
      <c r="Q51" s="3901"/>
      <c r="R51" s="2204" t="str">
        <f>IF(P51="TA defensor:",O51/(-5),"")</f>
        <v/>
      </c>
      <c r="S51" s="2211"/>
      <c r="T51" s="2552"/>
      <c r="U51" s="45"/>
      <c r="V51" s="45"/>
      <c r="W51" s="131"/>
      <c r="X51" s="3938" t="str">
        <f>IF(PDs!$E76=0,"",PDs!$E76)</f>
        <v/>
      </c>
      <c r="Y51" s="3938"/>
      <c r="Z51" s="3938"/>
      <c r="AA51" s="3938"/>
      <c r="AB51" s="3938"/>
      <c r="AC51" s="3938"/>
      <c r="AD51" s="3840" t="str">
        <f>IF($X51="","",IF(PDs!$V76="FALTAN REQUISITOS",PDs!$V76,VLOOKUP(X51,Tabla_AM_Armas,5,FALSE)))</f>
        <v/>
      </c>
      <c r="AE51" s="3840"/>
      <c r="AF51" s="3840"/>
      <c r="AG51" s="3840"/>
      <c r="AH51" s="3840"/>
      <c r="AI51" s="3840"/>
      <c r="AJ51" s="3840"/>
      <c r="AK51" s="3840"/>
      <c r="AL51" s="3840"/>
      <c r="AM51" s="3840"/>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04" t="str">
        <f>IF(K48=0,"",VLOOKUP(K48,Tabla_ArmasyEscudos,19,FALSE))</f>
        <v/>
      </c>
      <c r="J52" s="3904"/>
      <c r="K52" s="3904"/>
      <c r="L52" s="3904"/>
      <c r="M52" s="3904"/>
      <c r="N52" s="3904"/>
      <c r="O52" s="3904"/>
      <c r="P52" s="3904"/>
      <c r="Q52" s="3904"/>
      <c r="R52" s="3905"/>
      <c r="S52" s="2212"/>
      <c r="T52" s="2552"/>
      <c r="U52" s="45"/>
      <c r="V52" s="45"/>
      <c r="W52" s="131"/>
      <c r="X52" s="3931" t="str">
        <f>IF(PDs!$E77=0,"",PDs!$E77)</f>
        <v/>
      </c>
      <c r="Y52" s="3931"/>
      <c r="Z52" s="3931"/>
      <c r="AA52" s="3931"/>
      <c r="AB52" s="3931"/>
      <c r="AC52" s="3931"/>
      <c r="AD52" s="3842" t="str">
        <f>IF($X52="","",IF(PDs!$V77="FALTAN REQUISITOS",PDs!$V77,VLOOKUP(X52,Tabla_AM_Armas,5,FALSE)))</f>
        <v/>
      </c>
      <c r="AE52" s="3842"/>
      <c r="AF52" s="3842"/>
      <c r="AG52" s="3842"/>
      <c r="AH52" s="3842"/>
      <c r="AI52" s="3842"/>
      <c r="AJ52" s="3842"/>
      <c r="AK52" s="3842"/>
      <c r="AL52" s="3842"/>
      <c r="AM52" s="3842"/>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3" t="s">
        <v>1907</v>
      </c>
      <c r="J54" s="3911"/>
      <c r="K54" s="3932"/>
      <c r="L54" s="3933"/>
      <c r="M54" s="3934"/>
      <c r="N54" s="1367" t="s">
        <v>1705</v>
      </c>
      <c r="O54" s="1368" t="s">
        <v>1889</v>
      </c>
      <c r="P54" s="3915" t="s">
        <v>1890</v>
      </c>
      <c r="Q54" s="3915"/>
      <c r="R54" s="2209" t="s">
        <v>1891</v>
      </c>
      <c r="S54" s="2210" t="s">
        <v>9024</v>
      </c>
      <c r="T54" s="2552"/>
      <c r="U54" s="45"/>
      <c r="V54" s="45"/>
      <c r="W54" s="131"/>
      <c r="X54" s="3183" t="s">
        <v>1820</v>
      </c>
      <c r="Y54" s="3183"/>
      <c r="Z54" s="3183"/>
      <c r="AA54" s="3183"/>
      <c r="AB54" s="3183"/>
      <c r="AC54" s="3183"/>
      <c r="AD54" s="3935" t="s">
        <v>1866</v>
      </c>
      <c r="AE54" s="3935"/>
      <c r="AF54" s="3935"/>
      <c r="AG54" s="3935"/>
      <c r="AH54" s="3935"/>
      <c r="AI54" s="3935"/>
      <c r="AJ54" s="3935"/>
      <c r="AK54" s="3935"/>
      <c r="AL54" s="3935"/>
      <c r="AM54" s="3935"/>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06" t="str">
        <f>IF(K54=0,"",VLOOKUP(K54,Tabla_ArmasyEscudos,9,FALSE))</f>
        <v/>
      </c>
      <c r="J55" s="3907"/>
      <c r="K55" s="1481" t="s">
        <v>1901</v>
      </c>
      <c r="L55" s="3908"/>
      <c r="M55" s="3908"/>
      <c r="N55" s="3940">
        <f>IF(K54=0,0,Turno_Nat_final-20+O57+VLOOKUP(K54,Tabla_ArmasyEscudos,3,FALSE)+IF(L55=0,0,IF(Tamaño&lt;VLOOKUP(L55,Tabla_ArmasEnormes,2,FALSE),-40,0)))</f>
        <v>0</v>
      </c>
      <c r="O55" s="3882">
        <f>IF(K54=0,HA_final,HA_final+VLOOKUP(I55,Tabla_ArmaDistinta,2)+O57-MIN(0,10*(FUE-VLOOKUP(K54,Tabla_ArmasyEscudos,4,FALSE)-IF(L55=0,0,VLOOKUP(L55,Tabla_ArmasEnormes,4,FALSE))))-IF(Tablas!$H$519&lt;0,IF(K54=Arma_Desarrollada,0,30),0))+SUMPRODUCT(--ISNUMBER(SEARCH(K54,ArmasAM)),ArmasAM_HA)</f>
        <v>0</v>
      </c>
      <c r="P55" s="3910">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269"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84">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44"/>
      <c r="T55" s="2552"/>
      <c r="U55" s="45"/>
      <c r="V55" s="45"/>
      <c r="W55" s="131"/>
      <c r="X55" s="3855" t="str">
        <f>IF(PDs!E78=0,"",PDs!E78)</f>
        <v/>
      </c>
      <c r="Y55" s="3855"/>
      <c r="Z55" s="3855"/>
      <c r="AA55" s="3855"/>
      <c r="AB55" s="3855"/>
      <c r="AC55" s="3855"/>
      <c r="AD55" s="3949" t="str">
        <f>IF(X55="","",VLOOKUP(X55,Tabla_ArsMagnus,6,FALSE))</f>
        <v/>
      </c>
      <c r="AE55" s="3949"/>
      <c r="AF55" s="3949"/>
      <c r="AG55" s="3949"/>
      <c r="AH55" s="3949"/>
      <c r="AI55" s="3949"/>
      <c r="AJ55" s="3949"/>
      <c r="AK55" s="3949"/>
      <c r="AL55" s="3949"/>
      <c r="AM55" s="3949"/>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40"/>
      <c r="O56" s="3882"/>
      <c r="P56" s="3910"/>
      <c r="Q56" s="3269"/>
      <c r="R56" s="3884"/>
      <c r="S56" s="3845"/>
      <c r="T56" s="2552"/>
      <c r="U56" s="45"/>
      <c r="V56" s="45"/>
      <c r="W56" s="131"/>
      <c r="X56" s="3855"/>
      <c r="Y56" s="3855"/>
      <c r="Z56" s="3855"/>
      <c r="AA56" s="3855"/>
      <c r="AB56" s="3855"/>
      <c r="AC56" s="3855"/>
      <c r="AD56" s="3949"/>
      <c r="AE56" s="3949"/>
      <c r="AF56" s="3949"/>
      <c r="AG56" s="3949"/>
      <c r="AH56" s="3949"/>
      <c r="AI56" s="3949"/>
      <c r="AJ56" s="3949"/>
      <c r="AK56" s="3949"/>
      <c r="AL56" s="3949"/>
      <c r="AM56" s="3949"/>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50" t="str">
        <f>IF(Tablas!$G$500&gt;0,"-50 a puntería","")</f>
        <v/>
      </c>
      <c r="Q57" s="3950"/>
      <c r="R57" s="3951"/>
      <c r="S57" s="2181"/>
      <c r="T57" s="2552"/>
      <c r="U57" s="45"/>
      <c r="V57" s="45"/>
      <c r="W57" s="131"/>
      <c r="X57" s="3858" t="str">
        <f>IF(PDs!E79=0,"",PDs!E79)</f>
        <v/>
      </c>
      <c r="Y57" s="3858"/>
      <c r="Z57" s="3858"/>
      <c r="AA57" s="3858"/>
      <c r="AB57" s="3858"/>
      <c r="AC57" s="3858"/>
      <c r="AD57" s="3375" t="str">
        <f>IF(X57="","",VLOOKUP(X57,Tabla_ArsMagnus,6,FALSE))</f>
        <v/>
      </c>
      <c r="AE57" s="3375"/>
      <c r="AF57" s="3375"/>
      <c r="AG57" s="3375"/>
      <c r="AH57" s="3375"/>
      <c r="AI57" s="3375"/>
      <c r="AJ57" s="3375"/>
      <c r="AK57" s="3375"/>
      <c r="AL57" s="3375"/>
      <c r="AM57" s="3375"/>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1" t="s">
        <v>1908</v>
      </c>
      <c r="J58" s="3942"/>
      <c r="K58" s="3943"/>
      <c r="L58" s="3944"/>
      <c r="M58" s="3945"/>
      <c r="N58" s="166" t="s">
        <v>1903</v>
      </c>
      <c r="O58" s="115"/>
      <c r="P58" s="3946" t="str">
        <f>IF(L55=0,IF(O58=0,"","TA defensor:"),IF(Tamaño&lt;VLOOKUP(L55,Tabla_ArmasEnormes,2,FALSE),"Tam. excesivo",IF(O58=0,"","TA defensor:")))</f>
        <v/>
      </c>
      <c r="Q58" s="3946"/>
      <c r="R58" s="2207" t="str">
        <f>IF(P58="TA defensor:",O58/(-5),"")</f>
        <v/>
      </c>
      <c r="S58" s="2210" t="s">
        <v>9024</v>
      </c>
      <c r="T58" s="2552"/>
      <c r="U58" s="45"/>
      <c r="V58" s="45"/>
      <c r="W58" s="131"/>
      <c r="X58" s="3858"/>
      <c r="Y58" s="3858"/>
      <c r="Z58" s="3858"/>
      <c r="AA58" s="3858"/>
      <c r="AB58" s="3858"/>
      <c r="AC58" s="3858"/>
      <c r="AD58" s="3375"/>
      <c r="AE58" s="3375"/>
      <c r="AF58" s="3375"/>
      <c r="AG58" s="3375"/>
      <c r="AH58" s="3375"/>
      <c r="AI58" s="3375"/>
      <c r="AJ58" s="3375"/>
      <c r="AK58" s="3375"/>
      <c r="AL58" s="3375"/>
      <c r="AM58" s="3375"/>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47"/>
      <c r="P59" s="3947"/>
      <c r="Q59" s="141" t="s">
        <v>1909</v>
      </c>
      <c r="R59" s="1618" t="s">
        <v>1910</v>
      </c>
      <c r="S59" s="3844"/>
      <c r="T59" s="2552"/>
      <c r="U59" s="45"/>
      <c r="V59" s="45"/>
      <c r="W59" s="131"/>
      <c r="X59" s="3858" t="str">
        <f>IF(PDs!E80=0,"",PDs!E80)</f>
        <v/>
      </c>
      <c r="Y59" s="3858"/>
      <c r="Z59" s="3858"/>
      <c r="AA59" s="3858"/>
      <c r="AB59" s="3858"/>
      <c r="AC59" s="3858"/>
      <c r="AD59" s="3375" t="str">
        <f>IF(X59="","",VLOOKUP(X59,Tabla_ArsMagnus,6,FALSE))</f>
        <v/>
      </c>
      <c r="AE59" s="3375"/>
      <c r="AF59" s="3375"/>
      <c r="AG59" s="3375"/>
      <c r="AH59" s="3375"/>
      <c r="AI59" s="3375"/>
      <c r="AJ59" s="3375"/>
      <c r="AK59" s="3375"/>
      <c r="AL59" s="3375"/>
      <c r="AM59" s="3375"/>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48"/>
      <c r="P60" s="3948"/>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2"/>
      <c r="T60" s="2552"/>
      <c r="U60" s="45"/>
      <c r="V60" s="45"/>
      <c r="W60" s="131"/>
      <c r="X60" s="3858"/>
      <c r="Y60" s="3858"/>
      <c r="Z60" s="3858"/>
      <c r="AA60" s="3858"/>
      <c r="AB60" s="3858"/>
      <c r="AC60" s="3858"/>
      <c r="AD60" s="3375"/>
      <c r="AE60" s="3375"/>
      <c r="AF60" s="3375"/>
      <c r="AG60" s="3375"/>
      <c r="AH60" s="3375"/>
      <c r="AI60" s="3375"/>
      <c r="AJ60" s="3375"/>
      <c r="AK60" s="3375"/>
      <c r="AL60" s="3375"/>
      <c r="AM60" s="3375"/>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56" t="str">
        <f>IF(K54=0,"",VLOOKUP(K54,Tabla_ArmasyEscudos,19,FALSE))</f>
        <v/>
      </c>
      <c r="J61" s="3956"/>
      <c r="K61" s="3956"/>
      <c r="L61" s="3956"/>
      <c r="M61" s="3956"/>
      <c r="N61" s="3957" t="str">
        <f>IF(K58=0,"",VLOOKUP(K58,Tabla_ArmasyEscudos,19,FALSE))</f>
        <v/>
      </c>
      <c r="O61" s="3957"/>
      <c r="P61" s="3957"/>
      <c r="Q61" s="3957"/>
      <c r="R61" s="3958"/>
      <c r="S61" s="2183"/>
      <c r="T61" s="2552"/>
      <c r="U61" s="45"/>
      <c r="V61" s="45"/>
      <c r="W61" s="131"/>
      <c r="X61" s="3858" t="str">
        <f>IF(PDs!E81=0,"",PDs!E81)</f>
        <v/>
      </c>
      <c r="Y61" s="3858"/>
      <c r="Z61" s="3858"/>
      <c r="AA61" s="3858"/>
      <c r="AB61" s="3858"/>
      <c r="AC61" s="3858"/>
      <c r="AD61" s="3375" t="str">
        <f>IF(X61="","",VLOOKUP(X61,Tabla_ArsMagnus,6,FALSE))</f>
        <v/>
      </c>
      <c r="AE61" s="3375"/>
      <c r="AF61" s="3375"/>
      <c r="AG61" s="3375"/>
      <c r="AH61" s="3375"/>
      <c r="AI61" s="3375"/>
      <c r="AJ61" s="3375"/>
      <c r="AK61" s="3375"/>
      <c r="AL61" s="3375"/>
      <c r="AM61" s="3375"/>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58"/>
      <c r="Y62" s="3858"/>
      <c r="Z62" s="3858"/>
      <c r="AA62" s="3858"/>
      <c r="AB62" s="3858"/>
      <c r="AC62" s="3858"/>
      <c r="AD62" s="3375"/>
      <c r="AE62" s="3375"/>
      <c r="AF62" s="3375"/>
      <c r="AG62" s="3375"/>
      <c r="AH62" s="3375"/>
      <c r="AI62" s="3375"/>
      <c r="AJ62" s="3375"/>
      <c r="AK62" s="3375"/>
      <c r="AL62" s="3375"/>
      <c r="AM62" s="3375"/>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953"/>
      <c r="D63" s="3953"/>
      <c r="E63" s="3953"/>
      <c r="F63" s="3953"/>
      <c r="G63" s="3953"/>
      <c r="H63" s="3953"/>
      <c r="I63" s="3953"/>
      <c r="J63" s="3953"/>
      <c r="K63" s="3953"/>
      <c r="L63" s="3953"/>
      <c r="M63" s="3953"/>
      <c r="N63" s="3953"/>
      <c r="O63" s="3953"/>
      <c r="P63" s="3953"/>
      <c r="Q63" s="3953"/>
      <c r="R63" s="3954"/>
      <c r="S63" s="2197"/>
      <c r="T63" s="2552"/>
      <c r="U63" s="45"/>
      <c r="V63" s="45"/>
      <c r="W63" s="131"/>
      <c r="X63" s="3877" t="str">
        <f>IF(PDs!E82=0,"",PDs!E82)</f>
        <v/>
      </c>
      <c r="Y63" s="3877"/>
      <c r="Z63" s="3877"/>
      <c r="AA63" s="3877"/>
      <c r="AB63" s="3877"/>
      <c r="AC63" s="3877"/>
      <c r="AD63" s="3955" t="str">
        <f>IF(X63="","",VLOOKUP(X63,Tabla_ArsMagnus,6,FALSE))</f>
        <v/>
      </c>
      <c r="AE63" s="3955"/>
      <c r="AF63" s="3955"/>
      <c r="AG63" s="3955"/>
      <c r="AH63" s="3955"/>
      <c r="AI63" s="3955"/>
      <c r="AJ63" s="3955"/>
      <c r="AK63" s="3955"/>
      <c r="AL63" s="3955"/>
      <c r="AM63" s="3955"/>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953"/>
      <c r="D64" s="3953"/>
      <c r="E64" s="3953"/>
      <c r="F64" s="3953"/>
      <c r="G64" s="3953"/>
      <c r="H64" s="3953"/>
      <c r="I64" s="3953"/>
      <c r="J64" s="3953"/>
      <c r="K64" s="3953"/>
      <c r="L64" s="3953"/>
      <c r="M64" s="3953"/>
      <c r="N64" s="3953"/>
      <c r="O64" s="3953"/>
      <c r="P64" s="3953"/>
      <c r="Q64" s="3953"/>
      <c r="R64" s="3954"/>
      <c r="S64" s="2198"/>
      <c r="T64" s="2552"/>
      <c r="U64" s="45"/>
      <c r="V64" s="45"/>
      <c r="W64" s="131"/>
      <c r="X64" s="3877"/>
      <c r="Y64" s="3877"/>
      <c r="Z64" s="3877"/>
      <c r="AA64" s="3877"/>
      <c r="AB64" s="3877"/>
      <c r="AC64" s="3877"/>
      <c r="AD64" s="3955"/>
      <c r="AE64" s="3955"/>
      <c r="AF64" s="3955"/>
      <c r="AG64" s="3955"/>
      <c r="AH64" s="3955"/>
      <c r="AI64" s="3955"/>
      <c r="AJ64" s="3955"/>
      <c r="AK64" s="3955"/>
      <c r="AL64" s="3955"/>
      <c r="AM64" s="3955"/>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02" priority="3" stopIfTrue="1" operator="equal">
      <formula>0</formula>
    </cfRule>
  </conditionalFormatting>
  <conditionalFormatting sqref="AD40:AL45">
    <cfRule type="cellIs" dxfId="601" priority="4" stopIfTrue="1" operator="equal">
      <formula>0</formula>
    </cfRule>
  </conditionalFormatting>
  <conditionalFormatting sqref="AB10:AB14">
    <cfRule type="cellIs" dxfId="600" priority="7" stopIfTrue="1" operator="lessThan">
      <formula>0</formula>
    </cfRule>
  </conditionalFormatting>
  <conditionalFormatting sqref="AB15:AB16">
    <cfRule type="cellIs" dxfId="599" priority="8" stopIfTrue="1" operator="equal">
      <formula>0</formula>
    </cfRule>
    <cfRule type="cellIs" dxfId="598" priority="9" stopIfTrue="1" operator="lessThan">
      <formula>0</formula>
    </cfRule>
  </conditionalFormatting>
  <conditionalFormatting sqref="C13:E13">
    <cfRule type="expression" dxfId="597" priority="10" stopIfTrue="1">
      <formula>AND($B$13="Dura",$B$12="Dura")</formula>
    </cfRule>
    <cfRule type="expression" dxfId="596" priority="11" stopIfTrue="1">
      <formula>AND($B$13="Natural",$B$12="Natural")</formula>
    </cfRule>
  </conditionalFormatting>
  <conditionalFormatting sqref="C14:E14">
    <cfRule type="expression" dxfId="595" priority="12" stopIfTrue="1">
      <formula>AND($B$14="Dura",OR($B$13="Dura",$B$12="Dura"))</formula>
    </cfRule>
    <cfRule type="expression" dxfId="594"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1"/>
      <c r="D3" s="3201"/>
      <c r="E3" s="3201"/>
      <c r="F3" s="3201"/>
      <c r="G3" s="3201"/>
      <c r="H3" s="3201"/>
      <c r="I3" s="9"/>
      <c r="J3" s="9"/>
      <c r="K3" s="9"/>
      <c r="L3" s="9"/>
      <c r="M3" s="9"/>
      <c r="N3" s="9"/>
      <c r="O3" s="9"/>
      <c r="P3" s="9"/>
      <c r="Q3" s="10"/>
      <c r="R3" s="68"/>
      <c r="S3" s="1807"/>
      <c r="T3" s="1584"/>
      <c r="U3" s="190"/>
      <c r="V3" s="1799"/>
      <c r="W3" s="3201"/>
      <c r="X3" s="3201"/>
      <c r="Y3" s="3201"/>
      <c r="Z3" s="3201"/>
      <c r="AA3" s="3201"/>
      <c r="AB3" s="3201"/>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1"/>
      <c r="D4" s="3201"/>
      <c r="E4" s="3201"/>
      <c r="F4" s="3201"/>
      <c r="G4" s="3201"/>
      <c r="H4" s="3201"/>
      <c r="I4" s="12"/>
      <c r="J4" s="3118" t="s">
        <v>1628</v>
      </c>
      <c r="K4" s="3118"/>
      <c r="L4" s="3119" t="str">
        <f>IF(OR(General!$G$22="",General!$G$22=0),"",General!$G$22)</f>
        <v/>
      </c>
      <c r="M4" s="3119"/>
      <c r="N4" s="3119"/>
      <c r="O4" s="3119"/>
      <c r="P4" s="3119"/>
      <c r="Q4" s="13"/>
      <c r="R4" s="68"/>
      <c r="S4" s="1807"/>
      <c r="T4" s="1584"/>
      <c r="U4" s="190"/>
      <c r="V4" s="1799"/>
      <c r="W4" s="3201"/>
      <c r="X4" s="3201"/>
      <c r="Y4" s="3201"/>
      <c r="Z4" s="3201"/>
      <c r="AA4" s="3201"/>
      <c r="AB4" s="3201"/>
      <c r="AC4" s="12"/>
      <c r="AD4" s="3118" t="s">
        <v>1628</v>
      </c>
      <c r="AE4" s="3118"/>
      <c r="AF4" s="3119" t="str">
        <f>IF(OR(General!$G$22="",General!$G$22=0),"",General!$G$22)</f>
        <v/>
      </c>
      <c r="AG4" s="3119"/>
      <c r="AH4" s="3119"/>
      <c r="AI4" s="3119"/>
      <c r="AJ4" s="3119"/>
      <c r="AK4" s="13"/>
      <c r="AL4" s="1807"/>
      <c r="AM4" s="190"/>
      <c r="AN4" s="2088"/>
      <c r="AO4" s="2055"/>
      <c r="AP4" s="1991"/>
      <c r="AQ4" s="406"/>
      <c r="AR4" s="406"/>
      <c r="AS4" s="406"/>
      <c r="AT4" s="406"/>
      <c r="AU4" s="406"/>
      <c r="AV4" s="2048"/>
      <c r="AW4" s="2105"/>
      <c r="AX4" s="1802"/>
    </row>
    <row r="5" spans="1:51" ht="12" customHeight="1" thickBot="1" x14ac:dyDescent="0.25">
      <c r="A5" s="190"/>
      <c r="B5" s="1799"/>
      <c r="C5" s="3201"/>
      <c r="D5" s="3201"/>
      <c r="E5" s="3201"/>
      <c r="F5" s="3201"/>
      <c r="G5" s="3201"/>
      <c r="H5" s="3201"/>
      <c r="I5" s="12"/>
      <c r="J5" s="3197" t="s">
        <v>1629</v>
      </c>
      <c r="K5" s="3197"/>
      <c r="L5" s="3198" t="str">
        <f>Principal!$L$5</f>
        <v>Hechicero</v>
      </c>
      <c r="M5" s="3198"/>
      <c r="N5" s="3198"/>
      <c r="O5" s="14" t="s">
        <v>1630</v>
      </c>
      <c r="P5" s="15" t="str">
        <f>Principal!$P$5</f>
        <v>1</v>
      </c>
      <c r="Q5" s="16"/>
      <c r="R5" s="68"/>
      <c r="S5" s="1807"/>
      <c r="T5" s="1584"/>
      <c r="U5" s="190"/>
      <c r="V5" s="1799"/>
      <c r="W5" s="3201"/>
      <c r="X5" s="3201"/>
      <c r="Y5" s="3201"/>
      <c r="Z5" s="3201"/>
      <c r="AA5" s="3201"/>
      <c r="AB5" s="3201"/>
      <c r="AC5" s="12"/>
      <c r="AD5" s="3197" t="s">
        <v>1629</v>
      </c>
      <c r="AE5" s="3197"/>
      <c r="AF5" s="3198" t="str">
        <f>Principal!$L$5</f>
        <v>Hechicero</v>
      </c>
      <c r="AG5" s="3198"/>
      <c r="AH5" s="3198"/>
      <c r="AI5" s="14" t="s">
        <v>1630</v>
      </c>
      <c r="AJ5" s="15" t="str">
        <f>Principal!$P$5</f>
        <v>1</v>
      </c>
      <c r="AK5" s="16"/>
      <c r="AL5" s="1807"/>
      <c r="AM5" s="190"/>
      <c r="AN5" s="2088"/>
      <c r="AO5" s="2054"/>
      <c r="AP5" s="1992"/>
      <c r="AQ5" s="1679"/>
      <c r="AR5" s="3199" t="s">
        <v>8900</v>
      </c>
      <c r="AS5" s="3199"/>
      <c r="AT5" s="3199"/>
      <c r="AU5" s="3199"/>
      <c r="AV5" s="2049"/>
      <c r="AW5" s="2105"/>
      <c r="AX5" s="1802"/>
    </row>
    <row r="6" spans="1:51" ht="12" customHeight="1" thickBot="1" x14ac:dyDescent="0.25">
      <c r="A6" s="190"/>
      <c r="B6" s="1799"/>
      <c r="C6" s="3201"/>
      <c r="D6" s="3201"/>
      <c r="E6" s="3201"/>
      <c r="F6" s="3201"/>
      <c r="G6" s="3201"/>
      <c r="H6" s="3201"/>
      <c r="I6" s="12"/>
      <c r="J6" s="3199" t="s">
        <v>2013</v>
      </c>
      <c r="K6" s="3199"/>
      <c r="L6" s="3199"/>
      <c r="M6" s="3199"/>
      <c r="N6" s="3199"/>
      <c r="O6" s="3199"/>
      <c r="P6" s="3199"/>
      <c r="Q6" s="16"/>
      <c r="R6" s="68"/>
      <c r="S6" s="1807"/>
      <c r="T6" s="1584"/>
      <c r="U6" s="190"/>
      <c r="V6" s="1799"/>
      <c r="W6" s="3201"/>
      <c r="X6" s="3201"/>
      <c r="Y6" s="3201"/>
      <c r="Z6" s="3201"/>
      <c r="AA6" s="3201"/>
      <c r="AB6" s="3201"/>
      <c r="AC6" s="12"/>
      <c r="AD6" s="3199" t="s">
        <v>2014</v>
      </c>
      <c r="AE6" s="3199"/>
      <c r="AF6" s="3199"/>
      <c r="AG6" s="3199"/>
      <c r="AH6" s="3199"/>
      <c r="AI6" s="3199"/>
      <c r="AJ6" s="3199"/>
      <c r="AK6" s="16"/>
      <c r="AL6" s="1807"/>
      <c r="AM6" s="190"/>
      <c r="AN6" s="2088"/>
      <c r="AO6" s="2050"/>
      <c r="AQ6" s="2038"/>
      <c r="AR6" s="3199"/>
      <c r="AS6" s="3199"/>
      <c r="AT6" s="3199"/>
      <c r="AU6" s="3199"/>
      <c r="AV6" s="2049"/>
      <c r="AW6" s="2105"/>
      <c r="AX6" s="1802"/>
    </row>
    <row r="7" spans="1:51" ht="12" customHeight="1" thickBot="1" x14ac:dyDescent="0.25">
      <c r="A7" s="190"/>
      <c r="B7" s="1799"/>
      <c r="C7" s="3201"/>
      <c r="D7" s="3201"/>
      <c r="E7" s="3201"/>
      <c r="F7" s="3201"/>
      <c r="G7" s="3201"/>
      <c r="H7" s="3201"/>
      <c r="I7" s="12"/>
      <c r="J7" s="3199"/>
      <c r="K7" s="3199"/>
      <c r="L7" s="3199"/>
      <c r="M7" s="3199"/>
      <c r="N7" s="3199"/>
      <c r="O7" s="3199"/>
      <c r="P7" s="3199"/>
      <c r="Q7" s="16"/>
      <c r="R7" s="68"/>
      <c r="S7" s="1807"/>
      <c r="T7" s="1584"/>
      <c r="U7" s="190"/>
      <c r="V7" s="1799"/>
      <c r="W7" s="3201"/>
      <c r="X7" s="3201"/>
      <c r="Y7" s="3201"/>
      <c r="Z7" s="3201"/>
      <c r="AA7" s="3201"/>
      <c r="AB7" s="3201"/>
      <c r="AC7" s="12"/>
      <c r="AD7" s="3199"/>
      <c r="AE7" s="3199"/>
      <c r="AF7" s="3199"/>
      <c r="AG7" s="3199"/>
      <c r="AH7" s="3199"/>
      <c r="AI7" s="3199"/>
      <c r="AJ7" s="3199"/>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1"/>
      <c r="D8" s="3201"/>
      <c r="E8" s="3201"/>
      <c r="F8" s="3201"/>
      <c r="G8" s="3201"/>
      <c r="H8" s="3201"/>
      <c r="I8" s="17"/>
      <c r="J8" s="17"/>
      <c r="K8" s="17"/>
      <c r="L8" s="17"/>
      <c r="M8" s="17"/>
      <c r="N8" s="17"/>
      <c r="O8" s="17"/>
      <c r="P8" s="17"/>
      <c r="Q8" s="18"/>
      <c r="R8" s="68"/>
      <c r="S8" s="1807"/>
      <c r="T8" s="1584"/>
      <c r="U8" s="190"/>
      <c r="V8" s="1799"/>
      <c r="W8" s="3201"/>
      <c r="X8" s="3201"/>
      <c r="Y8" s="3201"/>
      <c r="Z8" s="3201"/>
      <c r="AA8" s="3201"/>
      <c r="AB8" s="3201"/>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49" t="s">
        <v>1828</v>
      </c>
      <c r="D10" s="3150"/>
      <c r="E10" s="3150"/>
      <c r="F10" s="3150"/>
      <c r="G10" s="3150"/>
      <c r="H10" s="3151"/>
      <c r="I10" s="68"/>
      <c r="R10" s="68"/>
      <c r="S10" s="1807"/>
      <c r="T10" s="1584"/>
      <c r="U10" s="190"/>
      <c r="V10" s="1799"/>
      <c r="W10" s="3288" t="s">
        <v>2016</v>
      </c>
      <c r="X10" s="3289"/>
      <c r="Y10" s="3289"/>
      <c r="Z10" s="3289"/>
      <c r="AA10" s="3289"/>
      <c r="AB10" s="3289"/>
      <c r="AC10" s="3291"/>
      <c r="AD10" s="2545"/>
      <c r="AE10" s="4010" t="s">
        <v>2017</v>
      </c>
      <c r="AF10" s="4011"/>
      <c r="AG10" s="4011"/>
      <c r="AH10" s="4011"/>
      <c r="AI10" s="4011"/>
      <c r="AJ10" s="4011"/>
      <c r="AK10" s="2355">
        <f>IF(Tablas!G543&gt;0,0,SUM(I15:I25))-COUNTA(Místicos!AG12:AJ50)</f>
        <v>0</v>
      </c>
      <c r="AL10" s="1807"/>
      <c r="AM10" s="190"/>
      <c r="AN10" s="2088"/>
      <c r="AP10" s="4112" t="s">
        <v>8905</v>
      </c>
      <c r="AQ10" s="4113"/>
      <c r="AR10" s="4114"/>
      <c r="AS10" s="4115" t="s">
        <v>8906</v>
      </c>
      <c r="AT10" s="4116"/>
      <c r="AU10" s="4117"/>
      <c r="AW10" s="2105"/>
      <c r="AX10" s="1802"/>
    </row>
    <row r="11" spans="1:51" ht="12" customHeight="1" thickBot="1" x14ac:dyDescent="0.25">
      <c r="A11" s="190"/>
      <c r="B11" s="1799"/>
      <c r="C11" s="4038" t="s">
        <v>2018</v>
      </c>
      <c r="D11" s="4039"/>
      <c r="E11" s="4016" t="s">
        <v>2019</v>
      </c>
      <c r="F11" s="4017"/>
      <c r="G11" s="3239" t="s">
        <v>2020</v>
      </c>
      <c r="H11" s="4007"/>
      <c r="I11" s="68"/>
      <c r="J11" s="4009" t="s">
        <v>2015</v>
      </c>
      <c r="K11" s="4009"/>
      <c r="L11" s="4009"/>
      <c r="M11" s="4009"/>
      <c r="N11" s="68"/>
      <c r="O11" s="3183" t="s">
        <v>1827</v>
      </c>
      <c r="P11" s="3183"/>
      <c r="Q11" s="3183"/>
      <c r="R11" s="68"/>
      <c r="S11" s="1807"/>
      <c r="T11" s="1584"/>
      <c r="U11" s="190"/>
      <c r="V11" s="1799"/>
      <c r="W11" s="3205" t="s">
        <v>2024</v>
      </c>
      <c r="X11" s="3206"/>
      <c r="Y11" s="3206" t="s">
        <v>2023</v>
      </c>
      <c r="Z11" s="3206"/>
      <c r="AA11" s="3206"/>
      <c r="AB11" s="3206"/>
      <c r="AC11" s="2354" t="s">
        <v>1715</v>
      </c>
      <c r="AD11" s="1885" t="s">
        <v>9159</v>
      </c>
      <c r="AE11" s="3205" t="s">
        <v>2025</v>
      </c>
      <c r="AF11" s="3206"/>
      <c r="AG11" s="3206" t="s">
        <v>2023</v>
      </c>
      <c r="AH11" s="3206"/>
      <c r="AI11" s="3206"/>
      <c r="AJ11" s="3206"/>
      <c r="AK11" s="2354" t="s">
        <v>1715</v>
      </c>
      <c r="AL11" s="1807"/>
      <c r="AM11" s="190"/>
      <c r="AN11" s="2088"/>
      <c r="AW11" s="2105"/>
      <c r="AX11" s="1802"/>
      <c r="AY11" s="1885"/>
    </row>
    <row r="12" spans="1:51" ht="12" customHeight="1" thickBot="1" x14ac:dyDescent="0.25">
      <c r="A12" s="190"/>
      <c r="B12" s="1799"/>
      <c r="C12" s="4019">
        <f>NiveldeMagia_final</f>
        <v>0</v>
      </c>
      <c r="D12" s="4020"/>
      <c r="E12" s="4012">
        <f>SUM(G15:G26)+G12</f>
        <v>0</v>
      </c>
      <c r="F12" s="4013"/>
      <c r="G12" s="4023">
        <f>Metamagia!$T$37</f>
        <v>0</v>
      </c>
      <c r="H12" s="4024"/>
      <c r="I12" s="68"/>
      <c r="J12" s="4008" t="s">
        <v>2021</v>
      </c>
      <c r="K12" s="4008"/>
      <c r="L12" s="4001" t="s">
        <v>1825</v>
      </c>
      <c r="M12" s="4001"/>
      <c r="N12" s="68"/>
      <c r="O12" s="1922" t="s">
        <v>1705</v>
      </c>
      <c r="P12" s="268" t="s">
        <v>1889</v>
      </c>
      <c r="Q12" s="1923" t="s">
        <v>2022</v>
      </c>
      <c r="R12" s="68"/>
      <c r="S12" s="1807"/>
      <c r="T12" s="1584" t="str">
        <f>"Conjuros"&amp;IF(W12="","","_"&amp;W12)</f>
        <v>Conjuros</v>
      </c>
      <c r="U12" s="190"/>
      <c r="V12" s="1975">
        <f>IF(AC12="",0,VLOOKUP(AC12,Tablas!$M$1024:$N$1033,2))</f>
        <v>0</v>
      </c>
      <c r="W12" s="3983"/>
      <c r="X12" s="3750"/>
      <c r="Y12" s="3995"/>
      <c r="Z12" s="3995"/>
      <c r="AA12" s="3995"/>
      <c r="AB12" s="3995"/>
      <c r="AC12" s="2330" t="str">
        <f>IF(Místicos!Y12=0,"",VLOOKUP(Místicos!Y12,Tablas!$E$1129:$G$1803,2,FALSE))</f>
        <v/>
      </c>
      <c r="AD12" s="1986" t="str">
        <f t="shared" ref="AD12:AD50" si="0">AE12&amp;AK12</f>
        <v/>
      </c>
      <c r="AE12" s="3983"/>
      <c r="AF12" s="3750"/>
      <c r="AG12" s="3995"/>
      <c r="AH12" s="3995"/>
      <c r="AI12" s="3995"/>
      <c r="AJ12" s="3995"/>
      <c r="AK12" s="2328"/>
      <c r="AL12" s="1976">
        <f>IF(Místicos!AG12=0,0,VLOOKUP(Místicos!AG12,Tablas!E1520:F1649,2,FALSE)-10)</f>
        <v>0</v>
      </c>
      <c r="AM12" s="190"/>
      <c r="AN12" s="2088"/>
      <c r="AO12" s="4109" t="s">
        <v>8946</v>
      </c>
      <c r="AP12" s="4110"/>
      <c r="AQ12" s="4110"/>
      <c r="AR12" s="4110"/>
      <c r="AS12" s="4110"/>
      <c r="AT12" s="4110"/>
      <c r="AU12" s="4110"/>
      <c r="AV12" s="4111"/>
      <c r="AW12" s="2106">
        <f>IF(AP12=0,0,VLOOKUP(AP12,Tablas!J1663:K1792,2,FALSE)-10)</f>
        <v>0</v>
      </c>
      <c r="AX12" s="1802"/>
      <c r="AY12" s="1986">
        <f>IF(AC12="",0,VLOOKUP(AC12,Tablas!$M$1024:$N$1033,2)*VLOOKUP(W12,Tabla_CosteConjuros,3))</f>
        <v>0</v>
      </c>
    </row>
    <row r="13" spans="1:51" ht="12" customHeight="1" thickBot="1" x14ac:dyDescent="0.25">
      <c r="A13" s="190"/>
      <c r="B13" s="1799"/>
      <c r="C13" s="4021"/>
      <c r="D13" s="4022"/>
      <c r="E13" s="4014"/>
      <c r="F13" s="4015"/>
      <c r="G13" s="4023"/>
      <c r="H13" s="4024"/>
      <c r="I13" s="68"/>
      <c r="J13" s="4025">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25"/>
      <c r="L13" s="4026">
        <f>ACT_final+L21</f>
        <v>0</v>
      </c>
      <c r="M13" s="4026"/>
      <c r="N13" s="68"/>
      <c r="O13" s="4027">
        <f>Turno_Nat_final</f>
        <v>45</v>
      </c>
      <c r="P13" s="4028">
        <f>IF(OR(PDs!E99="Proyección Mágica como ataque",PDs!E100="Proyección Mágica como ataque"),PDs!V22+ProyecciónMágica_final-PDs!V93,ProyecciónMágica_final+Q15)</f>
        <v>0</v>
      </c>
      <c r="Q13" s="4037">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76"/>
      <c r="X13" s="3753"/>
      <c r="Y13" s="3996"/>
      <c r="Z13" s="3996"/>
      <c r="AA13" s="3996"/>
      <c r="AB13" s="3996"/>
      <c r="AC13" s="1722" t="str">
        <f>IF(Místicos!Y13=0,"",VLOOKUP(Místicos!Y13,Tablas!$E$1129:$G$1803,2,FALSE))</f>
        <v/>
      </c>
      <c r="AD13" s="1986" t="str">
        <f t="shared" si="0"/>
        <v/>
      </c>
      <c r="AE13" s="3976"/>
      <c r="AF13" s="3753"/>
      <c r="AG13" s="3996"/>
      <c r="AH13" s="3996"/>
      <c r="AI13" s="3996"/>
      <c r="AJ13" s="399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3" t="s">
        <v>2024</v>
      </c>
      <c r="D14" s="4034"/>
      <c r="E14" s="4035" t="s">
        <v>2026</v>
      </c>
      <c r="F14" s="4036"/>
      <c r="G14" s="1988" t="s">
        <v>2027</v>
      </c>
      <c r="H14" s="1964" t="s">
        <v>1715</v>
      </c>
      <c r="I14" s="68"/>
      <c r="J14" s="4025"/>
      <c r="K14" s="4025"/>
      <c r="L14" s="4026"/>
      <c r="M14" s="4026"/>
      <c r="N14" s="68"/>
      <c r="O14" s="4027"/>
      <c r="P14" s="4028"/>
      <c r="Q14" s="4037"/>
      <c r="R14" s="68"/>
      <c r="S14" s="1807"/>
      <c r="T14" s="1584" t="str">
        <f t="shared" si="1"/>
        <v>Conjuros</v>
      </c>
      <c r="U14" s="190"/>
      <c r="V14" s="1975">
        <f>IF(AC14="",0,VLOOKUP(AC14,Tablas!$M$1024:$N$1033,2))</f>
        <v>0</v>
      </c>
      <c r="W14" s="3983"/>
      <c r="X14" s="3750"/>
      <c r="Y14" s="3995"/>
      <c r="Z14" s="3995"/>
      <c r="AA14" s="3995"/>
      <c r="AB14" s="3995"/>
      <c r="AC14" s="2330" t="str">
        <f>IF(Místicos!Y14=0,"",VLOOKUP(Místicos!Y14,Tablas!$E$1129:$G$1803,2,FALSE))</f>
        <v/>
      </c>
      <c r="AD14" s="1986" t="str">
        <f t="shared" si="0"/>
        <v/>
      </c>
      <c r="AE14" s="3983"/>
      <c r="AF14" s="3750"/>
      <c r="AG14" s="3995"/>
      <c r="AH14" s="3995"/>
      <c r="AI14" s="3995"/>
      <c r="AJ14" s="3995"/>
      <c r="AK14" s="2328"/>
      <c r="AL14" s="1976">
        <f>IF(Místicos!AG14=0,0,VLOOKUP(Místicos!AG14,Tablas!E1522:F1651,2,FALSE)-10)</f>
        <v>0</v>
      </c>
      <c r="AM14" s="190"/>
      <c r="AN14" s="2088"/>
      <c r="AO14" s="4130" t="s">
        <v>8938</v>
      </c>
      <c r="AP14" s="3984"/>
      <c r="AQ14" s="3984"/>
      <c r="AR14" s="4125" t="s">
        <v>8963</v>
      </c>
      <c r="AS14" s="3984"/>
      <c r="AT14" s="3984"/>
      <c r="AU14" s="3984"/>
      <c r="AV14" s="4126"/>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29" t="s">
        <v>2029</v>
      </c>
      <c r="D15" s="4030"/>
      <c r="E15" s="4031"/>
      <c r="F15" s="4032"/>
      <c r="G15" s="271"/>
      <c r="H15" s="1965">
        <f>ROUNDUP(G15/Tablas!J1037,0)+40*Tablas!G403+20*Tablas!H1897+40*Tablas!H1898+60*Tablas!H1899+80*Tablas!H1900+90*Tablas!H1901</f>
        <v>0</v>
      </c>
      <c r="I15" s="269">
        <f>IF(H15&gt;3,VLOOKUP(H15,Tabla_ConjurosLA,2)-IF(Místicos!E15=0,0,VLOOKUP(H15,Tabla_ConjurosLA,2)),0)</f>
        <v>0</v>
      </c>
      <c r="J15" s="4002"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2"/>
      <c r="L15" s="4002"/>
      <c r="M15" s="4002"/>
      <c r="N15" s="68"/>
      <c r="O15" s="4003" t="s">
        <v>2028</v>
      </c>
      <c r="P15" s="4003"/>
      <c r="Q15" s="265"/>
      <c r="R15" s="68"/>
      <c r="S15" s="1807"/>
      <c r="T15" s="1584" t="str">
        <f t="shared" si="1"/>
        <v>Conjuros</v>
      </c>
      <c r="U15" s="190"/>
      <c r="V15" s="1975">
        <f>IF(AC15="",0,VLOOKUP(AC15,Tablas!$M$1024:$N$1033,2))</f>
        <v>0</v>
      </c>
      <c r="W15" s="3976"/>
      <c r="X15" s="3753"/>
      <c r="Y15" s="3996"/>
      <c r="Z15" s="3996"/>
      <c r="AA15" s="3996"/>
      <c r="AB15" s="3996"/>
      <c r="AC15" s="1722" t="str">
        <f>IF(Místicos!Y15=0,"",VLOOKUP(Místicos!Y15,Tablas!$E$1129:$G$1803,2,FALSE))</f>
        <v/>
      </c>
      <c r="AD15" s="1986" t="str">
        <f t="shared" si="0"/>
        <v/>
      </c>
      <c r="AE15" s="3976"/>
      <c r="AF15" s="3753"/>
      <c r="AG15" s="3996"/>
      <c r="AH15" s="3996"/>
      <c r="AI15" s="3996"/>
      <c r="AJ15" s="3996"/>
      <c r="AK15" s="2356"/>
      <c r="AL15" s="1976">
        <f>IF(Místicos!AG15=0,0,VLOOKUP(Místicos!AG15,Tablas!E1523:F1652,2,FALSE)-10)</f>
        <v>0</v>
      </c>
      <c r="AM15" s="190"/>
      <c r="AN15" s="2088"/>
      <c r="AO15" s="2060" t="s">
        <v>1715</v>
      </c>
      <c r="AP15" s="3962" t="s">
        <v>8909</v>
      </c>
      <c r="AQ15" s="3962"/>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68" t="s">
        <v>2030</v>
      </c>
      <c r="D16" s="3969"/>
      <c r="E16" s="3970"/>
      <c r="F16" s="3971"/>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3"/>
      <c r="X16" s="3750"/>
      <c r="Y16" s="3995"/>
      <c r="Z16" s="3995"/>
      <c r="AA16" s="3995"/>
      <c r="AB16" s="3995"/>
      <c r="AC16" s="2330" t="str">
        <f>IF(Místicos!Y16=0,"",VLOOKUP(Místicos!Y16,Tablas!$E$1129:$G$1803,2,FALSE))</f>
        <v/>
      </c>
      <c r="AD16" s="1986" t="str">
        <f t="shared" si="0"/>
        <v/>
      </c>
      <c r="AE16" s="3983"/>
      <c r="AF16" s="3750"/>
      <c r="AG16" s="3995"/>
      <c r="AH16" s="3995"/>
      <c r="AI16" s="3995"/>
      <c r="AJ16" s="3995"/>
      <c r="AK16" s="2328"/>
      <c r="AL16" s="1976">
        <f>IF(Místicos!AG16=0,0,VLOOKUP(Místicos!AG16,Tablas!E1524:F1653,2,FALSE)-10)</f>
        <v>0</v>
      </c>
      <c r="AM16" s="190"/>
      <c r="AN16" s="2088"/>
      <c r="AO16" s="2075">
        <v>1</v>
      </c>
      <c r="AP16" s="4131">
        <f>VLOOKUP(AO16,Tabla_MagiaNatural_DifBase,2,FALSE)+IF(NOT($AS$10="Magia Natural"),4,0)+IF($AR$32="",0,IF(ISNUMBER(SEARCH("(",$AR$32)),-4,-2))</f>
        <v>18</v>
      </c>
      <c r="AQ16" s="4131"/>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89" t="s">
        <v>1938</v>
      </c>
      <c r="D17" s="3990"/>
      <c r="E17" s="3991"/>
      <c r="F17" s="3992"/>
      <c r="G17" s="1968"/>
      <c r="H17" s="1965">
        <f>ROUNDUP(G17/Tablas!J1039,0)+40*Tablas!G405+20*Tablas!H1899+40*Tablas!H1900+60*Tablas!H1901+80*Tablas!H1902+90*Tablas!H1903</f>
        <v>0</v>
      </c>
      <c r="I17" s="269">
        <f>IF(H17&gt;3,VLOOKUP(H17,Tabla_ConjurosLA,3)-IF(Místicos!E17=0,0,VLOOKUP(H17,Tabla_ConjurosLA,2)),0)</f>
        <v>0</v>
      </c>
      <c r="J17" s="4009" t="s">
        <v>1824</v>
      </c>
      <c r="K17" s="4009"/>
      <c r="L17" s="4009"/>
      <c r="M17" s="4009"/>
      <c r="N17" s="4018" t="s">
        <v>2031</v>
      </c>
      <c r="O17" s="4018"/>
      <c r="P17" s="4018"/>
      <c r="Q17" s="272">
        <f>VLOOKUP($L$13,Tabla_MagiaInnata,2)</f>
        <v>0</v>
      </c>
      <c r="R17" s="68"/>
      <c r="S17" s="1807"/>
      <c r="T17" s="1584" t="str">
        <f t="shared" si="1"/>
        <v>Conjuros</v>
      </c>
      <c r="U17" s="190"/>
      <c r="V17" s="1975">
        <f>IF(AC17="",0,VLOOKUP(AC17,Tablas!$M$1024:$N$1033,2))</f>
        <v>0</v>
      </c>
      <c r="W17" s="3976"/>
      <c r="X17" s="3753"/>
      <c r="Y17" s="3996"/>
      <c r="Z17" s="3996"/>
      <c r="AA17" s="3996"/>
      <c r="AB17" s="3996"/>
      <c r="AC17" s="1722" t="str">
        <f>IF(Místicos!Y17=0,"",VLOOKUP(Místicos!Y17,Tablas!$E$1129:$G$1803,2,FALSE))</f>
        <v/>
      </c>
      <c r="AD17" s="1986" t="str">
        <f t="shared" si="0"/>
        <v/>
      </c>
      <c r="AE17" s="3976"/>
      <c r="AF17" s="3753"/>
      <c r="AG17" s="3996"/>
      <c r="AH17" s="3996"/>
      <c r="AI17" s="3996"/>
      <c r="AJ17" s="3996"/>
      <c r="AK17" s="2356"/>
      <c r="AL17" s="1976">
        <f>IF(Místicos!AG17=0,0,VLOOKUP(Místicos!AG17,Tablas!E1525:F1654,2,FALSE)-10)</f>
        <v>0</v>
      </c>
      <c r="AM17" s="190"/>
      <c r="AN17" s="2088"/>
      <c r="AO17" s="2075">
        <v>2</v>
      </c>
      <c r="AP17" s="4131">
        <f>VLOOKUP(AO17,Tabla_MagiaNatural_DifBase,2,FALSE)+IF(NOT($AS$10="Magia Natural"),4,0)+IF($AR$32="",0,IF(ISNUMBER(SEARCH("(",$AR$32)),-4,-2))</f>
        <v>22</v>
      </c>
      <c r="AQ17" s="4131"/>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68" t="s">
        <v>1934</v>
      </c>
      <c r="D18" s="3969"/>
      <c r="E18" s="3970"/>
      <c r="F18" s="3971"/>
      <c r="G18" s="1966"/>
      <c r="H18" s="1967">
        <f>ROUNDUP(G18/Tablas!J1040,0)+40*Tablas!G406+20*Tablas!H1900+40*Tablas!H1901+60*Tablas!H1902+80*Tablas!H1903+90*Tablas!H1904</f>
        <v>0</v>
      </c>
      <c r="I18" s="269">
        <f>IF(H18&gt;3,VLOOKUP(H18,Tabla_ConjurosLA,3)-IF(Místicos!E18=0,0,VLOOKUP(H18,Tabla_ConjurosLA,2)),0)</f>
        <v>0</v>
      </c>
      <c r="J18" s="4005" t="s">
        <v>2032</v>
      </c>
      <c r="K18" s="4006">
        <f>Zeón_final+L20-IF(AS10="Onmyodo",AV62*AU62+AU63*AV63+AU64*AV64+AU65*AV65+AU66*AV66+AU67*AV67+AU68*AV68+AU69*AV69+AU70*AV70+AU71*AV71+AU72*AV72,0)</f>
        <v>100</v>
      </c>
      <c r="L18" s="4006"/>
      <c r="M18" s="3302"/>
      <c r="N18" s="3302"/>
      <c r="O18" s="3302"/>
      <c r="P18" s="3302"/>
      <c r="Q18" s="3302"/>
      <c r="R18" s="68"/>
      <c r="S18" s="1807"/>
      <c r="T18" s="1584" t="str">
        <f t="shared" si="1"/>
        <v>Conjuros</v>
      </c>
      <c r="U18" s="190"/>
      <c r="V18" s="1975">
        <f>IF(AC18="",0,VLOOKUP(AC18,Tablas!$M$1024:$N$1033,2))</f>
        <v>0</v>
      </c>
      <c r="W18" s="3983"/>
      <c r="X18" s="3750"/>
      <c r="Y18" s="3995"/>
      <c r="Z18" s="3995"/>
      <c r="AA18" s="3995"/>
      <c r="AB18" s="3995"/>
      <c r="AC18" s="2330" t="str">
        <f>IF(Místicos!Y18=0,"",VLOOKUP(Místicos!Y18,Tablas!$E$1129:$G$1803,2,FALSE))</f>
        <v/>
      </c>
      <c r="AD18" s="1986" t="str">
        <f t="shared" si="0"/>
        <v/>
      </c>
      <c r="AE18" s="3983"/>
      <c r="AF18" s="3750"/>
      <c r="AG18" s="3995"/>
      <c r="AH18" s="3995"/>
      <c r="AI18" s="3995"/>
      <c r="AJ18" s="3995"/>
      <c r="AK18" s="2328"/>
      <c r="AL18" s="1976">
        <f>IF(Místicos!AG18=0,0,VLOOKUP(Místicos!AG18,Tablas!E1526:F1655,2,FALSE)-10)</f>
        <v>0</v>
      </c>
      <c r="AM18" s="190"/>
      <c r="AN18" s="2088"/>
      <c r="AO18" s="2075">
        <v>3</v>
      </c>
      <c r="AP18" s="4131">
        <f>VLOOKUP(AO18,Tabla_MagiaNatural_DifBase,2,FALSE)+IF(NOT($AS$10="Magia Natural"),4,0)+IF($AR$32="",0,IF(ISNUMBER(SEARCH("(",$AR$32)),-4,-2))</f>
        <v>28</v>
      </c>
      <c r="AQ18" s="4131"/>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89" t="s">
        <v>1931</v>
      </c>
      <c r="D19" s="3990"/>
      <c r="E19" s="3991"/>
      <c r="F19" s="3992"/>
      <c r="G19" s="1968"/>
      <c r="H19" s="1965">
        <f>ROUNDUP(G19/Tablas!J1041,0)+40*Tablas!G407+20*Tablas!H1901+40*Tablas!H1902+60*Tablas!H1903+80*Tablas!H1904+90*Tablas!H1905</f>
        <v>0</v>
      </c>
      <c r="I19" s="269">
        <f>IF(H19&gt;3,VLOOKUP(H19,Tabla_ConjurosLA,3)-IF(Místicos!E19=0,0,VLOOKUP(H19,Tabla_ConjurosLA,2)),0)</f>
        <v>0</v>
      </c>
      <c r="J19" s="4005"/>
      <c r="K19" s="4006"/>
      <c r="L19" s="4006"/>
      <c r="M19" s="3302"/>
      <c r="N19" s="3302"/>
      <c r="O19" s="3302"/>
      <c r="P19" s="3302"/>
      <c r="Q19" s="3302"/>
      <c r="R19" s="68"/>
      <c r="S19" s="1807"/>
      <c r="T19" s="1584" t="str">
        <f t="shared" si="1"/>
        <v>Conjuros</v>
      </c>
      <c r="U19" s="190"/>
      <c r="V19" s="1975">
        <f>IF(AC19="",0,VLOOKUP(AC19,Tablas!$M$1024:$N$1033,2))</f>
        <v>0</v>
      </c>
      <c r="W19" s="3976"/>
      <c r="X19" s="3753"/>
      <c r="Y19" s="3996"/>
      <c r="Z19" s="3996"/>
      <c r="AA19" s="3996"/>
      <c r="AB19" s="3996"/>
      <c r="AC19" s="1722" t="str">
        <f>IF(Místicos!Y19=0,"",VLOOKUP(Místicos!Y19,Tablas!$E$1129:$G$1803,2,FALSE))</f>
        <v/>
      </c>
      <c r="AD19" s="1986" t="str">
        <f t="shared" si="0"/>
        <v/>
      </c>
      <c r="AE19" s="3976"/>
      <c r="AF19" s="3753"/>
      <c r="AG19" s="3996"/>
      <c r="AH19" s="3996"/>
      <c r="AI19" s="3996"/>
      <c r="AJ19" s="3996"/>
      <c r="AK19" s="2356"/>
      <c r="AL19" s="1976">
        <f>IF(Místicos!AG19=0,0,VLOOKUP(Místicos!AG19,Tablas!E1527:F1656,2,FALSE)-10)</f>
        <v>0</v>
      </c>
      <c r="AM19" s="190"/>
      <c r="AN19" s="2088"/>
      <c r="AO19" s="2075">
        <v>4</v>
      </c>
      <c r="AP19" s="4131">
        <f>VLOOKUP(AO19,Tabla_MagiaNatural_DifBase,2,FALSE)+IF(NOT($AS$10="Magia Natural"),4,0)+IF($AR$32="",0,IF(ISNUMBER(SEARCH("(",$AR$32)),-4,-2))</f>
        <v>34</v>
      </c>
      <c r="AQ19" s="4131"/>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68" t="s">
        <v>2034</v>
      </c>
      <c r="D20" s="3969"/>
      <c r="E20" s="3970"/>
      <c r="F20" s="3971"/>
      <c r="G20" s="1966"/>
      <c r="H20" s="1967">
        <f>ROUNDUP(G20/Tablas!J1042,0)+40*Tablas!G408+20*Tablas!H1902+40*Tablas!H1903+60*Tablas!H1904+80*Tablas!H1905+90*Tablas!H1906</f>
        <v>0</v>
      </c>
      <c r="I20" s="269">
        <f>IF(H20&gt;3,VLOOKUP(H20,Tabla_ConjurosLA,3)-IF(Místicos!E20=0,0,VLOOKUP(H20,Tabla_ConjurosLA,2)),0)</f>
        <v>0</v>
      </c>
      <c r="J20" s="3993" t="s">
        <v>2033</v>
      </c>
      <c r="K20" s="3993"/>
      <c r="L20" s="273"/>
      <c r="M20" s="3302"/>
      <c r="N20" s="3302"/>
      <c r="O20" s="3302"/>
      <c r="P20" s="3302"/>
      <c r="Q20" s="3302"/>
      <c r="R20" s="68"/>
      <c r="S20" s="1807"/>
      <c r="T20" s="1584" t="str">
        <f t="shared" si="1"/>
        <v>Conjuros</v>
      </c>
      <c r="U20" s="190"/>
      <c r="V20" s="1975">
        <f>IF(AC20="",0,VLOOKUP(AC20,Tablas!$M$1024:$N$1033,2))</f>
        <v>0</v>
      </c>
      <c r="W20" s="3983"/>
      <c r="X20" s="3750"/>
      <c r="Y20" s="3995"/>
      <c r="Z20" s="3995"/>
      <c r="AA20" s="3995"/>
      <c r="AB20" s="3995"/>
      <c r="AC20" s="2330" t="str">
        <f>IF(Místicos!Y20=0,"",VLOOKUP(Místicos!Y20,Tablas!$E$1129:$G$1803,2,FALSE))</f>
        <v/>
      </c>
      <c r="AD20" s="1986" t="str">
        <f t="shared" si="0"/>
        <v/>
      </c>
      <c r="AE20" s="3983"/>
      <c r="AF20" s="3750"/>
      <c r="AG20" s="3995"/>
      <c r="AH20" s="3995"/>
      <c r="AI20" s="3995"/>
      <c r="AJ20" s="3995"/>
      <c r="AK20" s="2328"/>
      <c r="AL20" s="1976">
        <f>IF(Místicos!AG20=0,0,VLOOKUP(Místicos!AG20,Tablas!E1528:F1657,2,FALSE)-10)</f>
        <v>0</v>
      </c>
      <c r="AM20" s="190"/>
      <c r="AN20" s="2088"/>
      <c r="AO20" s="2077">
        <v>5</v>
      </c>
      <c r="AP20" s="4167">
        <f>VLOOKUP(AO20,Tabla_MagiaNatural_DifBase,2,FALSE)+IF(NOT($AS$10="Magia Natural"),4,0)+IF($AR$32="",0,IF(ISNUMBER(SEARCH("(",$AR$32)),-4,-2))</f>
        <v>40</v>
      </c>
      <c r="AQ20" s="4167"/>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89" t="s">
        <v>2036</v>
      </c>
      <c r="D21" s="3990"/>
      <c r="E21" s="3991"/>
      <c r="F21" s="3992"/>
      <c r="G21" s="1968"/>
      <c r="H21" s="1965">
        <f>ROUNDUP(G21/Tablas!J1043,0)+40*Tablas!G409+20*Tablas!H1903+40*Tablas!H1904+60*Tablas!H1905+80*Tablas!H1906+90*Tablas!H1907</f>
        <v>0</v>
      </c>
      <c r="I21" s="269">
        <f>IF(H21&gt;3,VLOOKUP(H21,Tabla_ConjurosLA,2)-IF(Místicos!E21=0,0,VLOOKUP(H21,Tabla_ConjurosLA,2)),0)</f>
        <v>0</v>
      </c>
      <c r="J21" s="3994" t="s">
        <v>2035</v>
      </c>
      <c r="K21" s="3994"/>
      <c r="L21" s="274"/>
      <c r="M21" s="3302"/>
      <c r="N21" s="3302"/>
      <c r="O21" s="3302"/>
      <c r="P21" s="3302"/>
      <c r="Q21" s="3302"/>
      <c r="R21" s="68"/>
      <c r="S21" s="1807"/>
      <c r="T21" s="1584" t="str">
        <f t="shared" si="1"/>
        <v>Conjuros</v>
      </c>
      <c r="U21" s="190"/>
      <c r="V21" s="1975">
        <f>IF(AC21="",0,VLOOKUP(AC21,Tablas!$M$1024:$N$1033,2))</f>
        <v>0</v>
      </c>
      <c r="W21" s="3976"/>
      <c r="X21" s="3753"/>
      <c r="Y21" s="3996"/>
      <c r="Z21" s="3996"/>
      <c r="AA21" s="3996"/>
      <c r="AB21" s="3996"/>
      <c r="AC21" s="1722" t="str">
        <f>IF(Místicos!Y21=0,"",VLOOKUP(Místicos!Y21,Tablas!$E$1129:$G$1803,2,FALSE))</f>
        <v/>
      </c>
      <c r="AD21" s="1986" t="str">
        <f t="shared" si="0"/>
        <v/>
      </c>
      <c r="AE21" s="3976"/>
      <c r="AF21" s="3753"/>
      <c r="AG21" s="3996"/>
      <c r="AH21" s="3996"/>
      <c r="AI21" s="3996"/>
      <c r="AJ21" s="399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68" t="s">
        <v>2037</v>
      </c>
      <c r="D22" s="3969"/>
      <c r="E22" s="3970"/>
      <c r="F22" s="3971"/>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3"/>
      <c r="X22" s="3750"/>
      <c r="Y22" s="3995"/>
      <c r="Z22" s="3995"/>
      <c r="AA22" s="3995"/>
      <c r="AB22" s="3995"/>
      <c r="AC22" s="2330" t="str">
        <f>IF(Místicos!Y22=0,"",VLOOKUP(Místicos!Y22,Tablas!$E$1129:$G$1803,2,FALSE))</f>
        <v/>
      </c>
      <c r="AD22" s="1986" t="str">
        <f t="shared" si="0"/>
        <v/>
      </c>
      <c r="AE22" s="3983"/>
      <c r="AF22" s="3750"/>
      <c r="AG22" s="3995"/>
      <c r="AH22" s="3995"/>
      <c r="AI22" s="3995"/>
      <c r="AJ22" s="3995"/>
      <c r="AK22" s="2328"/>
      <c r="AL22" s="1976">
        <f>IF(Místicos!AG22=0,0,VLOOKUP(Místicos!AG22,Tablas!E1530:F1659,2,FALSE)-10)</f>
        <v>0</v>
      </c>
      <c r="AM22" s="190"/>
      <c r="AN22" s="2088"/>
      <c r="AO22" s="4127" t="s">
        <v>8959</v>
      </c>
      <c r="AP22" s="4128"/>
      <c r="AQ22" s="4128"/>
      <c r="AR22" s="4128"/>
      <c r="AS22" s="4128"/>
      <c r="AT22" s="4128"/>
      <c r="AU22" s="4128"/>
      <c r="AV22" s="4129"/>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89" t="s">
        <v>2039</v>
      </c>
      <c r="D23" s="3990"/>
      <c r="E23" s="3991"/>
      <c r="F23" s="3992"/>
      <c r="G23" s="1968"/>
      <c r="H23" s="1965">
        <f>ROUNDUP(G23/Tablas!J1045,0)+40*Tablas!G411+20*Tablas!H1905+40*Tablas!H1906+60*Tablas!H1907+80*Tablas!H1908+90*Tablas!H1909</f>
        <v>0</v>
      </c>
      <c r="I23" s="269">
        <f>IF(H23&gt;3,VLOOKUP(H23,Tabla_ConjurosLA,3)-IF(Místicos!E23=0,0,VLOOKUP(H23,Tabla_ConjurosLA,2)),0)</f>
        <v>0</v>
      </c>
      <c r="J23" s="3183" t="s">
        <v>2038</v>
      </c>
      <c r="K23" s="3183"/>
      <c r="L23" s="3183"/>
      <c r="M23" s="3183"/>
      <c r="N23" s="3183"/>
      <c r="O23" s="3183"/>
      <c r="P23" s="3183"/>
      <c r="Q23" s="3183"/>
      <c r="R23" s="68"/>
      <c r="S23" s="1807"/>
      <c r="T23" s="1584" t="str">
        <f t="shared" si="1"/>
        <v>Conjuros</v>
      </c>
      <c r="U23" s="190"/>
      <c r="V23" s="1975">
        <f>IF(AC23="",0,VLOOKUP(AC23,Tablas!$M$1024:$N$1033,2))</f>
        <v>0</v>
      </c>
      <c r="W23" s="3976"/>
      <c r="X23" s="3753"/>
      <c r="Y23" s="3996"/>
      <c r="Z23" s="3996"/>
      <c r="AA23" s="3996"/>
      <c r="AB23" s="3996"/>
      <c r="AC23" s="1722" t="str">
        <f>IF(Místicos!Y23=0,"",VLOOKUP(Místicos!Y23,Tablas!$E$1129:$G$1803,2,FALSE))</f>
        <v/>
      </c>
      <c r="AD23" s="1986" t="str">
        <f t="shared" si="0"/>
        <v/>
      </c>
      <c r="AE23" s="3976"/>
      <c r="AF23" s="3753"/>
      <c r="AG23" s="3996"/>
      <c r="AH23" s="3996"/>
      <c r="AI23" s="3996"/>
      <c r="AJ23" s="3996"/>
      <c r="AK23" s="2356"/>
      <c r="AL23" s="1976">
        <f>IF(Místicos!AG23=0,0,VLOOKUP(Místicos!AG23,Tablas!E1531:F1660,2,FALSE)-10)</f>
        <v>0</v>
      </c>
      <c r="AM23" s="190"/>
      <c r="AN23" s="2088"/>
      <c r="AO23" s="4122" t="s">
        <v>8910</v>
      </c>
      <c r="AP23" s="3962"/>
      <c r="AQ23" s="1995" t="s">
        <v>8960</v>
      </c>
      <c r="AR23" s="3962" t="s">
        <v>8912</v>
      </c>
      <c r="AS23" s="3962"/>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68" t="s">
        <v>2041</v>
      </c>
      <c r="D24" s="3969"/>
      <c r="E24" s="3970"/>
      <c r="F24" s="3971"/>
      <c r="G24" s="1966"/>
      <c r="H24" s="1967">
        <f>ROUNDUP(G24/Tablas!J1046,0)+40*Tablas!G412+20*Tablas!H1906+40*Tablas!H1907+60*Tablas!H1908+80*Tablas!H1909+90*Tablas!H1910</f>
        <v>0</v>
      </c>
      <c r="I24" s="269">
        <f>IF(H24&gt;3,VLOOKUP(H24,Tabla_ConjurosLA,3)-IF(Místicos!E24=0,0,VLOOKUP(H24,Tabla_ConjurosLA,2)),0)</f>
        <v>0</v>
      </c>
      <c r="J24" s="3461" t="s">
        <v>1687</v>
      </c>
      <c r="K24" s="3461"/>
      <c r="L24" s="1974" t="s">
        <v>1731</v>
      </c>
      <c r="M24" s="276" t="s">
        <v>1661</v>
      </c>
      <c r="N24" s="3998" t="s">
        <v>2040</v>
      </c>
      <c r="O24" s="3998"/>
      <c r="P24" s="3998"/>
      <c r="Q24" s="277" t="str">
        <f>IF(P25="Invocador","No","Nv. "&amp;PDs!X15+Tablas!G388+2*Tablas!G389+3*Tablas!G390)</f>
        <v>Nv. 1</v>
      </c>
      <c r="R24" s="68"/>
      <c r="S24" s="1807"/>
      <c r="T24" s="1584" t="str">
        <f t="shared" si="1"/>
        <v>Conjuros</v>
      </c>
      <c r="U24" s="190"/>
      <c r="V24" s="1975">
        <f>IF(AC24="",0,VLOOKUP(AC24,Tablas!$M$1024:$N$1033,2))</f>
        <v>0</v>
      </c>
      <c r="W24" s="3983"/>
      <c r="X24" s="3750"/>
      <c r="Y24" s="3995"/>
      <c r="Z24" s="3995"/>
      <c r="AA24" s="3995"/>
      <c r="AB24" s="3995"/>
      <c r="AC24" s="2330" t="str">
        <f>IF(Místicos!Y24=0,"",VLOOKUP(Místicos!Y24,Tablas!$E$1129:$G$1803,2,FALSE))</f>
        <v/>
      </c>
      <c r="AD24" s="1986" t="str">
        <f t="shared" si="0"/>
        <v/>
      </c>
      <c r="AE24" s="3983"/>
      <c r="AF24" s="3750"/>
      <c r="AG24" s="3995"/>
      <c r="AH24" s="3995"/>
      <c r="AI24" s="3995"/>
      <c r="AJ24" s="3995"/>
      <c r="AK24" s="2328"/>
      <c r="AL24" s="1976">
        <f>IF(Místicos!AG24=0,0,VLOOKUP(Místicos!AG24,Tablas!E1532:F1661,2,FALSE)-10)</f>
        <v>0</v>
      </c>
      <c r="AM24" s="190"/>
      <c r="AN24" s="2088"/>
      <c r="AO24" s="4123" t="s">
        <v>8911</v>
      </c>
      <c r="AP24" s="4124"/>
      <c r="AQ24" s="2072" t="s">
        <v>8929</v>
      </c>
      <c r="AR24" s="4123" t="s">
        <v>8913</v>
      </c>
      <c r="AS24" s="4124"/>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2" t="s">
        <v>2043</v>
      </c>
      <c r="D25" s="3973"/>
      <c r="E25" s="3974"/>
      <c r="F25" s="3975"/>
      <c r="G25" s="279"/>
      <c r="H25" s="1969">
        <f>ROUNDUP(G25/Tablas!J1047,0)+40*Tablas!G413+20*Tablas!H1907+40*Tablas!H1908+60*Tablas!H1909+80*Tablas!H1910+90*Tablas!H1911</f>
        <v>0</v>
      </c>
      <c r="I25" s="269">
        <f>IF(H25&gt;3,VLOOKUP(H25,Tabla_ConjurosLA,2)-IF(Místicos!E25=0,0,VLOOKUP(H25,Tabla_ConjurosLA,2)),0)</f>
        <v>0</v>
      </c>
      <c r="J25" s="3997" t="s">
        <v>1830</v>
      </c>
      <c r="K25" s="3997"/>
      <c r="L25" s="209"/>
      <c r="M25" s="278">
        <f>Convocar_final+L25</f>
        <v>0</v>
      </c>
      <c r="N25" s="3571" t="s">
        <v>2042</v>
      </c>
      <c r="O25" s="3571"/>
      <c r="P25" s="3440"/>
      <c r="Q25" s="3440"/>
      <c r="R25" s="68"/>
      <c r="S25" s="1807"/>
      <c r="T25" s="1584" t="str">
        <f t="shared" si="1"/>
        <v>Conjuros</v>
      </c>
      <c r="U25" s="190"/>
      <c r="V25" s="1975">
        <f>IF(AC25="",0,VLOOKUP(AC25,Tablas!$M$1024:$N$1033,2))</f>
        <v>0</v>
      </c>
      <c r="W25" s="3976"/>
      <c r="X25" s="3753"/>
      <c r="Y25" s="3996"/>
      <c r="Z25" s="3996"/>
      <c r="AA25" s="3996"/>
      <c r="AB25" s="3996"/>
      <c r="AC25" s="1722" t="str">
        <f>IF(Místicos!Y25=0,"",VLOOKUP(Místicos!Y25,Tablas!$E$1129:$G$1803,2,FALSE))</f>
        <v/>
      </c>
      <c r="AD25" s="1986" t="str">
        <f t="shared" si="0"/>
        <v/>
      </c>
      <c r="AE25" s="3976"/>
      <c r="AF25" s="3753"/>
      <c r="AG25" s="3996"/>
      <c r="AH25" s="3996"/>
      <c r="AI25" s="3996"/>
      <c r="AJ25" s="3996"/>
      <c r="AK25" s="2356"/>
      <c r="AL25" s="1976">
        <f>IF(Místicos!AG25=0,0,VLOOKUP(Místicos!AG25,Tablas!E1533:F1662,2,FALSE)-10)</f>
        <v>0</v>
      </c>
      <c r="AM25" s="190"/>
      <c r="AN25" s="2088"/>
      <c r="AO25" s="4118" t="s">
        <v>8907</v>
      </c>
      <c r="AP25" s="4119"/>
      <c r="AQ25" s="2067" t="s">
        <v>3575</v>
      </c>
      <c r="AR25" s="4118" t="s">
        <v>2067</v>
      </c>
      <c r="AS25" s="4119"/>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3977" t="s">
        <v>2016</v>
      </c>
      <c r="D26" s="3978"/>
      <c r="E26" s="3978"/>
      <c r="F26" s="3979"/>
      <c r="G26" s="2043"/>
      <c r="H26" s="2044">
        <f>SUM(V12:V50)</f>
        <v>0</v>
      </c>
      <c r="I26" s="68"/>
      <c r="J26" s="4004" t="s">
        <v>1831</v>
      </c>
      <c r="K26" s="4004"/>
      <c r="L26" s="113"/>
      <c r="M26" s="280">
        <f>Controlar_final+L26</f>
        <v>0</v>
      </c>
      <c r="N26" s="3957" t="str">
        <f>IF(P25=0,"",IF(P25="Invocador","Invocador: No puede convocar criaturas","Elementalismo: +30 sobre seres afines, -30 sobre el resto, -60 sobre opuestos"))</f>
        <v/>
      </c>
      <c r="O26" s="3957"/>
      <c r="P26" s="3957"/>
      <c r="Q26" s="3957"/>
      <c r="R26" s="68"/>
      <c r="S26" s="1807"/>
      <c r="T26" s="1584" t="str">
        <f t="shared" si="1"/>
        <v>Conjuros</v>
      </c>
      <c r="U26" s="190"/>
      <c r="V26" s="1975">
        <f>IF(AC26="",0,VLOOKUP(AC26,Tablas!$M$1024:$N$1033,2))</f>
        <v>0</v>
      </c>
      <c r="W26" s="3983"/>
      <c r="X26" s="3750"/>
      <c r="Y26" s="3995"/>
      <c r="Z26" s="3995"/>
      <c r="AA26" s="3995"/>
      <c r="AB26" s="3995"/>
      <c r="AC26" s="2330" t="str">
        <f>IF(Místicos!Y26=0,"",VLOOKUP(Místicos!Y26,Tablas!$E$1129:$G$1803,2,FALSE))</f>
        <v/>
      </c>
      <c r="AD26" s="1986" t="str">
        <f t="shared" si="0"/>
        <v/>
      </c>
      <c r="AE26" s="3983"/>
      <c r="AF26" s="3750"/>
      <c r="AG26" s="3995"/>
      <c r="AH26" s="3995"/>
      <c r="AI26" s="3995"/>
      <c r="AJ26" s="3995"/>
      <c r="AK26" s="2328"/>
      <c r="AL26" s="1976">
        <f>IF(Místicos!AG26=0,0,VLOOKUP(Místicos!AG26,Tablas!E1534:F1663,2,FALSE)-10)</f>
        <v>0</v>
      </c>
      <c r="AM26" s="190"/>
      <c r="AN26" s="2088"/>
      <c r="AO26" s="4118" t="s">
        <v>8915</v>
      </c>
      <c r="AP26" s="4119"/>
      <c r="AQ26" s="2067" t="s">
        <v>3575</v>
      </c>
      <c r="AR26" s="4118" t="s">
        <v>2069</v>
      </c>
      <c r="AS26" s="4119"/>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047" t="s">
        <v>8899</v>
      </c>
      <c r="D27" s="4049" t="str">
        <f>Tablas!$K$1045</f>
        <v/>
      </c>
      <c r="E27" s="4050"/>
      <c r="F27" s="4050"/>
      <c r="G27" s="4050"/>
      <c r="H27" s="4051"/>
      <c r="I27" s="100"/>
      <c r="J27" s="4004" t="s">
        <v>1832</v>
      </c>
      <c r="K27" s="4004"/>
      <c r="L27" s="113"/>
      <c r="M27" s="280">
        <f>Atar_final+L27</f>
        <v>0</v>
      </c>
      <c r="N27" s="3957"/>
      <c r="O27" s="3957"/>
      <c r="P27" s="3957"/>
      <c r="Q27" s="3957"/>
      <c r="R27" s="68"/>
      <c r="S27" s="1807"/>
      <c r="T27" s="1584" t="str">
        <f t="shared" si="1"/>
        <v>Conjuros</v>
      </c>
      <c r="U27" s="190"/>
      <c r="V27" s="1975">
        <f>IF(AC27="",0,VLOOKUP(AC27,Tablas!$M$1024:$N$1033,2))</f>
        <v>0</v>
      </c>
      <c r="W27" s="3976"/>
      <c r="X27" s="3753"/>
      <c r="Y27" s="3996"/>
      <c r="Z27" s="3996"/>
      <c r="AA27" s="3996"/>
      <c r="AB27" s="3996"/>
      <c r="AC27" s="1722" t="str">
        <f>IF(Místicos!Y27=0,"",VLOOKUP(Místicos!Y27,Tablas!$E$1129:$G$1803,2,FALSE))</f>
        <v/>
      </c>
      <c r="AD27" s="1986" t="str">
        <f t="shared" si="0"/>
        <v/>
      </c>
      <c r="AE27" s="3976"/>
      <c r="AF27" s="3753"/>
      <c r="AG27" s="3996"/>
      <c r="AH27" s="3996"/>
      <c r="AI27" s="3996"/>
      <c r="AJ27" s="3996"/>
      <c r="AK27" s="2356"/>
      <c r="AL27" s="1976">
        <f>IF(Místicos!AG27=0,0,VLOOKUP(Místicos!AG27,Tablas!E1535:F1664,2,FALSE)-10)</f>
        <v>0</v>
      </c>
      <c r="AM27" s="190"/>
      <c r="AN27" s="2088"/>
      <c r="AO27" s="4118" t="s">
        <v>8916</v>
      </c>
      <c r="AP27" s="4119"/>
      <c r="AQ27" s="2067" t="s">
        <v>3484</v>
      </c>
      <c r="AR27" s="4118" t="s">
        <v>8914</v>
      </c>
      <c r="AS27" s="4119"/>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048"/>
      <c r="D28" s="4052"/>
      <c r="E28" s="4053"/>
      <c r="F28" s="4053"/>
      <c r="G28" s="4053"/>
      <c r="H28" s="4054"/>
      <c r="I28" s="100"/>
      <c r="J28" s="4044" t="s">
        <v>1833</v>
      </c>
      <c r="K28" s="4044"/>
      <c r="L28" s="88"/>
      <c r="M28" s="281">
        <f>Desconvocar_final+L28</f>
        <v>0</v>
      </c>
      <c r="N28" s="3957"/>
      <c r="O28" s="3957"/>
      <c r="P28" s="3957"/>
      <c r="Q28" s="3957"/>
      <c r="R28" s="68"/>
      <c r="S28" s="1807"/>
      <c r="T28" s="1584" t="str">
        <f t="shared" si="1"/>
        <v>Conjuros</v>
      </c>
      <c r="U28" s="190"/>
      <c r="V28" s="1975">
        <f>IF(AC28="",0,VLOOKUP(AC28,Tablas!$M$1024:$N$1033,2))</f>
        <v>0</v>
      </c>
      <c r="W28" s="3983"/>
      <c r="X28" s="3750"/>
      <c r="Y28" s="3995"/>
      <c r="Z28" s="3995"/>
      <c r="AA28" s="3995"/>
      <c r="AB28" s="3995"/>
      <c r="AC28" s="2330" t="str">
        <f>IF(Místicos!Y28=0,"",VLOOKUP(Místicos!Y28,Tablas!$E$1129:$G$1803,2,FALSE))</f>
        <v/>
      </c>
      <c r="AD28" s="1986" t="str">
        <f t="shared" si="0"/>
        <v/>
      </c>
      <c r="AE28" s="3983"/>
      <c r="AF28" s="3750"/>
      <c r="AG28" s="3995"/>
      <c r="AH28" s="3995"/>
      <c r="AI28" s="3995"/>
      <c r="AJ28" s="3995"/>
      <c r="AK28" s="2328"/>
      <c r="AL28" s="1976">
        <f>IF(Místicos!AG28=0,0,VLOOKUP(Místicos!AG28,Tablas!E1536:F1665,2,FALSE)-10)</f>
        <v>0</v>
      </c>
      <c r="AM28" s="190"/>
      <c r="AN28" s="2088"/>
      <c r="AO28" s="4118" t="s">
        <v>8917</v>
      </c>
      <c r="AP28" s="4119"/>
      <c r="AQ28" s="2067" t="s">
        <v>3485</v>
      </c>
      <c r="AR28" s="4118" t="s">
        <v>2072</v>
      </c>
      <c r="AS28" s="4119"/>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040"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1"/>
      <c r="E29" s="4041"/>
      <c r="F29" s="4041"/>
      <c r="G29" s="4041"/>
      <c r="H29" s="4042"/>
      <c r="I29" s="100"/>
      <c r="R29" s="68"/>
      <c r="S29" s="1807"/>
      <c r="T29" s="1584" t="str">
        <f t="shared" si="1"/>
        <v>Conjuros</v>
      </c>
      <c r="U29" s="190"/>
      <c r="V29" s="1975">
        <f>IF(AC29="",0,VLOOKUP(AC29,Tablas!$M$1024:$N$1033,2))</f>
        <v>0</v>
      </c>
      <c r="W29" s="3976"/>
      <c r="X29" s="3753"/>
      <c r="Y29" s="3996"/>
      <c r="Z29" s="3996"/>
      <c r="AA29" s="3996"/>
      <c r="AB29" s="3996"/>
      <c r="AC29" s="1722" t="str">
        <f>IF(Místicos!Y29=0,"",VLOOKUP(Místicos!Y29,Tablas!$E$1129:$G$1803,2,FALSE))</f>
        <v/>
      </c>
      <c r="AD29" s="1986" t="str">
        <f t="shared" si="0"/>
        <v/>
      </c>
      <c r="AE29" s="3976"/>
      <c r="AF29" s="3753"/>
      <c r="AG29" s="3996"/>
      <c r="AH29" s="3996"/>
      <c r="AI29" s="3996"/>
      <c r="AJ29" s="3996"/>
      <c r="AK29" s="2356"/>
      <c r="AL29" s="1976">
        <f>IF(Místicos!AG29=0,0,VLOOKUP(Místicos!AG29,Tablas!E1537:F1666,2,FALSE)-10)</f>
        <v>0</v>
      </c>
      <c r="AM29" s="190"/>
      <c r="AN29" s="2088"/>
      <c r="AO29" s="4120" t="s">
        <v>8953</v>
      </c>
      <c r="AP29" s="4121"/>
      <c r="AQ29" s="2068" t="s">
        <v>4219</v>
      </c>
      <c r="AR29" s="4120" t="s">
        <v>2077</v>
      </c>
      <c r="AS29" s="4121"/>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3"/>
      <c r="X30" s="3750"/>
      <c r="Y30" s="3995"/>
      <c r="Z30" s="3995"/>
      <c r="AA30" s="3995"/>
      <c r="AB30" s="3995"/>
      <c r="AC30" s="2330" t="str">
        <f>IF(Místicos!Y30=0,"",VLOOKUP(Místicos!Y30,Tablas!$E$1129:$G$1803,2,FALSE))</f>
        <v/>
      </c>
      <c r="AD30" s="1986" t="str">
        <f t="shared" si="0"/>
        <v/>
      </c>
      <c r="AE30" s="3983"/>
      <c r="AF30" s="3750"/>
      <c r="AG30" s="3995"/>
      <c r="AH30" s="3995"/>
      <c r="AI30" s="3995"/>
      <c r="AJ30" s="3995"/>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222" t="s">
        <v>2044</v>
      </c>
      <c r="D31" s="3222"/>
      <c r="E31" s="3222"/>
      <c r="F31" s="3222"/>
      <c r="G31" s="3222"/>
      <c r="H31" s="3851" t="s">
        <v>2045</v>
      </c>
      <c r="I31" s="100"/>
      <c r="J31" s="3273" t="s">
        <v>2046</v>
      </c>
      <c r="K31" s="3274"/>
      <c r="L31" s="3274"/>
      <c r="M31" s="3274"/>
      <c r="N31" s="3274"/>
      <c r="O31" s="3274"/>
      <c r="P31" s="3274"/>
      <c r="Q31" s="3275"/>
      <c r="R31" s="68"/>
      <c r="S31" s="1807"/>
      <c r="T31" s="1584" t="str">
        <f t="shared" si="1"/>
        <v>Conjuros</v>
      </c>
      <c r="U31" s="190"/>
      <c r="V31" s="1975">
        <f>IF(AC31="",0,VLOOKUP(AC31,Tablas!$M$1024:$N$1033,2))</f>
        <v>0</v>
      </c>
      <c r="W31" s="3976"/>
      <c r="X31" s="3753"/>
      <c r="Y31" s="3996"/>
      <c r="Z31" s="3996"/>
      <c r="AA31" s="3996"/>
      <c r="AB31" s="3996"/>
      <c r="AC31" s="1722" t="str">
        <f>IF(Místicos!Y31=0,"",VLOOKUP(Místicos!Y31,Tablas!$E$1129:$G$1803,2,FALSE))</f>
        <v/>
      </c>
      <c r="AD31" s="1986" t="str">
        <f t="shared" si="0"/>
        <v/>
      </c>
      <c r="AE31" s="3976"/>
      <c r="AF31" s="3753"/>
      <c r="AG31" s="3996"/>
      <c r="AH31" s="3996"/>
      <c r="AI31" s="3996"/>
      <c r="AJ31" s="3996"/>
      <c r="AK31" s="2356"/>
      <c r="AL31" s="1976">
        <f>IF(Místicos!AG31=0,0,VLOOKUP(Místicos!AG31,Tablas!E1539:F1668,2,FALSE)-10)</f>
        <v>0</v>
      </c>
      <c r="AM31" s="190"/>
      <c r="AN31" s="2088"/>
      <c r="AO31" s="2064"/>
      <c r="AP31" s="3985" t="s">
        <v>3235</v>
      </c>
      <c r="AQ31" s="3986"/>
      <c r="AR31" s="3986" t="s">
        <v>8234</v>
      </c>
      <c r="AS31" s="4147"/>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043" t="s">
        <v>2047</v>
      </c>
      <c r="D32" s="4043"/>
      <c r="E32" s="4043"/>
      <c r="F32" s="4043"/>
      <c r="G32" s="4043"/>
      <c r="H32" s="3851"/>
      <c r="I32" s="100"/>
      <c r="J32" s="4045" t="s">
        <v>1754</v>
      </c>
      <c r="K32" s="4046"/>
      <c r="L32" s="4046"/>
      <c r="M32" s="4046"/>
      <c r="N32" s="4046"/>
      <c r="O32" s="4046"/>
      <c r="P32" s="1987" t="s">
        <v>2048</v>
      </c>
      <c r="Q32" s="1961" t="s">
        <v>1824</v>
      </c>
      <c r="R32" s="68"/>
      <c r="S32" s="1807"/>
      <c r="T32" s="1584" t="str">
        <f t="shared" si="1"/>
        <v>Conjuros</v>
      </c>
      <c r="U32" s="190"/>
      <c r="V32" s="1975">
        <f>IF(AC32="",0,VLOOKUP(AC32,Tablas!$M$1024:$N$1033,2))</f>
        <v>0</v>
      </c>
      <c r="W32" s="3983"/>
      <c r="X32" s="3750"/>
      <c r="Y32" s="3995"/>
      <c r="Z32" s="3995"/>
      <c r="AA32" s="3995"/>
      <c r="AB32" s="3995"/>
      <c r="AC32" s="2330" t="str">
        <f>IF(Místicos!Y32=0,"",VLOOKUP(Místicos!Y32,Tablas!$E$1129:$G$1803,2,FALSE))</f>
        <v/>
      </c>
      <c r="AD32" s="1986" t="str">
        <f t="shared" si="0"/>
        <v/>
      </c>
      <c r="AE32" s="3983"/>
      <c r="AF32" s="3750"/>
      <c r="AG32" s="3995"/>
      <c r="AH32" s="3995"/>
      <c r="AI32" s="3995"/>
      <c r="AJ32" s="3995"/>
      <c r="AK32" s="2328"/>
      <c r="AL32" s="1976">
        <f>IF(Místicos!AG32=0,0,VLOOKUP(Místicos!AG32,Tablas!E1540:F1669,2,FALSE)-10)</f>
        <v>0</v>
      </c>
      <c r="AM32" s="190"/>
      <c r="AN32" s="2088"/>
      <c r="AO32" s="2064"/>
      <c r="AP32" s="4143">
        <f>Presencia_final*2+Bono_Des</f>
        <v>60</v>
      </c>
      <c r="AQ32" s="4144"/>
      <c r="AR32" s="4139"/>
      <c r="AS32" s="4140"/>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211"/>
      <c r="D33" s="4056"/>
      <c r="E33" s="4056"/>
      <c r="F33" s="4056"/>
      <c r="G33" s="4057"/>
      <c r="H33" s="22"/>
      <c r="I33" s="68"/>
      <c r="J33" s="4104"/>
      <c r="K33" s="4105"/>
      <c r="L33" s="4105"/>
      <c r="M33" s="4105"/>
      <c r="N33" s="4105"/>
      <c r="O33" s="4105"/>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76"/>
      <c r="X33" s="3753"/>
      <c r="Y33" s="3996"/>
      <c r="Z33" s="3996"/>
      <c r="AA33" s="3996"/>
      <c r="AB33" s="3996"/>
      <c r="AC33" s="1722" t="str">
        <f>IF(Místicos!Y33=0,"",VLOOKUP(Místicos!Y33,Tablas!$E$1129:$G$1803,2,FALSE))</f>
        <v/>
      </c>
      <c r="AD33" s="1986" t="str">
        <f t="shared" si="0"/>
        <v/>
      </c>
      <c r="AE33" s="3976"/>
      <c r="AF33" s="3753"/>
      <c r="AG33" s="3996"/>
      <c r="AH33" s="3996"/>
      <c r="AI33" s="3996"/>
      <c r="AJ33" s="3996"/>
      <c r="AK33" s="2356"/>
      <c r="AL33" s="1976">
        <f>IF(Místicos!AG33=0,0,VLOOKUP(Místicos!AG33,Tablas!E1541:F1670,2,FALSE)-10)</f>
        <v>0</v>
      </c>
      <c r="AM33" s="190"/>
      <c r="AN33" s="2088"/>
      <c r="AO33" s="2064"/>
      <c r="AP33" s="4145"/>
      <c r="AQ33" s="4146"/>
      <c r="AR33" s="4141"/>
      <c r="AS33" s="4142"/>
      <c r="AT33" s="1875"/>
      <c r="AU33" s="2062" t="s">
        <v>8927</v>
      </c>
      <c r="AV33" s="2098">
        <v>-14</v>
      </c>
      <c r="AW33" s="2106"/>
      <c r="AX33" s="1802"/>
      <c r="AY33" s="1986">
        <f>IF(AC33="",0,VLOOKUP(AC33,Tablas!$M$1024:$N$1033,2)*VLOOKUP(W33,Tabla_CosteConjuros,3))</f>
        <v>0</v>
      </c>
    </row>
    <row r="34" spans="1:60" ht="12" customHeight="1" x14ac:dyDescent="0.2">
      <c r="A34" s="190"/>
      <c r="B34" s="1799"/>
      <c r="C34" s="4055"/>
      <c r="D34" s="4055"/>
      <c r="E34" s="4055"/>
      <c r="F34" s="4055"/>
      <c r="G34" s="4055"/>
      <c r="H34" s="282"/>
      <c r="I34" s="68"/>
      <c r="J34" s="4061"/>
      <c r="K34" s="4062"/>
      <c r="L34" s="4062"/>
      <c r="M34" s="4062"/>
      <c r="N34" s="4062"/>
      <c r="O34" s="4062"/>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3"/>
      <c r="X34" s="3750"/>
      <c r="Y34" s="3995"/>
      <c r="Z34" s="3995"/>
      <c r="AA34" s="3995"/>
      <c r="AB34" s="3995"/>
      <c r="AC34" s="2330" t="str">
        <f>IF(Místicos!Y34=0,"",VLOOKUP(Místicos!Y34,Tablas!$E$1129:$G$1803,2,FALSE))</f>
        <v/>
      </c>
      <c r="AD34" s="1986" t="str">
        <f t="shared" si="0"/>
        <v/>
      </c>
      <c r="AE34" s="3983"/>
      <c r="AF34" s="3750"/>
      <c r="AG34" s="3995"/>
      <c r="AH34" s="3995"/>
      <c r="AI34" s="3995"/>
      <c r="AJ34" s="3995"/>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207"/>
      <c r="D35" s="3207"/>
      <c r="E35" s="3207"/>
      <c r="F35" s="3207"/>
      <c r="G35" s="3207"/>
      <c r="H35" s="22"/>
      <c r="I35" s="68"/>
      <c r="J35" s="4063"/>
      <c r="K35" s="4064"/>
      <c r="L35" s="4064"/>
      <c r="M35" s="4064"/>
      <c r="N35" s="4064"/>
      <c r="O35" s="4064"/>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76"/>
      <c r="X35" s="3753"/>
      <c r="Y35" s="3996"/>
      <c r="Z35" s="3996"/>
      <c r="AA35" s="3996"/>
      <c r="AB35" s="3996"/>
      <c r="AC35" s="1722" t="str">
        <f>IF(Místicos!Y35=0,"",VLOOKUP(Místicos!Y35,Tablas!$E$1129:$G$1803,2,FALSE))</f>
        <v/>
      </c>
      <c r="AD35" s="1986" t="str">
        <f t="shared" si="0"/>
        <v/>
      </c>
      <c r="AE35" s="3976"/>
      <c r="AF35" s="3753"/>
      <c r="AG35" s="3996"/>
      <c r="AH35" s="3996"/>
      <c r="AI35" s="3996"/>
      <c r="AJ35" s="399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55"/>
      <c r="D36" s="4055"/>
      <c r="E36" s="4055"/>
      <c r="F36" s="4055"/>
      <c r="G36" s="4055"/>
      <c r="H36" s="282"/>
      <c r="I36" s="68"/>
      <c r="J36" s="4061"/>
      <c r="K36" s="4062"/>
      <c r="L36" s="4062"/>
      <c r="M36" s="4062"/>
      <c r="N36" s="4062"/>
      <c r="O36" s="4062"/>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3"/>
      <c r="X36" s="3750"/>
      <c r="Y36" s="3995"/>
      <c r="Z36" s="3995"/>
      <c r="AA36" s="3995"/>
      <c r="AB36" s="3995"/>
      <c r="AC36" s="2330" t="str">
        <f>IF(Místicos!Y36=0,"",VLOOKUP(Místicos!Y36,Tablas!$E$1129:$G$1803,2,FALSE))</f>
        <v/>
      </c>
      <c r="AD36" s="1986" t="str">
        <f t="shared" si="0"/>
        <v/>
      </c>
      <c r="AE36" s="3983"/>
      <c r="AF36" s="3750"/>
      <c r="AG36" s="3995"/>
      <c r="AH36" s="3995"/>
      <c r="AI36" s="3995"/>
      <c r="AJ36" s="3995"/>
      <c r="AK36" s="2328"/>
      <c r="AL36" s="1976">
        <f>IF(Místicos!AG36=0,0,VLOOKUP(Místicos!AG36,Tablas!E1544:F1673,2,FALSE)-10)</f>
        <v>0</v>
      </c>
      <c r="AM36" s="190"/>
      <c r="AN36" s="2088"/>
      <c r="AO36" s="4130" t="s">
        <v>8937</v>
      </c>
      <c r="AP36" s="3984"/>
      <c r="AQ36" s="3984"/>
      <c r="AR36" s="3984"/>
      <c r="AS36" s="3984"/>
      <c r="AT36" s="3984"/>
      <c r="AU36" s="3984"/>
      <c r="AV36" s="4126"/>
      <c r="AW36" s="2106"/>
      <c r="AX36" s="1802"/>
      <c r="AY36" s="1986">
        <f>IF(AC36="",0,VLOOKUP(AC36,Tablas!$M$1024:$N$1033,2)*VLOOKUP(W36,Tabla_CosteConjuros,3))</f>
        <v>0</v>
      </c>
    </row>
    <row r="37" spans="1:60" ht="12" customHeight="1" x14ac:dyDescent="0.2">
      <c r="A37" s="190"/>
      <c r="B37" s="1799"/>
      <c r="C37" s="3207"/>
      <c r="D37" s="3207"/>
      <c r="E37" s="3207"/>
      <c r="F37" s="3207"/>
      <c r="G37" s="3207"/>
      <c r="H37" s="22"/>
      <c r="I37" s="68"/>
      <c r="J37" s="4063"/>
      <c r="K37" s="4064"/>
      <c r="L37" s="4064"/>
      <c r="M37" s="4064"/>
      <c r="N37" s="4064"/>
      <c r="O37" s="4064"/>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76"/>
      <c r="X37" s="3753"/>
      <c r="Y37" s="3996"/>
      <c r="Z37" s="3996"/>
      <c r="AA37" s="3996"/>
      <c r="AB37" s="3996"/>
      <c r="AC37" s="1722" t="str">
        <f>IF(Místicos!Y37=0,"",VLOOKUP(Místicos!Y37,Tablas!$E$1129:$G$1803,2,FALSE))</f>
        <v/>
      </c>
      <c r="AD37" s="1986" t="str">
        <f t="shared" si="0"/>
        <v/>
      </c>
      <c r="AE37" s="3976"/>
      <c r="AF37" s="3753"/>
      <c r="AG37" s="3996"/>
      <c r="AH37" s="3996"/>
      <c r="AI37" s="3996"/>
      <c r="AJ37" s="3996"/>
      <c r="AK37" s="2356"/>
      <c r="AL37" s="1976">
        <f>IF(Místicos!AG37=0,0,VLOOKUP(Místicos!AG37,Tablas!E1545:F1674,2,FALSE)-10)</f>
        <v>0</v>
      </c>
      <c r="AM37" s="190"/>
      <c r="AN37" s="2089"/>
      <c r="AO37" s="2093" t="s">
        <v>8931</v>
      </c>
      <c r="AP37" s="4058" t="s">
        <v>8958</v>
      </c>
      <c r="AQ37" s="4059"/>
      <c r="AR37" s="4059"/>
      <c r="AS37" s="4059"/>
      <c r="AT37" s="4059"/>
      <c r="AU37" s="4059"/>
      <c r="AV37" s="4060"/>
      <c r="AW37" s="2106"/>
      <c r="AX37" s="1802"/>
      <c r="AY37" s="1986">
        <f>IF(AC37="",0,VLOOKUP(AC37,Tablas!$M$1024:$N$1033,2)*VLOOKUP(W37,Tabla_CosteConjuros,3))</f>
        <v>0</v>
      </c>
      <c r="BB37" s="1985"/>
    </row>
    <row r="38" spans="1:60" ht="12" customHeight="1" x14ac:dyDescent="0.2">
      <c r="A38" s="190"/>
      <c r="B38" s="1799"/>
      <c r="C38" s="4055"/>
      <c r="D38" s="4055"/>
      <c r="E38" s="4055"/>
      <c r="F38" s="4055"/>
      <c r="G38" s="4055"/>
      <c r="H38" s="282"/>
      <c r="I38" s="68"/>
      <c r="J38" s="4061"/>
      <c r="K38" s="4062"/>
      <c r="L38" s="4062"/>
      <c r="M38" s="4062"/>
      <c r="N38" s="4062"/>
      <c r="O38" s="4062"/>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3"/>
      <c r="X38" s="3750"/>
      <c r="Y38" s="3995"/>
      <c r="Z38" s="3995"/>
      <c r="AA38" s="3995"/>
      <c r="AB38" s="3995"/>
      <c r="AC38" s="2330" t="str">
        <f>IF(Místicos!Y38=0,"",VLOOKUP(Místicos!Y38,Tablas!$E$1129:$G$1803,2,FALSE))</f>
        <v/>
      </c>
      <c r="AD38" s="1986" t="str">
        <f t="shared" si="0"/>
        <v/>
      </c>
      <c r="AE38" s="3983"/>
      <c r="AF38" s="3750"/>
      <c r="AG38" s="3995"/>
      <c r="AH38" s="3995"/>
      <c r="AI38" s="3995"/>
      <c r="AJ38" s="3995"/>
      <c r="AK38" s="2328"/>
      <c r="AL38" s="1976">
        <f>IF(Místicos!AG38=0,0,VLOOKUP(Místicos!AG38,Tablas!E1546:F1675,2,FALSE)-10)</f>
        <v>0</v>
      </c>
      <c r="AM38" s="190"/>
      <c r="AN38" s="2089"/>
      <c r="AO38" s="2094" t="s">
        <v>8932</v>
      </c>
      <c r="AP38" s="4135" t="s">
        <v>8957</v>
      </c>
      <c r="AQ38" s="4136"/>
      <c r="AR38" s="4136"/>
      <c r="AS38" s="4136"/>
      <c r="AT38" s="4136"/>
      <c r="AU38" s="4136"/>
      <c r="AV38" s="4136"/>
      <c r="AW38" s="2106"/>
      <c r="AX38" s="1802"/>
      <c r="AY38" s="1986">
        <f>IF(AC38="",0,VLOOKUP(AC38,Tablas!$M$1024:$N$1033,2)*VLOOKUP(W38,Tabla_CosteConjuros,3))</f>
        <v>0</v>
      </c>
    </row>
    <row r="39" spans="1:60" ht="12" customHeight="1" x14ac:dyDescent="0.2">
      <c r="A39" s="190"/>
      <c r="B39" s="1799"/>
      <c r="C39" s="3207"/>
      <c r="D39" s="3207"/>
      <c r="E39" s="3207"/>
      <c r="F39" s="3207"/>
      <c r="G39" s="3207"/>
      <c r="H39" s="22"/>
      <c r="I39" s="68"/>
      <c r="J39" s="4063"/>
      <c r="K39" s="4064"/>
      <c r="L39" s="4064"/>
      <c r="M39" s="4064"/>
      <c r="N39" s="4064"/>
      <c r="O39" s="4064"/>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76"/>
      <c r="X39" s="3753"/>
      <c r="Y39" s="3996"/>
      <c r="Z39" s="3996"/>
      <c r="AA39" s="3996"/>
      <c r="AB39" s="3996"/>
      <c r="AC39" s="1722" t="str">
        <f>IF(Místicos!Y39=0,"",VLOOKUP(Místicos!Y39,Tablas!$E$1129:$G$1803,2,FALSE))</f>
        <v/>
      </c>
      <c r="AD39" s="1986" t="str">
        <f t="shared" si="0"/>
        <v/>
      </c>
      <c r="AE39" s="3976"/>
      <c r="AF39" s="3753"/>
      <c r="AG39" s="3996"/>
      <c r="AH39" s="3996"/>
      <c r="AI39" s="3996"/>
      <c r="AJ39" s="3996"/>
      <c r="AK39" s="2356"/>
      <c r="AL39" s="1976">
        <f>IF(Místicos!AG39=0,0,VLOOKUP(Místicos!AG39,Tablas!E1547:F1676,2,FALSE)-10)</f>
        <v>0</v>
      </c>
      <c r="AM39" s="190"/>
      <c r="AN39" s="2089"/>
      <c r="AO39" s="2094" t="s">
        <v>8933</v>
      </c>
      <c r="AP39" s="4135" t="s">
        <v>8956</v>
      </c>
      <c r="AQ39" s="4136"/>
      <c r="AR39" s="4136"/>
      <c r="AS39" s="4136"/>
      <c r="AT39" s="4136"/>
      <c r="AU39" s="4136"/>
      <c r="AV39" s="4136"/>
      <c r="AW39" s="2106"/>
      <c r="AX39" s="1802"/>
      <c r="AY39" s="1986">
        <f>IF(AC39="",0,VLOOKUP(AC39,Tablas!$M$1024:$N$1033,2)*VLOOKUP(W39,Tabla_CosteConjuros,3))</f>
        <v>0</v>
      </c>
    </row>
    <row r="40" spans="1:60" ht="12" customHeight="1" x14ac:dyDescent="0.2">
      <c r="A40" s="190"/>
      <c r="B40" s="1799"/>
      <c r="C40" s="4055"/>
      <c r="D40" s="4055"/>
      <c r="E40" s="4055"/>
      <c r="F40" s="4055"/>
      <c r="G40" s="4055"/>
      <c r="H40" s="282"/>
      <c r="I40" s="68"/>
      <c r="J40" s="4061"/>
      <c r="K40" s="4062"/>
      <c r="L40" s="4062"/>
      <c r="M40" s="4062"/>
      <c r="N40" s="4062"/>
      <c r="O40" s="4062"/>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3"/>
      <c r="X40" s="3750"/>
      <c r="Y40" s="3995"/>
      <c r="Z40" s="3995"/>
      <c r="AA40" s="3995"/>
      <c r="AB40" s="3995"/>
      <c r="AC40" s="2330" t="str">
        <f>IF(Místicos!Y40=0,"",VLOOKUP(Místicos!Y40,Tablas!$E$1129:$G$1803,2,FALSE))</f>
        <v/>
      </c>
      <c r="AD40" s="1986" t="str">
        <f t="shared" si="0"/>
        <v/>
      </c>
      <c r="AE40" s="3983"/>
      <c r="AF40" s="3750"/>
      <c r="AG40" s="3995"/>
      <c r="AH40" s="3995"/>
      <c r="AI40" s="3995"/>
      <c r="AJ40" s="3995"/>
      <c r="AK40" s="2328"/>
      <c r="AL40" s="1976">
        <f>IF(Místicos!AG40=0,0,VLOOKUP(Místicos!AG40,Tablas!E1548:F1677,2,FALSE)-10)</f>
        <v>0</v>
      </c>
      <c r="AM40" s="190"/>
      <c r="AN40" s="2089"/>
      <c r="AO40" s="2094" t="s">
        <v>8934</v>
      </c>
      <c r="AP40" s="4135" t="s">
        <v>8965</v>
      </c>
      <c r="AQ40" s="4136"/>
      <c r="AR40" s="4136"/>
      <c r="AS40" s="4136"/>
      <c r="AT40" s="4136"/>
      <c r="AU40" s="4136"/>
      <c r="AV40" s="4136"/>
      <c r="AW40" s="2106"/>
      <c r="AX40" s="1802"/>
      <c r="AY40" s="1986">
        <f>IF(AC40="",0,VLOOKUP(AC40,Tablas!$M$1024:$N$1033,2)*VLOOKUP(W40,Tabla_CosteConjuros,3))</f>
        <v>0</v>
      </c>
    </row>
    <row r="41" spans="1:60" ht="12" customHeight="1" x14ac:dyDescent="0.2">
      <c r="A41" s="190"/>
      <c r="B41" s="1799"/>
      <c r="C41" s="3207"/>
      <c r="D41" s="3207"/>
      <c r="E41" s="3207"/>
      <c r="F41" s="3207"/>
      <c r="G41" s="3207"/>
      <c r="H41" s="22"/>
      <c r="I41" s="68"/>
      <c r="J41" s="4063"/>
      <c r="K41" s="4064"/>
      <c r="L41" s="4064"/>
      <c r="M41" s="4064"/>
      <c r="N41" s="4064"/>
      <c r="O41" s="4064"/>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76"/>
      <c r="X41" s="3753"/>
      <c r="Y41" s="3996"/>
      <c r="Z41" s="3996"/>
      <c r="AA41" s="3996"/>
      <c r="AB41" s="3996"/>
      <c r="AC41" s="1722" t="str">
        <f>IF(Místicos!Y41=0,"",VLOOKUP(Místicos!Y41,Tablas!$E$1129:$G$1803,2,FALSE))</f>
        <v/>
      </c>
      <c r="AD41" s="1986" t="str">
        <f t="shared" si="0"/>
        <v/>
      </c>
      <c r="AE41" s="3976"/>
      <c r="AF41" s="3753"/>
      <c r="AG41" s="3996"/>
      <c r="AH41" s="3996"/>
      <c r="AI41" s="3996"/>
      <c r="AJ41" s="3996"/>
      <c r="AK41" s="2356"/>
      <c r="AL41" s="1976">
        <f>IF(Místicos!AG41=0,0,VLOOKUP(Místicos!AG41,Tablas!E1549:F1678,2,FALSE)-10)</f>
        <v>0</v>
      </c>
      <c r="AM41" s="190"/>
      <c r="AN41" s="2089"/>
      <c r="AO41" s="2094" t="s">
        <v>8935</v>
      </c>
      <c r="AP41" s="4135" t="s">
        <v>8955</v>
      </c>
      <c r="AQ41" s="4136"/>
      <c r="AR41" s="4136"/>
      <c r="AS41" s="4136"/>
      <c r="AT41" s="4136"/>
      <c r="AU41" s="4136"/>
      <c r="AV41" s="4136"/>
      <c r="AW41" s="2106"/>
      <c r="AX41" s="1802"/>
      <c r="AY41" s="1986">
        <f>IF(AC41="",0,VLOOKUP(AC41,Tablas!$M$1024:$N$1033,2)*VLOOKUP(W41,Tabla_CosteConjuros,3))</f>
        <v>0</v>
      </c>
    </row>
    <row r="42" spans="1:60" ht="12" customHeight="1" thickBot="1" x14ac:dyDescent="0.25">
      <c r="A42" s="190"/>
      <c r="B42" s="1799"/>
      <c r="C42" s="4055"/>
      <c r="D42" s="4055"/>
      <c r="E42" s="4055"/>
      <c r="F42" s="4055"/>
      <c r="G42" s="4055"/>
      <c r="H42" s="282"/>
      <c r="I42" s="68"/>
      <c r="J42" s="4061"/>
      <c r="K42" s="4062"/>
      <c r="L42" s="4062"/>
      <c r="M42" s="4062"/>
      <c r="N42" s="4062"/>
      <c r="O42" s="4062"/>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3"/>
      <c r="X42" s="3750"/>
      <c r="Y42" s="3995"/>
      <c r="Z42" s="3995"/>
      <c r="AA42" s="3995"/>
      <c r="AB42" s="3995"/>
      <c r="AC42" s="2330" t="str">
        <f>IF(Místicos!Y42=0,"",VLOOKUP(Místicos!Y42,Tablas!$E$1129:$G$1803,2,FALSE))</f>
        <v/>
      </c>
      <c r="AD42" s="1986" t="str">
        <f t="shared" si="0"/>
        <v/>
      </c>
      <c r="AE42" s="3983"/>
      <c r="AF42" s="3750"/>
      <c r="AG42" s="3995"/>
      <c r="AH42" s="3995"/>
      <c r="AI42" s="3995"/>
      <c r="AJ42" s="3995"/>
      <c r="AK42" s="2328"/>
      <c r="AL42" s="1976">
        <f>IF(Místicos!AG42=0,0,VLOOKUP(Místicos!AG42,Tablas!E1550:F1679,2,FALSE)-10)</f>
        <v>0</v>
      </c>
      <c r="AM42" s="190"/>
      <c r="AN42" s="2089"/>
      <c r="AO42" s="2095">
        <v>-9</v>
      </c>
      <c r="AP42" s="4137" t="s">
        <v>8954</v>
      </c>
      <c r="AQ42" s="4138"/>
      <c r="AR42" s="4138"/>
      <c r="AS42" s="4138"/>
      <c r="AT42" s="4138"/>
      <c r="AU42" s="4138"/>
      <c r="AV42" s="4138"/>
      <c r="AW42" s="2106"/>
      <c r="AX42" s="1802"/>
      <c r="AY42" s="1986">
        <f>IF(AC42="",0,VLOOKUP(AC42,Tablas!$M$1024:$N$1033,2)*VLOOKUP(W42,Tabla_CosteConjuros,3))</f>
        <v>0</v>
      </c>
    </row>
    <row r="43" spans="1:60" ht="12" customHeight="1" thickBot="1" x14ac:dyDescent="0.25">
      <c r="A43" s="190"/>
      <c r="B43" s="1799"/>
      <c r="C43" s="3207"/>
      <c r="D43" s="3207"/>
      <c r="E43" s="3207"/>
      <c r="F43" s="3207"/>
      <c r="G43" s="3207"/>
      <c r="H43" s="22"/>
      <c r="I43" s="68"/>
      <c r="J43" s="4063"/>
      <c r="K43" s="4064"/>
      <c r="L43" s="4064"/>
      <c r="M43" s="4064"/>
      <c r="N43" s="4064"/>
      <c r="O43" s="4064"/>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76"/>
      <c r="X43" s="3753"/>
      <c r="Y43" s="3996"/>
      <c r="Z43" s="3996"/>
      <c r="AA43" s="3996"/>
      <c r="AB43" s="3996"/>
      <c r="AC43" s="1722" t="str">
        <f>IF(Místicos!Y43=0,"",VLOOKUP(Místicos!Y43,Tablas!$E$1129:$G$1803,2,FALSE))</f>
        <v/>
      </c>
      <c r="AD43" s="1986" t="str">
        <f t="shared" si="0"/>
        <v/>
      </c>
      <c r="AE43" s="3976"/>
      <c r="AF43" s="3753"/>
      <c r="AG43" s="3996"/>
      <c r="AH43" s="3996"/>
      <c r="AI43" s="3996"/>
      <c r="AJ43" s="399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55"/>
      <c r="D44" s="4055"/>
      <c r="E44" s="4055"/>
      <c r="F44" s="4055"/>
      <c r="G44" s="4055"/>
      <c r="H44" s="282"/>
      <c r="I44" s="68"/>
      <c r="J44" s="4061"/>
      <c r="K44" s="4062"/>
      <c r="L44" s="4062"/>
      <c r="M44" s="4062"/>
      <c r="N44" s="4062"/>
      <c r="O44" s="4062"/>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3"/>
      <c r="X44" s="3750"/>
      <c r="Y44" s="3995"/>
      <c r="Z44" s="3995"/>
      <c r="AA44" s="3995"/>
      <c r="AB44" s="3995"/>
      <c r="AC44" s="2330" t="str">
        <f>IF(Místicos!Y44=0,"",VLOOKUP(Místicos!Y44,Tablas!$E$1129:$G$1803,2,FALSE))</f>
        <v/>
      </c>
      <c r="AD44" s="1986" t="str">
        <f t="shared" si="0"/>
        <v/>
      </c>
      <c r="AE44" s="3983"/>
      <c r="AF44" s="3750"/>
      <c r="AG44" s="3995"/>
      <c r="AH44" s="3995"/>
      <c r="AI44" s="3995"/>
      <c r="AJ44" s="3995"/>
      <c r="AK44" s="2328"/>
      <c r="AL44" s="1976">
        <f>IF(Místicos!AG44=0,0,VLOOKUP(Místicos!AG44,Tablas!E1552:F1681,2,FALSE)-10)</f>
        <v>0</v>
      </c>
      <c r="AM44" s="190"/>
      <c r="AN44" s="2089"/>
      <c r="AO44" s="4109" t="str">
        <f>IF(OR(AS10="General",AS10="Magia Natural"),"",AS10)</f>
        <v/>
      </c>
      <c r="AP44" s="4110"/>
      <c r="AQ44" s="4110"/>
      <c r="AR44" s="4110"/>
      <c r="AS44" s="4110"/>
      <c r="AT44" s="4110"/>
      <c r="AU44" s="4110"/>
      <c r="AV44" s="4111"/>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207"/>
      <c r="D45" s="3207"/>
      <c r="E45" s="3207"/>
      <c r="F45" s="3207"/>
      <c r="G45" s="3207"/>
      <c r="H45" s="22"/>
      <c r="I45" s="68"/>
      <c r="J45" s="4063"/>
      <c r="K45" s="4064"/>
      <c r="L45" s="4064"/>
      <c r="M45" s="4064"/>
      <c r="N45" s="4064"/>
      <c r="O45" s="4064"/>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76"/>
      <c r="X45" s="3753"/>
      <c r="Y45" s="3996"/>
      <c r="Z45" s="3996"/>
      <c r="AA45" s="3996"/>
      <c r="AB45" s="3996"/>
      <c r="AC45" s="1722" t="str">
        <f>IF(Místicos!Y45=0,"",VLOOKUP(Místicos!Y45,Tablas!$E$1129:$G$1803,2,FALSE))</f>
        <v/>
      </c>
      <c r="AD45" s="1986" t="str">
        <f t="shared" si="0"/>
        <v/>
      </c>
      <c r="AE45" s="3976"/>
      <c r="AF45" s="3753"/>
      <c r="AG45" s="3996"/>
      <c r="AH45" s="3996"/>
      <c r="AI45" s="3996"/>
      <c r="AJ45" s="3996"/>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55"/>
      <c r="D46" s="4055"/>
      <c r="E46" s="4055"/>
      <c r="F46" s="4055"/>
      <c r="G46" s="4055"/>
      <c r="H46" s="282"/>
      <c r="I46" s="68"/>
      <c r="J46" s="4061"/>
      <c r="K46" s="4062"/>
      <c r="L46" s="4062"/>
      <c r="M46" s="4062"/>
      <c r="N46" s="4062"/>
      <c r="O46" s="4062"/>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3"/>
      <c r="X46" s="3750"/>
      <c r="Y46" s="3995"/>
      <c r="Z46" s="3995"/>
      <c r="AA46" s="3995"/>
      <c r="AB46" s="3995"/>
      <c r="AC46" s="2330" t="str">
        <f>IF(Místicos!Y46=0,"",VLOOKUP(Místicos!Y46,Tablas!$E$1129:$G$1803,2,FALSE))</f>
        <v/>
      </c>
      <c r="AD46" s="1986" t="str">
        <f t="shared" si="0"/>
        <v/>
      </c>
      <c r="AE46" s="3983"/>
      <c r="AF46" s="3750"/>
      <c r="AG46" s="3995"/>
      <c r="AH46" s="3995"/>
      <c r="AI46" s="3995"/>
      <c r="AJ46" s="3995"/>
      <c r="AK46" s="2328"/>
      <c r="AL46" s="1976">
        <f>IF(Místicos!AG46=0,0,VLOOKUP(Místicos!AG46,Tablas!E1554:F1683,2,FALSE)-10)</f>
        <v>0</v>
      </c>
      <c r="AM46" s="190"/>
      <c r="AN46" s="2089"/>
      <c r="AO46" s="3985"/>
      <c r="AP46" s="3986"/>
      <c r="AQ46" s="3984" t="str">
        <f>IF($AZ$45,"Caligrafía ritual",IF($BA$45,"Vínculos Físicos",IF($BB$45,"Zonas Espirituales","""")))</f>
        <v>"</v>
      </c>
      <c r="AR46" s="3984"/>
      <c r="AS46" s="3984"/>
      <c r="AT46" s="3984"/>
      <c r="AU46" s="4150"/>
      <c r="AV46" s="4151"/>
      <c r="AW46" s="2106"/>
      <c r="AX46" s="1802"/>
      <c r="AY46" s="1986">
        <f>IF(AC46="",0,VLOOKUP(AC46,Tablas!$M$1024:$N$1033,2)*VLOOKUP(W46,Tabla_CosteConjuros,3))</f>
        <v>0</v>
      </c>
    </row>
    <row r="47" spans="1:60" ht="12" customHeight="1" x14ac:dyDescent="0.2">
      <c r="A47" s="190"/>
      <c r="B47" s="1799"/>
      <c r="C47" s="3207"/>
      <c r="D47" s="3207"/>
      <c r="E47" s="3207"/>
      <c r="F47" s="3207"/>
      <c r="G47" s="3207"/>
      <c r="H47" s="22"/>
      <c r="I47" s="68"/>
      <c r="J47" s="4063"/>
      <c r="K47" s="4064"/>
      <c r="L47" s="4064"/>
      <c r="M47" s="4064"/>
      <c r="N47" s="4064"/>
      <c r="O47" s="4064"/>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76"/>
      <c r="X47" s="3753"/>
      <c r="Y47" s="3996"/>
      <c r="Z47" s="3996"/>
      <c r="AA47" s="3996"/>
      <c r="AB47" s="3996"/>
      <c r="AC47" s="1722" t="str">
        <f>IF(Místicos!Y47=0,"",VLOOKUP(Místicos!Y47,Tablas!$E$1129:$G$1803,2,FALSE))</f>
        <v/>
      </c>
      <c r="AD47" s="1986" t="str">
        <f t="shared" si="0"/>
        <v/>
      </c>
      <c r="AE47" s="3976"/>
      <c r="AF47" s="3753"/>
      <c r="AG47" s="3996"/>
      <c r="AH47" s="3996"/>
      <c r="AI47" s="3996"/>
      <c r="AJ47" s="3996"/>
      <c r="AK47" s="2356"/>
      <c r="AL47" s="1976">
        <f>IF(Místicos!AG47=0,0,VLOOKUP(Místicos!AG47,Tablas!E1555:F1684,2,FALSE)-10)</f>
        <v>0</v>
      </c>
      <c r="AM47" s="190"/>
      <c r="AN47" s="2089"/>
      <c r="AO47" s="3961" t="str">
        <f>IF($AZ$45,"Nv. Conjuro  Dif.",IF($BA$45,"",IF($BB$45,"Tipo de zona","""")))</f>
        <v>"</v>
      </c>
      <c r="AP47" s="3962"/>
      <c r="AQ47" s="4000" t="str">
        <f>IF($AZ$45,"Tiempo empleado en la preparación",IF($BA$45,"Objeto a consumir - Bono a RM",IF($BB$45,"Descripción","")))</f>
        <v/>
      </c>
      <c r="AR47" s="4000"/>
      <c r="AS47" s="4000"/>
      <c r="AT47" s="4000"/>
      <c r="AU47" s="4000" t="str">
        <f>IF($AZ$45,"Bono",IF($BA$45,"",IF($BB$45,"Llamar espíritus","")))</f>
        <v/>
      </c>
      <c r="AV47" s="4168"/>
      <c r="AW47" s="2106"/>
      <c r="AX47" s="1802"/>
      <c r="AY47" s="1986">
        <f>IF(AC47="",0,VLOOKUP(AC47,Tablas!$M$1024:$N$1033,2)*VLOOKUP(W47,Tabla_CosteConjuros,3))</f>
        <v>0</v>
      </c>
      <c r="AZ47" s="3999" t="s">
        <v>8978</v>
      </c>
      <c r="BA47" s="3999"/>
      <c r="BB47" s="3999"/>
      <c r="BC47" s="3999" t="s">
        <v>8990</v>
      </c>
      <c r="BD47" s="3999"/>
      <c r="BE47" s="3999"/>
      <c r="BF47" s="3999" t="s">
        <v>8991</v>
      </c>
      <c r="BG47" s="3999"/>
      <c r="BH47" s="3999"/>
    </row>
    <row r="48" spans="1:60" ht="12" customHeight="1" x14ac:dyDescent="0.2">
      <c r="A48" s="190"/>
      <c r="B48" s="1799"/>
      <c r="C48" s="4055"/>
      <c r="D48" s="4055"/>
      <c r="E48" s="4055"/>
      <c r="F48" s="4055"/>
      <c r="G48" s="4055"/>
      <c r="H48" s="282"/>
      <c r="I48" s="68"/>
      <c r="J48" s="4061"/>
      <c r="K48" s="4062"/>
      <c r="L48" s="4062"/>
      <c r="M48" s="4062"/>
      <c r="N48" s="4062"/>
      <c r="O48" s="4062"/>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3"/>
      <c r="X48" s="3750"/>
      <c r="Y48" s="3995"/>
      <c r="Z48" s="3995"/>
      <c r="AA48" s="3995"/>
      <c r="AB48" s="3995"/>
      <c r="AC48" s="2330" t="str">
        <f>IF(Místicos!Y48=0,"",VLOOKUP(Místicos!Y48,Tablas!$E$1129:$G$1803,2,FALSE))</f>
        <v/>
      </c>
      <c r="AD48" s="1986" t="str">
        <f t="shared" si="0"/>
        <v/>
      </c>
      <c r="AE48" s="3983"/>
      <c r="AF48" s="3750"/>
      <c r="AG48" s="3995"/>
      <c r="AH48" s="3995"/>
      <c r="AI48" s="3995"/>
      <c r="AJ48" s="3995"/>
      <c r="AK48" s="2328"/>
      <c r="AL48" s="1976">
        <f>IF(Místicos!AG48=0,0,VLOOKUP(Místicos!AG48,Tablas!E1556:F1685,2,FALSE)-10)</f>
        <v>0</v>
      </c>
      <c r="AM48" s="190"/>
      <c r="AN48" s="2089"/>
      <c r="AO48" s="3987" t="str">
        <f>IF($AZ$45,AZ48,IF($BA$45,BA48,IF($BB$45,BB48,"")))</f>
        <v/>
      </c>
      <c r="AP48" s="3988"/>
      <c r="AQ48" s="3963" t="str">
        <f>IF($AZ$45,BC48,IF($BA$45,BD48,IF($BB$45,BE48,"")))</f>
        <v/>
      </c>
      <c r="AR48" s="3963"/>
      <c r="AS48" s="3963"/>
      <c r="AT48" s="3963"/>
      <c r="AU48" s="3963" t="str">
        <f t="shared" ref="AU48:AU55" si="2">IF($AZ$45,BF48,IF($BA$45,BG48,IF($BB$45,BH48,"")))</f>
        <v/>
      </c>
      <c r="AV48" s="3967"/>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207"/>
      <c r="D49" s="3207"/>
      <c r="E49" s="3207"/>
      <c r="F49" s="3207"/>
      <c r="G49" s="3207"/>
      <c r="H49" s="22"/>
      <c r="I49" s="68"/>
      <c r="J49" s="4063"/>
      <c r="K49" s="4064"/>
      <c r="L49" s="4064"/>
      <c r="M49" s="4064"/>
      <c r="N49" s="4064"/>
      <c r="O49" s="4064"/>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76"/>
      <c r="X49" s="3753"/>
      <c r="Y49" s="3996"/>
      <c r="Z49" s="3996"/>
      <c r="AA49" s="3996"/>
      <c r="AB49" s="3996"/>
      <c r="AC49" s="1722" t="str">
        <f>IF(Místicos!Y49=0,"",VLOOKUP(Místicos!Y49,Tablas!$E$1129:$G$1803,2,FALSE))</f>
        <v/>
      </c>
      <c r="AD49" s="1986" t="str">
        <f t="shared" si="0"/>
        <v/>
      </c>
      <c r="AE49" s="3976"/>
      <c r="AF49" s="3753"/>
      <c r="AG49" s="3996"/>
      <c r="AH49" s="3996"/>
      <c r="AI49" s="3996"/>
      <c r="AJ49" s="3996"/>
      <c r="AK49" s="2356"/>
      <c r="AL49" s="1976">
        <f>IF(Místicos!AG49=0,0,VLOOKUP(Místicos!AG49,Tablas!E1557:F1686,2,FALSE)-10)</f>
        <v>0</v>
      </c>
      <c r="AM49" s="190"/>
      <c r="AN49" s="2089"/>
      <c r="AO49" s="3987" t="str">
        <f t="shared" ref="AO49:AO52" si="3">IF($AZ$45,AZ49,IF($BA$45,BA49,IF($BB$45,BB49,"")))</f>
        <v/>
      </c>
      <c r="AP49" s="3988"/>
      <c r="AQ49" s="3963" t="str">
        <f t="shared" ref="AQ49:AQ52" si="4">IF($AZ$45,BC49,IF($BA$45,BD49,IF($BB$45,BE49,"")))</f>
        <v/>
      </c>
      <c r="AR49" s="3963"/>
      <c r="AS49" s="3963"/>
      <c r="AT49" s="3963"/>
      <c r="AU49" s="3963" t="str">
        <f t="shared" si="2"/>
        <v/>
      </c>
      <c r="AV49" s="3967"/>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55"/>
      <c r="D50" s="4055"/>
      <c r="E50" s="4055"/>
      <c r="F50" s="4055"/>
      <c r="G50" s="4055"/>
      <c r="H50" s="282"/>
      <c r="I50" s="68"/>
      <c r="J50" s="4061"/>
      <c r="K50" s="4062"/>
      <c r="L50" s="4062"/>
      <c r="M50" s="4062"/>
      <c r="N50" s="4062"/>
      <c r="O50" s="4062"/>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66"/>
      <c r="X50" s="4067"/>
      <c r="Y50" s="4065"/>
      <c r="Z50" s="4065"/>
      <c r="AA50" s="4065"/>
      <c r="AB50" s="4065"/>
      <c r="AC50" s="2331" t="str">
        <f>IF(Místicos!Y50=0,"",VLOOKUP(Místicos!Y50,Tablas!$E$1129:$G$1803,2,FALSE))</f>
        <v/>
      </c>
      <c r="AD50" s="1986" t="str">
        <f t="shared" si="0"/>
        <v/>
      </c>
      <c r="AE50" s="4066"/>
      <c r="AF50" s="4067"/>
      <c r="AG50" s="4065"/>
      <c r="AH50" s="4065"/>
      <c r="AI50" s="4065"/>
      <c r="AJ50" s="4065"/>
      <c r="AK50" s="2329"/>
      <c r="AL50" s="1976">
        <f>IF(Místicos!AG50=0,0,VLOOKUP(Místicos!AG50,Tablas!E1558:F1687,2,FALSE)-10)</f>
        <v>0</v>
      </c>
      <c r="AM50" s="190"/>
      <c r="AN50" s="2089"/>
      <c r="AO50" s="3987" t="str">
        <f t="shared" si="3"/>
        <v/>
      </c>
      <c r="AP50" s="3988"/>
      <c r="AQ50" s="3963" t="str">
        <f t="shared" si="4"/>
        <v/>
      </c>
      <c r="AR50" s="3963"/>
      <c r="AS50" s="3963"/>
      <c r="AT50" s="3963"/>
      <c r="AU50" s="3963" t="str">
        <f t="shared" si="2"/>
        <v/>
      </c>
      <c r="AV50" s="3967"/>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207"/>
      <c r="D51" s="3207"/>
      <c r="E51" s="3207"/>
      <c r="F51" s="3207"/>
      <c r="G51" s="3207"/>
      <c r="H51" s="22"/>
      <c r="I51" s="68"/>
      <c r="J51" s="4063"/>
      <c r="K51" s="4064"/>
      <c r="L51" s="4064"/>
      <c r="M51" s="4064"/>
      <c r="N51" s="4064"/>
      <c r="O51" s="4064"/>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87" t="str">
        <f t="shared" si="3"/>
        <v/>
      </c>
      <c r="AP51" s="3988"/>
      <c r="AQ51" s="3963" t="str">
        <f t="shared" si="4"/>
        <v/>
      </c>
      <c r="AR51" s="3963"/>
      <c r="AS51" s="3963"/>
      <c r="AT51" s="3963"/>
      <c r="AU51" s="3963" t="str">
        <f t="shared" si="2"/>
        <v/>
      </c>
      <c r="AV51" s="3967"/>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55"/>
      <c r="D52" s="4055"/>
      <c r="E52" s="4055"/>
      <c r="F52" s="4055"/>
      <c r="G52" s="4055"/>
      <c r="H52" s="282"/>
      <c r="I52" s="68"/>
      <c r="J52" s="4061"/>
      <c r="K52" s="4062"/>
      <c r="L52" s="4062"/>
      <c r="M52" s="4062"/>
      <c r="N52" s="4062"/>
      <c r="O52" s="4062"/>
      <c r="P52" s="1921" t="str">
        <f>IF(J52=0,"",VLOOKUP(J52,Tablas!$R$1157:$T$1326,2,FALSE))</f>
        <v/>
      </c>
      <c r="Q52" s="1963" t="str">
        <f>IF(J52=0,"",VLOOKUP(J52,Tablas!$R$1157:$T$1326,3,FALSE)*IF($P$25="Invocador",0.5,1))</f>
        <v/>
      </c>
      <c r="R52" s="68"/>
      <c r="S52" s="1807"/>
      <c r="T52" s="1584"/>
      <c r="U52" s="190"/>
      <c r="V52" s="1977"/>
      <c r="W52" s="3273" t="s">
        <v>2052</v>
      </c>
      <c r="X52" s="3274"/>
      <c r="Y52" s="3274"/>
      <c r="Z52" s="3274"/>
      <c r="AA52" s="3274"/>
      <c r="AB52" s="4070" t="s">
        <v>1866</v>
      </c>
      <c r="AC52" s="4070"/>
      <c r="AD52" s="4070"/>
      <c r="AE52" s="4070"/>
      <c r="AF52" s="4070"/>
      <c r="AG52" s="4070"/>
      <c r="AH52" s="4070"/>
      <c r="AI52" s="4070"/>
      <c r="AJ52" s="4070"/>
      <c r="AK52" s="4071"/>
      <c r="AL52" s="1978"/>
      <c r="AM52" s="190"/>
      <c r="AN52" s="2089"/>
      <c r="AO52" s="3987" t="str">
        <f t="shared" si="3"/>
        <v/>
      </c>
      <c r="AP52" s="3988"/>
      <c r="AQ52" s="3963" t="str">
        <f t="shared" si="4"/>
        <v/>
      </c>
      <c r="AR52" s="3963"/>
      <c r="AS52" s="3963"/>
      <c r="AT52" s="3963"/>
      <c r="AU52" s="3963" t="str">
        <f t="shared" si="2"/>
        <v/>
      </c>
      <c r="AV52" s="3967"/>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207"/>
      <c r="D53" s="3207"/>
      <c r="E53" s="3207"/>
      <c r="F53" s="3207"/>
      <c r="G53" s="3207"/>
      <c r="H53" s="22"/>
      <c r="I53" s="68"/>
      <c r="J53" s="4063"/>
      <c r="K53" s="4064"/>
      <c r="L53" s="4064"/>
      <c r="M53" s="4064"/>
      <c r="N53" s="4064"/>
      <c r="O53" s="4064"/>
      <c r="P53" s="1920" t="str">
        <f>IF(J53=0,"",VLOOKUP(J53,Tablas!$R$1157:$T$1326,2,FALSE))</f>
        <v/>
      </c>
      <c r="Q53" s="1962" t="str">
        <f>IF(J53=0,"",VLOOKUP(J53,Tablas!$R$1157:$T$1326,3,FALSE)*IF($P$25="Invocador",0.5,1))</f>
        <v/>
      </c>
      <c r="R53" s="68"/>
      <c r="S53" s="1807"/>
      <c r="T53" s="1584"/>
      <c r="U53" s="190"/>
      <c r="V53" s="1977"/>
      <c r="W53" s="4075" t="str">
        <f>IF(SUM(Tablas!P1111:S1152)=0,"",IF(Tablas!A1&gt;MAX(Tablas!$P$1111:$P$1152),"",VLOOKUP(Tablas!A1,Tablas!$P$1111:$T$1152,2,FALSE)))</f>
        <v/>
      </c>
      <c r="X53" s="3855"/>
      <c r="Y53" s="3855"/>
      <c r="Z53" s="3855"/>
      <c r="AA53" s="3855"/>
      <c r="AB53" s="3843" t="str">
        <f>IF(SUM(Tablas!$P$1111:$P$1152)=0,"",IF(Tablas!A1&gt;MAX(Tablas!$P$1111:$P$1152),"",VLOOKUP(Tablas!A1,Tablas!$P$1111:$T$1152,4,FALSE)))</f>
        <v/>
      </c>
      <c r="AC53" s="4076"/>
      <c r="AD53" s="4076"/>
      <c r="AE53" s="4076"/>
      <c r="AF53" s="4076"/>
      <c r="AG53" s="4076"/>
      <c r="AH53" s="4076"/>
      <c r="AI53" s="4076"/>
      <c r="AJ53" s="4076"/>
      <c r="AK53" s="4077"/>
      <c r="AL53" s="1978"/>
      <c r="AM53" s="190"/>
      <c r="AN53" s="2089"/>
      <c r="AO53" s="3987" t="str">
        <f>IF($AZ$45,AZ53,IF($BA$45,BA53,IF($BB$45,BB53,"")))</f>
        <v/>
      </c>
      <c r="AP53" s="3988"/>
      <c r="AQ53" s="3963" t="str">
        <f>IF($AZ$45,BC53,IF($BA$45,BD53,IF($BB$45,BE53,"")))</f>
        <v/>
      </c>
      <c r="AR53" s="3963"/>
      <c r="AS53" s="3963"/>
      <c r="AT53" s="3963"/>
      <c r="AU53" s="3963" t="str">
        <f t="shared" si="2"/>
        <v/>
      </c>
      <c r="AV53" s="3967"/>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55"/>
      <c r="D54" s="4055"/>
      <c r="E54" s="4055"/>
      <c r="F54" s="4055"/>
      <c r="G54" s="4055"/>
      <c r="H54" s="282"/>
      <c r="I54" s="68"/>
      <c r="J54" s="4061"/>
      <c r="K54" s="4062"/>
      <c r="L54" s="4062"/>
      <c r="M54" s="4062"/>
      <c r="N54" s="4062"/>
      <c r="O54" s="4062"/>
      <c r="P54" s="1921" t="str">
        <f>IF(J54=0,"",VLOOKUP(J54,Tablas!$R$1157:$T$1326,2,FALSE))</f>
        <v/>
      </c>
      <c r="Q54" s="1963" t="str">
        <f>IF(J54=0,"",VLOOKUP(J54,Tablas!$R$1157:$T$1326,3,FALSE)*IF($P$25="Invocador",0.5,1))</f>
        <v/>
      </c>
      <c r="R54" s="68"/>
      <c r="S54" s="1807"/>
      <c r="T54" s="1584"/>
      <c r="U54" s="190"/>
      <c r="V54" s="1977"/>
      <c r="W54" s="4068" t="str">
        <f>IF(SUM(Tablas!$P$1111:$P$1152)=0,"",IF(Tablas!A2&gt;MAX(Tablas!$P$1111:$P$1152),"",VLOOKUP(Tablas!A2,Tablas!$P$1111:$T$1152,2,FALSE)))</f>
        <v/>
      </c>
      <c r="X54" s="3858"/>
      <c r="Y54" s="3858"/>
      <c r="Z54" s="3858"/>
      <c r="AA54" s="3858"/>
      <c r="AB54" s="3371" t="str">
        <f>IF(SUM(Tablas!$P$1111:$P$1152)=0,"",IF(Tablas!A2&gt;MAX(Tablas!$P$1111:$P$1152),"",VLOOKUP(Tablas!A2,Tablas!$P$1111:$T$1152,4,FALSE)))</f>
        <v/>
      </c>
      <c r="AC54" s="3369"/>
      <c r="AD54" s="3369"/>
      <c r="AE54" s="3369"/>
      <c r="AF54" s="3369"/>
      <c r="AG54" s="3369"/>
      <c r="AH54" s="3369"/>
      <c r="AI54" s="3369"/>
      <c r="AJ54" s="3369"/>
      <c r="AK54" s="4069"/>
      <c r="AL54" s="1978"/>
      <c r="AM54" s="190"/>
      <c r="AN54" s="2089"/>
      <c r="AO54" s="3980" t="str">
        <f>IF($AZ$45,AZ54,IF($BA$45,BA54,IF($BB$45,BB54,"")))</f>
        <v/>
      </c>
      <c r="AP54" s="3981"/>
      <c r="AQ54" s="3982" t="str">
        <f>IF($AZ$45,BC54,IF($BA$45,BD54,IF($BB$45,BE54,"")))</f>
        <v/>
      </c>
      <c r="AR54" s="3982"/>
      <c r="AS54" s="3982"/>
      <c r="AT54" s="3982"/>
      <c r="AU54" s="3982" t="str">
        <f t="shared" si="2"/>
        <v/>
      </c>
      <c r="AV54" s="4149"/>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207"/>
      <c r="D55" s="3207"/>
      <c r="E55" s="3207"/>
      <c r="F55" s="3207"/>
      <c r="G55" s="3207"/>
      <c r="H55" s="22"/>
      <c r="J55" s="4063"/>
      <c r="K55" s="4064"/>
      <c r="L55" s="4064"/>
      <c r="M55" s="4064"/>
      <c r="N55" s="4064"/>
      <c r="O55" s="4064"/>
      <c r="P55" s="1920" t="str">
        <f>IF(J55=0,"",VLOOKUP(J55,Tablas!$R$1157:$T$1326,2,FALSE))</f>
        <v/>
      </c>
      <c r="Q55" s="1962" t="str">
        <f>IF(J55=0,"",VLOOKUP(J55,Tablas!$R$1157:$T$1326,3,FALSE)*IF($P$25="Invocador",0.5,1))</f>
        <v/>
      </c>
      <c r="R55" s="68"/>
      <c r="S55" s="1807"/>
      <c r="T55" s="1584"/>
      <c r="U55" s="190"/>
      <c r="V55" s="1977"/>
      <c r="W55" s="4072" t="str">
        <f>IF(SUM(Tablas!$P$1111:$P$1152)=0,"",IF(Tablas!A3&gt;MAX(Tablas!$P$1111:$P$1152),"",VLOOKUP(Tablas!A3,Tablas!$P$1111:$T$1152,2,FALSE)))</f>
        <v/>
      </c>
      <c r="X55" s="4073"/>
      <c r="Y55" s="4073"/>
      <c r="Z55" s="4073"/>
      <c r="AA55" s="4074"/>
      <c r="AB55" s="3371" t="str">
        <f>IF(SUM(Tablas!$P$1111:$P$1152)=0,"",IF(Tablas!A3&gt;MAX(Tablas!$P$1111:$P$1152),"",VLOOKUP(Tablas!A3,Tablas!$P$1111:$T$1152,4,FALSE)))</f>
        <v/>
      </c>
      <c r="AC55" s="3369"/>
      <c r="AD55" s="3369"/>
      <c r="AE55" s="3369"/>
      <c r="AF55" s="3369"/>
      <c r="AG55" s="3369"/>
      <c r="AH55" s="3369"/>
      <c r="AI55" s="3369"/>
      <c r="AJ55" s="3369"/>
      <c r="AK55" s="4069"/>
      <c r="AL55" s="1978"/>
      <c r="AM55" s="190"/>
      <c r="AN55" s="2089"/>
      <c r="AO55" s="4165" t="str">
        <f>IF($AZ$45,AZ55,IF($BA$45,BA55,IF($BB$45,BB55,"")))</f>
        <v/>
      </c>
      <c r="AP55" s="4166"/>
      <c r="AQ55" s="3964" t="str">
        <f>IF($AZ$45,BC55,IF($BA$45,BD55,IF($BB$45,BE55,"")))</f>
        <v/>
      </c>
      <c r="AR55" s="3965"/>
      <c r="AS55" s="3965"/>
      <c r="AT55" s="3966"/>
      <c r="AU55" s="3964" t="str">
        <f t="shared" si="2"/>
        <v/>
      </c>
      <c r="AV55" s="4148"/>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55"/>
      <c r="D56" s="4055"/>
      <c r="E56" s="4055"/>
      <c r="F56" s="4055"/>
      <c r="G56" s="4055"/>
      <c r="H56" s="282"/>
      <c r="J56" s="4061"/>
      <c r="K56" s="4062"/>
      <c r="L56" s="4062"/>
      <c r="M56" s="4062"/>
      <c r="N56" s="4062"/>
      <c r="O56" s="4062"/>
      <c r="P56" s="1990" t="str">
        <f>IF(J56=0,"",VLOOKUP(J56,Tablas!$R$1157:$T$1326,2,FALSE))</f>
        <v/>
      </c>
      <c r="Q56" s="1963" t="str">
        <f>IF(J56=0,"",VLOOKUP(J56,Tablas!$R$1157:$T$1326,3,FALSE)*IF($P$25="Invocador",0.5,1))</f>
        <v/>
      </c>
      <c r="R56" s="68"/>
      <c r="S56" s="1807"/>
      <c r="T56" s="1584"/>
      <c r="U56" s="190"/>
      <c r="V56" s="1977"/>
      <c r="W56" s="4072" t="str">
        <f>IF(SUM(Tablas!$P$1111:$P$1152)=0,"",IF(Tablas!A4&gt;MAX(Tablas!$P$1111:$P$1152),"",VLOOKUP(Tablas!A4,Tablas!$P$1111:$T$1152,2,FALSE)))</f>
        <v/>
      </c>
      <c r="X56" s="4073"/>
      <c r="Y56" s="4073"/>
      <c r="Z56" s="4073"/>
      <c r="AA56" s="4074"/>
      <c r="AB56" s="3371" t="str">
        <f>IF(SUM(Tablas!$P$1111:$P$1152)=0,"",IF(Tablas!A4&gt;MAX(Tablas!$P$1111:$P$1152),"",VLOOKUP(Tablas!A4,Tablas!$P$1111:$T$1152,4,FALSE)))</f>
        <v/>
      </c>
      <c r="AC56" s="3369"/>
      <c r="AD56" s="3369"/>
      <c r="AE56" s="3369"/>
      <c r="AF56" s="3369"/>
      <c r="AG56" s="3369"/>
      <c r="AH56" s="3369"/>
      <c r="AI56" s="3369"/>
      <c r="AJ56" s="3369"/>
      <c r="AK56" s="4069"/>
      <c r="AL56" s="1978"/>
      <c r="AM56" s="190"/>
      <c r="AN56" s="2089"/>
      <c r="AO56" s="3959" t="str">
        <f t="shared" ref="AO56" si="5">IF($AZ$45,AZ56,IF($BA$45,BA56,IF($BB$45,BB56,"")))</f>
        <v/>
      </c>
      <c r="AP56" s="3960"/>
      <c r="AQ56" s="4156" t="str">
        <f>IF($AZ$45,BC56,IF($BA$45,BD56,IF($BB$45,BE56,"")))</f>
        <v/>
      </c>
      <c r="AR56" s="4157"/>
      <c r="AS56" s="4157"/>
      <c r="AT56" s="4157"/>
      <c r="AU56" s="4157"/>
      <c r="AV56" s="4158"/>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207"/>
      <c r="D57" s="3207"/>
      <c r="E57" s="3207"/>
      <c r="F57" s="3207"/>
      <c r="G57" s="3207"/>
      <c r="H57" s="22"/>
      <c r="J57" s="4063"/>
      <c r="K57" s="4064"/>
      <c r="L57" s="4064"/>
      <c r="M57" s="4064"/>
      <c r="N57" s="4064"/>
      <c r="O57" s="4064"/>
      <c r="P57" s="1920" t="str">
        <f>IF(J57=0,"",VLOOKUP(J57,Tablas!$R$1157:$T$1326,2,FALSE))</f>
        <v/>
      </c>
      <c r="Q57" s="1962" t="str">
        <f>IF(J57=0,"",VLOOKUP(J57,Tablas!$R$1157:$T$1326,3,FALSE)*IF($P$25="Invocador",0.5,1))</f>
        <v/>
      </c>
      <c r="R57" s="68"/>
      <c r="S57" s="1807"/>
      <c r="T57" s="1584"/>
      <c r="U57" s="190"/>
      <c r="V57" s="1977"/>
      <c r="W57" s="4072" t="str">
        <f>IF(SUM(Tablas!$P$1111:$P$1152)=0,"",IF(Tablas!A5&gt;MAX(Tablas!$P$1111:$P$1152),"",VLOOKUP(Tablas!A5,Tablas!$P$1111:$T$1152,2,FALSE)))</f>
        <v/>
      </c>
      <c r="X57" s="4073"/>
      <c r="Y57" s="4073"/>
      <c r="Z57" s="4073"/>
      <c r="AA57" s="4074"/>
      <c r="AB57" s="3371" t="str">
        <f>IF(SUM(Tablas!$P$1111:$P$1152)=0,"",IF(Tablas!A5&gt;MAX(Tablas!$P$1111:$P$1152),"",VLOOKUP(Tablas!A5,Tablas!$P$1111:$T$1152,4,FALSE)))</f>
        <v/>
      </c>
      <c r="AC57" s="3369"/>
      <c r="AD57" s="3369"/>
      <c r="AE57" s="3369"/>
      <c r="AF57" s="3369"/>
      <c r="AG57" s="3369"/>
      <c r="AH57" s="3369"/>
      <c r="AI57" s="3369"/>
      <c r="AJ57" s="3369"/>
      <c r="AK57" s="4069"/>
      <c r="AL57" s="1978"/>
      <c r="AM57" s="190"/>
      <c r="AN57" s="2089"/>
      <c r="AO57" s="4152" t="str">
        <f>IF($AZ$45,AZ57,IF($BA$45,BA57,IF($BB$45,BB57,"")))</f>
        <v/>
      </c>
      <c r="AP57" s="4153"/>
      <c r="AQ57" s="4159" t="str">
        <f t="shared" ref="AQ57:AQ58" si="6">IF($AZ$45,BC57,IF($BA$45,BD57,IF($BB$45,BE57,"")))</f>
        <v/>
      </c>
      <c r="AR57" s="4160"/>
      <c r="AS57" s="4160"/>
      <c r="AT57" s="4160"/>
      <c r="AU57" s="4160"/>
      <c r="AV57" s="4161"/>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55"/>
      <c r="D58" s="4055"/>
      <c r="E58" s="4055"/>
      <c r="F58" s="4055"/>
      <c r="G58" s="4055"/>
      <c r="H58" s="282"/>
      <c r="J58" s="4061"/>
      <c r="K58" s="4062"/>
      <c r="L58" s="4062"/>
      <c r="M58" s="4062"/>
      <c r="N58" s="4062"/>
      <c r="O58" s="4062"/>
      <c r="P58" s="1921" t="str">
        <f>IF(J58=0,"",VLOOKUP(J58,Tablas!$R$1157:$T$1326,2,FALSE))</f>
        <v/>
      </c>
      <c r="Q58" s="1963" t="str">
        <f>IF(J58=0,"",VLOOKUP(J58,Tablas!$R$1157:$T$1326,3,FALSE)*IF($P$25="Invocador",0.5,1))</f>
        <v/>
      </c>
      <c r="R58" s="68"/>
      <c r="S58" s="1807"/>
      <c r="T58" s="1584"/>
      <c r="U58" s="190"/>
      <c r="V58" s="1977"/>
      <c r="W58" s="4072" t="str">
        <f>IF(SUM(Tablas!$P$1111:$P$1152)=0,"",IF(Tablas!A6&gt;MAX(Tablas!$P$1111:$P$1152),"",VLOOKUP(Tablas!A6,Tablas!$P$1111:$T$1152,2,FALSE)))</f>
        <v/>
      </c>
      <c r="X58" s="4073"/>
      <c r="Y58" s="4073"/>
      <c r="Z58" s="4073"/>
      <c r="AA58" s="4074"/>
      <c r="AB58" s="3371" t="str">
        <f>IF(SUM(Tablas!$P$1111:$P$1152)=0,"",IF(Tablas!A6&gt;MAX(Tablas!$P$1111:$P$1152),"",VLOOKUP(Tablas!A6,Tablas!$P$1111:$T$1152,4,FALSE)))</f>
        <v/>
      </c>
      <c r="AC58" s="3369"/>
      <c r="AD58" s="3369"/>
      <c r="AE58" s="3369"/>
      <c r="AF58" s="3369"/>
      <c r="AG58" s="3369"/>
      <c r="AH58" s="3369"/>
      <c r="AI58" s="3369"/>
      <c r="AJ58" s="3369"/>
      <c r="AK58" s="4069"/>
      <c r="AL58" s="1978"/>
      <c r="AM58" s="190"/>
      <c r="AN58" s="2089"/>
      <c r="AO58" s="4154" t="str">
        <f t="shared" ref="AO58" si="7">IF($AZ$45,AZ58,IF($BA$45,BA58,IF($BB$45,BB58,"")))</f>
        <v/>
      </c>
      <c r="AP58" s="4155"/>
      <c r="AQ58" s="4162" t="str">
        <f t="shared" si="6"/>
        <v/>
      </c>
      <c r="AR58" s="4163"/>
      <c r="AS58" s="4163"/>
      <c r="AT58" s="4163"/>
      <c r="AU58" s="4163"/>
      <c r="AV58" s="4164"/>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245" t="s">
        <v>2049</v>
      </c>
      <c r="D59" s="3245"/>
      <c r="E59" s="3245"/>
      <c r="F59" s="3245"/>
      <c r="G59" s="3245"/>
      <c r="H59" s="283">
        <f>SUM(H33:H58)+IF(Sheele!$F$5="No",0,Sheele!$U$5)</f>
        <v>0</v>
      </c>
      <c r="J59" s="4106" t="str">
        <f>IF(Tablas!X21,IF(AND(22-COUNTBLANK(P33:P58)&gt;VLOOKUP(Nivel_Sobrenatural,Tablas!$S$9:$X$12,6,FALSE)),"Número inicial de invocaciones excesivo. ","")&amp;IF(P25="Invocador","Costes de las invocaciones ya reducidos",""),"")</f>
        <v/>
      </c>
      <c r="K59" s="4107"/>
      <c r="L59" s="4107"/>
      <c r="M59" s="4107"/>
      <c r="N59" s="4107"/>
      <c r="O59" s="4107"/>
      <c r="P59" s="4107"/>
      <c r="Q59" s="4108"/>
      <c r="R59" s="68"/>
      <c r="S59" s="1807"/>
      <c r="T59" s="1584"/>
      <c r="U59" s="190"/>
      <c r="V59" s="1977"/>
      <c r="W59" s="4072" t="str">
        <f>IF(SUM(Tablas!$P$1111:$P$1152)=0,"",IF(Tablas!A7&gt;MAX(Tablas!$P$1111:$P$1152),"",VLOOKUP(Tablas!A7,Tablas!$P$1111:$T$1152,2,FALSE)))</f>
        <v/>
      </c>
      <c r="X59" s="4073"/>
      <c r="Y59" s="4073"/>
      <c r="Z59" s="4073"/>
      <c r="AA59" s="4074"/>
      <c r="AB59" s="3371" t="str">
        <f>IF(SUM(Tablas!$P$1111:$P$1152)=0,"",IF(Tablas!A7&gt;MAX(Tablas!$P$1111:$P$1152),"",VLOOKUP(Tablas!A7,Tablas!$P$1111:$T$1152,4,FALSE)))</f>
        <v/>
      </c>
      <c r="AC59" s="3369"/>
      <c r="AD59" s="3369"/>
      <c r="AE59" s="3369"/>
      <c r="AF59" s="3369"/>
      <c r="AG59" s="3369"/>
      <c r="AH59" s="3369"/>
      <c r="AI59" s="3369"/>
      <c r="AJ59" s="3369"/>
      <c r="AK59" s="4069"/>
      <c r="AL59" s="1978"/>
      <c r="AM59" s="190"/>
      <c r="AN59" s="2089"/>
      <c r="AW59" s="2106"/>
      <c r="AX59" s="1802"/>
    </row>
    <row r="60" spans="1:62" ht="12" customHeight="1" thickBot="1" x14ac:dyDescent="0.25">
      <c r="A60" s="190"/>
      <c r="B60" s="1799"/>
      <c r="R60" s="68"/>
      <c r="S60" s="1807"/>
      <c r="T60" s="1584"/>
      <c r="U60" s="190"/>
      <c r="V60" s="1977"/>
      <c r="W60" s="4072" t="str">
        <f>IF(SUM(Tablas!$P$1111:$P$1152)=0,"",IF(Tablas!A8&gt;MAX(Tablas!$P$1111:$P$1152),"",VLOOKUP(Tablas!A8,Tablas!$P$1111:$T$1152,2,FALSE)))</f>
        <v/>
      </c>
      <c r="X60" s="4073"/>
      <c r="Y60" s="4073"/>
      <c r="Z60" s="4073"/>
      <c r="AA60" s="4074"/>
      <c r="AB60" s="3371" t="str">
        <f>IF(SUM(Tablas!$P$1111:$P$1152)=0,"",IF(Tablas!A8&gt;MAX(Tablas!$P$1111:$P$1152),"",VLOOKUP(Tablas!A8,Tablas!$P$1111:$T$1152,4,FALSE)))</f>
        <v/>
      </c>
      <c r="AC60" s="3369"/>
      <c r="AD60" s="3369"/>
      <c r="AE60" s="3369"/>
      <c r="AF60" s="3369"/>
      <c r="AG60" s="3369"/>
      <c r="AH60" s="3369"/>
      <c r="AI60" s="3369"/>
      <c r="AJ60" s="3369"/>
      <c r="AK60" s="4069"/>
      <c r="AL60" s="1978"/>
      <c r="AM60" s="190"/>
      <c r="AN60" s="2089"/>
      <c r="AO60" s="4132" t="s">
        <v>8961</v>
      </c>
      <c r="AP60" s="4133"/>
      <c r="AQ60" s="4133"/>
      <c r="AR60" s="4133"/>
      <c r="AS60" s="4133"/>
      <c r="AT60" s="4133"/>
      <c r="AU60" s="4133"/>
      <c r="AV60" s="4134"/>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83" t="s">
        <v>2050</v>
      </c>
      <c r="D61" s="3183"/>
      <c r="E61" s="3183"/>
      <c r="F61" s="3183"/>
      <c r="G61" s="3183"/>
      <c r="H61" s="3183"/>
      <c r="I61" s="68"/>
      <c r="J61" s="4009" t="s">
        <v>2051</v>
      </c>
      <c r="K61" s="4009"/>
      <c r="L61" s="4009"/>
      <c r="M61" s="4090" t="s">
        <v>1827</v>
      </c>
      <c r="N61" s="4090"/>
      <c r="O61" s="4090"/>
      <c r="P61" s="4090"/>
      <c r="Q61" s="4090"/>
      <c r="R61" s="68"/>
      <c r="S61" s="1807"/>
      <c r="T61" s="1584"/>
      <c r="U61" s="190"/>
      <c r="V61" s="1977"/>
      <c r="W61" s="4072" t="str">
        <f>IF(SUM(Tablas!$P$1111:$P$1152)=0,"",IF(Tablas!A9&gt;MAX(Tablas!$P$1111:$P$1152),"",VLOOKUP(Tablas!A9,Tablas!$P$1111:$T$1152,2,FALSE)))</f>
        <v/>
      </c>
      <c r="X61" s="4073"/>
      <c r="Y61" s="4073"/>
      <c r="Z61" s="4073"/>
      <c r="AA61" s="4074"/>
      <c r="AB61" s="4087" t="str">
        <f>IF(SUM(Tablas!$P$1111:$P$1152)=0,"",IF(Tablas!A9&gt;MAX(Tablas!$P$1111:$P$1152),"",VLOOKUP(Tablas!A9,Tablas!$P$1111:$T$1152,4,FALSE)))</f>
        <v/>
      </c>
      <c r="AC61" s="4088"/>
      <c r="AD61" s="4088"/>
      <c r="AE61" s="4088"/>
      <c r="AF61" s="4088"/>
      <c r="AG61" s="4088"/>
      <c r="AH61" s="4088"/>
      <c r="AI61" s="4088"/>
      <c r="AJ61" s="4088"/>
      <c r="AK61" s="4089"/>
      <c r="AL61" s="1978"/>
      <c r="AM61" s="190"/>
      <c r="AN61" s="2089"/>
      <c r="AO61" s="4172" t="s">
        <v>2024</v>
      </c>
      <c r="AP61" s="4173"/>
      <c r="AQ61" s="4173" t="s">
        <v>2023</v>
      </c>
      <c r="AR61" s="4173"/>
      <c r="AS61" s="4173"/>
      <c r="AT61" s="2428"/>
      <c r="AU61" s="2082" t="s">
        <v>8962</v>
      </c>
      <c r="AV61" s="2081" t="s">
        <v>3234</v>
      </c>
      <c r="AW61" s="2106"/>
      <c r="AX61" s="1802"/>
    </row>
    <row r="62" spans="1:62" ht="12" customHeight="1" x14ac:dyDescent="0.2">
      <c r="A62" s="190"/>
      <c r="B62" s="1799"/>
      <c r="C62" s="4084" t="s">
        <v>2053</v>
      </c>
      <c r="D62" s="4084"/>
      <c r="E62" s="285" t="s">
        <v>1679</v>
      </c>
      <c r="F62" s="4085" t="s">
        <v>2054</v>
      </c>
      <c r="G62" s="4085"/>
      <c r="H62" s="4085"/>
      <c r="I62" s="68"/>
      <c r="J62" s="286">
        <v>20</v>
      </c>
      <c r="K62" s="4080" t="s">
        <v>2055</v>
      </c>
      <c r="L62" s="4080"/>
      <c r="M62" s="4086" t="s">
        <v>2056</v>
      </c>
      <c r="N62" s="4086"/>
      <c r="O62" s="4086"/>
      <c r="P62" s="4086"/>
      <c r="Q62" s="4086"/>
      <c r="R62" s="68"/>
      <c r="S62" s="1807"/>
      <c r="T62" s="1584"/>
      <c r="U62" s="190"/>
      <c r="V62" s="1977"/>
      <c r="W62" s="4072" t="str">
        <f>IF(SUM(Tablas!$P$1111:$P$1152)=0,"",IF(Tablas!A10&gt;MAX(Tablas!$P$1111:$P$1152),"",VLOOKUP(Tablas!A10,Tablas!$P$1111:$T$1152,2,FALSE)))</f>
        <v/>
      </c>
      <c r="X62" s="4073"/>
      <c r="Y62" s="4073"/>
      <c r="Z62" s="4073"/>
      <c r="AA62" s="4074"/>
      <c r="AB62" s="4087" t="str">
        <f>IF(SUM(Tablas!$P$1111:$P$1152)=0,"",IF(Tablas!A10&gt;MAX(Tablas!$P$1111:$P$1152),"",VLOOKUP(Tablas!A10,Tablas!$P$1111:$T$1152,4,FALSE)))</f>
        <v/>
      </c>
      <c r="AC62" s="4088"/>
      <c r="AD62" s="4088"/>
      <c r="AE62" s="4088"/>
      <c r="AF62" s="4088"/>
      <c r="AG62" s="4088"/>
      <c r="AH62" s="4088"/>
      <c r="AI62" s="4088"/>
      <c r="AJ62" s="4088"/>
      <c r="AK62" s="4089"/>
      <c r="AL62" s="1978"/>
      <c r="AM62" s="190"/>
      <c r="AN62" s="2427" t="str">
        <f>"Conjuros"&amp;IF(AO62="","","_"&amp;AO62)</f>
        <v>Conjuros</v>
      </c>
      <c r="AO62" s="4181"/>
      <c r="AP62" s="4182"/>
      <c r="AQ62" s="4183"/>
      <c r="AR62" s="4183"/>
      <c r="AS62" s="4183"/>
      <c r="AT62" s="4184"/>
      <c r="AU62" s="2040"/>
      <c r="AV62" s="2084">
        <f>IF(AQ62="",0,VLOOKUP(AQ62,'Tablas Magia'!$D$6:$Z$680,11,FALSE)/2)</f>
        <v>0</v>
      </c>
      <c r="AW62" s="2106"/>
      <c r="AX62" s="1802"/>
      <c r="BD62" s="2422"/>
    </row>
    <row r="63" spans="1:62" ht="12" customHeight="1" x14ac:dyDescent="0.2">
      <c r="A63" s="190"/>
      <c r="B63" s="1799"/>
      <c r="C63" s="4081" t="s">
        <v>2057</v>
      </c>
      <c r="D63" s="4081"/>
      <c r="E63" s="287">
        <v>-100</v>
      </c>
      <c r="F63" s="4082" t="s">
        <v>2058</v>
      </c>
      <c r="G63" s="4082"/>
      <c r="H63" s="4083">
        <v>20</v>
      </c>
      <c r="I63" s="68"/>
      <c r="J63" s="286">
        <v>40</v>
      </c>
      <c r="K63" s="4080" t="s">
        <v>2059</v>
      </c>
      <c r="L63" s="4080"/>
      <c r="M63" s="4078" t="s">
        <v>2060</v>
      </c>
      <c r="N63" s="4078"/>
      <c r="O63" s="4078"/>
      <c r="P63" s="4078"/>
      <c r="Q63" s="4078"/>
      <c r="R63" s="68"/>
      <c r="S63" s="1807"/>
      <c r="T63" s="1584"/>
      <c r="U63" s="190"/>
      <c r="V63" s="1977"/>
      <c r="W63" s="4072" t="str">
        <f>IF(SUM(Tablas!$P$1111:$P$1152)=0,"",IF(Tablas!A11&gt;MAX(Tablas!$P$1111:$P$1152),"",VLOOKUP(Tablas!A11,Tablas!$P$1111:$T$1152,2,FALSE)))</f>
        <v/>
      </c>
      <c r="X63" s="4073"/>
      <c r="Y63" s="4073"/>
      <c r="Z63" s="4073"/>
      <c r="AA63" s="4074"/>
      <c r="AB63" s="4087" t="str">
        <f>IF(SUM(Tablas!$P$1111:$P$1152)=0,"",IF(Tablas!A11&gt;MAX(Tablas!$P$1111:$P$1152),"",VLOOKUP(Tablas!A11,Tablas!$P$1111:$T$1152,4,FALSE)))</f>
        <v/>
      </c>
      <c r="AC63" s="4088"/>
      <c r="AD63" s="4088"/>
      <c r="AE63" s="4088"/>
      <c r="AF63" s="4088"/>
      <c r="AG63" s="4088"/>
      <c r="AH63" s="4088"/>
      <c r="AI63" s="4088"/>
      <c r="AJ63" s="4088"/>
      <c r="AK63" s="4089"/>
      <c r="AL63" s="1978"/>
      <c r="AM63" s="190"/>
      <c r="AN63" s="2427" t="str">
        <f t="shared" ref="AN63:AN72" si="8">"Conjuros"&amp;IF(AO63="","","_"&amp;AO63)</f>
        <v>Conjuros</v>
      </c>
      <c r="AO63" s="4174"/>
      <c r="AP63" s="4175"/>
      <c r="AQ63" s="4176"/>
      <c r="AR63" s="4176"/>
      <c r="AS63" s="4176"/>
      <c r="AT63" s="4177"/>
      <c r="AU63" s="2083"/>
      <c r="AV63" s="2085">
        <f>IF(AQ63="",0,VLOOKUP(AQ63,'Tablas Magia'!$D$6:$Z$680,11,FALSE)/2)</f>
        <v>0</v>
      </c>
      <c r="AW63" s="2106"/>
      <c r="AX63" s="1802"/>
      <c r="BD63" s="2422"/>
    </row>
    <row r="64" spans="1:62" ht="12" customHeight="1" x14ac:dyDescent="0.2">
      <c r="A64" s="190"/>
      <c r="B64" s="1799"/>
      <c r="C64" s="4079" t="s">
        <v>2061</v>
      </c>
      <c r="D64" s="4079"/>
      <c r="E64" s="287">
        <v>-50</v>
      </c>
      <c r="F64" s="4082"/>
      <c r="G64" s="4082"/>
      <c r="H64" s="4083"/>
      <c r="I64" s="68"/>
      <c r="J64" s="286">
        <v>80</v>
      </c>
      <c r="K64" s="4080" t="s">
        <v>2062</v>
      </c>
      <c r="L64" s="4080"/>
      <c r="M64" s="4078" t="s">
        <v>2063</v>
      </c>
      <c r="N64" s="4078"/>
      <c r="O64" s="4078"/>
      <c r="P64" s="4078"/>
      <c r="Q64" s="4078"/>
      <c r="R64" s="68"/>
      <c r="S64" s="1807"/>
      <c r="T64" s="1584"/>
      <c r="U64" s="190"/>
      <c r="V64" s="1977"/>
      <c r="W64" s="4072" t="str">
        <f>IF(SUM(Tablas!$P$1111:$P$1152)=0,"",IF(Tablas!A12&gt;MAX(Tablas!$P$1111:$P$1152),"",VLOOKUP(Tablas!A12,Tablas!$P$1111:$T$1152,2,FALSE)))</f>
        <v/>
      </c>
      <c r="X64" s="4073"/>
      <c r="Y64" s="4073"/>
      <c r="Z64" s="4073"/>
      <c r="AA64" s="4074"/>
      <c r="AB64" s="4087" t="str">
        <f>IF(SUM(Tablas!$P$1111:$P$1152)=0,"",IF(Tablas!A12&gt;MAX(Tablas!$P$1111:$P$1152),"",VLOOKUP(Tablas!A12,Tablas!$P$1111:$T$1152,4,FALSE)))</f>
        <v/>
      </c>
      <c r="AC64" s="4088"/>
      <c r="AD64" s="4088"/>
      <c r="AE64" s="4088"/>
      <c r="AF64" s="4088"/>
      <c r="AG64" s="4088"/>
      <c r="AH64" s="4088"/>
      <c r="AI64" s="4088"/>
      <c r="AJ64" s="4088"/>
      <c r="AK64" s="4089"/>
      <c r="AL64" s="1978"/>
      <c r="AM64" s="190"/>
      <c r="AN64" s="2427" t="str">
        <f t="shared" si="8"/>
        <v>Conjuros</v>
      </c>
      <c r="AO64" s="4178"/>
      <c r="AP64" s="4179"/>
      <c r="AQ64" s="3750"/>
      <c r="AR64" s="3750"/>
      <c r="AS64" s="3750"/>
      <c r="AT64" s="4180"/>
      <c r="AU64" s="2041"/>
      <c r="AV64" s="2036">
        <f>IF(AQ64="",0,VLOOKUP(AQ64,'Tablas Magia'!$D$6:$Z$680,11,FALSE)/2)</f>
        <v>0</v>
      </c>
      <c r="AW64" s="2106"/>
      <c r="AX64" s="1802"/>
    </row>
    <row r="65" spans="1:50" ht="12" customHeight="1" x14ac:dyDescent="0.2">
      <c r="A65" s="190"/>
      <c r="B65" s="1799"/>
      <c r="C65" s="4079" t="s">
        <v>2064</v>
      </c>
      <c r="D65" s="4079"/>
      <c r="E65" s="287">
        <v>-20</v>
      </c>
      <c r="F65" s="4082" t="s">
        <v>2065</v>
      </c>
      <c r="G65" s="4082"/>
      <c r="H65" s="4083">
        <v>10</v>
      </c>
      <c r="I65" s="68"/>
      <c r="J65" s="286">
        <v>120</v>
      </c>
      <c r="K65" s="4080" t="s">
        <v>2066</v>
      </c>
      <c r="L65" s="4080"/>
      <c r="M65" s="4078" t="str">
        <f>IF(Metamagia!$R$54+Metamagia!$U$54+Metamagia!$AA$54+Metamagia!$AA$59+Metamagia!$AA$64+Metamagia!$AD$48+Metamagia!$AG$46&gt;0,"Blancos hasta 100m. Zeón 10","Blancos hasta 100m")</f>
        <v>Blancos hasta 100m</v>
      </c>
      <c r="N65" s="4078"/>
      <c r="O65" s="4078"/>
      <c r="P65" s="4078"/>
      <c r="Q65" s="4078"/>
      <c r="R65" s="68"/>
      <c r="S65" s="1807"/>
      <c r="T65" s="1584"/>
      <c r="U65" s="190"/>
      <c r="V65" s="1977"/>
      <c r="W65" s="4072" t="str">
        <f>IF(SUM(Tablas!$P$1111:$P$1152)=0,"",IF(Tablas!A13&gt;MAX(Tablas!$P$1111:$P$1152),"",VLOOKUP(Tablas!A13,Tablas!$P$1111:$T$1152,2,FALSE)))</f>
        <v/>
      </c>
      <c r="X65" s="4073"/>
      <c r="Y65" s="4073"/>
      <c r="Z65" s="4073"/>
      <c r="AA65" s="4074"/>
      <c r="AB65" s="4087" t="str">
        <f>IF(SUM(Tablas!$P$1111:$P$1152)=0,"",IF(Tablas!A13&gt;MAX(Tablas!$P$1111:$P$1152),"",VLOOKUP(Tablas!A13,Tablas!$P$1111:$T$1152,4,FALSE)))</f>
        <v/>
      </c>
      <c r="AC65" s="4088"/>
      <c r="AD65" s="4088"/>
      <c r="AE65" s="4088"/>
      <c r="AF65" s="4088"/>
      <c r="AG65" s="4088"/>
      <c r="AH65" s="4088"/>
      <c r="AI65" s="4088"/>
      <c r="AJ65" s="4088"/>
      <c r="AK65" s="4089"/>
      <c r="AL65" s="1807"/>
      <c r="AM65" s="190"/>
      <c r="AN65" s="2427" t="str">
        <f t="shared" si="8"/>
        <v>Conjuros</v>
      </c>
      <c r="AO65" s="4174"/>
      <c r="AP65" s="4175"/>
      <c r="AQ65" s="4176"/>
      <c r="AR65" s="4176"/>
      <c r="AS65" s="4176"/>
      <c r="AT65" s="4177"/>
      <c r="AU65" s="2083"/>
      <c r="AV65" s="2085">
        <f>IF(AQ65="",0,VLOOKUP(AQ65,'Tablas Magia'!$D$6:$Z$680,11,FALSE)/2)</f>
        <v>0</v>
      </c>
      <c r="AW65" s="2105"/>
      <c r="AX65" s="1802"/>
    </row>
    <row r="66" spans="1:50" ht="12" customHeight="1" x14ac:dyDescent="0.2">
      <c r="A66" s="190"/>
      <c r="B66" s="1799"/>
      <c r="C66" s="4079" t="s">
        <v>2067</v>
      </c>
      <c r="D66" s="4079"/>
      <c r="E66" s="287">
        <v>0</v>
      </c>
      <c r="F66" s="4082"/>
      <c r="G66" s="4082"/>
      <c r="H66" s="4083"/>
      <c r="I66" s="68"/>
      <c r="J66" s="286">
        <v>140</v>
      </c>
      <c r="K66" s="4080" t="s">
        <v>2068</v>
      </c>
      <c r="L66" s="4080"/>
      <c r="M66" s="4078" t="str">
        <f>IF(Metamagia!$R$54+Metamagia!$U$54+Metamagia!$AA$54+Metamagia!$AA$59+Metamagia!$AA$64+Metamagia!$AD$48+Metamagia!$AG$46&gt;1,"Blancos hasta 250m. Zeón 20","Blancos hasta 250m")</f>
        <v>Blancos hasta 250m</v>
      </c>
      <c r="N66" s="4078"/>
      <c r="O66" s="4078"/>
      <c r="P66" s="4078"/>
      <c r="Q66" s="4078"/>
      <c r="R66" s="68"/>
      <c r="S66" s="1807"/>
      <c r="T66" s="1584"/>
      <c r="U66" s="190"/>
      <c r="V66" s="1977"/>
      <c r="W66" s="4072" t="str">
        <f>IF(SUM(Tablas!$P$1111:$P$1152)=0,"",IF(Tablas!A14&gt;MAX(Tablas!$P$1111:$P$1152),"",VLOOKUP(Tablas!A14,Tablas!$P$1111:$T$1152,2,FALSE)))</f>
        <v/>
      </c>
      <c r="X66" s="4073"/>
      <c r="Y66" s="4073"/>
      <c r="Z66" s="4073"/>
      <c r="AA66" s="4074"/>
      <c r="AB66" s="4087" t="str">
        <f>IF(SUM(Tablas!$P$1111:$P$1152)=0,"",IF(Tablas!A14&gt;MAX(Tablas!$P$1111:$P$1152),"",VLOOKUP(Tablas!A14,Tablas!$P$1111:$T$1152,4,FALSE)))</f>
        <v/>
      </c>
      <c r="AC66" s="4088"/>
      <c r="AD66" s="4088"/>
      <c r="AE66" s="4088"/>
      <c r="AF66" s="4088"/>
      <c r="AG66" s="4088"/>
      <c r="AH66" s="4088"/>
      <c r="AI66" s="4088"/>
      <c r="AJ66" s="4088"/>
      <c r="AK66" s="4089"/>
      <c r="AL66" s="1807"/>
      <c r="AM66" s="190"/>
      <c r="AN66" s="2427" t="str">
        <f t="shared" si="8"/>
        <v>Conjuros</v>
      </c>
      <c r="AO66" s="4178"/>
      <c r="AP66" s="4179"/>
      <c r="AQ66" s="3750"/>
      <c r="AR66" s="3750"/>
      <c r="AS66" s="3750"/>
      <c r="AT66" s="4180"/>
      <c r="AU66" s="2041"/>
      <c r="AV66" s="2036">
        <f>IF(AQ66="",0,VLOOKUP(AQ66,'Tablas Magia'!$D$6:$Z$680,11,FALSE)/2)</f>
        <v>0</v>
      </c>
      <c r="AW66" s="2105"/>
      <c r="AX66" s="1802"/>
    </row>
    <row r="67" spans="1:50" ht="12" customHeight="1" x14ac:dyDescent="0.2">
      <c r="A67" s="190"/>
      <c r="B67" s="1799"/>
      <c r="C67" s="4079" t="s">
        <v>2069</v>
      </c>
      <c r="D67" s="4079"/>
      <c r="E67" s="287">
        <v>10</v>
      </c>
      <c r="F67" s="4082" t="s">
        <v>2070</v>
      </c>
      <c r="G67" s="4082"/>
      <c r="H67" s="4083">
        <v>20</v>
      </c>
      <c r="I67" s="68"/>
      <c r="J67" s="286">
        <v>180</v>
      </c>
      <c r="K67" s="4080" t="s">
        <v>2071</v>
      </c>
      <c r="L67" s="4080"/>
      <c r="M67" s="4078" t="str">
        <f>IF(Metamagia!$R$54+Metamagia!$U$54+Metamagia!$AA$54+Metamagia!$AA$59+Metamagia!$AA$64+Metamagia!$AD$48+Metamagia!$AG$46&gt;2,"Blancos hasta 500m. Zeón 40","Blancos hasta 500m")</f>
        <v>Blancos hasta 500m</v>
      </c>
      <c r="N67" s="4078"/>
      <c r="O67" s="4078"/>
      <c r="P67" s="4078"/>
      <c r="Q67" s="4078"/>
      <c r="R67" s="68"/>
      <c r="S67" s="1807"/>
      <c r="T67" s="1584"/>
      <c r="U67" s="190"/>
      <c r="V67" s="1977"/>
      <c r="W67" s="4072" t="str">
        <f>IF(SUM(Tablas!$P$1111:$P$1152)=0,"",IF(Tablas!A15&gt;MAX(Tablas!$P$1111:$P$1152),"",VLOOKUP(Tablas!A15,Tablas!$P$1111:$T$1152,2,FALSE)))</f>
        <v/>
      </c>
      <c r="X67" s="4073"/>
      <c r="Y67" s="4073"/>
      <c r="Z67" s="4073"/>
      <c r="AA67" s="4074"/>
      <c r="AB67" s="4087" t="str">
        <f>IF(SUM(Tablas!$P$1111:$P$1152)=0,"",IF(Tablas!A15&gt;MAX(Tablas!$P$1111:$P$1152),"",VLOOKUP(Tablas!A15,Tablas!$P$1111:$T$1152,4,FALSE)))</f>
        <v/>
      </c>
      <c r="AC67" s="4088"/>
      <c r="AD67" s="4088"/>
      <c r="AE67" s="4088"/>
      <c r="AF67" s="4088"/>
      <c r="AG67" s="4088"/>
      <c r="AH67" s="4088"/>
      <c r="AI67" s="4088"/>
      <c r="AJ67" s="4088"/>
      <c r="AK67" s="4089"/>
      <c r="AL67" s="1807"/>
      <c r="AM67" s="190"/>
      <c r="AN67" s="2427" t="str">
        <f t="shared" si="8"/>
        <v>Conjuros</v>
      </c>
      <c r="AO67" s="4174"/>
      <c r="AP67" s="4175"/>
      <c r="AQ67" s="4176"/>
      <c r="AR67" s="4176"/>
      <c r="AS67" s="4176"/>
      <c r="AT67" s="4177"/>
      <c r="AU67" s="2083"/>
      <c r="AV67" s="2085">
        <f>IF(AQ67="",0,VLOOKUP(AQ67,'Tablas Magia'!$D$6:$Z$680,11,FALSE)/2)</f>
        <v>0</v>
      </c>
      <c r="AW67" s="2105"/>
      <c r="AX67" s="1802"/>
    </row>
    <row r="68" spans="1:50" ht="12" customHeight="1" x14ac:dyDescent="0.2">
      <c r="A68" s="190"/>
      <c r="B68" s="1799"/>
      <c r="C68" s="4079" t="s">
        <v>2072</v>
      </c>
      <c r="D68" s="4079"/>
      <c r="E68" s="287">
        <v>20</v>
      </c>
      <c r="F68" s="4082"/>
      <c r="G68" s="4082"/>
      <c r="H68" s="4083"/>
      <c r="I68" s="68"/>
      <c r="J68" s="286">
        <v>240</v>
      </c>
      <c r="K68" s="4080" t="s">
        <v>2073</v>
      </c>
      <c r="L68" s="4080"/>
      <c r="M68" s="4078" t="str">
        <f>IF(Metamagia!$R$54+Metamagia!$U$54+Metamagia!$AA$54+Metamagia!$AA$59+Metamagia!$AA$64+Metamagia!$AD$48+Metamagia!$AG$46&gt;3,"Hasta 1 km. Blanco localizado. Zeón 60","Hasta 1 km. Blanco localizado")</f>
        <v>Hasta 1 km. Blanco localizado</v>
      </c>
      <c r="N68" s="4078"/>
      <c r="O68" s="4078"/>
      <c r="P68" s="4078"/>
      <c r="Q68" s="4078"/>
      <c r="R68" s="68"/>
      <c r="S68" s="1807"/>
      <c r="T68" s="1584"/>
      <c r="U68" s="190"/>
      <c r="V68" s="1977"/>
      <c r="W68" s="4072" t="str">
        <f>IF(SUM(Tablas!$P$1111:$P$1152)=0,"",IF(Tablas!A16&gt;MAX(Tablas!$P$1111:$P$1152),"",VLOOKUP(Tablas!A16,Tablas!$P$1111:$T$1152,2,FALSE)))</f>
        <v/>
      </c>
      <c r="X68" s="4073"/>
      <c r="Y68" s="4073"/>
      <c r="Z68" s="4073"/>
      <c r="AA68" s="4074"/>
      <c r="AB68" s="4087" t="str">
        <f>IF(SUM(Tablas!$P$1111:$P$1152)=0,"",IF(Tablas!A16&gt;MAX(Tablas!$P$1111:$P$1152),"",VLOOKUP(Tablas!A16,Tablas!$P$1111:$T$1152,4,FALSE)))</f>
        <v/>
      </c>
      <c r="AC68" s="4088"/>
      <c r="AD68" s="4088"/>
      <c r="AE68" s="4088"/>
      <c r="AF68" s="4088"/>
      <c r="AG68" s="4088"/>
      <c r="AH68" s="4088"/>
      <c r="AI68" s="4088"/>
      <c r="AJ68" s="4088"/>
      <c r="AK68" s="4089"/>
      <c r="AL68" s="1807"/>
      <c r="AM68" s="190"/>
      <c r="AN68" s="2427" t="str">
        <f t="shared" si="8"/>
        <v>Conjuros</v>
      </c>
      <c r="AO68" s="4178"/>
      <c r="AP68" s="4179"/>
      <c r="AQ68" s="3750"/>
      <c r="AR68" s="3750"/>
      <c r="AS68" s="3750"/>
      <c r="AT68" s="4180"/>
      <c r="AU68" s="2041"/>
      <c r="AV68" s="2036">
        <f>IF(AQ68="",0,VLOOKUP(AQ68,'Tablas Magia'!$D$6:$Z$680,11,FALSE)/2)</f>
        <v>0</v>
      </c>
      <c r="AW68" s="2105"/>
      <c r="AX68" s="1802"/>
    </row>
    <row r="69" spans="1:50" ht="12" customHeight="1" x14ac:dyDescent="0.2">
      <c r="A69" s="190"/>
      <c r="B69" s="1799"/>
      <c r="C69" s="4079" t="s">
        <v>2074</v>
      </c>
      <c r="D69" s="4079"/>
      <c r="E69" s="287">
        <v>30</v>
      </c>
      <c r="F69" s="4091" t="s">
        <v>2075</v>
      </c>
      <c r="G69" s="4091"/>
      <c r="H69" s="4092">
        <v>-50</v>
      </c>
      <c r="I69" s="68"/>
      <c r="J69" s="286">
        <v>280</v>
      </c>
      <c r="K69" s="4080" t="s">
        <v>2076</v>
      </c>
      <c r="L69" s="4080"/>
      <c r="M69" s="4078" t="str">
        <f>IF(Metamagia!$R$54+Metamagia!$U$54+Metamagia!$AA$54+Metamagia!$AA$59+Metamagia!$AA$64+Metamagia!$AD$48+Metamagia!$AG$46&gt;4,"Hasta 10 km. Blanco aprox. Zeón 80","Hasta 10 km. Blanco aproximado")</f>
        <v>Hasta 10 km. Blanco aproximado</v>
      </c>
      <c r="N69" s="4078"/>
      <c r="O69" s="4078"/>
      <c r="P69" s="4078"/>
      <c r="Q69" s="4078"/>
      <c r="R69" s="68"/>
      <c r="S69" s="1807"/>
      <c r="T69" s="1584"/>
      <c r="U69" s="190"/>
      <c r="V69" s="1977"/>
      <c r="W69" s="4072" t="str">
        <f>IF(SUM(Tablas!$P$1111:$P$1152)=0,"",IF(Tablas!A17&gt;MAX(Tablas!$P$1111:$P$1152),"",VLOOKUP(Tablas!A17,Tablas!$P$1111:$T$1152,2,FALSE)))</f>
        <v/>
      </c>
      <c r="X69" s="4073"/>
      <c r="Y69" s="4073"/>
      <c r="Z69" s="4073"/>
      <c r="AA69" s="4074"/>
      <c r="AB69" s="4087" t="str">
        <f>IF(SUM(Tablas!$P$1111:$P$1152)=0,"",IF(Tablas!A17&gt;MAX(Tablas!$P$1111:$P$1152),"",VLOOKUP(Tablas!A17,Tablas!$P$1111:$T$1152,4,FALSE)))</f>
        <v/>
      </c>
      <c r="AC69" s="4088"/>
      <c r="AD69" s="4088"/>
      <c r="AE69" s="4088"/>
      <c r="AF69" s="4088"/>
      <c r="AG69" s="4088"/>
      <c r="AH69" s="4088"/>
      <c r="AI69" s="4088"/>
      <c r="AJ69" s="4088"/>
      <c r="AK69" s="4089"/>
      <c r="AL69" s="1807"/>
      <c r="AM69" s="190"/>
      <c r="AN69" s="2427" t="str">
        <f t="shared" si="8"/>
        <v>Conjuros</v>
      </c>
      <c r="AO69" s="4174"/>
      <c r="AP69" s="4175"/>
      <c r="AQ69" s="4176"/>
      <c r="AR69" s="4176"/>
      <c r="AS69" s="4176"/>
      <c r="AT69" s="4177"/>
      <c r="AU69" s="2083"/>
      <c r="AV69" s="2085">
        <f>IF(AQ69="",0,VLOOKUP(AQ69,'Tablas Magia'!$D$6:$Z$680,11,FALSE)/2)</f>
        <v>0</v>
      </c>
      <c r="AW69" s="2105"/>
      <c r="AX69" s="1802"/>
    </row>
    <row r="70" spans="1:50" ht="12" customHeight="1" x14ac:dyDescent="0.2">
      <c r="A70" s="190"/>
      <c r="B70" s="1799"/>
      <c r="C70" s="4079" t="s">
        <v>2077</v>
      </c>
      <c r="D70" s="4079"/>
      <c r="E70" s="287">
        <v>40</v>
      </c>
      <c r="F70" s="4091"/>
      <c r="G70" s="4091"/>
      <c r="H70" s="4092"/>
      <c r="I70" s="68"/>
      <c r="J70" s="286">
        <v>320</v>
      </c>
      <c r="K70" s="4080" t="s">
        <v>2078</v>
      </c>
      <c r="L70" s="4080"/>
      <c r="M70" s="4078" t="str">
        <f>IF(Metamagia!$R$54+Metamagia!$U$54+Metamagia!$AA$54+Metamagia!$AA$59+Metamagia!$AA$64+Metamagia!$AD$48+Metamagia!$AG$46&gt;5,"Zeón 100","-")</f>
        <v>-</v>
      </c>
      <c r="N70" s="4078"/>
      <c r="O70" s="4078"/>
      <c r="P70" s="4078"/>
      <c r="Q70" s="4078"/>
      <c r="R70" s="68"/>
      <c r="S70" s="1807"/>
      <c r="T70" s="1584"/>
      <c r="U70" s="190"/>
      <c r="V70" s="1977"/>
      <c r="W70" s="4072" t="str">
        <f>IF(SUM(Tablas!$P$1111:$P$1152)=0,"",IF(Tablas!A18&gt;MAX(Tablas!$P$1111:$P$1152),"",VLOOKUP(Tablas!A18,Tablas!$P$1111:$T$1152,2,FALSE)))</f>
        <v/>
      </c>
      <c r="X70" s="4073"/>
      <c r="Y70" s="4073"/>
      <c r="Z70" s="4073"/>
      <c r="AA70" s="4074"/>
      <c r="AB70" s="4087" t="str">
        <f>IF(SUM(Tablas!$P$1111:$P$1152)=0,"",IF(Tablas!A18&gt;MAX(Tablas!$P$1111:$P$1152),"",VLOOKUP(Tablas!A18,Tablas!$P$1111:$T$1152,4,FALSE)))</f>
        <v/>
      </c>
      <c r="AC70" s="4088"/>
      <c r="AD70" s="4088"/>
      <c r="AE70" s="4088"/>
      <c r="AF70" s="4088"/>
      <c r="AG70" s="4088"/>
      <c r="AH70" s="4088"/>
      <c r="AI70" s="4088"/>
      <c r="AJ70" s="4088"/>
      <c r="AK70" s="4089"/>
      <c r="AL70" s="1807"/>
      <c r="AM70" s="190"/>
      <c r="AN70" s="2427" t="str">
        <f t="shared" si="8"/>
        <v>Conjuros</v>
      </c>
      <c r="AO70" s="4178"/>
      <c r="AP70" s="4179"/>
      <c r="AQ70" s="3750"/>
      <c r="AR70" s="3750"/>
      <c r="AS70" s="3750"/>
      <c r="AT70" s="4180"/>
      <c r="AU70" s="2041"/>
      <c r="AV70" s="2036">
        <f>IF(AQ70="",0,VLOOKUP(AQ70,'Tablas Magia'!$D$6:$Z$680,11,FALSE)/2)</f>
        <v>0</v>
      </c>
      <c r="AW70" s="2105"/>
      <c r="AX70" s="1802"/>
    </row>
    <row r="71" spans="1:50" ht="12" customHeight="1" thickBot="1" x14ac:dyDescent="0.25">
      <c r="A71" s="190"/>
      <c r="B71" s="1799"/>
      <c r="C71" s="4079" t="s">
        <v>2079</v>
      </c>
      <c r="D71" s="4079"/>
      <c r="E71" s="287">
        <v>50</v>
      </c>
      <c r="F71" s="4103"/>
      <c r="G71" s="4103"/>
      <c r="H71" s="4103"/>
      <c r="I71" s="68"/>
      <c r="J71" s="289">
        <v>440</v>
      </c>
      <c r="K71" s="4093" t="s">
        <v>2012</v>
      </c>
      <c r="L71" s="4093"/>
      <c r="M71" s="4094" t="str">
        <f>IF(Metamagia!$R$54+Metamagia!$U$54+Metamagia!$AA$54+Metamagia!$AA$59+Metamagia!$AA$64+Metamagia!$AD$48+Metamagia!$AG$46&gt;6,"Zeón 200","-")</f>
        <v>-</v>
      </c>
      <c r="N71" s="4094"/>
      <c r="O71" s="4094"/>
      <c r="P71" s="4094"/>
      <c r="Q71" s="4094"/>
      <c r="R71" s="68"/>
      <c r="S71" s="1807"/>
      <c r="T71" s="1584"/>
      <c r="U71" s="190"/>
      <c r="V71" s="1977"/>
      <c r="W71" s="4072" t="str">
        <f>IF(SUM(Tablas!$P$1111:$P$1152)=0,"",IF(Tablas!A19&gt;MAX(Tablas!$P$1111:$P$1152),"",VLOOKUP(Tablas!A19,Tablas!$P$1111:$T$1152,2,FALSE)))</f>
        <v/>
      </c>
      <c r="X71" s="4073"/>
      <c r="Y71" s="4073"/>
      <c r="Z71" s="4073"/>
      <c r="AA71" s="4074"/>
      <c r="AB71" s="4087" t="str">
        <f>IF(SUM(Tablas!$P$1111:$P$1152)=0,"",IF(Tablas!A19&gt;MAX(Tablas!$P$1111:$P$1152),"",VLOOKUP(Tablas!A19,Tablas!$P$1111:$T$1152,4,FALSE)))</f>
        <v/>
      </c>
      <c r="AC71" s="4088"/>
      <c r="AD71" s="4088"/>
      <c r="AE71" s="4088"/>
      <c r="AF71" s="4088"/>
      <c r="AG71" s="4088"/>
      <c r="AH71" s="4088"/>
      <c r="AI71" s="4088"/>
      <c r="AJ71" s="4088"/>
      <c r="AK71" s="4089"/>
      <c r="AL71" s="1807"/>
      <c r="AM71" s="190"/>
      <c r="AN71" s="2427" t="str">
        <f t="shared" si="8"/>
        <v>Conjuros</v>
      </c>
      <c r="AO71" s="4174"/>
      <c r="AP71" s="4175"/>
      <c r="AQ71" s="4176"/>
      <c r="AR71" s="4176"/>
      <c r="AS71" s="4176"/>
      <c r="AT71" s="4177"/>
      <c r="AU71" s="2083"/>
      <c r="AV71" s="2085">
        <f>IF(AQ71="",0,VLOOKUP(AQ71,'Tablas Magia'!$D$6:$Z$680,11,FALSE)/2)</f>
        <v>0</v>
      </c>
      <c r="AW71" s="2105"/>
      <c r="AX71" s="1802"/>
    </row>
    <row r="72" spans="1:50" ht="12" customHeight="1" thickBot="1" x14ac:dyDescent="0.25">
      <c r="A72" s="190"/>
      <c r="B72" s="1799"/>
      <c r="C72" s="4079" t="s">
        <v>2080</v>
      </c>
      <c r="D72" s="4079"/>
      <c r="E72" s="287">
        <v>60</v>
      </c>
      <c r="F72" s="4103"/>
      <c r="G72" s="4103"/>
      <c r="H72" s="4103"/>
      <c r="I72" s="68"/>
      <c r="J72" s="4095"/>
      <c r="K72" s="4095"/>
      <c r="L72" s="4095"/>
      <c r="M72" s="4095"/>
      <c r="N72" s="4095"/>
      <c r="O72" s="4095"/>
      <c r="P72" s="4095"/>
      <c r="Q72" s="4095"/>
      <c r="R72" s="68"/>
      <c r="S72" s="1807"/>
      <c r="T72" s="1584"/>
      <c r="U72" s="190"/>
      <c r="V72" s="1977"/>
      <c r="W72" s="4072" t="str">
        <f>IF(SUM(Tablas!$P$1111:$P$1152)=0,"",IF(Tablas!A20&gt;MAX(Tablas!$P$1111:$P$1152),"",VLOOKUP(Tablas!A20,Tablas!$P$1111:$T$1152,2,FALSE)))</f>
        <v/>
      </c>
      <c r="X72" s="4073"/>
      <c r="Y72" s="4073"/>
      <c r="Z72" s="4073"/>
      <c r="AA72" s="4074"/>
      <c r="AB72" s="4087" t="str">
        <f>IF(SUM(Tablas!$P$1111:$P$1152)=0,"",IF(Tablas!A20&gt;MAX(Tablas!$P$1111:$P$1152),"",VLOOKUP(Tablas!A20,Tablas!$P$1111:$T$1152,4,FALSE)))</f>
        <v/>
      </c>
      <c r="AC72" s="4088"/>
      <c r="AD72" s="4088"/>
      <c r="AE72" s="4088"/>
      <c r="AF72" s="4088"/>
      <c r="AG72" s="4088"/>
      <c r="AH72" s="4088"/>
      <c r="AI72" s="4088"/>
      <c r="AJ72" s="4088"/>
      <c r="AK72" s="4089"/>
      <c r="AL72" s="1807"/>
      <c r="AM72" s="190"/>
      <c r="AN72" s="2427" t="str">
        <f t="shared" si="8"/>
        <v>Conjuros</v>
      </c>
      <c r="AO72" s="4169"/>
      <c r="AP72" s="4170"/>
      <c r="AQ72" s="4067"/>
      <c r="AR72" s="4067"/>
      <c r="AS72" s="4067"/>
      <c r="AT72" s="4171"/>
      <c r="AU72" s="2042"/>
      <c r="AV72" s="1996">
        <f>IF(AQ72="",0,VLOOKUP(AQ72,'Tablas Magia'!$D$6:$Z$680,11,FALSE)/2)</f>
        <v>0</v>
      </c>
      <c r="AW72" s="2105"/>
      <c r="AX72" s="1802"/>
    </row>
    <row r="73" spans="1:50" ht="12" customHeight="1" thickBot="1" x14ac:dyDescent="0.25">
      <c r="A73" s="190"/>
      <c r="B73" s="1799"/>
      <c r="C73" s="4102" t="s">
        <v>2081</v>
      </c>
      <c r="D73" s="4102"/>
      <c r="E73" s="290">
        <v>70</v>
      </c>
      <c r="F73" s="4103"/>
      <c r="G73" s="4103"/>
      <c r="H73" s="4103"/>
      <c r="I73" s="68"/>
      <c r="J73" s="4095"/>
      <c r="K73" s="4095"/>
      <c r="L73" s="4095"/>
      <c r="M73" s="4095"/>
      <c r="N73" s="4095"/>
      <c r="O73" s="4095"/>
      <c r="P73" s="4095"/>
      <c r="Q73" s="4095"/>
      <c r="R73" s="68"/>
      <c r="S73" s="1807"/>
      <c r="T73" s="1584"/>
      <c r="U73" s="190"/>
      <c r="V73" s="1977"/>
      <c r="W73" s="4096" t="str">
        <f>IF(SUM(Tablas!$P$1111:$P$1152)=0,"",IF(Tablas!A21&gt;MAX(Tablas!$P$1111:$P$1152),"",VLOOKUP(Tablas!A21,Tablas!$P$1111:$T$1152,2,FALSE)))</f>
        <v/>
      </c>
      <c r="X73" s="4097"/>
      <c r="Y73" s="4097"/>
      <c r="Z73" s="4097"/>
      <c r="AA73" s="4098"/>
      <c r="AB73" s="4099" t="str">
        <f>IF(SUM(Tablas!$P$1111:$P$1152)=0,"",IF(Tablas!A21&gt;MAX(Tablas!$P$1111:$P$1152),"",VLOOKUP(Tablas!A21,Tablas!$P$1111:$T$1152,4,FALSE)))</f>
        <v/>
      </c>
      <c r="AC73" s="4100"/>
      <c r="AD73" s="4100"/>
      <c r="AE73" s="4100"/>
      <c r="AF73" s="4100"/>
      <c r="AG73" s="4100"/>
      <c r="AH73" s="4100"/>
      <c r="AI73" s="4100"/>
      <c r="AJ73" s="4100"/>
      <c r="AK73" s="4101"/>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3" priority="62" stopIfTrue="1" operator="greaterThan">
      <formula>$C$12</formula>
    </cfRule>
  </conditionalFormatting>
  <conditionalFormatting sqref="AK10">
    <cfRule type="cellIs" dxfId="592" priority="63" stopIfTrue="1" operator="equal">
      <formula>0</formula>
    </cfRule>
  </conditionalFormatting>
  <conditionalFormatting sqref="J59:Q59">
    <cfRule type="expression" dxfId="591" priority="1767">
      <formula>$P$25="Invocador"</formula>
    </cfRule>
  </conditionalFormatting>
  <conditionalFormatting sqref="K18:L19">
    <cfRule type="cellIs" dxfId="590" priority="50" operator="lessThan">
      <formula>0</formula>
    </cfRule>
  </conditionalFormatting>
  <conditionalFormatting sqref="AO44:AV44">
    <cfRule type="expression" dxfId="589" priority="31">
      <formula>$AO$44=""</formula>
    </cfRule>
  </conditionalFormatting>
  <conditionalFormatting sqref="AO55:AV55">
    <cfRule type="expression" dxfId="588" priority="13">
      <formula>$BA$45</formula>
    </cfRule>
  </conditionalFormatting>
  <conditionalFormatting sqref="AO56:AP58">
    <cfRule type="expression" dxfId="587" priority="12">
      <formula>$BA$45</formula>
    </cfRule>
  </conditionalFormatting>
  <conditionalFormatting sqref="AO53:AV54">
    <cfRule type="expression" dxfId="586" priority="11">
      <formula>$BB$45</formula>
    </cfRule>
  </conditionalFormatting>
  <conditionalFormatting sqref="AO60:AV72">
    <cfRule type="expression" dxfId="585" priority="9" stopIfTrue="1">
      <formula>NOT($AZ$45)</formula>
    </cfRule>
  </conditionalFormatting>
  <conditionalFormatting sqref="AO52:AV52">
    <cfRule type="expression" dxfId="584" priority="8">
      <formula>$BB$45</formula>
    </cfRule>
  </conditionalFormatting>
  <conditionalFormatting sqref="AO56:AV58">
    <cfRule type="expression" dxfId="583" priority="6">
      <formula>$AZ$45</formula>
    </cfRule>
  </conditionalFormatting>
  <conditionalFormatting sqref="AO55:AT55">
    <cfRule type="expression" dxfId="582" priority="4">
      <formula>$AZ$45</formula>
    </cfRule>
  </conditionalFormatting>
  <conditionalFormatting sqref="AU55:AV55">
    <cfRule type="expression" dxfId="581" priority="3">
      <formula>$AZ$45</formula>
    </cfRule>
  </conditionalFormatting>
  <conditionalFormatting sqref="AO46:AV58">
    <cfRule type="expression" dxfId="580" priority="2">
      <formula>AND(NOT($AZ$45),NOT($BA$45),NOT($BB$45))</formula>
    </cfRule>
  </conditionalFormatting>
  <conditionalFormatting sqref="AK12:AK50">
    <cfRule type="expression" dxfId="579"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1"/>
      <c r="D3" s="3201"/>
      <c r="E3" s="3201"/>
      <c r="F3" s="3201"/>
      <c r="G3" s="3201"/>
      <c r="H3" s="3201"/>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1"/>
      <c r="D4" s="3201"/>
      <c r="E4" s="3201"/>
      <c r="F4" s="3201"/>
      <c r="G4" s="3201"/>
      <c r="H4" s="3201"/>
      <c r="I4" s="12"/>
      <c r="J4" s="297"/>
      <c r="K4" s="297"/>
      <c r="L4" s="297"/>
      <c r="M4" s="297"/>
      <c r="N4" s="297"/>
      <c r="O4" s="297"/>
      <c r="P4" s="297"/>
      <c r="Q4" s="297"/>
      <c r="R4" s="297"/>
      <c r="S4" s="297"/>
      <c r="T4" s="297"/>
      <c r="U4" s="297"/>
      <c r="V4" s="56"/>
      <c r="W4" s="56"/>
      <c r="X4" s="56"/>
      <c r="Y4" s="56"/>
      <c r="Z4" s="56"/>
      <c r="AA4" s="3118" t="s">
        <v>1628</v>
      </c>
      <c r="AB4" s="3118"/>
      <c r="AC4" s="3119" t="str">
        <f>IF(OR(General!$G$22="",General!$G$22=0),"",General!$G$22)</f>
        <v/>
      </c>
      <c r="AD4" s="3119"/>
      <c r="AE4" s="3119"/>
      <c r="AF4" s="3119"/>
      <c r="AG4" s="3119"/>
      <c r="AH4" s="13"/>
      <c r="AI4" s="69"/>
      <c r="AJ4" s="190"/>
    </row>
    <row r="5" spans="1:36" ht="12" customHeight="1" x14ac:dyDescent="0.2">
      <c r="A5" s="1584">
        <v>25</v>
      </c>
      <c r="B5" s="295"/>
      <c r="C5" s="3201"/>
      <c r="D5" s="3201"/>
      <c r="E5" s="3201"/>
      <c r="F5" s="3201"/>
      <c r="G5" s="3201"/>
      <c r="H5" s="3201"/>
      <c r="I5" s="12"/>
      <c r="J5" s="297"/>
      <c r="K5" s="297"/>
      <c r="L5" s="297"/>
      <c r="M5" s="297"/>
      <c r="N5" s="297"/>
      <c r="O5" s="297"/>
      <c r="P5" s="297"/>
      <c r="Q5" s="297"/>
      <c r="R5" s="297"/>
      <c r="S5" s="297"/>
      <c r="T5" s="297"/>
      <c r="U5" s="297"/>
      <c r="V5" s="56"/>
      <c r="W5" s="56"/>
      <c r="X5" s="56"/>
      <c r="Y5" s="56"/>
      <c r="Z5" s="56"/>
      <c r="AA5" s="3197" t="s">
        <v>1629</v>
      </c>
      <c r="AB5" s="3197"/>
      <c r="AC5" s="3198" t="str">
        <f>Principal!$L$5</f>
        <v>Hechicero</v>
      </c>
      <c r="AD5" s="3198"/>
      <c r="AE5" s="3198"/>
      <c r="AF5" s="14" t="s">
        <v>1630</v>
      </c>
      <c r="AG5" s="15" t="str">
        <f>Principal!$P$5</f>
        <v>1</v>
      </c>
      <c r="AH5" s="16"/>
      <c r="AI5" s="69"/>
      <c r="AJ5" s="190"/>
    </row>
    <row r="6" spans="1:36" ht="12" customHeight="1" x14ac:dyDescent="0.2">
      <c r="A6" s="1737"/>
      <c r="B6" s="298"/>
      <c r="C6" s="3201"/>
      <c r="D6" s="3201"/>
      <c r="E6" s="3201"/>
      <c r="F6" s="3201"/>
      <c r="G6" s="3201"/>
      <c r="H6" s="3201"/>
      <c r="I6" s="12"/>
      <c r="J6" s="297"/>
      <c r="K6" s="297"/>
      <c r="L6" s="297"/>
      <c r="M6" s="297"/>
      <c r="N6" s="297"/>
      <c r="O6" s="297"/>
      <c r="P6" s="297"/>
      <c r="Q6" s="297"/>
      <c r="R6" s="297"/>
      <c r="S6" s="297"/>
      <c r="T6" s="297"/>
      <c r="U6" s="297"/>
      <c r="V6" s="56"/>
      <c r="W6" s="56"/>
      <c r="X6" s="56"/>
      <c r="Y6" s="56"/>
      <c r="Z6" s="56"/>
      <c r="AA6" s="3199" t="s">
        <v>2082</v>
      </c>
      <c r="AB6" s="3199"/>
      <c r="AC6" s="3199"/>
      <c r="AD6" s="3199"/>
      <c r="AE6" s="3199"/>
      <c r="AF6" s="3199"/>
      <c r="AG6" s="3199"/>
      <c r="AH6" s="16"/>
      <c r="AI6" s="69"/>
      <c r="AJ6" s="190"/>
    </row>
    <row r="7" spans="1:36" ht="12" customHeight="1" x14ac:dyDescent="0.2">
      <c r="A7" s="1738"/>
      <c r="B7" s="299"/>
      <c r="C7" s="3201"/>
      <c r="D7" s="3201"/>
      <c r="E7" s="3201"/>
      <c r="F7" s="3201"/>
      <c r="G7" s="3201"/>
      <c r="H7" s="3201"/>
      <c r="I7" s="12"/>
      <c r="J7" s="297"/>
      <c r="K7" s="297"/>
      <c r="L7" s="297"/>
      <c r="M7" s="297"/>
      <c r="N7" s="297"/>
      <c r="O7" s="297"/>
      <c r="P7" s="297"/>
      <c r="Q7" s="297"/>
      <c r="R7" s="297"/>
      <c r="S7" s="297"/>
      <c r="T7" s="297"/>
      <c r="U7" s="297"/>
      <c r="V7" s="56"/>
      <c r="W7" s="56"/>
      <c r="X7" s="56"/>
      <c r="Y7" s="56"/>
      <c r="Z7" s="56"/>
      <c r="AA7" s="3199"/>
      <c r="AB7" s="3199"/>
      <c r="AC7" s="3199"/>
      <c r="AD7" s="3199"/>
      <c r="AE7" s="3199"/>
      <c r="AF7" s="3199"/>
      <c r="AG7" s="3199"/>
      <c r="AH7" s="16"/>
      <c r="AI7" s="69"/>
      <c r="AJ7" s="190"/>
    </row>
    <row r="8" spans="1:36" ht="12" customHeight="1" x14ac:dyDescent="0.2">
      <c r="A8" s="1738"/>
      <c r="B8" s="299"/>
      <c r="C8" s="3201"/>
      <c r="D8" s="3201"/>
      <c r="E8" s="3201"/>
      <c r="F8" s="3201"/>
      <c r="G8" s="3201"/>
      <c r="H8" s="3201"/>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5" t="s">
        <v>2083</v>
      </c>
      <c r="J10" s="4185"/>
      <c r="K10" s="305"/>
      <c r="L10" s="302"/>
      <c r="M10" s="302"/>
      <c r="N10" s="302"/>
      <c r="O10" s="303"/>
      <c r="P10" s="303"/>
      <c r="Q10" s="303"/>
      <c r="R10" s="303"/>
      <c r="S10" s="303"/>
      <c r="T10" s="303"/>
      <c r="U10" s="303"/>
      <c r="V10" s="303"/>
      <c r="W10" s="303"/>
      <c r="X10" s="302"/>
      <c r="Y10" s="302"/>
      <c r="Z10" s="304"/>
      <c r="AA10" s="4185" t="s">
        <v>2084</v>
      </c>
      <c r="AB10" s="4185"/>
      <c r="AC10" s="305"/>
      <c r="AD10" s="302"/>
      <c r="AE10" s="302"/>
      <c r="AF10" s="68"/>
      <c r="AG10" s="68"/>
      <c r="AH10" s="68"/>
      <c r="AI10" s="69"/>
      <c r="AJ10" s="190"/>
    </row>
    <row r="11" spans="1:36" ht="12" customHeight="1" x14ac:dyDescent="0.2">
      <c r="A11" s="1740"/>
      <c r="B11" s="295"/>
      <c r="C11" s="302"/>
      <c r="D11" s="302"/>
      <c r="E11" s="302"/>
      <c r="F11" s="4185" t="s">
        <v>2085</v>
      </c>
      <c r="G11" s="4185"/>
      <c r="H11" s="306"/>
      <c r="I11" s="4185"/>
      <c r="J11" s="4185"/>
      <c r="K11" s="307"/>
      <c r="L11" s="4185" t="s">
        <v>2086</v>
      </c>
      <c r="M11" s="4185"/>
      <c r="N11" s="304"/>
      <c r="O11" s="303"/>
      <c r="P11" s="303"/>
      <c r="Q11" s="303"/>
      <c r="R11" s="303"/>
      <c r="S11" s="303"/>
      <c r="T11" s="303"/>
      <c r="U11" s="303"/>
      <c r="V11" s="303"/>
      <c r="W11" s="303"/>
      <c r="X11" s="4185" t="s">
        <v>2087</v>
      </c>
      <c r="Y11" s="4185"/>
      <c r="Z11" s="306"/>
      <c r="AA11" s="4185"/>
      <c r="AB11" s="4185"/>
      <c r="AC11" s="308"/>
      <c r="AD11" s="4185" t="s">
        <v>2087</v>
      </c>
      <c r="AE11" s="4185"/>
      <c r="AF11" s="305"/>
      <c r="AG11" s="68"/>
      <c r="AH11" s="68"/>
      <c r="AI11" s="69"/>
      <c r="AJ11" s="190"/>
    </row>
    <row r="12" spans="1:36" ht="12" customHeight="1" x14ac:dyDescent="0.2">
      <c r="A12" s="1584"/>
      <c r="B12" s="295"/>
      <c r="C12" s="302"/>
      <c r="D12" s="302"/>
      <c r="E12" s="304"/>
      <c r="F12" s="4185"/>
      <c r="G12" s="4185"/>
      <c r="H12" s="309"/>
      <c r="I12" s="4185"/>
      <c r="J12" s="4185"/>
      <c r="K12" s="309"/>
      <c r="L12" s="4185"/>
      <c r="M12" s="4185"/>
      <c r="N12" s="304"/>
      <c r="O12" s="303"/>
      <c r="P12" s="303"/>
      <c r="Q12" s="303"/>
      <c r="R12" s="303"/>
      <c r="S12" s="303"/>
      <c r="T12" s="303"/>
      <c r="U12" s="303"/>
      <c r="V12" s="303"/>
      <c r="W12" s="303"/>
      <c r="X12" s="4185"/>
      <c r="Y12" s="4185"/>
      <c r="Z12" s="309"/>
      <c r="AA12" s="4185"/>
      <c r="AB12" s="4185"/>
      <c r="AC12" s="309"/>
      <c r="AD12" s="4185"/>
      <c r="AE12" s="4185"/>
      <c r="AF12" s="309"/>
      <c r="AG12" s="68"/>
      <c r="AH12" s="68"/>
      <c r="AI12" s="69"/>
      <c r="AJ12" s="190"/>
    </row>
    <row r="13" spans="1:36" ht="12" customHeight="1" x14ac:dyDescent="0.2">
      <c r="A13" s="1584"/>
      <c r="B13" s="295"/>
      <c r="C13" s="302"/>
      <c r="D13" s="302"/>
      <c r="E13" s="304"/>
      <c r="F13" s="4185"/>
      <c r="G13" s="4185"/>
      <c r="H13" s="309"/>
      <c r="I13" s="310" t="str">
        <f>IF(PDs!$X$15&lt;Metamagia!K10,"Nv "&amp;Metamagia!K10,"")</f>
        <v/>
      </c>
      <c r="J13" s="311"/>
      <c r="K13" s="309">
        <v>10</v>
      </c>
      <c r="L13" s="4185"/>
      <c r="M13" s="4185"/>
      <c r="N13" s="309"/>
      <c r="O13" s="303"/>
      <c r="P13" s="303"/>
      <c r="Q13" s="303"/>
      <c r="R13" s="303"/>
      <c r="S13" s="303"/>
      <c r="T13" s="303"/>
      <c r="U13" s="303"/>
      <c r="V13" s="303"/>
      <c r="W13" s="303"/>
      <c r="X13" s="4185"/>
      <c r="Y13" s="4185"/>
      <c r="Z13" s="309"/>
      <c r="AA13" s="310" t="str">
        <f>IF(PDs!$X$15&lt;Metamagia!AC10,"Nv "&amp;Metamagia!AC10,"")</f>
        <v/>
      </c>
      <c r="AB13" s="311"/>
      <c r="AC13" s="309">
        <v>5</v>
      </c>
      <c r="AD13" s="4185"/>
      <c r="AE13" s="418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5" t="s">
        <v>2088</v>
      </c>
      <c r="J15" s="4185"/>
      <c r="K15" s="309"/>
      <c r="L15" s="314">
        <f>IF(M14&gt;0,1,0)</f>
        <v>0</v>
      </c>
      <c r="M15" s="302"/>
      <c r="N15" s="309"/>
      <c r="O15" s="302"/>
      <c r="P15" s="302"/>
      <c r="Q15" s="304"/>
      <c r="R15" s="4185" t="s">
        <v>2086</v>
      </c>
      <c r="S15" s="4185"/>
      <c r="T15" s="302"/>
      <c r="U15" s="68"/>
      <c r="V15" s="68"/>
      <c r="W15" s="305"/>
      <c r="X15" s="269">
        <f>IF(Y14&gt;0,1,0)</f>
        <v>0</v>
      </c>
      <c r="Y15" s="293"/>
      <c r="Z15" s="309"/>
      <c r="AA15" s="4185" t="s">
        <v>2089</v>
      </c>
      <c r="AB15" s="418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5"/>
      <c r="J16" s="4185"/>
      <c r="K16" s="316"/>
      <c r="L16" s="317"/>
      <c r="M16" s="302"/>
      <c r="N16" s="309"/>
      <c r="O16" s="302"/>
      <c r="P16" s="318"/>
      <c r="Q16" s="319"/>
      <c r="R16" s="4185"/>
      <c r="S16" s="4185"/>
      <c r="T16" s="304"/>
      <c r="U16" s="68"/>
      <c r="V16" s="68"/>
      <c r="W16" s="305"/>
      <c r="X16" s="302"/>
      <c r="Y16" s="315"/>
      <c r="Z16" s="307"/>
      <c r="AA16" s="4185"/>
      <c r="AB16" s="4185"/>
      <c r="AC16" s="316"/>
      <c r="AD16" s="317"/>
      <c r="AE16" s="302"/>
      <c r="AF16" s="309"/>
      <c r="AG16" s="303"/>
      <c r="AH16" s="303"/>
      <c r="AI16" s="313"/>
      <c r="AJ16" s="190"/>
    </row>
    <row r="17" spans="1:36" ht="12" customHeight="1" x14ac:dyDescent="0.2">
      <c r="A17" s="1584"/>
      <c r="B17" s="295"/>
      <c r="C17" s="303"/>
      <c r="D17" s="303"/>
      <c r="E17" s="303"/>
      <c r="F17" s="302"/>
      <c r="G17" s="295"/>
      <c r="H17" s="309"/>
      <c r="I17" s="4185"/>
      <c r="J17" s="4185"/>
      <c r="K17" s="309"/>
      <c r="L17" s="320"/>
      <c r="M17" s="302"/>
      <c r="N17" s="309"/>
      <c r="O17" s="320"/>
      <c r="P17" s="302"/>
      <c r="Q17" s="304"/>
      <c r="R17" s="4185"/>
      <c r="S17" s="4185"/>
      <c r="T17" s="309"/>
      <c r="U17" s="68"/>
      <c r="V17" s="68"/>
      <c r="W17" s="305"/>
      <c r="X17" s="302"/>
      <c r="Y17" s="295"/>
      <c r="Z17" s="309"/>
      <c r="AA17" s="4185"/>
      <c r="AB17" s="418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5" t="s">
        <v>2086</v>
      </c>
      <c r="D20" s="4185"/>
      <c r="E20" s="309"/>
      <c r="F20" s="4185" t="s">
        <v>2090</v>
      </c>
      <c r="G20" s="4185"/>
      <c r="H20" s="309">
        <v>3</v>
      </c>
      <c r="I20" s="4185" t="s">
        <v>2091</v>
      </c>
      <c r="J20" s="4185"/>
      <c r="K20" s="309">
        <v>4</v>
      </c>
      <c r="L20" s="4185" t="s">
        <v>2092</v>
      </c>
      <c r="M20" s="4185"/>
      <c r="N20" s="309">
        <v>2</v>
      </c>
      <c r="O20" s="4185" t="s">
        <v>2083</v>
      </c>
      <c r="P20" s="4185"/>
      <c r="Q20" s="309">
        <v>4</v>
      </c>
      <c r="R20" s="4185" t="s">
        <v>2091</v>
      </c>
      <c r="S20" s="4185"/>
      <c r="T20" s="309">
        <v>5</v>
      </c>
      <c r="U20" s="4185" t="s">
        <v>2089</v>
      </c>
      <c r="V20" s="4185"/>
      <c r="W20" s="305"/>
      <c r="X20" s="4185" t="s">
        <v>2093</v>
      </c>
      <c r="Y20" s="4185"/>
      <c r="Z20" s="309">
        <v>3</v>
      </c>
      <c r="AA20" s="4185" t="s">
        <v>2094</v>
      </c>
      <c r="AB20" s="4185"/>
      <c r="AC20" s="309">
        <v>5</v>
      </c>
      <c r="AD20" s="4185" t="s">
        <v>2095</v>
      </c>
      <c r="AE20" s="4185"/>
      <c r="AF20" s="309">
        <v>2</v>
      </c>
      <c r="AG20" s="4185" t="s">
        <v>2093</v>
      </c>
      <c r="AH20" s="4185"/>
      <c r="AI20" s="322">
        <v>3</v>
      </c>
      <c r="AJ20" s="190"/>
    </row>
    <row r="21" spans="1:36" ht="12" customHeight="1" x14ac:dyDescent="0.2">
      <c r="A21" s="1584"/>
      <c r="B21" s="295"/>
      <c r="C21" s="4185"/>
      <c r="D21" s="4185"/>
      <c r="E21" s="306"/>
      <c r="F21" s="4185"/>
      <c r="G21" s="4185"/>
      <c r="H21" s="306"/>
      <c r="I21" s="4185"/>
      <c r="J21" s="4185"/>
      <c r="K21" s="306"/>
      <c r="L21" s="4185"/>
      <c r="M21" s="4185"/>
      <c r="N21" s="306"/>
      <c r="O21" s="4185"/>
      <c r="P21" s="4185"/>
      <c r="Q21" s="309"/>
      <c r="R21" s="4185"/>
      <c r="S21" s="4185"/>
      <c r="T21" s="309"/>
      <c r="U21" s="4185"/>
      <c r="V21" s="4185"/>
      <c r="W21" s="308"/>
      <c r="X21" s="4185"/>
      <c r="Y21" s="4185"/>
      <c r="Z21" s="306"/>
      <c r="AA21" s="4185"/>
      <c r="AB21" s="4185"/>
      <c r="AC21" s="306"/>
      <c r="AD21" s="4185"/>
      <c r="AE21" s="4185"/>
      <c r="AF21" s="306"/>
      <c r="AG21" s="4185"/>
      <c r="AH21" s="4185"/>
      <c r="AI21" s="322"/>
      <c r="AJ21" s="190"/>
    </row>
    <row r="22" spans="1:36" ht="12" customHeight="1" x14ac:dyDescent="0.2">
      <c r="A22" s="1584"/>
      <c r="B22" s="295"/>
      <c r="C22" s="4185"/>
      <c r="D22" s="4185"/>
      <c r="E22" s="309"/>
      <c r="F22" s="4185"/>
      <c r="G22" s="4185"/>
      <c r="H22" s="309"/>
      <c r="I22" s="4185"/>
      <c r="J22" s="4185"/>
      <c r="K22" s="309"/>
      <c r="L22" s="4185"/>
      <c r="M22" s="4185"/>
      <c r="N22" s="309"/>
      <c r="O22" s="4185"/>
      <c r="P22" s="4185"/>
      <c r="Q22" s="309"/>
      <c r="R22" s="4185"/>
      <c r="S22" s="4185"/>
      <c r="T22" s="309"/>
      <c r="U22" s="4185"/>
      <c r="V22" s="4185"/>
      <c r="W22" s="305"/>
      <c r="X22" s="4185"/>
      <c r="Y22" s="4185"/>
      <c r="Z22" s="309"/>
      <c r="AA22" s="4185"/>
      <c r="AB22" s="4185"/>
      <c r="AC22" s="309"/>
      <c r="AD22" s="4185"/>
      <c r="AE22" s="4185"/>
      <c r="AF22" s="309"/>
      <c r="AG22" s="4185"/>
      <c r="AH22" s="418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5" t="s">
        <v>2092</v>
      </c>
      <c r="J25" s="4185"/>
      <c r="K25" s="309">
        <v>6</v>
      </c>
      <c r="L25" s="317"/>
      <c r="M25" s="302"/>
      <c r="N25" s="309"/>
      <c r="O25" s="302"/>
      <c r="P25" s="302"/>
      <c r="Q25" s="309"/>
      <c r="R25" s="4185" t="s">
        <v>2096</v>
      </c>
      <c r="S25" s="4185"/>
      <c r="T25" s="309">
        <v>2</v>
      </c>
      <c r="U25" s="69"/>
      <c r="V25" s="68"/>
      <c r="W25" s="305"/>
      <c r="X25" s="317"/>
      <c r="Y25" s="302"/>
      <c r="Z25" s="309"/>
      <c r="AA25" s="4185" t="s">
        <v>2097</v>
      </c>
      <c r="AB25" s="4185"/>
      <c r="AC25" s="309">
        <v>8</v>
      </c>
      <c r="AD25" s="317"/>
      <c r="AE25" s="302"/>
      <c r="AF25" s="309"/>
      <c r="AG25" s="68"/>
      <c r="AH25" s="295"/>
      <c r="AI25" s="322"/>
      <c r="AJ25" s="190"/>
    </row>
    <row r="26" spans="1:36" ht="12" customHeight="1" x14ac:dyDescent="0.2">
      <c r="A26" s="1584"/>
      <c r="B26" s="295"/>
      <c r="C26" s="303"/>
      <c r="D26" s="324"/>
      <c r="E26" s="325"/>
      <c r="F26" s="4185" t="s">
        <v>2088</v>
      </c>
      <c r="G26" s="4185"/>
      <c r="H26" s="309">
        <v>6</v>
      </c>
      <c r="I26" s="4185"/>
      <c r="J26" s="4185"/>
      <c r="K26" s="309"/>
      <c r="L26" s="4185" t="s">
        <v>2090</v>
      </c>
      <c r="M26" s="4185"/>
      <c r="N26" s="309">
        <v>6</v>
      </c>
      <c r="O26" s="302"/>
      <c r="P26" s="302"/>
      <c r="Q26" s="309"/>
      <c r="R26" s="4185"/>
      <c r="S26" s="4185"/>
      <c r="T26" s="316"/>
      <c r="U26" s="200"/>
      <c r="V26" s="68"/>
      <c r="W26" s="305"/>
      <c r="X26" s="4185" t="s">
        <v>2098</v>
      </c>
      <c r="Y26" s="4185"/>
      <c r="Z26" s="309">
        <v>7</v>
      </c>
      <c r="AA26" s="4185"/>
      <c r="AB26" s="4185"/>
      <c r="AC26" s="309"/>
      <c r="AD26" s="4185" t="s">
        <v>2099</v>
      </c>
      <c r="AE26" s="4185"/>
      <c r="AF26" s="309">
        <v>8</v>
      </c>
      <c r="AG26" s="303"/>
      <c r="AH26" s="324"/>
      <c r="AI26" s="326"/>
      <c r="AJ26" s="190"/>
    </row>
    <row r="27" spans="1:36" ht="12" customHeight="1" x14ac:dyDescent="0.2">
      <c r="A27" s="1584"/>
      <c r="B27" s="295"/>
      <c r="C27" s="303"/>
      <c r="D27" s="327"/>
      <c r="E27" s="325"/>
      <c r="F27" s="4185"/>
      <c r="G27" s="4185"/>
      <c r="H27" s="309"/>
      <c r="I27" s="4185"/>
      <c r="J27" s="4185"/>
      <c r="K27" s="309"/>
      <c r="L27" s="4185"/>
      <c r="M27" s="4185"/>
      <c r="N27" s="309"/>
      <c r="O27" s="302"/>
      <c r="P27" s="302"/>
      <c r="Q27" s="304"/>
      <c r="R27" s="4185"/>
      <c r="S27" s="4185"/>
      <c r="T27" s="309"/>
      <c r="U27" s="68"/>
      <c r="V27" s="68"/>
      <c r="W27" s="305"/>
      <c r="X27" s="4185"/>
      <c r="Y27" s="4185"/>
      <c r="Z27" s="309"/>
      <c r="AA27" s="4185"/>
      <c r="AB27" s="4185"/>
      <c r="AC27" s="309"/>
      <c r="AD27" s="4185"/>
      <c r="AE27" s="4185"/>
      <c r="AF27" s="309"/>
      <c r="AG27" s="303"/>
      <c r="AH27" s="327"/>
      <c r="AI27" s="326"/>
      <c r="AJ27" s="190"/>
    </row>
    <row r="28" spans="1:36" ht="12" customHeight="1" x14ac:dyDescent="0.2">
      <c r="A28" s="1584"/>
      <c r="B28" s="295"/>
      <c r="C28" s="4185" t="s">
        <v>2085</v>
      </c>
      <c r="D28" s="4185"/>
      <c r="E28" s="309">
        <v>4</v>
      </c>
      <c r="F28" s="4185"/>
      <c r="G28" s="4185"/>
      <c r="H28" s="309"/>
      <c r="I28" s="310" t="str">
        <f>IF(PDs!$X$15&lt;Metamagia!K25,"Nv "&amp;Metamagia!K25,"")</f>
        <v>Nv 6</v>
      </c>
      <c r="J28" s="311"/>
      <c r="K28" s="309">
        <v>10</v>
      </c>
      <c r="L28" s="4185"/>
      <c r="M28" s="4185"/>
      <c r="N28" s="309"/>
      <c r="O28" s="302"/>
      <c r="P28" s="302"/>
      <c r="Q28" s="304"/>
      <c r="R28" s="310" t="str">
        <f>IF(PDs!$X$15&lt;Metamagia!T25,"Nv "&amp;Metamagia!T25,"")</f>
        <v>Nv 2</v>
      </c>
      <c r="S28" s="311"/>
      <c r="T28" s="309">
        <v>5</v>
      </c>
      <c r="U28" s="68"/>
      <c r="V28" s="68"/>
      <c r="W28" s="305"/>
      <c r="X28" s="4185"/>
      <c r="Y28" s="4185"/>
      <c r="Z28" s="309"/>
      <c r="AA28" s="310" t="str">
        <f>IF(PDs!$X$15&lt;Metamagia!AC25,"Nv "&amp;Metamagia!AC25,"")</f>
        <v>Nv 8</v>
      </c>
      <c r="AB28" s="311"/>
      <c r="AC28" s="309">
        <v>5</v>
      </c>
      <c r="AD28" s="4185"/>
      <c r="AE28" s="4185"/>
      <c r="AF28" s="309"/>
      <c r="AG28" s="4185" t="s">
        <v>2095</v>
      </c>
      <c r="AH28" s="4185"/>
      <c r="AI28" s="322">
        <v>4</v>
      </c>
      <c r="AJ28" s="190"/>
    </row>
    <row r="29" spans="1:36" ht="12" customHeight="1" x14ac:dyDescent="0.2">
      <c r="A29" s="1584"/>
      <c r="B29" s="295"/>
      <c r="C29" s="4185"/>
      <c r="D29" s="418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5"/>
      <c r="AH29" s="4185"/>
      <c r="AI29" s="322"/>
      <c r="AJ29" s="190"/>
    </row>
    <row r="30" spans="1:36" ht="12" customHeight="1" x14ac:dyDescent="0.2">
      <c r="A30" s="1584"/>
      <c r="B30" s="295"/>
      <c r="C30" s="4185"/>
      <c r="D30" s="4185"/>
      <c r="E30" s="309"/>
      <c r="F30" s="314">
        <f>IF(G29&gt;0,1,0)</f>
        <v>0</v>
      </c>
      <c r="G30" s="318"/>
      <c r="H30" s="307"/>
      <c r="I30" s="4185" t="s">
        <v>2091</v>
      </c>
      <c r="J30" s="4185"/>
      <c r="K30" s="329">
        <v>7</v>
      </c>
      <c r="L30" s="321">
        <f>IF(M29&gt;0,1,0)</f>
        <v>0</v>
      </c>
      <c r="M30" s="302"/>
      <c r="N30" s="309"/>
      <c r="O30" s="303"/>
      <c r="P30" s="303"/>
      <c r="Q30" s="303"/>
      <c r="R30" s="303"/>
      <c r="S30" s="303"/>
      <c r="T30" s="303"/>
      <c r="U30" s="303"/>
      <c r="V30" s="303"/>
      <c r="W30" s="305"/>
      <c r="X30" s="314">
        <f>IF(Y29&gt;0,1,0)</f>
        <v>0</v>
      </c>
      <c r="Y30" s="318"/>
      <c r="Z30" s="307"/>
      <c r="AA30" s="4185" t="s">
        <v>2100</v>
      </c>
      <c r="AB30" s="4185"/>
      <c r="AC30" s="329">
        <v>9</v>
      </c>
      <c r="AD30" s="321">
        <f>IF(AE29&gt;0,1,0)</f>
        <v>0</v>
      </c>
      <c r="AE30" s="302"/>
      <c r="AF30" s="309"/>
      <c r="AG30" s="4185"/>
      <c r="AH30" s="4185"/>
      <c r="AI30" s="322"/>
      <c r="AJ30" s="190"/>
    </row>
    <row r="31" spans="1:36" ht="12" customHeight="1" x14ac:dyDescent="0.2">
      <c r="A31" s="1584"/>
      <c r="B31" s="295"/>
      <c r="C31" s="310" t="str">
        <f>IF(PDs!$X$15&lt;Metamagia!E28,"Nv "&amp;Metamagia!E28,"")</f>
        <v>Nv 4</v>
      </c>
      <c r="D31" s="311"/>
      <c r="E31" s="309">
        <v>5</v>
      </c>
      <c r="F31" s="330"/>
      <c r="G31" s="50"/>
      <c r="H31" s="309"/>
      <c r="I31" s="4185"/>
      <c r="J31" s="4185"/>
      <c r="K31" s="331"/>
      <c r="L31" s="302"/>
      <c r="M31" s="302"/>
      <c r="N31" s="309"/>
      <c r="O31" s="303"/>
      <c r="P31" s="303"/>
      <c r="Q31" s="303"/>
      <c r="R31" s="303"/>
      <c r="S31" s="303"/>
      <c r="T31" s="303"/>
      <c r="U31" s="303"/>
      <c r="V31" s="303"/>
      <c r="W31" s="305"/>
      <c r="X31" s="330"/>
      <c r="Y31" s="50"/>
      <c r="Z31" s="309"/>
      <c r="AA31" s="4185"/>
      <c r="AB31" s="418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5"/>
      <c r="J32" s="4185"/>
      <c r="K32" s="331"/>
      <c r="L32" s="302"/>
      <c r="M32" s="302"/>
      <c r="N32" s="309"/>
      <c r="O32" s="303"/>
      <c r="P32" s="303"/>
      <c r="Q32" s="303"/>
      <c r="R32" s="303"/>
      <c r="S32" s="303"/>
      <c r="T32" s="303"/>
      <c r="U32" s="303"/>
      <c r="V32" s="303"/>
      <c r="W32" s="305"/>
      <c r="X32" s="334"/>
      <c r="Y32" s="50"/>
      <c r="Z32" s="309"/>
      <c r="AA32" s="4185"/>
      <c r="AB32" s="4185"/>
      <c r="AC32" s="331"/>
      <c r="AD32" s="302"/>
      <c r="AE32" s="302"/>
      <c r="AF32" s="309"/>
      <c r="AG32" s="323">
        <f>IF(AH31&gt;0,1,0)</f>
        <v>0</v>
      </c>
      <c r="AH32" s="332"/>
      <c r="AI32" s="322"/>
      <c r="AJ32" s="190"/>
    </row>
    <row r="33" spans="1:36" ht="12" customHeight="1" x14ac:dyDescent="0.2">
      <c r="A33" s="1584"/>
      <c r="B33" s="295"/>
      <c r="C33" s="303"/>
      <c r="D33" s="324"/>
      <c r="E33" s="325"/>
      <c r="F33" s="4185" t="s">
        <v>2101</v>
      </c>
      <c r="G33" s="4185"/>
      <c r="H33" s="309">
        <v>10</v>
      </c>
      <c r="I33" s="310" t="str">
        <f>IF(PDs!$X$15&lt;Metamagia!K30,"Nv "&amp;Metamagia!K30,"")</f>
        <v>Nv 7</v>
      </c>
      <c r="J33" s="311"/>
      <c r="K33" s="331">
        <v>10</v>
      </c>
      <c r="L33" s="302"/>
      <c r="M33" s="302"/>
      <c r="N33" s="309"/>
      <c r="O33" s="303"/>
      <c r="V33" s="303"/>
      <c r="W33" s="305"/>
      <c r="X33" s="4185" t="s">
        <v>2102</v>
      </c>
      <c r="Y33" s="418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5"/>
      <c r="G34" s="4185"/>
      <c r="H34" s="316"/>
      <c r="I34" s="314">
        <f>IF(J33&gt;0,1,0)</f>
        <v>0</v>
      </c>
      <c r="J34" s="302"/>
      <c r="K34" s="309"/>
      <c r="L34" s="303"/>
      <c r="M34" s="303"/>
      <c r="N34" s="325"/>
      <c r="O34" s="303"/>
      <c r="V34" s="303"/>
      <c r="W34" s="303"/>
      <c r="X34" s="4185"/>
      <c r="Y34" s="4185"/>
      <c r="Z34" s="316"/>
      <c r="AA34" s="321">
        <f>IF(AB33&gt;0,1,0)</f>
        <v>0</v>
      </c>
      <c r="AB34" s="293"/>
      <c r="AC34" s="309"/>
      <c r="AD34" s="303"/>
      <c r="AE34" s="303"/>
      <c r="AF34" s="325"/>
      <c r="AG34" s="303"/>
      <c r="AH34" s="327"/>
      <c r="AI34" s="326"/>
      <c r="AJ34" s="190"/>
    </row>
    <row r="35" spans="1:36" ht="12" customHeight="1" x14ac:dyDescent="0.2">
      <c r="A35" s="1584"/>
      <c r="B35" s="295"/>
      <c r="C35" s="4185" t="s">
        <v>2088</v>
      </c>
      <c r="D35" s="4185"/>
      <c r="E35" s="309">
        <v>5</v>
      </c>
      <c r="F35" s="4185"/>
      <c r="G35" s="4185"/>
      <c r="H35" s="309"/>
      <c r="I35" s="294"/>
      <c r="J35" s="302"/>
      <c r="K35" s="309"/>
      <c r="L35" s="303"/>
      <c r="M35" s="303"/>
      <c r="N35" s="325"/>
      <c r="O35" s="303"/>
      <c r="P35" s="3183" t="s">
        <v>1828</v>
      </c>
      <c r="Q35" s="3183"/>
      <c r="R35" s="3183"/>
      <c r="S35" s="3183"/>
      <c r="T35" s="3183"/>
      <c r="U35" s="3183"/>
      <c r="V35" s="303"/>
      <c r="W35" s="303"/>
      <c r="X35" s="4185"/>
      <c r="Y35" s="4185"/>
      <c r="Z35" s="309"/>
      <c r="AA35" s="302"/>
      <c r="AB35" s="302"/>
      <c r="AC35" s="309"/>
      <c r="AD35" s="303"/>
      <c r="AE35" s="303"/>
      <c r="AF35" s="325"/>
      <c r="AG35" s="4185" t="s">
        <v>2103</v>
      </c>
      <c r="AH35" s="4185"/>
      <c r="AI35" s="322">
        <v>5</v>
      </c>
      <c r="AJ35" s="190"/>
    </row>
    <row r="36" spans="1:36" ht="12" customHeight="1" x14ac:dyDescent="0.2">
      <c r="A36" s="1584"/>
      <c r="B36" s="295"/>
      <c r="C36" s="4185"/>
      <c r="D36" s="4185"/>
      <c r="E36" s="309"/>
      <c r="F36" s="310" t="str">
        <f>IF(PDs!$X$15&lt;Metamagia!H33,"Nv "&amp;Metamagia!H33,"")</f>
        <v>Nv 10</v>
      </c>
      <c r="G36" s="311"/>
      <c r="H36" s="309">
        <v>20</v>
      </c>
      <c r="I36" s="302"/>
      <c r="J36" s="302"/>
      <c r="K36" s="309"/>
      <c r="L36" s="303"/>
      <c r="M36" s="303"/>
      <c r="N36" s="325"/>
      <c r="O36" s="303"/>
      <c r="P36" s="4186" t="s">
        <v>2018</v>
      </c>
      <c r="Q36" s="4186"/>
      <c r="R36" s="3853" t="s">
        <v>2019</v>
      </c>
      <c r="S36" s="3853"/>
      <c r="T36" s="4187" t="s">
        <v>2020</v>
      </c>
      <c r="U36" s="4187"/>
      <c r="V36" s="303"/>
      <c r="W36" s="303"/>
      <c r="X36" s="310" t="str">
        <f>IF(PDs!$X$15&lt;Metamagia!Z33,"Nv "&amp;Metamagia!Z33,"")</f>
        <v>Nv 10</v>
      </c>
      <c r="Y36" s="311"/>
      <c r="Z36" s="309">
        <v>20</v>
      </c>
      <c r="AA36" s="302"/>
      <c r="AB36" s="302"/>
      <c r="AC36" s="309"/>
      <c r="AD36" s="303"/>
      <c r="AE36" s="303"/>
      <c r="AF36" s="325"/>
      <c r="AG36" s="4185"/>
      <c r="AH36" s="4185"/>
      <c r="AI36" s="322"/>
      <c r="AJ36" s="190"/>
    </row>
    <row r="37" spans="1:36" ht="12" customHeight="1" x14ac:dyDescent="0.2">
      <c r="A37" s="1584"/>
      <c r="B37" s="295"/>
      <c r="C37" s="4185"/>
      <c r="D37" s="4185"/>
      <c r="E37" s="309"/>
      <c r="F37" s="328">
        <f>IF(G36&gt;0,1,0)</f>
        <v>0</v>
      </c>
      <c r="G37" s="303"/>
      <c r="H37" s="325"/>
      <c r="I37" s="302"/>
      <c r="J37" s="302"/>
      <c r="K37" s="309"/>
      <c r="L37" s="4185" t="s">
        <v>2104</v>
      </c>
      <c r="M37" s="4185"/>
      <c r="N37" s="309">
        <v>10</v>
      </c>
      <c r="O37" s="303"/>
      <c r="P37" s="4188">
        <f>Místicos!$C$12</f>
        <v>0</v>
      </c>
      <c r="Q37" s="4188"/>
      <c r="R37" s="4189">
        <f>Místicos!$E$12</f>
        <v>0</v>
      </c>
      <c r="S37" s="4189"/>
      <c r="T37" s="4190">
        <f>D23+D31+D38+D45+D53+G14+G23+G29+G36+G47+G53+G62+J13+J18+J23+J28+J33+J43+J48+J53+J58+J63+M14+M23+M29+M40+M47+M53+M62+P23+P53+S18+S23+S28+S48+S53+S58+V23+V53+Y14+Y23+Y29+Y36+Y47+Y53+Y62+AB13+AB18+AB23+AB28+AB33+AB43+AB48+AB53+AB58+AB63+AE14+AE23+AE29+AE40+AE47+AE53+AE62+AH23+AH31+AH38+AH45+AH53</f>
        <v>0</v>
      </c>
      <c r="U37" s="4190"/>
      <c r="V37" s="303"/>
      <c r="W37" s="303"/>
      <c r="X37" s="328">
        <f>IF(Y36&gt;0,1,0)</f>
        <v>0</v>
      </c>
      <c r="Y37" s="303"/>
      <c r="Z37" s="325"/>
      <c r="AA37" s="302"/>
      <c r="AB37" s="302"/>
      <c r="AC37" s="322"/>
      <c r="AD37" s="4185" t="s">
        <v>2105</v>
      </c>
      <c r="AE37" s="4185"/>
      <c r="AF37" s="309">
        <v>10</v>
      </c>
      <c r="AG37" s="4185"/>
      <c r="AH37" s="418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5"/>
      <c r="M38" s="4185"/>
      <c r="N38" s="337"/>
      <c r="O38" s="303"/>
      <c r="P38" s="4188"/>
      <c r="Q38" s="4188"/>
      <c r="R38" s="4189"/>
      <c r="S38" s="4189"/>
      <c r="T38" s="4190"/>
      <c r="U38" s="4190"/>
      <c r="V38" s="303"/>
      <c r="W38" s="305"/>
      <c r="X38" s="303"/>
      <c r="Y38" s="303"/>
      <c r="Z38" s="325"/>
      <c r="AA38" s="302"/>
      <c r="AB38" s="318"/>
      <c r="AC38" s="307"/>
      <c r="AD38" s="4185"/>
      <c r="AE38" s="418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5"/>
      <c r="M39" s="4185"/>
      <c r="N39" s="309"/>
      <c r="O39" s="303"/>
      <c r="P39" s="303"/>
      <c r="Q39" s="303"/>
      <c r="R39" s="303"/>
      <c r="S39" s="303"/>
      <c r="T39" s="303"/>
      <c r="U39" s="303"/>
      <c r="V39" s="303"/>
      <c r="W39" s="305"/>
      <c r="X39" s="303"/>
      <c r="Y39" s="303"/>
      <c r="Z39" s="325"/>
      <c r="AA39" s="302"/>
      <c r="AB39" s="315"/>
      <c r="AC39" s="322"/>
      <c r="AD39" s="4185"/>
      <c r="AE39" s="4185"/>
      <c r="AF39" s="309"/>
      <c r="AG39" s="269">
        <f>IF(AH38&gt;0,1,0)</f>
        <v>0</v>
      </c>
      <c r="AH39" s="295"/>
      <c r="AI39" s="322"/>
      <c r="AJ39" s="190"/>
    </row>
    <row r="40" spans="1:36" ht="12" customHeight="1" x14ac:dyDescent="0.2">
      <c r="A40" s="1584"/>
      <c r="B40" s="295"/>
      <c r="C40" s="302"/>
      <c r="D40" s="295"/>
      <c r="E40" s="309"/>
      <c r="F40" s="338"/>
      <c r="G40" s="50"/>
      <c r="H40" s="309"/>
      <c r="I40" s="4185" t="s">
        <v>2106</v>
      </c>
      <c r="J40" s="4185"/>
      <c r="K40" s="309">
        <v>7</v>
      </c>
      <c r="L40" s="310" t="str">
        <f>IF(PDs!$X$15&lt;Metamagia!N37,"Nv "&amp;Metamagia!N37,"")</f>
        <v>Nv 10</v>
      </c>
      <c r="M40" s="311"/>
      <c r="N40" s="309">
        <v>20</v>
      </c>
      <c r="O40" s="303"/>
      <c r="P40" s="303"/>
      <c r="Q40" s="303"/>
      <c r="R40" s="303"/>
      <c r="S40" s="303"/>
      <c r="T40" s="303"/>
      <c r="U40" s="303"/>
      <c r="V40" s="303"/>
      <c r="W40" s="305"/>
      <c r="X40" s="303"/>
      <c r="Y40" s="303"/>
      <c r="Z40" s="325"/>
      <c r="AA40" s="4185" t="s">
        <v>2107</v>
      </c>
      <c r="AB40" s="418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5"/>
      <c r="J41" s="4185"/>
      <c r="K41" s="309"/>
      <c r="L41" s="269">
        <f>IF(M40&gt;0,1,0)</f>
        <v>0</v>
      </c>
      <c r="M41" s="302"/>
      <c r="N41" s="309"/>
      <c r="O41" s="303"/>
      <c r="V41" s="303"/>
      <c r="W41" s="305"/>
      <c r="X41" s="338"/>
      <c r="Y41" s="50"/>
      <c r="Z41" s="309"/>
      <c r="AA41" s="4185"/>
      <c r="AB41" s="4185"/>
      <c r="AC41" s="309"/>
      <c r="AD41" s="269">
        <f>IF(AE40&gt;0,1,0)</f>
        <v>0</v>
      </c>
      <c r="AE41" s="302"/>
      <c r="AF41" s="309"/>
      <c r="AG41" s="303"/>
      <c r="AH41" s="327"/>
      <c r="AI41" s="326"/>
      <c r="AJ41" s="190"/>
    </row>
    <row r="42" spans="1:36" ht="12" customHeight="1" x14ac:dyDescent="0.2">
      <c r="A42" s="1584"/>
      <c r="B42" s="295"/>
      <c r="C42" s="4185" t="s">
        <v>2108</v>
      </c>
      <c r="D42" s="4185"/>
      <c r="E42" s="339">
        <v>2</v>
      </c>
      <c r="F42" s="50"/>
      <c r="G42" s="293"/>
      <c r="H42" s="340"/>
      <c r="I42" s="4185"/>
      <c r="J42" s="4185"/>
      <c r="K42" s="341"/>
      <c r="L42" s="342"/>
      <c r="M42" s="302"/>
      <c r="N42" s="309"/>
      <c r="O42" s="303"/>
      <c r="V42" s="303"/>
      <c r="W42" s="305"/>
      <c r="X42" s="50"/>
      <c r="Y42" s="293"/>
      <c r="Z42" s="340"/>
      <c r="AA42" s="4185"/>
      <c r="AB42" s="4185"/>
      <c r="AC42" s="343"/>
      <c r="AD42" s="342"/>
      <c r="AE42" s="302"/>
      <c r="AF42" s="309"/>
      <c r="AG42" s="4185" t="s">
        <v>2109</v>
      </c>
      <c r="AH42" s="4185"/>
      <c r="AI42" s="322">
        <v>3</v>
      </c>
      <c r="AJ42" s="190"/>
    </row>
    <row r="43" spans="1:36" ht="12" customHeight="1" x14ac:dyDescent="0.2">
      <c r="A43" s="1584"/>
      <c r="B43" s="295"/>
      <c r="C43" s="4185"/>
      <c r="D43" s="418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5"/>
      <c r="AH43" s="4185"/>
      <c r="AI43" s="322"/>
      <c r="AJ43" s="190"/>
    </row>
    <row r="44" spans="1:36" ht="12" customHeight="1" x14ac:dyDescent="0.2">
      <c r="A44" s="1584"/>
      <c r="B44" s="295"/>
      <c r="C44" s="4185"/>
      <c r="D44" s="4185"/>
      <c r="E44" s="309"/>
      <c r="F44" s="4185" t="s">
        <v>2110</v>
      </c>
      <c r="G44" s="4185"/>
      <c r="H44" s="309">
        <v>6</v>
      </c>
      <c r="I44" s="269">
        <f>IF(J43&gt;0,1,0)</f>
        <v>0</v>
      </c>
      <c r="J44" s="302"/>
      <c r="K44" s="309"/>
      <c r="L44" s="4185" t="s">
        <v>2111</v>
      </c>
      <c r="M44" s="4185"/>
      <c r="N44" s="309">
        <v>9</v>
      </c>
      <c r="O44" s="302"/>
      <c r="V44" s="68"/>
      <c r="W44" s="305"/>
      <c r="X44" s="4185" t="s">
        <v>2112</v>
      </c>
      <c r="Y44" s="4185"/>
      <c r="Z44" s="309">
        <v>8</v>
      </c>
      <c r="AA44" s="269">
        <f>IF(AB43&gt;0,1,0)</f>
        <v>0</v>
      </c>
      <c r="AB44" s="302"/>
      <c r="AC44" s="309"/>
      <c r="AD44" s="4185" t="s">
        <v>2109</v>
      </c>
      <c r="AE44" s="4185"/>
      <c r="AF44" s="309">
        <v>10</v>
      </c>
      <c r="AG44" s="4185"/>
      <c r="AH44" s="4185"/>
      <c r="AI44" s="322"/>
      <c r="AJ44" s="190"/>
    </row>
    <row r="45" spans="1:36" ht="12" customHeight="1" x14ac:dyDescent="0.2">
      <c r="A45" s="1584"/>
      <c r="B45" s="295"/>
      <c r="C45" s="310" t="str">
        <f>IF(PDs!$X$15&lt;Metamagia!E42,"Nv "&amp;Metamagia!E42,"")</f>
        <v>Nv 2</v>
      </c>
      <c r="D45" s="311"/>
      <c r="E45" s="309">
        <v>5</v>
      </c>
      <c r="F45" s="4185"/>
      <c r="G45" s="4185"/>
      <c r="H45" s="309"/>
      <c r="I45" s="4185" t="s">
        <v>2111</v>
      </c>
      <c r="J45" s="4185"/>
      <c r="K45" s="309">
        <v>6</v>
      </c>
      <c r="L45" s="4185"/>
      <c r="M45" s="4185"/>
      <c r="N45" s="309"/>
      <c r="O45" s="302"/>
      <c r="P45" s="302"/>
      <c r="Q45" s="304"/>
      <c r="R45" s="4185" t="s">
        <v>2108</v>
      </c>
      <c r="S45" s="4185"/>
      <c r="T45" s="309">
        <v>2</v>
      </c>
      <c r="U45" s="68"/>
      <c r="V45" s="68"/>
      <c r="W45" s="305"/>
      <c r="X45" s="4185"/>
      <c r="Y45" s="4185"/>
      <c r="Z45" s="309"/>
      <c r="AA45" s="4185" t="s">
        <v>2113</v>
      </c>
      <c r="AB45" s="4185"/>
      <c r="AC45" s="309">
        <v>6</v>
      </c>
      <c r="AD45" s="4185"/>
      <c r="AE45" s="4185"/>
      <c r="AF45" s="309"/>
      <c r="AG45" s="310" t="str">
        <f>IF(PDs!$X$15&lt;Metamagia!AI42,"Nv "&amp;Metamagia!AI42,"")</f>
        <v>Nv 3</v>
      </c>
      <c r="AH45" s="311"/>
      <c r="AI45" s="322">
        <v>5</v>
      </c>
      <c r="AJ45" s="190"/>
    </row>
    <row r="46" spans="1:36" ht="12" customHeight="1" x14ac:dyDescent="0.2">
      <c r="A46" s="1584"/>
      <c r="B46" s="295"/>
      <c r="C46" s="314">
        <f>IF(D45&gt;0,1,0)</f>
        <v>0</v>
      </c>
      <c r="D46" s="302"/>
      <c r="E46" s="309"/>
      <c r="F46" s="4185"/>
      <c r="G46" s="4185"/>
      <c r="H46" s="309"/>
      <c r="I46" s="4185"/>
      <c r="J46" s="4185"/>
      <c r="K46" s="309"/>
      <c r="L46" s="4185"/>
      <c r="M46" s="4185"/>
      <c r="N46" s="309"/>
      <c r="O46" s="302"/>
      <c r="P46" s="318"/>
      <c r="Q46" s="319"/>
      <c r="R46" s="4185"/>
      <c r="S46" s="4185"/>
      <c r="T46" s="309"/>
      <c r="U46" s="68"/>
      <c r="V46" s="68"/>
      <c r="W46" s="305"/>
      <c r="X46" s="4185"/>
      <c r="Y46" s="4185"/>
      <c r="Z46" s="309"/>
      <c r="AA46" s="4185"/>
      <c r="AB46" s="4185"/>
      <c r="AC46" s="309"/>
      <c r="AD46" s="4185"/>
      <c r="AE46" s="418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5"/>
      <c r="J47" s="4185"/>
      <c r="K47" s="309"/>
      <c r="L47" s="310" t="str">
        <f>IF(PDs!$X$15&lt;Metamagia!N44,"Nv "&amp;Metamagia!N44,"")</f>
        <v>Nv 9</v>
      </c>
      <c r="M47" s="311"/>
      <c r="N47" s="309">
        <v>25</v>
      </c>
      <c r="O47" s="320"/>
      <c r="P47" s="302"/>
      <c r="Q47" s="304"/>
      <c r="R47" s="4185"/>
      <c r="S47" s="4185"/>
      <c r="T47" s="309"/>
      <c r="U47" s="68"/>
      <c r="V47" s="68"/>
      <c r="W47" s="344"/>
      <c r="X47" s="310" t="str">
        <f>IF(PDs!$X$15&lt;Metamagia!Z44,"Nv "&amp;Metamagia!Z44,"")</f>
        <v>Nv 8</v>
      </c>
      <c r="Y47" s="311"/>
      <c r="Z47" s="309">
        <v>5</v>
      </c>
      <c r="AA47" s="4185"/>
      <c r="AB47" s="418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5" t="s">
        <v>2114</v>
      </c>
      <c r="D50" s="4185"/>
      <c r="E50" s="309"/>
      <c r="F50" s="4185" t="s">
        <v>2115</v>
      </c>
      <c r="G50" s="4185"/>
      <c r="H50" s="309">
        <v>3</v>
      </c>
      <c r="I50" s="4185" t="s">
        <v>2116</v>
      </c>
      <c r="J50" s="4185"/>
      <c r="K50" s="309">
        <v>3</v>
      </c>
      <c r="L50" s="4185" t="s">
        <v>2117</v>
      </c>
      <c r="M50" s="4185"/>
      <c r="N50" s="309">
        <v>3</v>
      </c>
      <c r="O50" s="4185" t="s">
        <v>2118</v>
      </c>
      <c r="P50" s="4185"/>
      <c r="Q50" s="304"/>
      <c r="R50" s="4185" t="s">
        <v>2109</v>
      </c>
      <c r="S50" s="4185"/>
      <c r="T50" s="309">
        <v>5</v>
      </c>
      <c r="U50" s="4185" t="s">
        <v>2109</v>
      </c>
      <c r="V50" s="4185"/>
      <c r="W50" s="309">
        <v>4</v>
      </c>
      <c r="X50" s="4185" t="s">
        <v>2119</v>
      </c>
      <c r="Y50" s="4185"/>
      <c r="Z50" s="309">
        <v>3</v>
      </c>
      <c r="AA50" s="4185" t="s">
        <v>2109</v>
      </c>
      <c r="AB50" s="4185"/>
      <c r="AC50" s="309">
        <v>6</v>
      </c>
      <c r="AD50" s="4185" t="s">
        <v>2120</v>
      </c>
      <c r="AE50" s="4185"/>
      <c r="AF50" s="309">
        <v>3</v>
      </c>
      <c r="AG50" s="4185" t="s">
        <v>2121</v>
      </c>
      <c r="AH50" s="4185"/>
      <c r="AI50" s="322">
        <v>3</v>
      </c>
      <c r="AJ50" s="190"/>
    </row>
    <row r="51" spans="1:36" ht="12" customHeight="1" x14ac:dyDescent="0.2">
      <c r="A51" s="1584"/>
      <c r="B51" s="295"/>
      <c r="C51" s="4185"/>
      <c r="D51" s="4185"/>
      <c r="E51" s="306"/>
      <c r="F51" s="4185"/>
      <c r="G51" s="4185"/>
      <c r="H51" s="306"/>
      <c r="I51" s="4185"/>
      <c r="J51" s="4185"/>
      <c r="K51" s="306"/>
      <c r="L51" s="4185"/>
      <c r="M51" s="4185"/>
      <c r="N51" s="306"/>
      <c r="O51" s="4185"/>
      <c r="P51" s="4185"/>
      <c r="Q51" s="304"/>
      <c r="R51" s="4185"/>
      <c r="S51" s="4185"/>
      <c r="T51" s="309"/>
      <c r="U51" s="4185"/>
      <c r="V51" s="4185"/>
      <c r="W51" s="306"/>
      <c r="X51" s="4185"/>
      <c r="Y51" s="4185"/>
      <c r="Z51" s="306"/>
      <c r="AA51" s="4185"/>
      <c r="AB51" s="4185"/>
      <c r="AC51" s="306"/>
      <c r="AD51" s="4185"/>
      <c r="AE51" s="4185"/>
      <c r="AF51" s="306"/>
      <c r="AG51" s="4185"/>
      <c r="AH51" s="4185"/>
      <c r="AI51" s="322"/>
      <c r="AJ51" s="190"/>
    </row>
    <row r="52" spans="1:36" ht="12" customHeight="1" x14ac:dyDescent="0.2">
      <c r="A52" s="1584"/>
      <c r="B52" s="295"/>
      <c r="C52" s="4185"/>
      <c r="D52" s="4185"/>
      <c r="E52" s="309"/>
      <c r="F52" s="4185"/>
      <c r="G52" s="4185"/>
      <c r="H52" s="309"/>
      <c r="I52" s="4185"/>
      <c r="J52" s="4185"/>
      <c r="K52" s="309"/>
      <c r="L52" s="4185"/>
      <c r="M52" s="4185"/>
      <c r="N52" s="309"/>
      <c r="O52" s="4185"/>
      <c r="P52" s="4185"/>
      <c r="Q52" s="304"/>
      <c r="R52" s="4185"/>
      <c r="S52" s="4185"/>
      <c r="T52" s="309"/>
      <c r="U52" s="4185"/>
      <c r="V52" s="4185"/>
      <c r="W52" s="309"/>
      <c r="X52" s="4185"/>
      <c r="Y52" s="4185"/>
      <c r="Z52" s="309"/>
      <c r="AA52" s="4185"/>
      <c r="AB52" s="4185"/>
      <c r="AC52" s="309"/>
      <c r="AD52" s="4185"/>
      <c r="AE52" s="4185"/>
      <c r="AF52" s="309"/>
      <c r="AG52" s="4185"/>
      <c r="AH52" s="418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5" t="s">
        <v>2122</v>
      </c>
      <c r="J55" s="4185"/>
      <c r="K55" s="309"/>
      <c r="L55" s="302"/>
      <c r="M55" s="295"/>
      <c r="N55" s="309"/>
      <c r="O55" s="302"/>
      <c r="P55" s="302"/>
      <c r="Q55" s="304"/>
      <c r="R55" s="4185" t="s">
        <v>2112</v>
      </c>
      <c r="S55" s="4185"/>
      <c r="T55" s="309">
        <v>5</v>
      </c>
      <c r="U55" s="69"/>
      <c r="V55" s="68"/>
      <c r="W55" s="305"/>
      <c r="X55" s="347"/>
      <c r="Y55" s="348"/>
      <c r="Z55" s="349"/>
      <c r="AA55" s="4185" t="s">
        <v>2109</v>
      </c>
      <c r="AB55" s="4185"/>
      <c r="AC55" s="309"/>
      <c r="AD55" s="302"/>
      <c r="AE55" s="295"/>
      <c r="AF55" s="309"/>
      <c r="AG55" s="68"/>
      <c r="AH55" s="68"/>
      <c r="AI55" s="345"/>
      <c r="AJ55" s="190"/>
    </row>
    <row r="56" spans="1:36" ht="12" customHeight="1" x14ac:dyDescent="0.2">
      <c r="A56" s="1584"/>
      <c r="B56" s="65"/>
      <c r="C56" s="108"/>
      <c r="D56" s="108"/>
      <c r="E56" s="129"/>
      <c r="F56" s="350"/>
      <c r="G56" s="351"/>
      <c r="H56" s="352"/>
      <c r="I56" s="4185"/>
      <c r="J56" s="4185"/>
      <c r="K56" s="316"/>
      <c r="L56" s="200"/>
      <c r="M56" s="65"/>
      <c r="N56" s="309"/>
      <c r="O56" s="302"/>
      <c r="P56" s="302"/>
      <c r="Q56" s="304"/>
      <c r="R56" s="4185"/>
      <c r="S56" s="4185"/>
      <c r="T56" s="316"/>
      <c r="U56" s="200"/>
      <c r="V56" s="68"/>
      <c r="W56" s="305"/>
      <c r="X56" s="350"/>
      <c r="Y56" s="351"/>
      <c r="Z56" s="352"/>
      <c r="AA56" s="4185"/>
      <c r="AB56" s="4185"/>
      <c r="AC56" s="316"/>
      <c r="AD56" s="200"/>
      <c r="AE56" s="65"/>
      <c r="AF56" s="309"/>
      <c r="AG56" s="68"/>
      <c r="AH56" s="68"/>
      <c r="AI56" s="69"/>
      <c r="AJ56" s="190"/>
    </row>
    <row r="57" spans="1:36" ht="12" customHeight="1" x14ac:dyDescent="0.2">
      <c r="A57" s="1584"/>
      <c r="B57" s="65"/>
      <c r="C57" s="108"/>
      <c r="D57" s="108"/>
      <c r="E57" s="129"/>
      <c r="F57" s="353"/>
      <c r="G57" s="354"/>
      <c r="H57" s="309"/>
      <c r="I57" s="4185"/>
      <c r="J57" s="4185"/>
      <c r="K57" s="309"/>
      <c r="L57" s="68"/>
      <c r="M57" s="65"/>
      <c r="N57" s="309"/>
      <c r="O57" s="302"/>
      <c r="P57" s="302"/>
      <c r="Q57" s="304"/>
      <c r="R57" s="4185"/>
      <c r="S57" s="4185"/>
      <c r="T57" s="309"/>
      <c r="U57" s="68"/>
      <c r="V57" s="68"/>
      <c r="W57" s="305"/>
      <c r="X57" s="353"/>
      <c r="Y57" s="354"/>
      <c r="Z57" s="309"/>
      <c r="AA57" s="4185"/>
      <c r="AB57" s="418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5" t="s">
        <v>2123</v>
      </c>
      <c r="G59" s="4185"/>
      <c r="H59" s="309"/>
      <c r="I59" s="321">
        <f>IF(J58&gt;0,1,0)</f>
        <v>0</v>
      </c>
      <c r="J59" s="68"/>
      <c r="K59" s="309"/>
      <c r="L59" s="4185" t="s">
        <v>2108</v>
      </c>
      <c r="M59" s="4185"/>
      <c r="N59" s="309"/>
      <c r="O59" s="68"/>
      <c r="P59" s="68"/>
      <c r="Q59" s="305"/>
      <c r="R59" s="269">
        <f>IF(S58&gt;0,1,0)</f>
        <v>0</v>
      </c>
      <c r="S59" s="68"/>
      <c r="T59" s="305"/>
      <c r="U59" s="68"/>
      <c r="V59" s="68"/>
      <c r="W59" s="305"/>
      <c r="X59" s="4185" t="s">
        <v>2112</v>
      </c>
      <c r="Y59" s="4185"/>
      <c r="Z59" s="309"/>
      <c r="AA59" s="321">
        <f>IF(AB58&gt;0,1,0)</f>
        <v>0</v>
      </c>
      <c r="AB59" s="68"/>
      <c r="AC59" s="309"/>
      <c r="AD59" s="4185" t="s">
        <v>2121</v>
      </c>
      <c r="AE59" s="4185"/>
      <c r="AF59" s="309"/>
      <c r="AG59" s="68"/>
      <c r="AH59" s="68"/>
      <c r="AI59" s="69"/>
      <c r="AJ59" s="190"/>
    </row>
    <row r="60" spans="1:36" ht="12" customHeight="1" x14ac:dyDescent="0.2">
      <c r="A60" s="1741"/>
      <c r="B60" s="357"/>
      <c r="C60" s="108"/>
      <c r="D60" s="108"/>
      <c r="E60" s="355"/>
      <c r="F60" s="4185"/>
      <c r="G60" s="4185"/>
      <c r="H60" s="306"/>
      <c r="I60" s="4185" t="s">
        <v>2116</v>
      </c>
      <c r="J60" s="4185"/>
      <c r="K60" s="308"/>
      <c r="L60" s="4185"/>
      <c r="M60" s="4185"/>
      <c r="N60" s="309"/>
      <c r="O60" s="68"/>
      <c r="P60" s="68"/>
      <c r="Q60" s="68"/>
      <c r="R60" s="68"/>
      <c r="S60" s="68"/>
      <c r="T60" s="305"/>
      <c r="U60" s="68"/>
      <c r="V60" s="68"/>
      <c r="W60" s="305"/>
      <c r="X60" s="4185"/>
      <c r="Y60" s="4185"/>
      <c r="Z60" s="306"/>
      <c r="AA60" s="4185" t="s">
        <v>2109</v>
      </c>
      <c r="AB60" s="4185"/>
      <c r="AC60" s="306"/>
      <c r="AD60" s="4185"/>
      <c r="AE60" s="4185"/>
      <c r="AF60" s="309"/>
      <c r="AG60" s="68"/>
      <c r="AH60" s="68"/>
      <c r="AI60" s="69"/>
      <c r="AJ60" s="190"/>
    </row>
    <row r="61" spans="1:36" ht="12" customHeight="1" x14ac:dyDescent="0.2">
      <c r="A61" s="1741"/>
      <c r="B61" s="357"/>
      <c r="C61" s="108"/>
      <c r="D61" s="108"/>
      <c r="E61" s="355"/>
      <c r="F61" s="4185"/>
      <c r="G61" s="4185"/>
      <c r="H61" s="309"/>
      <c r="I61" s="4185"/>
      <c r="J61" s="4185"/>
      <c r="K61" s="305"/>
      <c r="L61" s="4185"/>
      <c r="M61" s="4185"/>
      <c r="N61" s="309"/>
      <c r="O61" s="68"/>
      <c r="P61" s="68"/>
      <c r="Q61" s="68"/>
      <c r="R61" s="68"/>
      <c r="S61" s="68"/>
      <c r="T61" s="305"/>
      <c r="U61" s="68"/>
      <c r="V61" s="68"/>
      <c r="W61" s="305"/>
      <c r="X61" s="4185"/>
      <c r="Y61" s="4185"/>
      <c r="Z61" s="309"/>
      <c r="AA61" s="4185"/>
      <c r="AB61" s="4185"/>
      <c r="AC61" s="309"/>
      <c r="AD61" s="4185"/>
      <c r="AE61" s="418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5"/>
      <c r="J62" s="418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5"/>
      <c r="AB62" s="418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7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5" priority="71" stopIfTrue="1" operator="greaterThan">
      <formula>0</formula>
    </cfRule>
  </conditionalFormatting>
  <conditionalFormatting sqref="F11:G13">
    <cfRule type="expression" dxfId="574" priority="69" stopIfTrue="1">
      <formula>$G$14&gt;0</formula>
    </cfRule>
  </conditionalFormatting>
  <conditionalFormatting sqref="AA60:AB62">
    <cfRule type="expression" dxfId="573" priority="68" stopIfTrue="1">
      <formula>$AB$63&gt;0</formula>
    </cfRule>
  </conditionalFormatting>
  <conditionalFormatting sqref="AD59:AE61">
    <cfRule type="expression" dxfId="572" priority="67" stopIfTrue="1">
      <formula>$AE$62&gt;0</formula>
    </cfRule>
  </conditionalFormatting>
  <conditionalFormatting sqref="X59:Y61">
    <cfRule type="expression" dxfId="571" priority="66" stopIfTrue="1">
      <formula>$Y$62&gt;0</formula>
    </cfRule>
  </conditionalFormatting>
  <conditionalFormatting sqref="AA55:AB57">
    <cfRule type="expression" dxfId="570" priority="65" stopIfTrue="1">
      <formula>$AB$58&gt;0</formula>
    </cfRule>
  </conditionalFormatting>
  <conditionalFormatting sqref="AD50:AE52">
    <cfRule type="expression" dxfId="569" priority="64" stopIfTrue="1">
      <formula>$AE$53&gt;0</formula>
    </cfRule>
  </conditionalFormatting>
  <conditionalFormatting sqref="AG50:AH52">
    <cfRule type="expression" dxfId="568" priority="63" stopIfTrue="1">
      <formula>$AH$53&gt;0</formula>
    </cfRule>
  </conditionalFormatting>
  <conditionalFormatting sqref="AG42:AH44">
    <cfRule type="expression" dxfId="567" priority="62" stopIfTrue="1">
      <formula>$AH$45&gt;0</formula>
    </cfRule>
  </conditionalFormatting>
  <conditionalFormatting sqref="AD44:AE46">
    <cfRule type="expression" dxfId="566" priority="61" stopIfTrue="1">
      <formula>$AE$47&gt;0</formula>
    </cfRule>
  </conditionalFormatting>
  <conditionalFormatting sqref="AA50:AB52">
    <cfRule type="expression" dxfId="565" priority="60" stopIfTrue="1">
      <formula>$AB$53&gt;0</formula>
    </cfRule>
  </conditionalFormatting>
  <conditionalFormatting sqref="X50:Y52">
    <cfRule type="expression" dxfId="564" priority="59" stopIfTrue="1">
      <formula>$Y$53&gt;0</formula>
    </cfRule>
  </conditionalFormatting>
  <conditionalFormatting sqref="AA45:AB47">
    <cfRule type="expression" dxfId="563" priority="58" stopIfTrue="1">
      <formula>$AB$48&gt;0</formula>
    </cfRule>
  </conditionalFormatting>
  <conditionalFormatting sqref="U50:V52">
    <cfRule type="expression" dxfId="562" priority="57" stopIfTrue="1">
      <formula>$V$53&gt;0</formula>
    </cfRule>
  </conditionalFormatting>
  <conditionalFormatting sqref="X44:Y46">
    <cfRule type="expression" dxfId="561" priority="56" stopIfTrue="1">
      <formula>$Y$47&gt;0</formula>
    </cfRule>
  </conditionalFormatting>
  <conditionalFormatting sqref="AA40:AB42">
    <cfRule type="expression" dxfId="560" priority="55" stopIfTrue="1">
      <formula>$AB$43&gt;0</formula>
    </cfRule>
  </conditionalFormatting>
  <conditionalFormatting sqref="AD37:AE39">
    <cfRule type="expression" dxfId="559" priority="54" stopIfTrue="1">
      <formula>$AE$40&gt;0</formula>
    </cfRule>
  </conditionalFormatting>
  <conditionalFormatting sqref="AG35:AH37">
    <cfRule type="expression" dxfId="558" priority="53" stopIfTrue="1">
      <formula>$AH$38&gt;0</formula>
    </cfRule>
  </conditionalFormatting>
  <conditionalFormatting sqref="R45:S47">
    <cfRule type="expression" dxfId="557" priority="52" stopIfTrue="1">
      <formula>$S$48&gt;0</formula>
    </cfRule>
  </conditionalFormatting>
  <conditionalFormatting sqref="R50:S52">
    <cfRule type="expression" dxfId="556" priority="51" stopIfTrue="1">
      <formula>$S$53&gt;0</formula>
    </cfRule>
  </conditionalFormatting>
  <conditionalFormatting sqref="R55:S57">
    <cfRule type="expression" dxfId="555" priority="50" stopIfTrue="1">
      <formula>$S$58&gt;0</formula>
    </cfRule>
  </conditionalFormatting>
  <conditionalFormatting sqref="O50:P52">
    <cfRule type="expression" dxfId="554" priority="49" stopIfTrue="1">
      <formula>$P$53&gt;0</formula>
    </cfRule>
  </conditionalFormatting>
  <conditionalFormatting sqref="L59:M61">
    <cfRule type="expression" dxfId="553" priority="48" stopIfTrue="1">
      <formula>$M$62&gt;0</formula>
    </cfRule>
  </conditionalFormatting>
  <conditionalFormatting sqref="I60:J62">
    <cfRule type="expression" dxfId="552" priority="47" stopIfTrue="1">
      <formula>$J$63&gt;0</formula>
    </cfRule>
  </conditionalFormatting>
  <conditionalFormatting sqref="F59:G61">
    <cfRule type="expression" dxfId="551" priority="46" stopIfTrue="1">
      <formula>$G$62&gt;0</formula>
    </cfRule>
  </conditionalFormatting>
  <conditionalFormatting sqref="I55:J57">
    <cfRule type="expression" dxfId="550" priority="45" stopIfTrue="1">
      <formula>$J$58&gt;0</formula>
    </cfRule>
  </conditionalFormatting>
  <conditionalFormatting sqref="L50:M52">
    <cfRule type="expression" dxfId="549" priority="44" stopIfTrue="1">
      <formula>$M$53&gt;0</formula>
    </cfRule>
  </conditionalFormatting>
  <conditionalFormatting sqref="I50:J52">
    <cfRule type="expression" dxfId="548" priority="43" stopIfTrue="1">
      <formula>$J$53&gt;0</formula>
    </cfRule>
  </conditionalFormatting>
  <conditionalFormatting sqref="F50:G52">
    <cfRule type="expression" dxfId="547" priority="42" stopIfTrue="1">
      <formula>$G$53&gt;0</formula>
    </cfRule>
  </conditionalFormatting>
  <conditionalFormatting sqref="C50:D52">
    <cfRule type="expression" dxfId="546" priority="41" stopIfTrue="1">
      <formula>$D$53&gt;0</formula>
    </cfRule>
  </conditionalFormatting>
  <conditionalFormatting sqref="L44:M46">
    <cfRule type="expression" dxfId="545" priority="40" stopIfTrue="1">
      <formula>$M$47&gt;0</formula>
    </cfRule>
  </conditionalFormatting>
  <conditionalFormatting sqref="I45:J47">
    <cfRule type="expression" dxfId="544" priority="39" stopIfTrue="1">
      <formula>$J$48&gt;0</formula>
    </cfRule>
  </conditionalFormatting>
  <conditionalFormatting sqref="F44:G46">
    <cfRule type="expression" dxfId="543" priority="38" stopIfTrue="1">
      <formula>$G$47&gt;0</formula>
    </cfRule>
  </conditionalFormatting>
  <conditionalFormatting sqref="C42:D44">
    <cfRule type="expression" dxfId="542" priority="34" stopIfTrue="1">
      <formula>$D$45&gt;0</formula>
    </cfRule>
    <cfRule type="expression" dxfId="541" priority="37" stopIfTrue="1">
      <formula>$D$45&gt;0</formula>
    </cfRule>
  </conditionalFormatting>
  <conditionalFormatting sqref="I40:J42">
    <cfRule type="expression" dxfId="540" priority="36" stopIfTrue="1">
      <formula>$J$43&gt;0</formula>
    </cfRule>
  </conditionalFormatting>
  <conditionalFormatting sqref="L37:M39">
    <cfRule type="expression" dxfId="539" priority="35" stopIfTrue="1">
      <formula>$M$40&gt;0</formula>
    </cfRule>
  </conditionalFormatting>
  <conditionalFormatting sqref="C35:D37">
    <cfRule type="expression" dxfId="538" priority="33" stopIfTrue="1">
      <formula>$D$38&gt;0</formula>
    </cfRule>
  </conditionalFormatting>
  <conditionalFormatting sqref="F33:G35">
    <cfRule type="expression" dxfId="537" priority="32" stopIfTrue="1">
      <formula>$G$36&gt;0</formula>
    </cfRule>
  </conditionalFormatting>
  <conditionalFormatting sqref="I30:J32">
    <cfRule type="expression" dxfId="536" priority="31" stopIfTrue="1">
      <formula>$J$33&gt;0</formula>
    </cfRule>
  </conditionalFormatting>
  <conditionalFormatting sqref="C28:D30">
    <cfRule type="expression" dxfId="535" priority="30" stopIfTrue="1">
      <formula>$D$31&gt;0</formula>
    </cfRule>
  </conditionalFormatting>
  <conditionalFormatting sqref="F26:G28">
    <cfRule type="expression" dxfId="534" priority="29" stopIfTrue="1">
      <formula>$G$29&gt;0</formula>
    </cfRule>
  </conditionalFormatting>
  <conditionalFormatting sqref="I25:J27">
    <cfRule type="expression" dxfId="533" priority="28" stopIfTrue="1">
      <formula>$J$28&gt;0</formula>
    </cfRule>
  </conditionalFormatting>
  <conditionalFormatting sqref="L26:M28">
    <cfRule type="expression" dxfId="532" priority="27" stopIfTrue="1">
      <formula>$M$29&gt;0</formula>
    </cfRule>
  </conditionalFormatting>
  <conditionalFormatting sqref="C20:D22">
    <cfRule type="expression" dxfId="531" priority="26" stopIfTrue="1">
      <formula>$D$23&gt;0</formula>
    </cfRule>
  </conditionalFormatting>
  <conditionalFormatting sqref="F20:G22">
    <cfRule type="expression" dxfId="530" priority="25" stopIfTrue="1">
      <formula>$G$23&gt;0</formula>
    </cfRule>
  </conditionalFormatting>
  <conditionalFormatting sqref="I20:J22">
    <cfRule type="expression" dxfId="529" priority="24" stopIfTrue="1">
      <formula>$J$23&gt;0</formula>
    </cfRule>
  </conditionalFormatting>
  <conditionalFormatting sqref="I10:J12">
    <cfRule type="expression" dxfId="528" priority="23" stopIfTrue="1">
      <formula>$J$13&gt;0</formula>
    </cfRule>
  </conditionalFormatting>
  <conditionalFormatting sqref="I15:J17">
    <cfRule type="expression" dxfId="527" priority="22" stopIfTrue="1">
      <formula>$J$18&gt;0</formula>
    </cfRule>
  </conditionalFormatting>
  <conditionalFormatting sqref="L11:M13">
    <cfRule type="expression" dxfId="526" priority="21" stopIfTrue="1">
      <formula>$M$14&gt;0</formula>
    </cfRule>
  </conditionalFormatting>
  <conditionalFormatting sqref="L20:M22">
    <cfRule type="expression" dxfId="525" priority="20" stopIfTrue="1">
      <formula>$M$23&gt;0</formula>
    </cfRule>
  </conditionalFormatting>
  <conditionalFormatting sqref="O20:P22">
    <cfRule type="expression" dxfId="524" priority="19" stopIfTrue="1">
      <formula>$P$23&gt;0</formula>
    </cfRule>
  </conditionalFormatting>
  <conditionalFormatting sqref="R15:S17">
    <cfRule type="expression" dxfId="523" priority="18" stopIfTrue="1">
      <formula>$S$18&gt;0</formula>
    </cfRule>
  </conditionalFormatting>
  <conditionalFormatting sqref="R20:S22">
    <cfRule type="expression" dxfId="522" priority="17" stopIfTrue="1">
      <formula>$S$23&gt;0</formula>
    </cfRule>
  </conditionalFormatting>
  <conditionalFormatting sqref="R25:S27">
    <cfRule type="expression" dxfId="521" priority="16" stopIfTrue="1">
      <formula>$S$28&gt;0</formula>
    </cfRule>
  </conditionalFormatting>
  <conditionalFormatting sqref="U20:V22">
    <cfRule type="expression" dxfId="520" priority="15" stopIfTrue="1">
      <formula>$V$23&gt;0</formula>
    </cfRule>
  </conditionalFormatting>
  <conditionalFormatting sqref="X11:Y13">
    <cfRule type="expression" dxfId="519" priority="14" stopIfTrue="1">
      <formula>$Y$14&gt;0</formula>
    </cfRule>
  </conditionalFormatting>
  <conditionalFormatting sqref="X20:Y22">
    <cfRule type="expression" dxfId="518" priority="13" stopIfTrue="1">
      <formula>$Y$23&gt;0</formula>
    </cfRule>
  </conditionalFormatting>
  <conditionalFormatting sqref="X26:Y28">
    <cfRule type="expression" dxfId="517" priority="12" stopIfTrue="1">
      <formula>$Y$29&gt;0</formula>
    </cfRule>
  </conditionalFormatting>
  <conditionalFormatting sqref="X33:Y35">
    <cfRule type="expression" dxfId="516" priority="11" stopIfTrue="1">
      <formula>$Y$36&gt;0</formula>
    </cfRule>
  </conditionalFormatting>
  <conditionalFormatting sqref="AA10:AB12">
    <cfRule type="expression" dxfId="515" priority="10" stopIfTrue="1">
      <formula>$AB$13&gt;0</formula>
    </cfRule>
  </conditionalFormatting>
  <conditionalFormatting sqref="AA15:AB17">
    <cfRule type="expression" dxfId="514" priority="9" stopIfTrue="1">
      <formula>$AB$18&gt;0</formula>
    </cfRule>
  </conditionalFormatting>
  <conditionalFormatting sqref="AA20:AB22">
    <cfRule type="expression" dxfId="513" priority="8" stopIfTrue="1">
      <formula>$AB$23&gt;0</formula>
    </cfRule>
  </conditionalFormatting>
  <conditionalFormatting sqref="AA25:AB27">
    <cfRule type="expression" dxfId="512" priority="7" stopIfTrue="1">
      <formula>$AB$28&gt;0</formula>
    </cfRule>
  </conditionalFormatting>
  <conditionalFormatting sqref="AA30:AB32">
    <cfRule type="expression" dxfId="511" priority="6" stopIfTrue="1">
      <formula>$AB$33&gt;0</formula>
    </cfRule>
  </conditionalFormatting>
  <conditionalFormatting sqref="AD11:AE13">
    <cfRule type="expression" dxfId="510" priority="5" stopIfTrue="1">
      <formula>$AE$14&gt;0</formula>
    </cfRule>
  </conditionalFormatting>
  <conditionalFormatting sqref="AD20:AE22">
    <cfRule type="expression" dxfId="509" priority="4" stopIfTrue="1">
      <formula>$AE$23&gt;0</formula>
    </cfRule>
  </conditionalFormatting>
  <conditionalFormatting sqref="AD26:AE28">
    <cfRule type="expression" dxfId="508" priority="3" stopIfTrue="1">
      <formula>$AE$29&gt;0</formula>
    </cfRule>
  </conditionalFormatting>
  <conditionalFormatting sqref="AG20:AH22">
    <cfRule type="expression" dxfId="507" priority="2" stopIfTrue="1">
      <formula>$AH$23&gt;0</formula>
    </cfRule>
  </conditionalFormatting>
  <conditionalFormatting sqref="AG28:AH30">
    <cfRule type="expression" dxfId="5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1" t="str">
        <f>"Sheele ("&amp;VLOOKUP(Sheele!D5,'Tablas Sheele'!C5:G12,5,FALSE)&amp;")"</f>
        <v>Sheele (Haley)</v>
      </c>
      <c r="M3" s="4191"/>
      <c r="N3" s="4191"/>
      <c r="O3" s="4191"/>
      <c r="P3" s="4191"/>
      <c r="Q3" s="692"/>
      <c r="R3" s="692"/>
      <c r="S3" s="692"/>
      <c r="T3" s="692"/>
      <c r="U3" s="692"/>
      <c r="V3" s="692"/>
      <c r="W3" s="692"/>
      <c r="X3" s="692"/>
      <c r="Y3" s="692"/>
      <c r="Z3" s="693"/>
      <c r="AA3" s="694"/>
      <c r="AB3" s="684"/>
    </row>
    <row r="4" spans="1:53" ht="13.5" customHeight="1" x14ac:dyDescent="0.2">
      <c r="A4" s="681"/>
      <c r="B4" s="690"/>
      <c r="C4" s="695"/>
      <c r="D4" s="4194" t="s">
        <v>3391</v>
      </c>
      <c r="E4" s="4195"/>
      <c r="F4" s="4195" t="s">
        <v>3392</v>
      </c>
      <c r="G4" s="4196"/>
      <c r="H4" s="696"/>
      <c r="I4" s="696"/>
      <c r="J4" s="696"/>
      <c r="K4" s="696"/>
      <c r="L4" s="4192"/>
      <c r="M4" s="4192"/>
      <c r="N4" s="4192"/>
      <c r="O4" s="4192"/>
      <c r="P4" s="4192"/>
      <c r="Q4" s="696"/>
      <c r="R4" s="4205" t="s">
        <v>8175</v>
      </c>
      <c r="S4" s="4205"/>
      <c r="T4" s="4205"/>
      <c r="U4" s="1570">
        <f>VALUE(PDs!X15)</f>
        <v>1</v>
      </c>
      <c r="V4" s="696"/>
      <c r="W4" s="696"/>
      <c r="X4" s="696"/>
      <c r="Y4" s="696"/>
      <c r="Z4" s="697"/>
      <c r="AA4" s="694"/>
      <c r="AB4" s="684"/>
    </row>
    <row r="5" spans="1:53" ht="12" customHeight="1" thickBot="1" x14ac:dyDescent="0.25">
      <c r="A5" s="681"/>
      <c r="B5" s="690"/>
      <c r="C5" s="695"/>
      <c r="D5" s="4197" t="s">
        <v>1931</v>
      </c>
      <c r="E5" s="4198"/>
      <c r="F5" s="4198" t="s">
        <v>1693</v>
      </c>
      <c r="G5" s="4199"/>
      <c r="H5" s="696"/>
      <c r="I5" s="696"/>
      <c r="J5" s="696"/>
      <c r="K5" s="696"/>
      <c r="L5" s="4192"/>
      <c r="M5" s="4192"/>
      <c r="N5" s="4192"/>
      <c r="O5" s="4192"/>
      <c r="P5" s="4192"/>
      <c r="Q5" s="696"/>
      <c r="R5" s="4205" t="s">
        <v>3393</v>
      </c>
      <c r="S5" s="4205"/>
      <c r="T5" s="4205"/>
      <c r="U5" s="1660">
        <f>ROUNDUP(IF(U4=0,5,10*U4)/2,0)</f>
        <v>5</v>
      </c>
      <c r="V5" s="4395"/>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3"/>
      <c r="M6" s="4193"/>
      <c r="N6" s="4193"/>
      <c r="O6" s="4193"/>
      <c r="P6" s="4193"/>
      <c r="Q6" s="700"/>
      <c r="R6" s="700"/>
      <c r="S6" s="700"/>
      <c r="T6" s="2431"/>
      <c r="U6" s="700"/>
      <c r="V6" s="4396"/>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3" t="s">
        <v>1676</v>
      </c>
      <c r="D8" s="703"/>
      <c r="E8" s="1665" t="s">
        <v>1677</v>
      </c>
      <c r="F8" s="704" t="s">
        <v>1678</v>
      </c>
      <c r="G8" s="705" t="s">
        <v>1661</v>
      </c>
      <c r="H8" s="706" t="s">
        <v>1679</v>
      </c>
      <c r="I8" s="741"/>
      <c r="J8" s="741"/>
      <c r="K8" s="741"/>
      <c r="L8" s="4194" t="s">
        <v>3394</v>
      </c>
      <c r="M8" s="4195"/>
      <c r="N8" s="4195"/>
      <c r="O8" s="4195"/>
      <c r="P8" s="4195"/>
      <c r="Q8" s="4195"/>
      <c r="R8" s="4195"/>
      <c r="S8" s="4196"/>
      <c r="T8" s="741"/>
      <c r="U8" s="4256" t="s">
        <v>3395</v>
      </c>
      <c r="V8" s="4257"/>
      <c r="W8" s="4257"/>
      <c r="X8" s="4257"/>
      <c r="Y8" s="4257"/>
      <c r="Z8" s="4258"/>
      <c r="AA8" s="694"/>
      <c r="AB8" s="684"/>
      <c r="AT8" s="702"/>
      <c r="AU8" s="698"/>
      <c r="AV8" s="698"/>
    </row>
    <row r="9" spans="1:53" ht="12" customHeight="1" x14ac:dyDescent="0.2">
      <c r="A9" s="681"/>
      <c r="B9" s="690"/>
      <c r="C9" s="4254"/>
      <c r="D9" s="707" t="s">
        <v>1685</v>
      </c>
      <c r="E9" s="1660">
        <f>HLOOKUP($D$5,'Tablas Sheele'!$G$17:$N$25,'Tablas Sheele'!E18,)</f>
        <v>8</v>
      </c>
      <c r="F9" s="1495"/>
      <c r="G9" s="708">
        <f>E9+'Tablas Sheele'!D18+IF('Tablas Sheele'!F143&gt;0,2,0)</f>
        <v>8</v>
      </c>
      <c r="H9" s="1661">
        <f>IF(G9&lt;1,0,VLOOKUP(G9,Tablas!$C$14:$D$33,2))</f>
        <v>10</v>
      </c>
      <c r="I9" s="657"/>
      <c r="J9" s="741"/>
      <c r="K9" s="657"/>
      <c r="L9" s="4262" t="s">
        <v>1823</v>
      </c>
      <c r="M9" s="4263"/>
      <c r="N9" s="4263"/>
      <c r="O9" s="4264"/>
      <c r="P9" s="4265" t="s">
        <v>3396</v>
      </c>
      <c r="Q9" s="4265"/>
      <c r="R9" s="4265"/>
      <c r="S9" s="4266"/>
      <c r="T9" s="741"/>
      <c r="U9" s="4259"/>
      <c r="V9" s="4260"/>
      <c r="W9" s="4260"/>
      <c r="X9" s="4260"/>
      <c r="Y9" s="4260"/>
      <c r="Z9" s="4261"/>
      <c r="AA9" s="694"/>
      <c r="AB9" s="684"/>
      <c r="AT9" s="702"/>
      <c r="AU9" s="698"/>
      <c r="AV9" s="698"/>
    </row>
    <row r="10" spans="1:53" ht="12" customHeight="1" x14ac:dyDescent="0.2">
      <c r="A10" s="681"/>
      <c r="B10" s="690"/>
      <c r="C10" s="4254"/>
      <c r="D10" s="707" t="s">
        <v>1813</v>
      </c>
      <c r="E10" s="1660">
        <f>HLOOKUP($D$5,'Tablas Sheele'!$G$17:$N$25,'Tablas Sheele'!E19,)</f>
        <v>2</v>
      </c>
      <c r="F10" s="1496"/>
      <c r="G10" s="708">
        <f>E10+'Tablas Sheele'!D19</f>
        <v>2</v>
      </c>
      <c r="H10" s="1661">
        <f>IF(G10&lt;1,0,VLOOKUP(G10,Tablas!$C$14:$D$33,2))</f>
        <v>-20</v>
      </c>
      <c r="I10" s="657"/>
      <c r="J10" s="741"/>
      <c r="K10" s="741"/>
      <c r="L10" s="4212" t="s">
        <v>3397</v>
      </c>
      <c r="M10" s="4212"/>
      <c r="N10" s="4213">
        <f>IF(N21*2+20*'Tablas Sheele'!F103&gt;200, IF(N21*2&gt;=200,N21*2+10*'Tablas Sheele'!F103,200+1/2*(20*'Tablas Sheele'!F103-(200-N21*2))),N21*2+20*'Tablas Sheele'!F103 )</f>
        <v>60</v>
      </c>
      <c r="O10" s="4213"/>
      <c r="P10" s="4212" t="s">
        <v>3398</v>
      </c>
      <c r="Q10" s="4212"/>
      <c r="R10" s="4206">
        <f>IF('Tablas Sheele'!F176&gt;0,MAX(Sheele!N10,H11),H11)</f>
        <v>10</v>
      </c>
      <c r="S10" s="4206"/>
      <c r="T10" s="741"/>
      <c r="U10" s="4214" t="s">
        <v>1715</v>
      </c>
      <c r="V10" s="4215"/>
      <c r="W10" s="4200" t="s">
        <v>3399</v>
      </c>
      <c r="X10" s="4200"/>
      <c r="Y10" s="4200"/>
      <c r="Z10" s="4201"/>
      <c r="AA10" s="694"/>
      <c r="AB10" s="684"/>
      <c r="AT10" s="702"/>
      <c r="AU10" s="698"/>
      <c r="AV10" s="698"/>
    </row>
    <row r="11" spans="1:53" ht="12" customHeight="1" x14ac:dyDescent="0.2">
      <c r="A11" s="681"/>
      <c r="B11" s="690"/>
      <c r="C11" s="4254"/>
      <c r="D11" s="707" t="s">
        <v>1690</v>
      </c>
      <c r="E11" s="1660">
        <f>HLOOKUP($D$5,'Tablas Sheele'!$G$17:$N$25,'Tablas Sheele'!E20,)</f>
        <v>8</v>
      </c>
      <c r="F11" s="1496"/>
      <c r="G11" s="708">
        <f>E11+'Tablas Sheele'!D20+IF('Tablas Sheele'!F143&gt;0,2,0)</f>
        <v>8</v>
      </c>
      <c r="H11" s="1661">
        <f>IF(G11&lt;1,0,VLOOKUP(G11,Tablas!$C$14:$D$33,2))</f>
        <v>10</v>
      </c>
      <c r="I11" s="741"/>
      <c r="J11" s="741"/>
      <c r="K11" s="741"/>
      <c r="L11" s="4212"/>
      <c r="M11" s="4212"/>
      <c r="N11" s="4213"/>
      <c r="O11" s="4213"/>
      <c r="P11" s="4212"/>
      <c r="Q11" s="4212"/>
      <c r="R11" s="4206"/>
      <c r="S11" s="4206"/>
      <c r="T11" s="741"/>
      <c r="U11" s="4216"/>
      <c r="V11" s="4217"/>
      <c r="W11" s="4202" t="s">
        <v>3400</v>
      </c>
      <c r="X11" s="4203"/>
      <c r="Y11" s="4203" t="s">
        <v>3401</v>
      </c>
      <c r="Z11" s="4204"/>
      <c r="AA11" s="694"/>
      <c r="AB11" s="684"/>
    </row>
    <row r="12" spans="1:53" ht="12" customHeight="1" thickBot="1" x14ac:dyDescent="0.25">
      <c r="A12" s="681"/>
      <c r="B12" s="615"/>
      <c r="C12" s="4254"/>
      <c r="D12" s="707" t="s">
        <v>1695</v>
      </c>
      <c r="E12" s="1660">
        <f>HLOOKUP($D$5,'Tablas Sheele'!$G$17:$N$25,'Tablas Sheele'!E21,)</f>
        <v>2</v>
      </c>
      <c r="F12" s="1496"/>
      <c r="G12" s="708">
        <f>E12+'Tablas Sheele'!D21+IF('Tablas Sheele'!F143&gt;0,2,0)</f>
        <v>2</v>
      </c>
      <c r="H12" s="1661">
        <f>IF(G12&lt;1,0,VLOOKUP(G12,Tablas!$C$14:$D$33,2))</f>
        <v>-20</v>
      </c>
      <c r="I12" s="657"/>
      <c r="J12" s="741"/>
      <c r="K12" s="741"/>
      <c r="L12" s="4212" t="s">
        <v>3402</v>
      </c>
      <c r="M12" s="4212"/>
      <c r="N12" s="4213">
        <f>IF(N21*2+20*'Tablas Sheele'!F103&gt;200, IF(N21*2&gt;=200,N21*2+10*'Tablas Sheele'!F103,200+1/2*(20*'Tablas Sheele'!F103-(200-N21*2))),N21*2+20*'Tablas Sheele'!F103 )+IF('Tablas Sheele'!F187&gt;0,40,0)</f>
        <v>60</v>
      </c>
      <c r="O12" s="4213"/>
      <c r="P12" s="4212" t="s">
        <v>3403</v>
      </c>
      <c r="Q12" s="4212"/>
      <c r="R12" s="4206">
        <f>IF('Tablas Sheele'!F176&gt;0,MAX(Sheele!N12,H9),IF(D5="Aire",MAX(N12,H9),H9))</f>
        <v>60</v>
      </c>
      <c r="S12" s="4206"/>
      <c r="T12" s="741"/>
      <c r="U12" s="4207" t="str">
        <f>IF('Tablas Sheele'!F98&gt;0,U4+'Tablas Sheele'!F101,"-")</f>
        <v>-</v>
      </c>
      <c r="V12" s="4208"/>
      <c r="W12" s="4209" t="str">
        <f>IF('Tablas Sheele'!F98&gt;0,150,"-")</f>
        <v>-</v>
      </c>
      <c r="X12" s="4210"/>
      <c r="Y12" s="4209" t="str">
        <f>IF('Tablas Sheele'!F98&gt;0,IF('Tablas Sheele'!F99,N21-10,N21)&amp;" / asalto","-")</f>
        <v>-</v>
      </c>
      <c r="Z12" s="4211"/>
      <c r="AA12" s="694"/>
      <c r="AB12" s="684"/>
      <c r="AY12" s="698"/>
      <c r="AZ12" s="698"/>
      <c r="BA12" s="698"/>
    </row>
    <row r="13" spans="1:53" ht="12" customHeight="1" x14ac:dyDescent="0.2">
      <c r="A13" s="681"/>
      <c r="B13" s="709"/>
      <c r="C13" s="4254"/>
      <c r="D13" s="707" t="s">
        <v>1698</v>
      </c>
      <c r="E13" s="1660">
        <f>HLOOKUP($D$5,'Tablas Sheele'!$G$17:$N$25,'Tablas Sheele'!E22,)</f>
        <v>8</v>
      </c>
      <c r="F13" s="1496"/>
      <c r="G13" s="708">
        <f>E13+'Tablas Sheele'!D22</f>
        <v>8</v>
      </c>
      <c r="H13" s="1661">
        <f>IF(G13&lt;1,0,VLOOKUP(G13,Tablas!$C$14:$D$33,2))</f>
        <v>10</v>
      </c>
      <c r="I13" s="741"/>
      <c r="J13" s="741"/>
      <c r="K13" s="741"/>
      <c r="L13" s="4212"/>
      <c r="M13" s="4212"/>
      <c r="N13" s="4213"/>
      <c r="O13" s="4213"/>
      <c r="P13" s="4212"/>
      <c r="Q13" s="4212"/>
      <c r="R13" s="4206"/>
      <c r="S13" s="4206"/>
      <c r="T13" s="741"/>
      <c r="U13" s="4233" t="s">
        <v>3404</v>
      </c>
      <c r="V13" s="4234"/>
      <c r="W13" s="4234"/>
      <c r="X13" s="4234"/>
      <c r="Y13" s="4234"/>
      <c r="Z13" s="4235"/>
      <c r="AA13" s="694"/>
      <c r="AB13" s="684"/>
      <c r="AY13" s="698"/>
      <c r="AZ13" s="698"/>
      <c r="BA13" s="698"/>
    </row>
    <row r="14" spans="1:53" ht="12" customHeight="1" x14ac:dyDescent="0.2">
      <c r="A14" s="681"/>
      <c r="B14" s="709"/>
      <c r="C14" s="4254"/>
      <c r="D14" s="707" t="s">
        <v>1701</v>
      </c>
      <c r="E14" s="1660">
        <f>HLOOKUP($D$5,'Tablas Sheele'!$G$17:$N$25,'Tablas Sheele'!E23,)</f>
        <v>6</v>
      </c>
      <c r="F14" s="1496"/>
      <c r="G14" s="708">
        <f>E14+'Tablas Sheele'!D23</f>
        <v>6</v>
      </c>
      <c r="H14" s="1661">
        <f>IF(G14&lt;1,0,VLOOKUP(G14,Tablas!$C$14:$D$33,2))</f>
        <v>5</v>
      </c>
      <c r="I14" s="741"/>
      <c r="J14" s="741"/>
      <c r="K14" s="741"/>
      <c r="L14" s="4212" t="s">
        <v>3405</v>
      </c>
      <c r="M14" s="4236"/>
      <c r="N14" s="4237" t="str">
        <f>IF(D5="Naturaleza","Esencia",D5)</f>
        <v>Aire</v>
      </c>
      <c r="O14" s="4237"/>
      <c r="P14" s="4238" t="s">
        <v>3406</v>
      </c>
      <c r="Q14" s="4212"/>
      <c r="R14" s="4206">
        <f>IF('Tablas Sheele'!F176&gt;0,MAX(Sheele!N12,H11),H11)</f>
        <v>10</v>
      </c>
      <c r="S14" s="4206"/>
      <c r="T14" s="741"/>
      <c r="U14" s="4239" t="str">
        <f>"Gnosis "&amp;IF('Tablas Sheele'!F100&gt;0,30,20)</f>
        <v>Gnosis 20</v>
      </c>
      <c r="V14" s="4240"/>
      <c r="W14" s="4240"/>
      <c r="X14" s="4240"/>
      <c r="Y14" s="4240"/>
      <c r="Z14" s="4241"/>
      <c r="AA14" s="694"/>
      <c r="AB14" s="684"/>
      <c r="AY14" s="698"/>
      <c r="AZ14" s="698"/>
      <c r="BA14" s="698"/>
    </row>
    <row r="15" spans="1:53" ht="12" customHeight="1" x14ac:dyDescent="0.2">
      <c r="A15" s="681"/>
      <c r="B15" s="709"/>
      <c r="C15" s="4254"/>
      <c r="D15" s="707" t="s">
        <v>1703</v>
      </c>
      <c r="E15" s="1660">
        <f>HLOOKUP($D$5,'Tablas Sheele'!$G$17:$N$25,'Tablas Sheele'!E24,)</f>
        <v>8</v>
      </c>
      <c r="F15" s="1496"/>
      <c r="G15" s="708">
        <f>E15+'Tablas Sheele'!D24</f>
        <v>8</v>
      </c>
      <c r="H15" s="1661">
        <f>IF(G15&lt;1,0,VLOOKUP(G15,Tablas!$C$14:$D$33,2))</f>
        <v>10</v>
      </c>
      <c r="I15" s="741"/>
      <c r="J15" s="741"/>
      <c r="K15" s="741"/>
      <c r="L15" s="4212"/>
      <c r="M15" s="4236"/>
      <c r="N15" s="4242">
        <f>IF(20+10*'Tablas Sheele'!F104&lt;=50,20+10*'Tablas Sheele'!F104,50+1/2*(10*'Tablas Sheele'!F104-(50-20)))</f>
        <v>20</v>
      </c>
      <c r="O15" s="4243"/>
      <c r="P15" s="4238"/>
      <c r="Q15" s="4212"/>
      <c r="R15" s="4206"/>
      <c r="S15" s="4206"/>
      <c r="T15" s="741"/>
      <c r="U15" s="4244" t="s">
        <v>3407</v>
      </c>
      <c r="V15" s="4245"/>
      <c r="W15" s="4245"/>
      <c r="X15" s="4245"/>
      <c r="Y15" s="4245"/>
      <c r="Z15" s="4246"/>
      <c r="AA15" s="694"/>
      <c r="AB15" s="684"/>
      <c r="AY15" s="698"/>
      <c r="AZ15" s="698"/>
      <c r="BA15" s="698"/>
    </row>
    <row r="16" spans="1:53" ht="12" customHeight="1" thickBot="1" x14ac:dyDescent="0.25">
      <c r="A16" s="681"/>
      <c r="B16" s="709"/>
      <c r="C16" s="4255"/>
      <c r="D16" s="710" t="s">
        <v>1704</v>
      </c>
      <c r="E16" s="1662">
        <f>HLOOKUP($D$5,'Tablas Sheele'!$G$17:$N$25,'Tablas Sheele'!E25,)</f>
        <v>6</v>
      </c>
      <c r="F16" s="1497"/>
      <c r="G16" s="711">
        <f>E16+'Tablas Sheele'!D25</f>
        <v>6</v>
      </c>
      <c r="H16" s="1663">
        <f>IF(G16&lt;1,0,VLOOKUP(G16,Tablas!$C$14:$D$33,2))</f>
        <v>5</v>
      </c>
      <c r="I16" s="741"/>
      <c r="J16" s="741"/>
      <c r="K16" s="741"/>
      <c r="L16" s="4212" t="s">
        <v>3408</v>
      </c>
      <c r="M16" s="4212"/>
      <c r="N16" s="4251">
        <f>Místicos!L13</f>
        <v>0</v>
      </c>
      <c r="O16" s="4251"/>
      <c r="P16" s="4212" t="s">
        <v>1705</v>
      </c>
      <c r="Q16" s="4212"/>
      <c r="R16" s="4218">
        <f>Turno_SinArmas_final+IF('Tablas Sheele'!F121,50,0)</f>
        <v>45</v>
      </c>
      <c r="S16" s="4218"/>
      <c r="T16" s="741"/>
      <c r="U16" s="4247"/>
      <c r="V16" s="4248"/>
      <c r="W16" s="4248"/>
      <c r="X16" s="4248"/>
      <c r="Y16" s="4248"/>
      <c r="Z16" s="4249"/>
      <c r="AA16" s="694"/>
      <c r="AB16" s="684"/>
      <c r="AY16" s="698"/>
      <c r="AZ16" s="698"/>
      <c r="BA16" s="698"/>
    </row>
    <row r="17" spans="1:53" ht="12" customHeight="1" thickBot="1" x14ac:dyDescent="0.25">
      <c r="A17" s="681"/>
      <c r="B17" s="709"/>
      <c r="C17" s="741"/>
      <c r="D17" s="741"/>
      <c r="E17" s="741"/>
      <c r="F17" s="741"/>
      <c r="G17" s="741"/>
      <c r="H17" s="741"/>
      <c r="I17" s="741"/>
      <c r="J17" s="741"/>
      <c r="K17" s="741"/>
      <c r="L17" s="4250"/>
      <c r="M17" s="4250"/>
      <c r="N17" s="4252"/>
      <c r="O17" s="4213"/>
      <c r="P17" s="4212"/>
      <c r="Q17" s="4212"/>
      <c r="R17" s="4218"/>
      <c r="S17" s="4218"/>
      <c r="T17" s="741"/>
      <c r="U17" s="4219" t="s">
        <v>3409</v>
      </c>
      <c r="V17" s="4220"/>
      <c r="W17" s="4220"/>
      <c r="X17" s="4220"/>
      <c r="Y17" s="4220"/>
      <c r="Z17" s="4221"/>
      <c r="AA17" s="694"/>
      <c r="AB17" s="684"/>
      <c r="AY17" s="698"/>
      <c r="AZ17" s="698"/>
      <c r="BA17" s="698"/>
    </row>
    <row r="18" spans="1:53" ht="12" customHeight="1" x14ac:dyDescent="0.2">
      <c r="A18" s="681"/>
      <c r="B18" s="709"/>
      <c r="C18" s="4225" t="s">
        <v>3410</v>
      </c>
      <c r="D18" s="4226"/>
      <c r="E18" s="4226"/>
      <c r="F18" s="4226"/>
      <c r="G18" s="4226"/>
      <c r="H18" s="4226"/>
      <c r="I18" s="4227"/>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22"/>
      <c r="V18" s="4223"/>
      <c r="W18" s="4223"/>
      <c r="X18" s="4223"/>
      <c r="Y18" s="4223"/>
      <c r="Z18" s="4224"/>
      <c r="AA18" s="694"/>
      <c r="AB18" s="684"/>
      <c r="AY18" s="698"/>
      <c r="AZ18" s="698"/>
      <c r="BA18" s="698"/>
    </row>
    <row r="19" spans="1:53" ht="12" customHeight="1" x14ac:dyDescent="0.2">
      <c r="A19" s="681"/>
      <c r="B19" s="709"/>
      <c r="C19" s="4228" t="s">
        <v>3412</v>
      </c>
      <c r="D19" s="4229"/>
      <c r="E19" s="4229"/>
      <c r="F19" s="4229"/>
      <c r="G19" s="4230" t="str">
        <f>"Mejoras de "&amp;D5</f>
        <v>Mejoras de Aire</v>
      </c>
      <c r="H19" s="4231"/>
      <c r="I19" s="4231"/>
      <c r="J19" s="423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3"/>
      <c r="D20" s="4274"/>
      <c r="E20" s="4274"/>
      <c r="F20" s="4275"/>
      <c r="G20" s="4276"/>
      <c r="H20" s="4276"/>
      <c r="I20" s="4276"/>
      <c r="J20" s="4277"/>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3"/>
      <c r="D21" s="4274"/>
      <c r="E21" s="4274"/>
      <c r="F21" s="4275"/>
      <c r="G21" s="4276"/>
      <c r="H21" s="4276"/>
      <c r="I21" s="4276"/>
      <c r="J21" s="4277"/>
      <c r="K21" s="719"/>
      <c r="L21" s="4289" t="s">
        <v>3414</v>
      </c>
      <c r="M21" s="720" t="s">
        <v>1875</v>
      </c>
      <c r="N21" s="721">
        <f>25+5*U4</f>
        <v>30</v>
      </c>
      <c r="O21" s="741"/>
      <c r="P21" s="4292" t="s">
        <v>3415</v>
      </c>
      <c r="Q21" s="4293"/>
      <c r="R21" s="4293"/>
      <c r="S21" s="4294"/>
      <c r="T21" s="741"/>
      <c r="U21" s="4267" t="s">
        <v>1707</v>
      </c>
      <c r="V21" s="4268"/>
      <c r="W21" s="4268"/>
      <c r="X21" s="4268"/>
      <c r="Y21" s="4268"/>
      <c r="Z21" s="4269"/>
      <c r="AA21" s="694"/>
      <c r="AB21" s="684"/>
    </row>
    <row r="22" spans="1:53" ht="12" customHeight="1" x14ac:dyDescent="0.2">
      <c r="A22" s="681"/>
      <c r="B22" s="690"/>
      <c r="C22" s="4273"/>
      <c r="D22" s="4274"/>
      <c r="E22" s="4274"/>
      <c r="F22" s="4275"/>
      <c r="G22" s="4276"/>
      <c r="H22" s="4276"/>
      <c r="I22" s="4276"/>
      <c r="J22" s="4277"/>
      <c r="K22" s="719"/>
      <c r="L22" s="4290"/>
      <c r="M22" s="722" t="s">
        <v>1772</v>
      </c>
      <c r="N22" s="723">
        <f>Principal!J56-Principal!I56+IF('Tablas Sheele'!F$165&gt;0,50,0)</f>
        <v>30</v>
      </c>
      <c r="O22" s="741"/>
      <c r="P22" s="4278" t="s">
        <v>3416</v>
      </c>
      <c r="Q22" s="4279"/>
      <c r="R22" s="4282">
        <f>20+10*ROUNDDOWN(Controlar_final/50,0)+MIN(100,25*'Tablas Sheele'!F108)</f>
        <v>20</v>
      </c>
      <c r="S22" s="4283"/>
      <c r="T22" s="741"/>
      <c r="U22" s="4270"/>
      <c r="V22" s="4271"/>
      <c r="W22" s="4271"/>
      <c r="X22" s="4271"/>
      <c r="Y22" s="4271"/>
      <c r="Z22" s="4272"/>
      <c r="AA22" s="694"/>
      <c r="AB22" s="684"/>
    </row>
    <row r="23" spans="1:53" ht="12" customHeight="1" thickBot="1" x14ac:dyDescent="0.25">
      <c r="A23" s="681"/>
      <c r="B23" s="690"/>
      <c r="C23" s="4273"/>
      <c r="D23" s="4274"/>
      <c r="E23" s="4274"/>
      <c r="F23" s="4275"/>
      <c r="G23" s="4276"/>
      <c r="H23" s="4276"/>
      <c r="I23" s="4276"/>
      <c r="J23" s="4277"/>
      <c r="K23" s="741"/>
      <c r="L23" s="4290"/>
      <c r="M23" s="722" t="s">
        <v>1774</v>
      </c>
      <c r="N23" s="723">
        <f>Principal!J57-Principal!I57+IF('Tablas Sheele'!F$165&gt;0,50,0)</f>
        <v>30</v>
      </c>
      <c r="O23" s="741"/>
      <c r="P23" s="4280"/>
      <c r="Q23" s="4281"/>
      <c r="R23" s="4284"/>
      <c r="S23" s="4285"/>
      <c r="T23" s="741"/>
      <c r="U23" s="4286" t="s">
        <v>8535</v>
      </c>
      <c r="V23" s="4287"/>
      <c r="W23" s="4287"/>
      <c r="X23" s="4288"/>
      <c r="Y23" s="4287"/>
      <c r="Z23" s="724">
        <f>IF(VALUE($U$4)&lt;2,0,5*($U$4-1)-SUM(Y25:Y80))</f>
        <v>0</v>
      </c>
      <c r="AA23" s="694"/>
      <c r="AB23" s="684"/>
    </row>
    <row r="24" spans="1:53" ht="12" customHeight="1" x14ac:dyDescent="0.2">
      <c r="A24" s="681"/>
      <c r="B24" s="690"/>
      <c r="C24" s="4273"/>
      <c r="D24" s="4274"/>
      <c r="E24" s="4274"/>
      <c r="F24" s="4275"/>
      <c r="G24" s="4276"/>
      <c r="H24" s="4276"/>
      <c r="I24" s="4276"/>
      <c r="J24" s="4277"/>
      <c r="K24" s="741"/>
      <c r="L24" s="4290"/>
      <c r="M24" s="722" t="s">
        <v>1776</v>
      </c>
      <c r="N24" s="723">
        <f>Principal!J58-Principal!I58+IF('Tablas Sheele'!F$165&gt;0,50,0)</f>
        <v>30</v>
      </c>
      <c r="O24" s="741"/>
      <c r="P24" s="4295" t="s">
        <v>3417</v>
      </c>
      <c r="Q24" s="4296"/>
      <c r="R24" s="4296"/>
      <c r="S24" s="4297"/>
      <c r="T24" s="741"/>
      <c r="U24" s="725" t="s">
        <v>1711</v>
      </c>
      <c r="V24" s="4306" t="s">
        <v>1687</v>
      </c>
      <c r="W24" s="4307"/>
      <c r="X24" s="1677" t="s">
        <v>1677</v>
      </c>
      <c r="Y24" s="732" t="s">
        <v>3418</v>
      </c>
      <c r="Z24" s="1678" t="s">
        <v>1661</v>
      </c>
      <c r="AA24" s="694" t="s">
        <v>1731</v>
      </c>
      <c r="AB24" s="684"/>
    </row>
    <row r="25" spans="1:53" ht="12" customHeight="1" x14ac:dyDescent="0.2">
      <c r="A25" s="681"/>
      <c r="B25" s="690"/>
      <c r="C25" s="4273"/>
      <c r="D25" s="4274"/>
      <c r="E25" s="4274"/>
      <c r="F25" s="4275"/>
      <c r="G25" s="4276"/>
      <c r="H25" s="4276"/>
      <c r="I25" s="4276"/>
      <c r="J25" s="4277"/>
      <c r="K25" s="741"/>
      <c r="L25" s="4290"/>
      <c r="M25" s="722" t="s">
        <v>1778</v>
      </c>
      <c r="N25" s="723">
        <f>Principal!J59-Principal!I59+IF('Tablas Sheele'!F$165&gt;0,50,0)</f>
        <v>30</v>
      </c>
      <c r="O25" s="741"/>
      <c r="P25" s="4222" t="s">
        <v>3419</v>
      </c>
      <c r="Q25" s="4223"/>
      <c r="R25" s="4223"/>
      <c r="S25" s="4224"/>
      <c r="T25" s="741"/>
      <c r="U25" s="3493" t="s">
        <v>1716</v>
      </c>
      <c r="V25" s="4308" t="s">
        <v>1717</v>
      </c>
      <c r="W25" s="430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3"/>
      <c r="D26" s="4274"/>
      <c r="E26" s="4274"/>
      <c r="F26" s="4275"/>
      <c r="G26" s="4276"/>
      <c r="H26" s="4276"/>
      <c r="I26" s="4276"/>
      <c r="J26" s="4277"/>
      <c r="K26" s="741"/>
      <c r="L26" s="4291"/>
      <c r="M26" s="726" t="s">
        <v>1780</v>
      </c>
      <c r="N26" s="727">
        <f>Principal!J60-Principal!I60+IF('Tablas Sheele'!F$165&gt;0,50,0)</f>
        <v>30</v>
      </c>
      <c r="O26" s="741"/>
      <c r="P26" s="741"/>
      <c r="Q26" s="741"/>
      <c r="R26" s="741"/>
      <c r="S26" s="657"/>
      <c r="T26" s="741"/>
      <c r="U26" s="3354"/>
      <c r="V26" s="3246" t="s">
        <v>1719</v>
      </c>
      <c r="W26" s="3246"/>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3"/>
      <c r="D27" s="4304"/>
      <c r="E27" s="4304"/>
      <c r="F27" s="4305"/>
      <c r="G27" s="4276"/>
      <c r="H27" s="4276"/>
      <c r="I27" s="4276"/>
      <c r="J27" s="4277"/>
      <c r="K27" s="741"/>
      <c r="L27" s="741"/>
      <c r="M27" s="741"/>
      <c r="N27" s="741"/>
      <c r="O27" s="741"/>
      <c r="P27" s="4256" t="s">
        <v>1681</v>
      </c>
      <c r="Q27" s="4257"/>
      <c r="R27" s="4257"/>
      <c r="S27" s="4258"/>
      <c r="T27" s="741"/>
      <c r="U27" s="3354"/>
      <c r="V27" s="3246" t="s">
        <v>1722</v>
      </c>
      <c r="W27" s="3246"/>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3"/>
      <c r="D28" s="4304"/>
      <c r="E28" s="4304"/>
      <c r="F28" s="4305"/>
      <c r="G28" s="4276"/>
      <c r="H28" s="4276"/>
      <c r="I28" s="4276"/>
      <c r="J28" s="4277"/>
      <c r="K28" s="741"/>
      <c r="L28" s="741"/>
      <c r="M28" s="741"/>
      <c r="N28" s="741"/>
      <c r="O28" s="741"/>
      <c r="P28" s="4300"/>
      <c r="Q28" s="4301"/>
      <c r="R28" s="4301"/>
      <c r="S28" s="4302"/>
      <c r="T28" s="741"/>
      <c r="U28" s="3354"/>
      <c r="V28" s="3246" t="s">
        <v>1726</v>
      </c>
      <c r="W28" s="3246"/>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3"/>
      <c r="D29" s="4309"/>
      <c r="E29" s="4309"/>
      <c r="F29" s="4310"/>
      <c r="G29" s="4311"/>
      <c r="H29" s="4276"/>
      <c r="I29" s="4276"/>
      <c r="J29" s="4277"/>
      <c r="K29" s="741"/>
      <c r="L29" s="741"/>
      <c r="M29" s="741"/>
      <c r="N29" s="741"/>
      <c r="O29" s="741"/>
      <c r="P29" s="4312">
        <f>IF('Tablas Sheele'!F107&gt;0, N21*4, N21*2)+IF('Tablas Sheele'!F149&gt;0,250,0)</f>
        <v>60</v>
      </c>
      <c r="Q29" s="4313"/>
      <c r="R29" s="4318"/>
      <c r="S29" s="4319"/>
      <c r="T29" s="741"/>
      <c r="U29" s="3354"/>
      <c r="V29" s="3246" t="s">
        <v>1729</v>
      </c>
      <c r="W29" s="3246"/>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3"/>
      <c r="D30" s="4309"/>
      <c r="E30" s="4309"/>
      <c r="F30" s="4310"/>
      <c r="G30" s="4311"/>
      <c r="H30" s="4276"/>
      <c r="I30" s="4276"/>
      <c r="J30" s="4277"/>
      <c r="K30" s="741"/>
      <c r="L30" s="4324" t="s">
        <v>1699</v>
      </c>
      <c r="M30" s="4325"/>
      <c r="N30" s="4326"/>
      <c r="O30" s="741"/>
      <c r="P30" s="4314"/>
      <c r="Q30" s="4315"/>
      <c r="R30" s="4320"/>
      <c r="S30" s="4321"/>
      <c r="T30" s="741"/>
      <c r="U30" s="3354"/>
      <c r="V30" s="3246" t="s">
        <v>1732</v>
      </c>
      <c r="W30" s="3246"/>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3"/>
      <c r="D31" s="4309"/>
      <c r="E31" s="4309"/>
      <c r="F31" s="4310"/>
      <c r="G31" s="1657"/>
      <c r="H31" s="1657"/>
      <c r="I31" s="1657"/>
      <c r="J31" s="1658"/>
      <c r="K31" s="741"/>
      <c r="L31" s="4331">
        <f>G9</f>
        <v>8</v>
      </c>
      <c r="M31" s="4339" t="s">
        <v>1902</v>
      </c>
      <c r="N31" s="4340"/>
      <c r="O31" s="741"/>
      <c r="P31" s="4314"/>
      <c r="Q31" s="4315"/>
      <c r="R31" s="4320"/>
      <c r="S31" s="4321"/>
      <c r="T31" s="741"/>
      <c r="U31" s="3355"/>
      <c r="V31" s="4298" t="s">
        <v>8229</v>
      </c>
      <c r="W31" s="429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1" t="s">
        <v>3420</v>
      </c>
      <c r="D32" s="4342"/>
      <c r="E32" s="4342"/>
      <c r="F32" s="4342"/>
      <c r="G32" s="4342"/>
      <c r="H32" s="4342"/>
      <c r="I32" s="4342"/>
      <c r="J32" s="728">
        <f>COUNTBLANK(E33:E36)+COUNTBLANK(G33:G36)+COUNTBLANK(I33:I36)+COUNTBLANK(C33:C36)-16+'Tablas Sheele'!F109</f>
        <v>0</v>
      </c>
      <c r="K32" s="741"/>
      <c r="L32" s="4331"/>
      <c r="M32" s="4339" t="str">
        <f>IF(L31&lt;1,"",VLOOKUP(L31,Tablas!$I$37:$J$57,2,FALSE))</f>
        <v>28 m / asalto</v>
      </c>
      <c r="N32" s="4340"/>
      <c r="O32" s="741"/>
      <c r="P32" s="4316"/>
      <c r="Q32" s="4317"/>
      <c r="R32" s="4322"/>
      <c r="S32" s="4323"/>
      <c r="T32" s="741"/>
      <c r="U32" s="3354" t="s">
        <v>1735</v>
      </c>
      <c r="V32" s="3246" t="s">
        <v>1736</v>
      </c>
      <c r="W32" s="3246"/>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3"/>
      <c r="D33" s="4344"/>
      <c r="E33" s="4345"/>
      <c r="F33" s="4344"/>
      <c r="G33" s="4345"/>
      <c r="H33" s="4344"/>
      <c r="I33" s="4345"/>
      <c r="J33" s="4346"/>
      <c r="K33" s="741"/>
      <c r="L33" s="4327">
        <f>IF('Tablas Sheele'!F117&gt;0,14,VLOOKUP(D40,'Tablas Sheele'!C204:M243,10,FALSE))</f>
        <v>10</v>
      </c>
      <c r="M33" s="4329" t="s">
        <v>1955</v>
      </c>
      <c r="N33" s="4330"/>
      <c r="O33" s="741"/>
      <c r="P33" s="741"/>
      <c r="Q33" s="741"/>
      <c r="R33" s="741"/>
      <c r="S33" s="657"/>
      <c r="T33" s="741"/>
      <c r="U33" s="3354"/>
      <c r="V33" s="3246" t="s">
        <v>1738</v>
      </c>
      <c r="W33" s="3246"/>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3"/>
      <c r="D34" s="4310"/>
      <c r="E34" s="4332"/>
      <c r="F34" s="4310"/>
      <c r="G34" s="4332"/>
      <c r="H34" s="4310"/>
      <c r="I34" s="4332"/>
      <c r="J34" s="4333"/>
      <c r="K34" s="741"/>
      <c r="L34" s="4328"/>
      <c r="M34" s="4334" t="str">
        <f>IF(L33&lt;1,"",VLOOKUP(L33,Tablas!$I$37:$J$57,2,FALSE))</f>
        <v>35 m / asalto</v>
      </c>
      <c r="N34" s="4335"/>
      <c r="O34" s="741"/>
      <c r="P34" s="4336" t="s">
        <v>1680</v>
      </c>
      <c r="Q34" s="4337"/>
      <c r="R34" s="4337"/>
      <c r="S34" s="4338"/>
      <c r="T34" s="741"/>
      <c r="U34" s="3354"/>
      <c r="V34" s="3246" t="s">
        <v>1741</v>
      </c>
      <c r="W34" s="3246"/>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3"/>
      <c r="D35" s="4310"/>
      <c r="E35" s="4332"/>
      <c r="F35" s="4310"/>
      <c r="G35" s="4332"/>
      <c r="H35" s="4310"/>
      <c r="I35" s="4332"/>
      <c r="J35" s="4333"/>
      <c r="K35" s="741"/>
      <c r="L35" s="4331" t="str">
        <f>IF('Tablas Sheele'!F128&gt;0,15,IF(D5='Tablas Sheele'!C6,10,IF('Tablas Sheele'!F153&gt;0,L31,"-")))</f>
        <v>-</v>
      </c>
      <c r="M35" s="4339" t="str">
        <f>IF(D5='Tablas Sheele'!C6,"Acuático",IF('Tablas Sheele'!F153&gt;0,"Subterráneo","Otros"))</f>
        <v>Otros</v>
      </c>
      <c r="N35" s="4340"/>
      <c r="O35" s="741"/>
      <c r="P35" s="4347">
        <f>VLOOKUP(G10,Tablas!C37:G65,2)</f>
        <v>0</v>
      </c>
      <c r="Q35" s="4349" t="str">
        <f>IF(D5='Tablas Sheele'!C11,"5 PV / asalto",IF('Tablas Sheele'!F132&gt;0,"10 PV / asalto",VLOOKUP(P35,Tablas!D38:G65,2)))</f>
        <v>Ninguna</v>
      </c>
      <c r="R35" s="4350"/>
      <c r="S35" s="4351"/>
      <c r="T35" s="741"/>
      <c r="U35" s="3354"/>
      <c r="V35" s="3246" t="s">
        <v>1743</v>
      </c>
      <c r="W35" s="3246"/>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2"/>
      <c r="D36" s="4353"/>
      <c r="E36" s="4354"/>
      <c r="F36" s="4353"/>
      <c r="G36" s="4354"/>
      <c r="H36" s="4353"/>
      <c r="I36" s="4354"/>
      <c r="J36" s="4355"/>
      <c r="K36" s="741"/>
      <c r="L36" s="4361"/>
      <c r="M36" s="4356" t="str">
        <f>IF(L35="-","-",VLOOKUP(L35,Tablas!$I$37:$J$57,2,FALSE))</f>
        <v>-</v>
      </c>
      <c r="N36" s="4357"/>
      <c r="O36" s="741"/>
      <c r="P36" s="4348"/>
      <c r="Q36" s="4358" t="str">
        <f>VLOOKUP(P35,Tablas!D38:G65,4)</f>
        <v>Ninguna</v>
      </c>
      <c r="R36" s="4359"/>
      <c r="S36" s="4360"/>
      <c r="T36" s="741"/>
      <c r="U36" s="3354"/>
      <c r="V36" s="3246" t="s">
        <v>1088</v>
      </c>
      <c r="W36" s="3246"/>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4"/>
      <c r="V37" s="3246" t="s">
        <v>1089</v>
      </c>
      <c r="W37" s="3246"/>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67" t="s">
        <v>3422</v>
      </c>
      <c r="D38" s="4268"/>
      <c r="E38" s="4268"/>
      <c r="F38" s="4268"/>
      <c r="G38" s="4268"/>
      <c r="H38" s="4268"/>
      <c r="I38" s="4268"/>
      <c r="J38" s="4268"/>
      <c r="K38" s="4268"/>
      <c r="L38" s="4268"/>
      <c r="M38" s="4268"/>
      <c r="N38" s="4268"/>
      <c r="O38" s="4268"/>
      <c r="P38" s="4268"/>
      <c r="Q38" s="4268"/>
      <c r="R38" s="4268"/>
      <c r="S38" s="4269"/>
      <c r="T38" s="741"/>
      <c r="U38" s="3354"/>
      <c r="V38" s="4298" t="s">
        <v>1090</v>
      </c>
      <c r="W38" s="429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65" t="s">
        <v>3423</v>
      </c>
      <c r="D39" s="4366"/>
      <c r="E39" s="732" t="s">
        <v>3234</v>
      </c>
      <c r="F39" s="1659" t="s">
        <v>3424</v>
      </c>
      <c r="G39" s="732" t="s">
        <v>1891</v>
      </c>
      <c r="H39" s="4306" t="s">
        <v>1866</v>
      </c>
      <c r="I39" s="4367"/>
      <c r="J39" s="4367"/>
      <c r="K39" s="4367"/>
      <c r="L39" s="4367"/>
      <c r="M39" s="4367"/>
      <c r="N39" s="4367"/>
      <c r="O39" s="4367"/>
      <c r="P39" s="4367"/>
      <c r="Q39" s="4367"/>
      <c r="R39" s="4367"/>
      <c r="S39" s="4368"/>
      <c r="T39" s="741"/>
      <c r="U39" s="3493" t="s">
        <v>1744</v>
      </c>
      <c r="V39" s="3246" t="s">
        <v>1745</v>
      </c>
      <c r="W39" s="3246"/>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69" t="str">
        <f>IF(D40=" ","",VLOOKUP(D40,'Tablas Sheele'!$C$204:$J$243,3,FALSE))</f>
        <v>Puede volar con Tipo de Movimiento 10</v>
      </c>
      <c r="I40" s="4370"/>
      <c r="J40" s="4370"/>
      <c r="K40" s="4370"/>
      <c r="L40" s="4370"/>
      <c r="M40" s="4370"/>
      <c r="N40" s="4370"/>
      <c r="O40" s="4370"/>
      <c r="P40" s="4370"/>
      <c r="Q40" s="4370"/>
      <c r="R40" s="4370"/>
      <c r="S40" s="4371"/>
      <c r="T40" s="741"/>
      <c r="U40" s="3354"/>
      <c r="V40" s="3246" t="s">
        <v>1746</v>
      </c>
      <c r="W40" s="3246"/>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86" t="str">
        <f>IF(D41=" ","",VLOOKUP(D41,'Tablas Sheele'!$C$204:$J$243,3,FALSE))</f>
        <v>Usa su Proyección Mágica como Esquiva.</v>
      </c>
      <c r="I41" s="4387"/>
      <c r="J41" s="4387"/>
      <c r="K41" s="4387"/>
      <c r="L41" s="4387"/>
      <c r="M41" s="4387"/>
      <c r="N41" s="4387"/>
      <c r="O41" s="4387"/>
      <c r="P41" s="4387"/>
      <c r="Q41" s="4387"/>
      <c r="R41" s="4387"/>
      <c r="S41" s="4388"/>
      <c r="T41" s="741"/>
      <c r="U41" s="3355"/>
      <c r="V41" s="4298" t="s">
        <v>1747</v>
      </c>
      <c r="W41" s="429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86" t="str">
        <f>IF(D42=" ","",VLOOKUP(D42,'Tablas Sheele'!$C$204:$J$243,3,FALSE))</f>
        <v/>
      </c>
      <c r="I42" s="4387"/>
      <c r="J42" s="4387"/>
      <c r="K42" s="4387"/>
      <c r="L42" s="4387"/>
      <c r="M42" s="4387"/>
      <c r="N42" s="4387"/>
      <c r="O42" s="4387"/>
      <c r="P42" s="4387"/>
      <c r="Q42" s="4387"/>
      <c r="R42" s="4387"/>
      <c r="S42" s="4388"/>
      <c r="T42" s="741"/>
      <c r="U42" s="3354" t="s">
        <v>1748</v>
      </c>
      <c r="V42" s="3246" t="s">
        <v>1749</v>
      </c>
      <c r="W42" s="3246"/>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2" t="str">
        <f>IF(D43=" ","",VLOOKUP(D43,'Tablas Sheele'!$C$204:$J$243,3,FALSE))</f>
        <v/>
      </c>
      <c r="I43" s="4363"/>
      <c r="J43" s="4363"/>
      <c r="K43" s="4363"/>
      <c r="L43" s="4363"/>
      <c r="M43" s="4363"/>
      <c r="N43" s="4363"/>
      <c r="O43" s="4363"/>
      <c r="P43" s="4363"/>
      <c r="Q43" s="4363"/>
      <c r="R43" s="4363"/>
      <c r="S43" s="4364"/>
      <c r="T43" s="741"/>
      <c r="U43" s="3354"/>
      <c r="V43" s="3246" t="str">
        <f>IF($D$5='Tablas Sheele'!$C$8,"Ciencia (geología)","Ciencia")</f>
        <v>Ciencia</v>
      </c>
      <c r="W43" s="3246"/>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372" t="str">
        <f>IF(COUNTA($C$43:C43)&lt;'Tablas Sheele'!$H$199,VLOOKUP('Tablas Sheele'!A1,'Tablas Sheele'!$B$111:$R$198,2,FALSE),"")</f>
        <v/>
      </c>
      <c r="D44" s="4373"/>
      <c r="E44" s="1664" t="str">
        <f>IF($C44="","",VLOOKUP('Tablas Sheele'!$A1,'Tablas Sheele'!$B$111:$R198,8,FALSE))</f>
        <v/>
      </c>
      <c r="F44" s="1664" t="str">
        <f>IF($C44="","",VLOOKUP('Tablas Sheele'!$A1,'Tablas Sheele'!$B$111:$R198,9,FALSE))</f>
        <v/>
      </c>
      <c r="G44" s="734" t="str">
        <f>IF($C44="","",VLOOKUP('Tablas Sheele'!$A1,'Tablas Sheele'!$B$111:$R198,10,FALSE))</f>
        <v/>
      </c>
      <c r="H44" s="4377" t="str">
        <f>IF($C44="","",VLOOKUP('Tablas Sheele'!$A1,'Tablas Sheele'!$B$111:$R198,11,FALSE))</f>
        <v/>
      </c>
      <c r="I44" s="4378"/>
      <c r="J44" s="4378"/>
      <c r="K44" s="4378"/>
      <c r="L44" s="4378"/>
      <c r="M44" s="4378"/>
      <c r="N44" s="4378"/>
      <c r="O44" s="4378"/>
      <c r="P44" s="4378"/>
      <c r="Q44" s="4378"/>
      <c r="R44" s="4378"/>
      <c r="S44" s="4379"/>
      <c r="T44" s="741"/>
      <c r="U44" s="3354"/>
      <c r="V44" s="3246" t="s">
        <v>3126</v>
      </c>
      <c r="W44" s="3246"/>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2" t="str">
        <f>IF(COUNTA($C$43:C44)&lt;'Tablas Sheele'!$H$199,VLOOKUP('Tablas Sheele'!A2,'Tablas Sheele'!$B$111:$R$198,2,FALSE),"")</f>
        <v/>
      </c>
      <c r="D45" s="4373"/>
      <c r="E45" s="1440" t="str">
        <f>IF($C45="","",VLOOKUP('Tablas Sheele'!$A2,'Tablas Sheele'!$B$111:$R199,8,FALSE))</f>
        <v/>
      </c>
      <c r="F45" s="1440" t="str">
        <f>IF($C45="","",VLOOKUP('Tablas Sheele'!$A2,'Tablas Sheele'!$B$111:$R199,9,FALSE))</f>
        <v/>
      </c>
      <c r="G45" s="736" t="str">
        <f>IF($C45="","",VLOOKUP('Tablas Sheele'!$A2,'Tablas Sheele'!$B$111:$R199,10,FALSE))</f>
        <v/>
      </c>
      <c r="H45" s="4374" t="str">
        <f>IF($C45="","",VLOOKUP('Tablas Sheele'!$A2,'Tablas Sheele'!$B$111:$R199,11,FALSE))</f>
        <v/>
      </c>
      <c r="I45" s="4375"/>
      <c r="J45" s="4375"/>
      <c r="K45" s="4375"/>
      <c r="L45" s="4375"/>
      <c r="M45" s="4375"/>
      <c r="N45" s="4375"/>
      <c r="O45" s="4375"/>
      <c r="P45" s="4375"/>
      <c r="Q45" s="4375"/>
      <c r="R45" s="4375"/>
      <c r="S45" s="4376"/>
      <c r="T45" s="741"/>
      <c r="U45" s="3354"/>
      <c r="V45" s="3246" t="s">
        <v>1751</v>
      </c>
      <c r="W45" s="3246"/>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2" t="str">
        <f>IF(COUNTA($C$43:C45)&lt;'Tablas Sheele'!$H$199,VLOOKUP('Tablas Sheele'!A3,'Tablas Sheele'!$B$111:$R$198,2,FALSE),"")</f>
        <v/>
      </c>
      <c r="D46" s="4373"/>
      <c r="E46" s="1440" t="str">
        <f>IF($C46="","",VLOOKUP('Tablas Sheele'!$A3,'Tablas Sheele'!$B$111:$R200,8,FALSE))</f>
        <v/>
      </c>
      <c r="F46" s="1440" t="str">
        <f>IF($C46="","",VLOOKUP('Tablas Sheele'!$A3,'Tablas Sheele'!$B$111:$R200,9,FALSE))</f>
        <v/>
      </c>
      <c r="G46" s="736" t="str">
        <f>IF($C46="","",VLOOKUP('Tablas Sheele'!$A3,'Tablas Sheele'!$B$111:$R200,10,FALSE))</f>
        <v/>
      </c>
      <c r="H46" s="4374" t="str">
        <f>IF($C46="","",VLOOKUP('Tablas Sheele'!$A3,'Tablas Sheele'!$B$111:$R200,11,FALSE))</f>
        <v/>
      </c>
      <c r="I46" s="4375"/>
      <c r="J46" s="4375"/>
      <c r="K46" s="4375"/>
      <c r="L46" s="4375"/>
      <c r="M46" s="4375"/>
      <c r="N46" s="4375"/>
      <c r="O46" s="4375"/>
      <c r="P46" s="4375"/>
      <c r="Q46" s="4375"/>
      <c r="R46" s="4375"/>
      <c r="S46" s="4376"/>
      <c r="T46" s="741"/>
      <c r="U46" s="3354"/>
      <c r="V46" s="3246" t="s">
        <v>1753</v>
      </c>
      <c r="W46" s="3246"/>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372" t="str">
        <f>IF(COUNTA($C$43:C46)&lt;'Tablas Sheele'!$H$199,VLOOKUP('Tablas Sheele'!A4,'Tablas Sheele'!$B$111:$R$198,2,FALSE),"")</f>
        <v/>
      </c>
      <c r="D47" s="4373"/>
      <c r="E47" s="1440" t="str">
        <f>IF($C47="","",VLOOKUP('Tablas Sheele'!$A4,'Tablas Sheele'!$B$111:$R201,8,FALSE))</f>
        <v/>
      </c>
      <c r="F47" s="1440" t="str">
        <f>IF($C47="","",VLOOKUP('Tablas Sheele'!$A4,'Tablas Sheele'!$B$111:$R201,9,FALSE))</f>
        <v/>
      </c>
      <c r="G47" s="736" t="str">
        <f>IF($C47="","",VLOOKUP('Tablas Sheele'!$A4,'Tablas Sheele'!$B$111:$R201,10,FALSE))</f>
        <v/>
      </c>
      <c r="H47" s="4374" t="str">
        <f>IF($C47="","",VLOOKUP('Tablas Sheele'!$A4,'Tablas Sheele'!$B$111:$R201,11,FALSE))</f>
        <v/>
      </c>
      <c r="I47" s="4375"/>
      <c r="J47" s="4375"/>
      <c r="K47" s="4375"/>
      <c r="L47" s="4375"/>
      <c r="M47" s="4375"/>
      <c r="N47" s="4375"/>
      <c r="O47" s="4375"/>
      <c r="P47" s="4375"/>
      <c r="Q47" s="4375"/>
      <c r="R47" s="4375"/>
      <c r="S47" s="4376"/>
      <c r="T47" s="741"/>
      <c r="U47" s="3354"/>
      <c r="V47" s="3246" t="s">
        <v>1091</v>
      </c>
      <c r="W47" s="3246"/>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2" t="str">
        <f>IF(COUNTA($C$43:C47)&lt;'Tablas Sheele'!$H$199,VLOOKUP('Tablas Sheele'!A5,'Tablas Sheele'!$B$111:$R$198,2,FALSE),"")</f>
        <v/>
      </c>
      <c r="D48" s="4373"/>
      <c r="E48" s="1440" t="str">
        <f>IF($C48="","",VLOOKUP('Tablas Sheele'!$A5,'Tablas Sheele'!$B$111:$R202,8,FALSE))</f>
        <v/>
      </c>
      <c r="F48" s="1440" t="str">
        <f>IF($C48="","",VLOOKUP('Tablas Sheele'!$A5,'Tablas Sheele'!$B$111:$R202,9,FALSE))</f>
        <v/>
      </c>
      <c r="G48" s="736" t="str">
        <f>IF($C48="","",VLOOKUP('Tablas Sheele'!$A5,'Tablas Sheele'!$B$111:$R202,10,FALSE))</f>
        <v/>
      </c>
      <c r="H48" s="4374" t="str">
        <f>IF($C48="","",VLOOKUP('Tablas Sheele'!$A5,'Tablas Sheele'!$B$111:$R202,11,FALSE))</f>
        <v/>
      </c>
      <c r="I48" s="4375"/>
      <c r="J48" s="4375"/>
      <c r="K48" s="4375"/>
      <c r="L48" s="4375"/>
      <c r="M48" s="4375"/>
      <c r="N48" s="4375"/>
      <c r="O48" s="4375"/>
      <c r="P48" s="4375"/>
      <c r="Q48" s="4375"/>
      <c r="R48" s="4375"/>
      <c r="S48" s="4376"/>
      <c r="T48" s="741"/>
      <c r="U48" s="3354"/>
      <c r="V48" s="3246" t="s">
        <v>1756</v>
      </c>
      <c r="W48" s="3246"/>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372" t="str">
        <f>IF(COUNTA($C$43:C48)&lt;'Tablas Sheele'!$H$199,VLOOKUP('Tablas Sheele'!A6,'Tablas Sheele'!$B$111:$R$198,2,FALSE),"")</f>
        <v/>
      </c>
      <c r="D49" s="4373"/>
      <c r="E49" s="1440" t="str">
        <f>IF($C49="","",VLOOKUP('Tablas Sheele'!$A6,'Tablas Sheele'!$B$111:$R203,8,FALSE))</f>
        <v/>
      </c>
      <c r="F49" s="1440" t="str">
        <f>IF($C49="","",VLOOKUP('Tablas Sheele'!$A6,'Tablas Sheele'!$B$111:$R203,9,FALSE))</f>
        <v/>
      </c>
      <c r="G49" s="736" t="str">
        <f>IF($C49="","",VLOOKUP('Tablas Sheele'!$A6,'Tablas Sheele'!$B$111:$R203,10,FALSE))</f>
        <v/>
      </c>
      <c r="H49" s="4374" t="str">
        <f>IF($C49="","",VLOOKUP('Tablas Sheele'!$A6,'Tablas Sheele'!$B$111:$R203,11,FALSE))</f>
        <v/>
      </c>
      <c r="I49" s="4375"/>
      <c r="J49" s="4375"/>
      <c r="K49" s="4375"/>
      <c r="L49" s="4375"/>
      <c r="M49" s="4375"/>
      <c r="N49" s="4375"/>
      <c r="O49" s="4375"/>
      <c r="P49" s="4375"/>
      <c r="Q49" s="4375"/>
      <c r="R49" s="4375"/>
      <c r="S49" s="4376"/>
      <c r="T49" s="741"/>
      <c r="U49" s="3354"/>
      <c r="V49" s="3246" t="s">
        <v>1757</v>
      </c>
      <c r="W49" s="3246"/>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2" t="str">
        <f>IF(COUNTA($C$43:C49)&lt;'Tablas Sheele'!$H$199,VLOOKUP('Tablas Sheele'!A7,'Tablas Sheele'!$B$111:$R$198,2,FALSE),"")</f>
        <v/>
      </c>
      <c r="D50" s="4373"/>
      <c r="E50" s="1440" t="str">
        <f>IF($C50="","",VLOOKUP('Tablas Sheele'!$A7,'Tablas Sheele'!$B$111:$R204,8,FALSE))</f>
        <v/>
      </c>
      <c r="F50" s="1440" t="str">
        <f>IF($C50="","",VLOOKUP('Tablas Sheele'!$A7,'Tablas Sheele'!$B$111:$R204,9,FALSE))</f>
        <v/>
      </c>
      <c r="G50" s="736" t="str">
        <f>IF($C50="","",VLOOKUP('Tablas Sheele'!$A7,'Tablas Sheele'!$B$111:$R204,10,FALSE))</f>
        <v/>
      </c>
      <c r="H50" s="4374" t="str">
        <f>IF($C50="","",VLOOKUP('Tablas Sheele'!$A7,'Tablas Sheele'!$B$111:$R204,11,FALSE))</f>
        <v/>
      </c>
      <c r="I50" s="4375"/>
      <c r="J50" s="4375"/>
      <c r="K50" s="4375"/>
      <c r="L50" s="4375"/>
      <c r="M50" s="4375"/>
      <c r="N50" s="4375"/>
      <c r="O50" s="4375"/>
      <c r="P50" s="4375"/>
      <c r="Q50" s="4375"/>
      <c r="R50" s="4375"/>
      <c r="S50" s="4376"/>
      <c r="T50" s="741"/>
      <c r="U50" s="3354"/>
      <c r="V50" s="3246" t="s">
        <v>1758</v>
      </c>
      <c r="W50" s="3246"/>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2" t="str">
        <f>IF(COUNTA($C$43:C50)&lt;'Tablas Sheele'!$H$199,VLOOKUP('Tablas Sheele'!A8,'Tablas Sheele'!$B$111:$R$198,2,FALSE),"")</f>
        <v/>
      </c>
      <c r="D51" s="4373"/>
      <c r="E51" s="1440" t="str">
        <f>IF($C51="","",VLOOKUP('Tablas Sheele'!$A8,'Tablas Sheele'!$B$111:$R205,8,FALSE))</f>
        <v/>
      </c>
      <c r="F51" s="1440" t="str">
        <f>IF($C51="","",VLOOKUP('Tablas Sheele'!$A8,'Tablas Sheele'!$B$111:$R205,9,FALSE))</f>
        <v/>
      </c>
      <c r="G51" s="736" t="str">
        <f>IF($C51="","",VLOOKUP('Tablas Sheele'!$A8,'Tablas Sheele'!$B$111:$R205,10,FALSE))</f>
        <v/>
      </c>
      <c r="H51" s="4374" t="str">
        <f>IF($C51="","",VLOOKUP('Tablas Sheele'!$A8,'Tablas Sheele'!$B$111:$R205,11,FALSE))</f>
        <v/>
      </c>
      <c r="I51" s="4375"/>
      <c r="J51" s="4375"/>
      <c r="K51" s="4375"/>
      <c r="L51" s="4375"/>
      <c r="M51" s="4375"/>
      <c r="N51" s="4375"/>
      <c r="O51" s="4375"/>
      <c r="P51" s="4375"/>
      <c r="Q51" s="4375"/>
      <c r="R51" s="4375"/>
      <c r="S51" s="4376"/>
      <c r="T51" s="741"/>
      <c r="U51" s="3354"/>
      <c r="V51" s="3246" t="s">
        <v>1759</v>
      </c>
      <c r="W51" s="3246"/>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65" t="s">
        <v>3195</v>
      </c>
      <c r="D52" s="4380"/>
      <c r="E52" s="4381" t="s">
        <v>1866</v>
      </c>
      <c r="F52" s="4382"/>
      <c r="G52" s="4382"/>
      <c r="H52" s="4382"/>
      <c r="I52" s="4382"/>
      <c r="J52" s="4382"/>
      <c r="K52" s="4382"/>
      <c r="L52" s="4382"/>
      <c r="M52" s="4382"/>
      <c r="N52" s="4382"/>
      <c r="O52" s="4382"/>
      <c r="P52" s="4382"/>
      <c r="Q52" s="4382"/>
      <c r="R52" s="4382"/>
      <c r="S52" s="4383"/>
      <c r="T52" s="741"/>
      <c r="U52" s="3354"/>
      <c r="V52" s="3246" t="s">
        <v>1760</v>
      </c>
      <c r="W52" s="3246"/>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389" t="str">
        <f>IF(COUNTA($C$52:C52)&lt;'Tablas Sheele'!$H$110+1,VLOOKUP('Tablas Sheele'!A1,'Tablas Sheele'!$B$91:$C$109,2,FALSE),"")</f>
        <v/>
      </c>
      <c r="D53" s="4390"/>
      <c r="E53" s="4378" t="str">
        <f>IF($C53="","",VLOOKUP(C53,'Tablas Sheele'!C92:Q109,10,FALSE))</f>
        <v/>
      </c>
      <c r="F53" s="4378"/>
      <c r="G53" s="4378"/>
      <c r="H53" s="4378"/>
      <c r="I53" s="4378"/>
      <c r="J53" s="4378"/>
      <c r="K53" s="4378"/>
      <c r="L53" s="4378"/>
      <c r="M53" s="4378"/>
      <c r="N53" s="4378"/>
      <c r="O53" s="4378"/>
      <c r="P53" s="4378"/>
      <c r="Q53" s="4378"/>
      <c r="R53" s="4378"/>
      <c r="S53" s="4379"/>
      <c r="T53" s="741"/>
      <c r="U53" s="3354"/>
      <c r="V53" s="4298" t="s">
        <v>1761</v>
      </c>
      <c r="W53" s="429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391" t="str">
        <f>IF(COUNTA($C$52:C53)&lt;'Tablas Sheele'!$H$110+1,VLOOKUP('Tablas Sheele'!A2,'Tablas Sheele'!$B$91:$C$109,2,FALSE),"")</f>
        <v/>
      </c>
      <c r="D54" s="4392"/>
      <c r="E54" s="4375" t="str">
        <f>IF($C54="","",VLOOKUP(C54,'Tablas Sheele'!C93:Q110,10,FALSE))</f>
        <v/>
      </c>
      <c r="F54" s="4375"/>
      <c r="G54" s="4375"/>
      <c r="H54" s="4375"/>
      <c r="I54" s="4375"/>
      <c r="J54" s="4375"/>
      <c r="K54" s="4375"/>
      <c r="L54" s="4375"/>
      <c r="M54" s="4375"/>
      <c r="N54" s="4375"/>
      <c r="O54" s="4375"/>
      <c r="P54" s="4375"/>
      <c r="Q54" s="4375"/>
      <c r="R54" s="4375"/>
      <c r="S54" s="4376"/>
      <c r="T54" s="741"/>
      <c r="U54" s="3493" t="s">
        <v>1762</v>
      </c>
      <c r="V54" s="3246" t="s">
        <v>1763</v>
      </c>
      <c r="W54" s="3246"/>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1" t="str">
        <f>IF(COUNTA($C$52:C54)&lt;'Tablas Sheele'!$H$110+1,VLOOKUP('Tablas Sheele'!A3,'Tablas Sheele'!$B$91:$C$109,2,FALSE),"")</f>
        <v/>
      </c>
      <c r="D55" s="4392"/>
      <c r="E55" s="4375" t="str">
        <f>IF($C55="","",VLOOKUP(C55,'Tablas Sheele'!C94:Q111,10,FALSE))</f>
        <v/>
      </c>
      <c r="F55" s="4375"/>
      <c r="G55" s="4375"/>
      <c r="H55" s="4375"/>
      <c r="I55" s="4375"/>
      <c r="J55" s="4375"/>
      <c r="K55" s="4375"/>
      <c r="L55" s="4375"/>
      <c r="M55" s="4375"/>
      <c r="N55" s="4375"/>
      <c r="O55" s="4375"/>
      <c r="P55" s="4375"/>
      <c r="Q55" s="4375"/>
      <c r="R55" s="4375"/>
      <c r="S55" s="4376"/>
      <c r="T55" s="741"/>
      <c r="U55" s="3354"/>
      <c r="V55" s="3246" t="s">
        <v>1764</v>
      </c>
      <c r="W55" s="3246"/>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1" t="str">
        <f>IF(COUNTA($C$52:C55)&lt;'Tablas Sheele'!$H$110+1,VLOOKUP('Tablas Sheele'!A4,'Tablas Sheele'!$B$91:$C$109,2,FALSE),"")</f>
        <v/>
      </c>
      <c r="D56" s="4392"/>
      <c r="E56" s="4375" t="str">
        <f>IF($C56="","",VLOOKUP(C56,'Tablas Sheele'!C95:Q112,10,FALSE))</f>
        <v/>
      </c>
      <c r="F56" s="4375"/>
      <c r="G56" s="4375"/>
      <c r="H56" s="4375"/>
      <c r="I56" s="4375"/>
      <c r="J56" s="4375"/>
      <c r="K56" s="4375"/>
      <c r="L56" s="4375"/>
      <c r="M56" s="4375"/>
      <c r="N56" s="4375"/>
      <c r="O56" s="4375"/>
      <c r="P56" s="4375"/>
      <c r="Q56" s="4375"/>
      <c r="R56" s="4375"/>
      <c r="S56" s="4376"/>
      <c r="T56" s="741"/>
      <c r="U56" s="3355"/>
      <c r="V56" s="4298" t="s">
        <v>1767</v>
      </c>
      <c r="W56" s="429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1" t="str">
        <f>IF(COUNTA($C$52:C56)&lt;'Tablas Sheele'!$H$110+1,VLOOKUP('Tablas Sheele'!A5,'Tablas Sheele'!$B$91:$C$109,2,FALSE),"")</f>
        <v/>
      </c>
      <c r="D57" s="4392"/>
      <c r="E57" s="4375" t="str">
        <f>IF($C57="","",VLOOKUP(C57,'Tablas Sheele'!C96:Q113,10,FALSE))</f>
        <v/>
      </c>
      <c r="F57" s="4375"/>
      <c r="G57" s="4375"/>
      <c r="H57" s="4375"/>
      <c r="I57" s="4375"/>
      <c r="J57" s="4375"/>
      <c r="K57" s="4375"/>
      <c r="L57" s="4375"/>
      <c r="M57" s="4375"/>
      <c r="N57" s="4375"/>
      <c r="O57" s="4375"/>
      <c r="P57" s="4375"/>
      <c r="Q57" s="4375"/>
      <c r="R57" s="4375"/>
      <c r="S57" s="4376"/>
      <c r="T57" s="741"/>
      <c r="U57" s="3354" t="s">
        <v>1770</v>
      </c>
      <c r="V57" s="3246" t="s">
        <v>1771</v>
      </c>
      <c r="W57" s="3246"/>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1" t="str">
        <f>IF(COUNTA($C$52:C57)&lt;'Tablas Sheele'!$H$110+1,VLOOKUP('Tablas Sheele'!A6,'Tablas Sheele'!$B$91:$C$109,2,FALSE),"")</f>
        <v/>
      </c>
      <c r="D58" s="4392"/>
      <c r="E58" s="4375" t="str">
        <f>IF($C58="","",VLOOKUP(C58,'Tablas Sheele'!C97:Q114,10,FALSE))</f>
        <v/>
      </c>
      <c r="F58" s="4375"/>
      <c r="G58" s="4375"/>
      <c r="H58" s="4375"/>
      <c r="I58" s="4375"/>
      <c r="J58" s="4375"/>
      <c r="K58" s="4375"/>
      <c r="L58" s="4375"/>
      <c r="M58" s="4375"/>
      <c r="N58" s="4375"/>
      <c r="O58" s="4375"/>
      <c r="P58" s="4375"/>
      <c r="Q58" s="4375"/>
      <c r="R58" s="4375"/>
      <c r="S58" s="4376"/>
      <c r="T58" s="741"/>
      <c r="U58" s="3354"/>
      <c r="V58" s="3246" t="s">
        <v>1773</v>
      </c>
      <c r="W58" s="3246"/>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1" t="str">
        <f>IF(COUNTA($C$52:C58)&lt;'Tablas Sheele'!$H$110+1,VLOOKUP('Tablas Sheele'!A7,'Tablas Sheele'!$B$91:$C$109,2,FALSE),"")</f>
        <v/>
      </c>
      <c r="D59" s="4392"/>
      <c r="E59" s="4375" t="str">
        <f>IF($C59="","",VLOOKUP(C59,'Tablas Sheele'!C98:Q115,10,FALSE))</f>
        <v/>
      </c>
      <c r="F59" s="4375"/>
      <c r="G59" s="4375"/>
      <c r="H59" s="4375"/>
      <c r="I59" s="4375"/>
      <c r="J59" s="4375"/>
      <c r="K59" s="4375"/>
      <c r="L59" s="4375"/>
      <c r="M59" s="4375"/>
      <c r="N59" s="4375"/>
      <c r="O59" s="4375"/>
      <c r="P59" s="4375"/>
      <c r="Q59" s="4375"/>
      <c r="R59" s="4375"/>
      <c r="S59" s="4376"/>
      <c r="T59" s="741"/>
      <c r="U59" s="3354"/>
      <c r="V59" s="3246" t="s">
        <v>1775</v>
      </c>
      <c r="W59" s="3246"/>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391" t="str">
        <f>IF(COUNTA($C$52:C59)&lt;'Tablas Sheele'!$H$110+1,VLOOKUP('Tablas Sheele'!A8,'Tablas Sheele'!$B$91:$C$109,2,FALSE),"")</f>
        <v/>
      </c>
      <c r="D60" s="4392"/>
      <c r="E60" s="4375" t="str">
        <f>IF($C60="","",VLOOKUP(C60,'Tablas Sheele'!C99:Q116,10,FALSE))</f>
        <v/>
      </c>
      <c r="F60" s="4375"/>
      <c r="G60" s="4375"/>
      <c r="H60" s="4375"/>
      <c r="I60" s="4375"/>
      <c r="J60" s="4375"/>
      <c r="K60" s="4375"/>
      <c r="L60" s="4375"/>
      <c r="M60" s="4375"/>
      <c r="N60" s="4375"/>
      <c r="O60" s="4375"/>
      <c r="P60" s="4375"/>
      <c r="Q60" s="4375"/>
      <c r="R60" s="4375"/>
      <c r="S60" s="4376"/>
      <c r="T60" s="741"/>
      <c r="U60" s="3354"/>
      <c r="V60" s="3246" t="s">
        <v>1777</v>
      </c>
      <c r="W60" s="3246"/>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1" t="str">
        <f>IF(COUNTA($C$52:C60)&lt;'Tablas Sheele'!$H$110+1,VLOOKUP('Tablas Sheele'!A9,'Tablas Sheele'!$B$91:$C$109,2,FALSE),"")</f>
        <v/>
      </c>
      <c r="D61" s="4392"/>
      <c r="E61" s="4375" t="str">
        <f>IF($C61="","",VLOOKUP(C61,'Tablas Sheele'!C100:Q117,10,FALSE))</f>
        <v/>
      </c>
      <c r="F61" s="4375"/>
      <c r="G61" s="4375"/>
      <c r="H61" s="4375"/>
      <c r="I61" s="4375"/>
      <c r="J61" s="4375"/>
      <c r="K61" s="4375"/>
      <c r="L61" s="4375"/>
      <c r="M61" s="4375"/>
      <c r="N61" s="4375"/>
      <c r="O61" s="4375"/>
      <c r="P61" s="4375"/>
      <c r="Q61" s="4375"/>
      <c r="R61" s="4375"/>
      <c r="S61" s="4376"/>
      <c r="T61" s="741"/>
      <c r="U61" s="3354"/>
      <c r="V61" s="3246" t="s">
        <v>1779</v>
      </c>
      <c r="W61" s="3246"/>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397" t="str">
        <f>IF(COUNTA($C$52:C61)&lt;'Tablas Sheele'!$H$110+1,VLOOKUP('Tablas Sheele'!A10,'Tablas Sheele'!$B$91:$C$109,2,FALSE),"")</f>
        <v/>
      </c>
      <c r="D62" s="4398"/>
      <c r="E62" s="4393" t="str">
        <f>IF($C62="","",VLOOKUP(C62,'Tablas Sheele'!C101:Q118,10,FALSE))</f>
        <v/>
      </c>
      <c r="F62" s="4393"/>
      <c r="G62" s="4393"/>
      <c r="H62" s="4393"/>
      <c r="I62" s="4393"/>
      <c r="J62" s="4393"/>
      <c r="K62" s="4393"/>
      <c r="L62" s="4393"/>
      <c r="M62" s="4393"/>
      <c r="N62" s="4393"/>
      <c r="O62" s="4393"/>
      <c r="P62" s="4393"/>
      <c r="Q62" s="4393"/>
      <c r="R62" s="4393"/>
      <c r="S62" s="4394"/>
      <c r="T62" s="741"/>
      <c r="U62" s="3354"/>
      <c r="V62" s="3246" t="s">
        <v>1781</v>
      </c>
      <c r="W62" s="3246"/>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4"/>
      <c r="V63" s="4298" t="s">
        <v>1782</v>
      </c>
      <c r="W63" s="429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3" t="s">
        <v>1783</v>
      </c>
      <c r="V64" s="3246" t="s">
        <v>1784</v>
      </c>
      <c r="W64" s="3246"/>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4"/>
      <c r="V65" s="3246" t="s">
        <v>1785</v>
      </c>
      <c r="W65" s="3246"/>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4"/>
      <c r="V66" s="3246" t="s">
        <v>1786</v>
      </c>
      <c r="W66" s="3246"/>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4"/>
      <c r="V67" s="3246" t="s">
        <v>1085</v>
      </c>
      <c r="W67" s="3246"/>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4"/>
      <c r="V68" s="3246" t="s">
        <v>1086</v>
      </c>
      <c r="W68" s="3246"/>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4"/>
      <c r="V69" s="3246" t="s">
        <v>1087</v>
      </c>
      <c r="W69" s="3246"/>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4"/>
      <c r="V70" s="3246" t="s">
        <v>1787</v>
      </c>
      <c r="W70" s="3246"/>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4"/>
      <c r="V71" s="3246" t="s">
        <v>1790</v>
      </c>
      <c r="W71" s="3246"/>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4"/>
      <c r="V72" s="3246" t="s">
        <v>8230</v>
      </c>
      <c r="W72" s="3246"/>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4"/>
      <c r="V73" s="3246" t="s">
        <v>8231</v>
      </c>
      <c r="W73" s="3246"/>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4"/>
      <c r="V74" s="3246" t="s">
        <v>8232</v>
      </c>
      <c r="W74" s="3246"/>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55"/>
      <c r="V75" s="4384" t="s">
        <v>8233</v>
      </c>
      <c r="W75" s="4385"/>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4" t="s">
        <v>1791</v>
      </c>
      <c r="V76" s="3246" t="str">
        <f>IF(PDs!P180="","-",PDs!P180)</f>
        <v>-</v>
      </c>
      <c r="W76" s="3246"/>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4"/>
      <c r="V77" s="3246" t="str">
        <f>IF(PDs!P181="","-",PDs!P181)</f>
        <v>-</v>
      </c>
      <c r="W77" s="3246"/>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4"/>
      <c r="V78" s="3246" t="str">
        <f>IF(PDs!P182="","-",PDs!P182)</f>
        <v>-</v>
      </c>
      <c r="W78" s="3246"/>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4"/>
      <c r="V79" s="3246" t="str">
        <f>IF(PDs!P183="","-",PDs!P183)</f>
        <v>-</v>
      </c>
      <c r="W79" s="3246"/>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45"/>
      <c r="V80" s="3446" t="str">
        <f>IF(PDs!P184="","-",PDs!P184)</f>
        <v>-</v>
      </c>
      <c r="W80" s="3446"/>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5" priority="54" stopIfTrue="1" operator="lessThan">
      <formula>0</formula>
    </cfRule>
  </conditionalFormatting>
  <conditionalFormatting sqref="Z23">
    <cfRule type="cellIs" dxfId="504" priority="4" stopIfTrue="1" operator="lessThan">
      <formula>0</formula>
    </cfRule>
  </conditionalFormatting>
  <conditionalFormatting sqref="J32">
    <cfRule type="cellIs" dxfId="503" priority="1777" operator="greaterThan">
      <formula>$U$4+1</formula>
    </cfRule>
    <cfRule type="cellIs" dxfId="502" priority="1778" stopIfTrue="1" operator="lessThan">
      <formula>0</formula>
    </cfRule>
  </conditionalFormatting>
  <conditionalFormatting sqref="U12:V12">
    <cfRule type="expression" dxfId="501" priority="1779" stopIfTrue="1">
      <formula>AND(ISNUMBER($U$12),$U$12&gt;$U$4+3)</formula>
    </cfRule>
  </conditionalFormatting>
  <conditionalFormatting sqref="Y25:Y80">
    <cfRule type="cellIs" dxfId="50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01"/>
      <c r="D3" s="3201"/>
      <c r="E3" s="3201"/>
      <c r="F3" s="3201"/>
      <c r="G3" s="3201"/>
      <c r="H3" s="3201"/>
      <c r="I3" s="9"/>
      <c r="J3" s="9"/>
      <c r="K3" s="9"/>
      <c r="L3" s="9"/>
      <c r="M3" s="9"/>
      <c r="N3" s="9"/>
      <c r="O3" s="9"/>
      <c r="P3" s="9"/>
      <c r="Q3" s="10"/>
      <c r="R3" s="69"/>
      <c r="S3" s="56"/>
      <c r="T3" s="56"/>
      <c r="U3" s="1799"/>
      <c r="V3" s="4423"/>
      <c r="W3" s="4424"/>
      <c r="X3" s="4424"/>
      <c r="Y3" s="4424"/>
      <c r="Z3" s="4424"/>
      <c r="AA3" s="4424"/>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1"/>
      <c r="D4" s="3201"/>
      <c r="E4" s="3201"/>
      <c r="F4" s="3201"/>
      <c r="G4" s="3201"/>
      <c r="H4" s="3201"/>
      <c r="I4" s="12"/>
      <c r="J4" s="3118" t="s">
        <v>1628</v>
      </c>
      <c r="K4" s="3118"/>
      <c r="L4" s="3119" t="str">
        <f>IF(OR(General!$G$22="",General!$G$22=0),"",General!$G$22)</f>
        <v/>
      </c>
      <c r="M4" s="3119"/>
      <c r="N4" s="3119"/>
      <c r="O4" s="3119"/>
      <c r="P4" s="3119"/>
      <c r="Q4" s="13"/>
      <c r="R4" s="69"/>
      <c r="S4" s="56"/>
      <c r="T4" s="56"/>
      <c r="U4" s="1799"/>
      <c r="V4" s="4425"/>
      <c r="W4" s="3201"/>
      <c r="X4" s="3201"/>
      <c r="Y4" s="3201"/>
      <c r="Z4" s="3201"/>
      <c r="AA4" s="3201"/>
      <c r="AB4" s="12"/>
      <c r="AC4" s="3118" t="s">
        <v>1628</v>
      </c>
      <c r="AD4" s="3118"/>
      <c r="AE4" s="3119" t="str">
        <f>IF(OR(General!$G$22="",General!$G$22=0),"",General!$G$22)</f>
        <v/>
      </c>
      <c r="AF4" s="3119"/>
      <c r="AG4" s="3119"/>
      <c r="AH4" s="3119"/>
      <c r="AI4" s="3119"/>
      <c r="AJ4" s="2185"/>
      <c r="AK4" s="2048"/>
      <c r="AL4" s="2105"/>
      <c r="AM4" s="1802"/>
      <c r="AN4" s="2002"/>
      <c r="AO4" s="2002"/>
      <c r="AP4" s="2496"/>
      <c r="AQ4" s="2496"/>
      <c r="AR4" s="1885"/>
    </row>
    <row r="5" spans="1:44" ht="12" customHeight="1" thickBot="1" x14ac:dyDescent="0.25">
      <c r="A5" s="190"/>
      <c r="B5" s="1799"/>
      <c r="C5" s="3201"/>
      <c r="D5" s="3201"/>
      <c r="E5" s="3201"/>
      <c r="F5" s="3201"/>
      <c r="G5" s="3201"/>
      <c r="H5" s="3201"/>
      <c r="I5" s="12"/>
      <c r="J5" s="3197" t="s">
        <v>1629</v>
      </c>
      <c r="K5" s="3197"/>
      <c r="L5" s="3198" t="str">
        <f>Principal!$L$5</f>
        <v>Hechicero</v>
      </c>
      <c r="M5" s="3198"/>
      <c r="N5" s="3198"/>
      <c r="O5" s="14" t="s">
        <v>1630</v>
      </c>
      <c r="P5" s="15" t="str">
        <f>Principal!$P$5</f>
        <v>1</v>
      </c>
      <c r="Q5" s="16"/>
      <c r="R5" s="69"/>
      <c r="S5" s="56"/>
      <c r="T5" s="56"/>
      <c r="U5" s="1799"/>
      <c r="V5" s="4425"/>
      <c r="W5" s="3201"/>
      <c r="X5" s="3201"/>
      <c r="Y5" s="3201"/>
      <c r="Z5" s="3201"/>
      <c r="AA5" s="3201"/>
      <c r="AB5" s="12"/>
      <c r="AC5" s="3197" t="s">
        <v>1629</v>
      </c>
      <c r="AD5" s="3197"/>
      <c r="AE5" s="3198" t="str">
        <f>Principal!$L$5</f>
        <v>Hechicero</v>
      </c>
      <c r="AF5" s="3198"/>
      <c r="AG5" s="3198"/>
      <c r="AH5" s="14" t="s">
        <v>1630</v>
      </c>
      <c r="AI5" s="15" t="str">
        <f>Principal!$P$5</f>
        <v>1</v>
      </c>
      <c r="AJ5" s="12"/>
      <c r="AK5" s="2049"/>
      <c r="AL5" s="2105"/>
      <c r="AM5" s="1802"/>
      <c r="AN5" s="2480"/>
      <c r="AO5" s="2480"/>
      <c r="AP5" s="2503"/>
      <c r="AQ5" s="2503"/>
      <c r="AR5" s="1885"/>
    </row>
    <row r="6" spans="1:44" ht="12" customHeight="1" thickBot="1" x14ac:dyDescent="0.25">
      <c r="A6" s="190"/>
      <c r="B6" s="1799"/>
      <c r="C6" s="3201"/>
      <c r="D6" s="3201"/>
      <c r="E6" s="3201"/>
      <c r="F6" s="3201"/>
      <c r="G6" s="3201"/>
      <c r="H6" s="3201"/>
      <c r="I6" s="12"/>
      <c r="J6" s="3199" t="s">
        <v>2124</v>
      </c>
      <c r="K6" s="3199"/>
      <c r="L6" s="3199"/>
      <c r="M6" s="3199"/>
      <c r="N6" s="3199"/>
      <c r="O6" s="3199"/>
      <c r="P6" s="3199"/>
      <c r="Q6" s="16"/>
      <c r="R6" s="69"/>
      <c r="S6" s="56"/>
      <c r="T6" s="56"/>
      <c r="U6" s="1799"/>
      <c r="V6" s="4425"/>
      <c r="W6" s="3201"/>
      <c r="X6" s="3201"/>
      <c r="Y6" s="3201"/>
      <c r="Z6" s="3201"/>
      <c r="AA6" s="3201"/>
      <c r="AB6" s="12"/>
      <c r="AC6" s="3199" t="s">
        <v>2125</v>
      </c>
      <c r="AD6" s="3199"/>
      <c r="AE6" s="3199"/>
      <c r="AF6" s="3199"/>
      <c r="AG6" s="3199"/>
      <c r="AH6" s="3199"/>
      <c r="AI6" s="3199"/>
      <c r="AJ6" s="12"/>
      <c r="AK6" s="2049"/>
      <c r="AL6" s="2105"/>
      <c r="AM6" s="1802"/>
      <c r="AN6" s="2003"/>
      <c r="AO6" s="2003"/>
      <c r="AP6" s="2504"/>
      <c r="AQ6" s="2504"/>
      <c r="AR6" s="1885"/>
    </row>
    <row r="7" spans="1:44" ht="12" customHeight="1" thickBot="1" x14ac:dyDescent="0.25">
      <c r="A7" s="190"/>
      <c r="B7" s="1799"/>
      <c r="C7" s="3201"/>
      <c r="D7" s="3201"/>
      <c r="E7" s="3201"/>
      <c r="F7" s="3201"/>
      <c r="G7" s="3201"/>
      <c r="H7" s="3201"/>
      <c r="I7" s="12"/>
      <c r="J7" s="3199"/>
      <c r="K7" s="3199"/>
      <c r="L7" s="3199"/>
      <c r="M7" s="3199"/>
      <c r="N7" s="3199"/>
      <c r="O7" s="3199"/>
      <c r="P7" s="3199"/>
      <c r="Q7" s="16"/>
      <c r="R7" s="69"/>
      <c r="S7" s="56"/>
      <c r="T7" s="56"/>
      <c r="U7" s="1799"/>
      <c r="V7" s="4425"/>
      <c r="W7" s="3201"/>
      <c r="X7" s="3201"/>
      <c r="Y7" s="3201"/>
      <c r="Z7" s="3201"/>
      <c r="AA7" s="3201"/>
      <c r="AB7" s="12"/>
      <c r="AC7" s="3199"/>
      <c r="AD7" s="3199"/>
      <c r="AE7" s="3199"/>
      <c r="AF7" s="3199"/>
      <c r="AG7" s="3199"/>
      <c r="AH7" s="3199"/>
      <c r="AI7" s="3199"/>
      <c r="AJ7" s="12"/>
      <c r="AK7" s="2049"/>
      <c r="AL7" s="2105"/>
      <c r="AM7" s="1802"/>
      <c r="AN7" s="2480"/>
      <c r="AO7" s="2480"/>
      <c r="AP7" s="2503"/>
      <c r="AQ7" s="2503"/>
      <c r="AR7" s="1885"/>
    </row>
    <row r="8" spans="1:44" ht="12" customHeight="1" thickBot="1" x14ac:dyDescent="0.25">
      <c r="A8" s="190"/>
      <c r="B8" s="1799"/>
      <c r="C8" s="3201"/>
      <c r="D8" s="3201"/>
      <c r="E8" s="3201"/>
      <c r="F8" s="3201"/>
      <c r="G8" s="3201"/>
      <c r="H8" s="3201"/>
      <c r="I8" s="17"/>
      <c r="J8" s="17"/>
      <c r="K8" s="17"/>
      <c r="L8" s="17"/>
      <c r="M8" s="17"/>
      <c r="N8" s="17"/>
      <c r="O8" s="17"/>
      <c r="P8" s="17"/>
      <c r="Q8" s="18"/>
      <c r="R8" s="69"/>
      <c r="S8" s="56"/>
      <c r="T8" s="56"/>
      <c r="U8" s="1799"/>
      <c r="V8" s="4426"/>
      <c r="W8" s="4427"/>
      <c r="X8" s="4427"/>
      <c r="Y8" s="4427"/>
      <c r="Z8" s="4427"/>
      <c r="AA8" s="4427"/>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444" t="s">
        <v>2126</v>
      </c>
      <c r="D10" s="3444"/>
      <c r="E10" s="3444"/>
      <c r="F10" s="3444"/>
      <c r="G10" s="30"/>
      <c r="H10" s="3183" t="s">
        <v>2127</v>
      </c>
      <c r="I10" s="3183"/>
      <c r="J10" s="3183"/>
      <c r="K10" s="3183"/>
      <c r="L10" s="365" t="s">
        <v>2128</v>
      </c>
      <c r="M10" s="3056"/>
      <c r="N10" s="68"/>
      <c r="O10" s="3183" t="s">
        <v>2129</v>
      </c>
      <c r="P10" s="3183"/>
      <c r="Q10" s="3183"/>
      <c r="R10" s="69"/>
      <c r="S10" s="56"/>
      <c r="T10" s="56"/>
      <c r="U10" s="1799"/>
      <c r="V10" s="3273" t="s">
        <v>2130</v>
      </c>
      <c r="W10" s="3274"/>
      <c r="X10" s="3274"/>
      <c r="Y10" s="3274"/>
      <c r="Z10" s="3274"/>
      <c r="AA10" s="3063" t="s">
        <v>2131</v>
      </c>
      <c r="AB10" s="3064" t="s">
        <v>1679</v>
      </c>
      <c r="AC10" s="310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20" t="s">
        <v>10502</v>
      </c>
      <c r="AE10" s="4421"/>
      <c r="AF10" s="4421"/>
      <c r="AG10" s="4421"/>
      <c r="AH10" s="4422"/>
      <c r="AI10" s="4399" t="s">
        <v>1543</v>
      </c>
      <c r="AJ10" s="4400"/>
      <c r="AK10" s="4401"/>
      <c r="AL10" s="2105"/>
      <c r="AM10" s="1802"/>
      <c r="AN10" s="2507"/>
      <c r="AO10" s="4408" t="s">
        <v>9305</v>
      </c>
      <c r="AP10" s="4409"/>
      <c r="AQ10" s="3002"/>
      <c r="AR10" s="2498" t="s">
        <v>1690</v>
      </c>
    </row>
    <row r="11" spans="1:44" ht="12" customHeight="1" x14ac:dyDescent="0.2">
      <c r="A11" s="190"/>
      <c r="B11" s="1799"/>
      <c r="C11" s="3723" t="s">
        <v>2132</v>
      </c>
      <c r="D11" s="3723"/>
      <c r="E11" s="3239" t="s">
        <v>2133</v>
      </c>
      <c r="F11" s="3239"/>
      <c r="G11" s="68"/>
      <c r="H11" s="4439">
        <f>IF(VOL=0,0,VLOOKUP(VOL,Tabla_PotPsi,2))+IF(M10=0,0,VLOOKUP(M10,Tabla_PotPsitporCV,2))+J13+IF(Bono_ATA&lt;0,Bono_ATA,0)</f>
        <v>0</v>
      </c>
      <c r="I11" s="4439"/>
      <c r="J11" s="367" t="str">
        <f>IF(J13=0,"","Sumar")</f>
        <v/>
      </c>
      <c r="K11" s="367" t="str">
        <f>IF(J13=0,"",TRUNC(J13/5,0))</f>
        <v/>
      </c>
      <c r="L11" s="4435" t="str">
        <f>IF(J13=0,"","a la Fatiga")</f>
        <v/>
      </c>
      <c r="M11" s="4435"/>
      <c r="N11" s="68"/>
      <c r="O11" s="368" t="s">
        <v>1705</v>
      </c>
      <c r="P11" s="3060" t="s">
        <v>1889</v>
      </c>
      <c r="Q11" s="21" t="s">
        <v>2022</v>
      </c>
      <c r="R11" s="69"/>
      <c r="S11" s="56"/>
      <c r="T11" s="56"/>
      <c r="U11" s="1973">
        <f>IF(V11=0,0,1)</f>
        <v>0</v>
      </c>
      <c r="V11" s="4428"/>
      <c r="W11" s="4429"/>
      <c r="X11" s="4429"/>
      <c r="Y11" s="4429"/>
      <c r="Z11" s="4429"/>
      <c r="AA11" s="4450"/>
      <c r="AB11" s="4418" t="str">
        <f>IF(AA11=0,"",IF(AA11*10&lt;100,AA11*10,100))</f>
        <v/>
      </c>
      <c r="AC11" s="100"/>
      <c r="AD11" s="4428"/>
      <c r="AE11" s="4429"/>
      <c r="AF11" s="4429"/>
      <c r="AG11" s="4429"/>
      <c r="AH11" s="4429"/>
      <c r="AI11" s="4402" t="str">
        <f>IF(AD11="","-",IF(INDEX(Tabla_Dificultades,MATCH(AL11,INDEX(Tabla_Dificultades,,2),0),1)&lt;INDEX(Tabla_Dificultades,MATCH(AL12,INDEX(Tabla_Dificultades,,2),0),1),"Poder no eligible",AL12))</f>
        <v>-</v>
      </c>
      <c r="AJ11" s="4403"/>
      <c r="AK11" s="4404"/>
      <c r="AL11" s="3003" t="str">
        <f>IF(Tablas!$G$324&gt;0,"DIF",IF(Tablas!G325&gt;0,"MDIF",IF(Tablas!$G$326&gt;0,"ABS","RUT")))</f>
        <v>RUT</v>
      </c>
      <c r="AM11" s="1802"/>
      <c r="AO11" s="4410"/>
      <c r="AP11" s="4411"/>
      <c r="AQ11" s="2506"/>
      <c r="AR11" s="2499" t="s">
        <v>1685</v>
      </c>
    </row>
    <row r="12" spans="1:44" ht="12" customHeight="1" thickBot="1" x14ac:dyDescent="0.25">
      <c r="A12" s="190"/>
      <c r="B12" s="1799"/>
      <c r="C12" s="4436">
        <f>CV_final</f>
        <v>1</v>
      </c>
      <c r="D12" s="4436"/>
      <c r="E12" s="4437">
        <f>F18+F15+F16+F17+F19</f>
        <v>0</v>
      </c>
      <c r="F12" s="4437"/>
      <c r="G12" s="68"/>
      <c r="H12" s="4439"/>
      <c r="I12" s="4439"/>
      <c r="J12" s="4446" t="str">
        <f>IF(SUM(Tablas!$G$451:$G$463)+SUM(Tablas!$H$1961:$H$1973),"+1 grado: Des. Psíquico.","")</f>
        <v/>
      </c>
      <c r="K12" s="4446"/>
      <c r="L12" s="4446"/>
      <c r="M12" s="4446"/>
      <c r="N12" s="68"/>
      <c r="O12" s="4447">
        <f>Turno_Nat_final</f>
        <v>45</v>
      </c>
      <c r="P12" s="4438">
        <f>IF(PDs!E110="Tabla de Proyección Psíquica",Proyecciónpsíquica_final-PDs!V109+PDs!V22,Proyecciónpsíquica_final)</f>
        <v>0</v>
      </c>
      <c r="Q12" s="4449">
        <f>IF(PDs!E110="Tabla de Proyección Psíquica",Proyecciónpsíquica_final-PDs!V109+MAX(PDs!V23,PDs!V24),Proyecciónpsíquica_final)</f>
        <v>0</v>
      </c>
      <c r="R12" s="69"/>
      <c r="S12" s="56"/>
      <c r="T12" s="56"/>
      <c r="U12" s="1973"/>
      <c r="V12" s="4445" t="str">
        <f>IF(V11=0,"",VLOOKUP(V11,Tablas!$K$1129:$M$1267,2,FALSE))</f>
        <v/>
      </c>
      <c r="W12" s="3344"/>
      <c r="X12" s="3344"/>
      <c r="Y12" s="3053" t="s">
        <v>1630</v>
      </c>
      <c r="Z12" s="3058" t="str">
        <f>IF(V11=0,"",VLOOKUP(V11,Tablas!$K$1129:$M$1267,3,FALSE))</f>
        <v/>
      </c>
      <c r="AA12" s="4450"/>
      <c r="AB12" s="4418"/>
      <c r="AC12" s="100"/>
      <c r="AD12" s="4430" t="str">
        <f>IF(AD11=0,"",VLOOKUP(AD11,Tablas!$K$1129:$M$1267,2,FALSE))</f>
        <v/>
      </c>
      <c r="AE12" s="4431"/>
      <c r="AF12" s="4431"/>
      <c r="AG12" s="3055" t="s">
        <v>1630</v>
      </c>
      <c r="AH12" s="1374" t="str">
        <f>IF(AD11=0,"",VLOOKUP(AD11,Tablas!$K$1129:$M$1267,3,FALSE))</f>
        <v/>
      </c>
      <c r="AI12" s="4405"/>
      <c r="AJ12" s="4406"/>
      <c r="AK12" s="4407"/>
      <c r="AL12" s="3003" t="str">
        <f>IF(AD11="","",INDEX('Tablas psiquica'!$U$7:$U$145,MATCH(AD11,Poderes_psi,0)))</f>
        <v/>
      </c>
      <c r="AM12" s="1802"/>
      <c r="AN12" s="2508"/>
      <c r="AO12" s="4413" t="s">
        <v>1685</v>
      </c>
      <c r="AP12" s="4414"/>
      <c r="AQ12" s="3002"/>
      <c r="AR12" s="2499" t="s">
        <v>9306</v>
      </c>
    </row>
    <row r="13" spans="1:44" ht="12" customHeight="1" thickBot="1" x14ac:dyDescent="0.25">
      <c r="A13" s="190"/>
      <c r="B13" s="1799"/>
      <c r="C13" s="4436"/>
      <c r="D13" s="4436"/>
      <c r="E13" s="4437"/>
      <c r="F13" s="4437"/>
      <c r="G13" s="68"/>
      <c r="H13" s="4448" t="s">
        <v>2134</v>
      </c>
      <c r="I13" s="4448"/>
      <c r="J13" s="92"/>
      <c r="K13" s="4451" t="s">
        <v>2135</v>
      </c>
      <c r="L13" s="4451"/>
      <c r="M13" s="369"/>
      <c r="N13" s="68"/>
      <c r="O13" s="4447"/>
      <c r="P13" s="4438"/>
      <c r="Q13" s="4449"/>
      <c r="R13" s="69"/>
      <c r="S13" s="56"/>
      <c r="T13" s="56"/>
      <c r="U13" s="1973">
        <f>IF(V13=0,0,1)</f>
        <v>0</v>
      </c>
      <c r="V13" s="4441"/>
      <c r="W13" s="4442"/>
      <c r="X13" s="4442"/>
      <c r="Y13" s="4442"/>
      <c r="Z13" s="4442"/>
      <c r="AA13" s="4443"/>
      <c r="AB13" s="4419"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32" t="s">
        <v>2136</v>
      </c>
      <c r="D14" s="4432"/>
      <c r="E14" s="4432"/>
      <c r="F14" s="370" t="s">
        <v>2131</v>
      </c>
      <c r="G14" s="68"/>
      <c r="H14" s="100"/>
      <c r="I14" s="100"/>
      <c r="J14" s="100"/>
      <c r="K14" s="100"/>
      <c r="L14" s="100"/>
      <c r="M14" s="100"/>
      <c r="N14" s="68"/>
      <c r="O14" s="68"/>
      <c r="P14" s="68"/>
      <c r="Q14" s="68"/>
      <c r="R14" s="69"/>
      <c r="S14" s="56"/>
      <c r="T14" s="56"/>
      <c r="U14" s="1973"/>
      <c r="V14" s="4433" t="str">
        <f>IF(V13=0,"",VLOOKUP(V13,Tablas!$K$1129:$M$1267,2,FALSE))</f>
        <v/>
      </c>
      <c r="W14" s="4434"/>
      <c r="X14" s="4434"/>
      <c r="Y14" s="3057" t="s">
        <v>1630</v>
      </c>
      <c r="Z14" s="3059" t="str">
        <f>IF(V13=0,"",VLOOKUP(V13,Tablas!$K$1129:$M$1267,3,FALSE))</f>
        <v/>
      </c>
      <c r="AA14" s="4443"/>
      <c r="AB14" s="4419"/>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317" t="s">
        <v>2124</v>
      </c>
      <c r="D15" s="3317"/>
      <c r="E15" s="3317"/>
      <c r="F15" s="247">
        <f>IF(C25=0,0,1)+IF(C27=0,0,1)+IF(C29=0,0,1)+IF(C31=0,0,1)+IF(C33=0,0,1)+IF(C35=0,0,1)</f>
        <v>0</v>
      </c>
      <c r="G15" s="68"/>
      <c r="H15" s="3183" t="s">
        <v>2137</v>
      </c>
      <c r="I15" s="3183"/>
      <c r="J15" s="3183"/>
      <c r="K15" s="3183"/>
      <c r="L15" s="3183"/>
      <c r="M15" s="3183"/>
      <c r="N15" s="68"/>
      <c r="O15" s="3183" t="s">
        <v>2138</v>
      </c>
      <c r="P15" s="3183"/>
      <c r="Q15" s="3183"/>
      <c r="R15" s="69"/>
      <c r="S15" s="56"/>
      <c r="T15" s="56"/>
      <c r="U15" s="1973">
        <f>IF(V15=0,0,1)</f>
        <v>0</v>
      </c>
      <c r="V15" s="4428"/>
      <c r="W15" s="4429"/>
      <c r="X15" s="4429"/>
      <c r="Y15" s="4429"/>
      <c r="Z15" s="4429"/>
      <c r="AA15" s="4450"/>
      <c r="AB15" s="4418" t="str">
        <f>IF(AA15=0,"",IF(AA15*10&lt;100,AA15*10,100))</f>
        <v/>
      </c>
      <c r="AC15" s="100"/>
      <c r="AD15" s="4420" t="s">
        <v>9282</v>
      </c>
      <c r="AE15" s="4421"/>
      <c r="AF15" s="4421"/>
      <c r="AG15" s="4421"/>
      <c r="AH15" s="4422"/>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61" t="s">
        <v>2125</v>
      </c>
      <c r="D16" s="4461"/>
      <c r="E16" s="4461"/>
      <c r="F16" s="371">
        <f>SUM(U11:U63)</f>
        <v>0</v>
      </c>
      <c r="G16" s="372"/>
      <c r="H16" s="4452" t="s">
        <v>9287</v>
      </c>
      <c r="I16" s="4453">
        <f>F20-SUM(AI11:AI64)</f>
        <v>1</v>
      </c>
      <c r="J16" s="4455"/>
      <c r="K16" s="4455"/>
      <c r="L16" s="4455"/>
      <c r="M16" s="4455"/>
      <c r="N16" s="68"/>
      <c r="O16" s="3200" t="s">
        <v>2053</v>
      </c>
      <c r="P16" s="3200"/>
      <c r="Q16" s="366" t="s">
        <v>1679</v>
      </c>
      <c r="R16" s="69"/>
      <c r="S16" s="56"/>
      <c r="T16" s="56"/>
      <c r="U16" s="1973"/>
      <c r="V16" s="4445" t="str">
        <f>IF(V15=0,"",VLOOKUP(V15,Tablas!$K$1129:$M$1267,2,FALSE))</f>
        <v/>
      </c>
      <c r="W16" s="3344"/>
      <c r="X16" s="3344"/>
      <c r="Y16" s="3053" t="s">
        <v>1630</v>
      </c>
      <c r="Z16" s="3058" t="str">
        <f>IF(V15=0,"",VLOOKUP(V15,Tablas!$K$1129:$M$1267,3,FALSE))</f>
        <v/>
      </c>
      <c r="AA16" s="4450"/>
      <c r="AB16" s="4418"/>
      <c r="AC16" s="2497"/>
      <c r="AD16" s="4428"/>
      <c r="AE16" s="4429"/>
      <c r="AF16" s="4429"/>
      <c r="AG16" s="4429"/>
      <c r="AH16" s="4429"/>
      <c r="AI16" s="4444"/>
      <c r="AJ16" s="4457"/>
      <c r="AK16" s="4418" t="str">
        <f>IF(AD16&lt;&gt;"",INDEX(Tablas!$T$26:$T$38,MAX(1+MATCH(VLOOKUP(Psíquicos!$AD16,'Tablas psiquica'!$D$7:$U$145,18,FALSE),'Tablas psiquica'!$I$6:$R$6,0),MAX(SUMPRODUCT(--(Tablas!$S$26:$S$38&lt;=(AL16-20*AI16)))+IF(Tablas!$G$446&gt;0,1,0)+IF(COUNTIF($C$39:$E$50,"Introversión")&gt;0,1,0),SUMPRODUCT(--(Tablas!$S$26:$S$38&lt;=(AL16)))))),"")</f>
        <v/>
      </c>
      <c r="AL16" s="4412">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62" t="s">
        <v>2139</v>
      </c>
      <c r="D17" s="4462"/>
      <c r="E17" s="4462"/>
      <c r="F17" s="247">
        <f>SUM(AA11:AA64)</f>
        <v>0</v>
      </c>
      <c r="G17" s="68"/>
      <c r="H17" s="4452"/>
      <c r="I17" s="4454"/>
      <c r="J17" s="4455"/>
      <c r="K17" s="4455"/>
      <c r="L17" s="4455"/>
      <c r="M17" s="4455"/>
      <c r="N17" s="68"/>
      <c r="O17" s="4081" t="s">
        <v>2061</v>
      </c>
      <c r="P17" s="4081"/>
      <c r="Q17" s="373" t="str">
        <f>IF(OR(Tablas!G546&gt;0,Tablas!H1995&gt;0),"+0",IF(AND(Tablas!G444=0,Tablas!H1959=0),"+10","+20"))</f>
        <v>+10</v>
      </c>
      <c r="R17" s="69"/>
      <c r="S17" s="56"/>
      <c r="T17" s="56"/>
      <c r="U17" s="1973">
        <f>IF(V17=0,0,1)</f>
        <v>0</v>
      </c>
      <c r="V17" s="4441"/>
      <c r="W17" s="4442"/>
      <c r="X17" s="4442"/>
      <c r="Y17" s="4442"/>
      <c r="Z17" s="4442"/>
      <c r="AA17" s="4443"/>
      <c r="AB17" s="4419" t="str">
        <f>IF(AA17=0,"",IF(AA17*10&lt;100,AA17*10,100))</f>
        <v/>
      </c>
      <c r="AC17" s="2568"/>
      <c r="AD17" s="4445" t="str">
        <f>IF(AD16=0,"",VLOOKUP(AD16,Tablas!$K$1129:$M$1267,2,FALSE))</f>
        <v/>
      </c>
      <c r="AE17" s="3344"/>
      <c r="AF17" s="3344"/>
      <c r="AG17" s="3053" t="s">
        <v>1630</v>
      </c>
      <c r="AH17" s="3058" t="str">
        <f>IF(AD16=0,"",VLOOKUP(AD16,Tablas!$K$1129:$M$1267,3,FALSE))</f>
        <v/>
      </c>
      <c r="AI17" s="4444"/>
      <c r="AJ17" s="4415"/>
      <c r="AK17" s="4418"/>
      <c r="AL17" s="4412"/>
      <c r="AM17" s="1802"/>
      <c r="AN17" s="2003"/>
      <c r="AO17" s="2480"/>
      <c r="AP17" s="2503"/>
      <c r="AQ17" s="2503"/>
    </row>
    <row r="18" spans="1:43" ht="12" customHeight="1" x14ac:dyDescent="0.2">
      <c r="A18" s="190"/>
      <c r="B18" s="1799"/>
      <c r="C18" s="4458" t="s">
        <v>2140</v>
      </c>
      <c r="D18" s="4458"/>
      <c r="E18" s="4458"/>
      <c r="F18" s="371">
        <f>M10</f>
        <v>0</v>
      </c>
      <c r="G18" s="68"/>
      <c r="H18" s="374" t="s">
        <v>2141</v>
      </c>
      <c r="I18" s="3066"/>
      <c r="J18" s="56"/>
      <c r="K18" s="375" t="str">
        <f>IF(AND(Tablas!G445=0,Tablas!H1960=0),"+10 / CV","+20 / CV")</f>
        <v>+10 / CV</v>
      </c>
      <c r="L18" s="4459" t="str">
        <f>IF(AND(Tablas!G445=0,Tablas!H1992=0),"(Max +50)","(Max +100)")</f>
        <v>(Max +50)</v>
      </c>
      <c r="M18" s="4459"/>
      <c r="N18" s="68"/>
      <c r="O18" s="4079" t="s">
        <v>2064</v>
      </c>
      <c r="P18" s="4079"/>
      <c r="Q18" s="373" t="str">
        <f>IF(OR(Tablas!G546&gt;0,Tablas!H1995&gt;0),"+0",IF(AND(Tablas!G444=0,Tablas!H1959=0),"+20","+40"))</f>
        <v>+20</v>
      </c>
      <c r="R18" s="69"/>
      <c r="S18" s="56"/>
      <c r="T18" s="56"/>
      <c r="U18" s="1973"/>
      <c r="V18" s="4433" t="str">
        <f>IF(V17=0,"",VLOOKUP(V17,Tablas!$K$1129:$M$1267,2,FALSE))</f>
        <v/>
      </c>
      <c r="W18" s="4434"/>
      <c r="X18" s="4434"/>
      <c r="Y18" s="3057" t="s">
        <v>1630</v>
      </c>
      <c r="Z18" s="3059" t="str">
        <f>IF(V17=0,"",VLOOKUP(V17,Tablas!$K$1129:$M$1267,3,FALSE))</f>
        <v/>
      </c>
      <c r="AA18" s="4443"/>
      <c r="AB18" s="4419"/>
      <c r="AC18" s="2568"/>
      <c r="AD18" s="4441"/>
      <c r="AE18" s="4442"/>
      <c r="AF18" s="4442"/>
      <c r="AG18" s="4442"/>
      <c r="AH18" s="4442"/>
      <c r="AI18" s="4440"/>
      <c r="AJ18" s="4416"/>
      <c r="AK18" s="4419" t="str">
        <f>IF(AD18&lt;&gt;"",INDEX(Tablas!$T$26:$T$38,MAX(1+MATCH(VLOOKUP(Psíquicos!$AD18,'Tablas psiquica'!$D$7:$U$145,18,FALSE),'Tablas psiquica'!$I$6:$R$6,0),MAX(SUMPRODUCT(--(Tablas!$S$26:$S$38&lt;=(AL18-20*AI18)))+IF(Tablas!$G$446&gt;0,1,0)+IF(COUNTIF($C$39:$E$50,"Introversión")&gt;0,1,0),SUMPRODUCT(--(Tablas!$S$26:$S$38&lt;=(AL18)))))),"")</f>
        <v/>
      </c>
      <c r="AL18" s="4412">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319" t="s">
        <v>2142</v>
      </c>
      <c r="D19" s="3319"/>
      <c r="E19" s="3319"/>
      <c r="F19" s="2899">
        <f>2*M13</f>
        <v>0</v>
      </c>
      <c r="G19" s="68"/>
      <c r="H19" s="376" t="s">
        <v>2143</v>
      </c>
      <c r="I19" s="377"/>
      <c r="J19" s="68"/>
      <c r="K19" s="378" t="s">
        <v>2144</v>
      </c>
      <c r="L19" s="4466" t="s">
        <v>2145</v>
      </c>
      <c r="M19" s="4466"/>
      <c r="N19" s="68"/>
      <c r="O19" s="4079" t="s">
        <v>2067</v>
      </c>
      <c r="P19" s="4079"/>
      <c r="Q19" s="373" t="str">
        <f>IF(OR(Tablas!G546&gt;0,Tablas!H1995&gt;0),"+0",IF(AND(Tablas!G444=0,Tablas!H1959=0),"+30","+60"))</f>
        <v>+30</v>
      </c>
      <c r="R19" s="69"/>
      <c r="S19" s="56"/>
      <c r="T19" s="56"/>
      <c r="U19" s="1973">
        <f>IF(V19=0,0,1)</f>
        <v>0</v>
      </c>
      <c r="V19" s="4428"/>
      <c r="W19" s="4429"/>
      <c r="X19" s="4429"/>
      <c r="Y19" s="4429"/>
      <c r="Z19" s="4429"/>
      <c r="AA19" s="4450"/>
      <c r="AB19" s="4418" t="str">
        <f>IF(AA19=0,"",IF(AA19*10&lt;100,AA19*10,100))</f>
        <v/>
      </c>
      <c r="AC19" s="2568"/>
      <c r="AD19" s="4433" t="str">
        <f>IF(AD18=0,"",VLOOKUP(AD18,Tablas!$K$1129:$M$1267,2,FALSE))</f>
        <v/>
      </c>
      <c r="AE19" s="4434"/>
      <c r="AF19" s="4434"/>
      <c r="AG19" s="3057" t="s">
        <v>1630</v>
      </c>
      <c r="AH19" s="3059" t="str">
        <f>IF(AD18=0,"",VLOOKUP(AD18,Tablas!$K$1129:$M$1267,3,FALSE))</f>
        <v/>
      </c>
      <c r="AI19" s="4440"/>
      <c r="AJ19" s="4416"/>
      <c r="AK19" s="4419"/>
      <c r="AL19" s="4412"/>
      <c r="AM19" s="1802"/>
      <c r="AN19" s="2003"/>
      <c r="AO19" s="2480"/>
      <c r="AP19" s="2503"/>
      <c r="AQ19" s="2503"/>
    </row>
    <row r="20" spans="1:43" ht="12" customHeight="1" x14ac:dyDescent="0.2">
      <c r="A20" s="190"/>
      <c r="B20" s="1799"/>
      <c r="C20" s="4463" t="s">
        <v>2137</v>
      </c>
      <c r="D20" s="4463"/>
      <c r="E20" s="4463"/>
      <c r="F20" s="4464">
        <f>C12-E12</f>
        <v>1</v>
      </c>
      <c r="G20" s="68"/>
      <c r="H20" s="374" t="s">
        <v>2146</v>
      </c>
      <c r="I20" s="267"/>
      <c r="J20" s="56"/>
      <c r="K20" s="375" t="s">
        <v>2144</v>
      </c>
      <c r="L20" s="4459" t="s">
        <v>2145</v>
      </c>
      <c r="M20" s="4459"/>
      <c r="N20" s="68"/>
      <c r="O20" s="4079" t="s">
        <v>2069</v>
      </c>
      <c r="P20" s="4079"/>
      <c r="Q20" s="373" t="str">
        <f>IF(OR(Tablas!G546&gt;0,Tablas!H1995&gt;0),"+0",IF(AND(Tablas!G444=0,Tablas!H1959=0),"+40","+80"))</f>
        <v>+40</v>
      </c>
      <c r="R20" s="69"/>
      <c r="S20" s="56"/>
      <c r="T20" s="56"/>
      <c r="U20" s="1973"/>
      <c r="V20" s="4445" t="str">
        <f>IF(V19=0,"",VLOOKUP(V19,Tablas!$K$1129:$M$1267,2,FALSE))</f>
        <v/>
      </c>
      <c r="W20" s="3344"/>
      <c r="X20" s="3344"/>
      <c r="Y20" s="3053" t="s">
        <v>1630</v>
      </c>
      <c r="Z20" s="3058" t="str">
        <f>IF(V19=0,"",VLOOKUP(V19,Tablas!$K$1129:$M$1267,3,FALSE))</f>
        <v/>
      </c>
      <c r="AA20" s="4450"/>
      <c r="AB20" s="4418"/>
      <c r="AC20" s="2568"/>
      <c r="AD20" s="4468"/>
      <c r="AE20" s="4469"/>
      <c r="AF20" s="4469"/>
      <c r="AG20" s="4469"/>
      <c r="AH20" s="4470"/>
      <c r="AI20" s="4444"/>
      <c r="AJ20" s="4415"/>
      <c r="AK20" s="4418" t="str">
        <f>IF(AD20&lt;&gt;"",INDEX(Tablas!$T$26:$T$38,MAX(1+MATCH(VLOOKUP(Psíquicos!$AD20,'Tablas psiquica'!$D$7:$U$145,18,FALSE),'Tablas psiquica'!$I$6:$R$6,0),MAX(SUMPRODUCT(--(Tablas!$S$26:$S$38&lt;=(AL20-20*AI20)))+IF(Tablas!$G$446&gt;0,1,0)+IF(COUNTIF($C$39:$E$50,"Introversión")&gt;0,1,0),SUMPRODUCT(--(Tablas!$S$26:$S$38&lt;=(AL20)))))),"")</f>
        <v/>
      </c>
      <c r="AL20" s="4412">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63"/>
      <c r="D21" s="4463"/>
      <c r="E21" s="4463"/>
      <c r="F21" s="4464"/>
      <c r="G21" s="68"/>
      <c r="H21" s="376" t="s">
        <v>2147</v>
      </c>
      <c r="I21" s="377"/>
      <c r="J21" s="68"/>
      <c r="K21" s="378" t="s">
        <v>2148</v>
      </c>
      <c r="L21" s="4466" t="s">
        <v>2149</v>
      </c>
      <c r="M21" s="4466"/>
      <c r="N21" s="68"/>
      <c r="O21" s="4467" t="s">
        <v>2072</v>
      </c>
      <c r="P21" s="4467"/>
      <c r="Q21" s="2900" t="str">
        <f>IF(OR(Tablas!G546&gt;0,Tablas!H1995&gt;0),"+0",IF(AND(Tablas!G444=0,Tablas!H1959=0),"+50","+100"))</f>
        <v>+50</v>
      </c>
      <c r="R21" s="69"/>
      <c r="S21" s="56"/>
      <c r="T21" s="56"/>
      <c r="U21" s="1973">
        <f>IF(V21=0,0,1)</f>
        <v>0</v>
      </c>
      <c r="V21" s="4441"/>
      <c r="W21" s="4442"/>
      <c r="X21" s="4442"/>
      <c r="Y21" s="4442"/>
      <c r="Z21" s="4442"/>
      <c r="AA21" s="4443"/>
      <c r="AB21" s="4419" t="str">
        <f>IF(AA21=0,"",IF(AA21*10&lt;100,AA21*10,100))</f>
        <v/>
      </c>
      <c r="AC21" s="2568"/>
      <c r="AD21" s="4445" t="str">
        <f>IF(AD20=0,"",VLOOKUP(AD20,Tablas!$K$1129:$M$1267,2,FALSE))</f>
        <v/>
      </c>
      <c r="AE21" s="3369"/>
      <c r="AF21" s="3369"/>
      <c r="AG21" s="3053" t="s">
        <v>1630</v>
      </c>
      <c r="AH21" s="3058" t="str">
        <f>IF(AD20=0,"",VLOOKUP(AD20,Tablas!$K$1129:$M$1267,3,FALSE))</f>
        <v/>
      </c>
      <c r="AI21" s="4444"/>
      <c r="AJ21" s="4415"/>
      <c r="AK21" s="4418"/>
      <c r="AL21" s="4412"/>
      <c r="AM21" s="1802"/>
      <c r="AN21" s="2003"/>
      <c r="AO21" s="2480"/>
      <c r="AP21" s="2503"/>
      <c r="AQ21" s="2503"/>
    </row>
    <row r="22" spans="1:43" ht="12" customHeight="1" thickBot="1" x14ac:dyDescent="0.25">
      <c r="A22" s="190"/>
      <c r="B22" s="1799"/>
      <c r="C22" s="4471" t="str">
        <f>IF(F20&lt;0,"Exceso de CVs",IF(AL15&gt;M13,"Exceso de innatos activos",""))</f>
        <v/>
      </c>
      <c r="D22" s="4471"/>
      <c r="E22" s="4471"/>
      <c r="F22" s="4471"/>
      <c r="G22" s="379"/>
      <c r="H22" s="380" t="s">
        <v>2150</v>
      </c>
      <c r="I22" s="381"/>
      <c r="J22" s="138"/>
      <c r="K22" s="382" t="s">
        <v>2148</v>
      </c>
      <c r="L22" s="3955" t="s">
        <v>2151</v>
      </c>
      <c r="M22" s="3955"/>
      <c r="N22" s="68"/>
      <c r="O22" s="4472" t="str">
        <f>IF(OR(Tablas!G546&gt;0,Tablas!H1995&gt;0),"Sin concentración",IF(AND(Tablas!G444=0,Tablas!H1959=0),"","Concentración extrema"))</f>
        <v/>
      </c>
      <c r="P22" s="4472"/>
      <c r="Q22" s="4472"/>
      <c r="R22" s="69"/>
      <c r="S22" s="56"/>
      <c r="T22" s="56"/>
      <c r="U22" s="1973"/>
      <c r="V22" s="4433" t="str">
        <f>IF(V21=0,"",VLOOKUP(V21,Tablas!$K$1129:$M$1267,2,FALSE))</f>
        <v/>
      </c>
      <c r="W22" s="4434"/>
      <c r="X22" s="4434"/>
      <c r="Y22" s="3057" t="s">
        <v>1630</v>
      </c>
      <c r="Z22" s="3059" t="str">
        <f>IF(V21=0,"",VLOOKUP(V21,Tablas!$K$1129:$M$1267,3,FALSE))</f>
        <v/>
      </c>
      <c r="AA22" s="4443"/>
      <c r="AB22" s="4419"/>
      <c r="AC22" s="2568"/>
      <c r="AD22" s="4441"/>
      <c r="AE22" s="4442"/>
      <c r="AF22" s="4442"/>
      <c r="AG22" s="4442"/>
      <c r="AH22" s="4442"/>
      <c r="AI22" s="4456"/>
      <c r="AJ22" s="4416"/>
      <c r="AK22" s="4419" t="str">
        <f>IF(AD22&lt;&gt;"",INDEX(Tablas!$T$26:$T$38,MAX(1+MATCH(VLOOKUP(Psíquicos!$AD22,'Tablas psiquica'!$D$7:$U$145,18,FALSE),'Tablas psiquica'!$I$6:$R$6,0),MAX(SUMPRODUCT(--(Tablas!$S$26:$S$38&lt;=(AL22-20*AI22)))+IF(Tablas!$G$446&gt;0,1,0)+IF(COUNTIF($C$39:$E$50,"Introversión")&gt;0,1,0),SUMPRODUCT(--(Tablas!$S$26:$S$38&lt;=(AL22)))))),"")</f>
        <v/>
      </c>
      <c r="AL22" s="4412">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28"/>
      <c r="W23" s="4429"/>
      <c r="X23" s="4429"/>
      <c r="Y23" s="4429"/>
      <c r="Z23" s="4429"/>
      <c r="AA23" s="4450"/>
      <c r="AB23" s="4418" t="str">
        <f>IF(AA23=0,"",IF(AA23*10&lt;100,AA23*10,100))</f>
        <v/>
      </c>
      <c r="AC23" s="2568"/>
      <c r="AD23" s="4433" t="str">
        <f>IF(AD22=0,"",VLOOKUP(AD22,Tablas!$K$1129:$M$1267,2,FALSE))</f>
        <v/>
      </c>
      <c r="AE23" s="4460"/>
      <c r="AF23" s="4460"/>
      <c r="AG23" s="3057" t="s">
        <v>1630</v>
      </c>
      <c r="AH23" s="3059" t="str">
        <f>IF(AD22=0,"",VLOOKUP(AD22,Tablas!$K$1129:$M$1267,3,FALSE))</f>
        <v/>
      </c>
      <c r="AI23" s="4456"/>
      <c r="AJ23" s="4416"/>
      <c r="AK23" s="4419"/>
      <c r="AL23" s="4412"/>
      <c r="AM23" s="1802"/>
      <c r="AN23" s="2480"/>
      <c r="AO23" s="2480"/>
      <c r="AP23" s="2503"/>
      <c r="AQ23" s="2503"/>
    </row>
    <row r="24" spans="1:43" ht="12" customHeight="1" thickBot="1" x14ac:dyDescent="0.25">
      <c r="A24" s="190"/>
      <c r="B24" s="1799"/>
      <c r="C24" s="3183" t="s">
        <v>2152</v>
      </c>
      <c r="D24" s="3183"/>
      <c r="E24" s="3183"/>
      <c r="F24" s="3851" t="s">
        <v>2153</v>
      </c>
      <c r="G24" s="3851"/>
      <c r="H24" s="3851"/>
      <c r="I24" s="3851"/>
      <c r="J24" s="3851"/>
      <c r="K24" s="3851"/>
      <c r="L24" s="3851"/>
      <c r="M24" s="3851"/>
      <c r="N24" s="3851"/>
      <c r="O24" s="3851"/>
      <c r="P24" s="3851"/>
      <c r="Q24" s="3851"/>
      <c r="R24" s="69"/>
      <c r="S24" s="56"/>
      <c r="T24" s="56"/>
      <c r="U24" s="1973"/>
      <c r="V24" s="4445" t="str">
        <f>IF(V23=0,"",VLOOKUP(V23,Tablas!$K$1129:$M$1267,2,FALSE))</f>
        <v/>
      </c>
      <c r="W24" s="3344"/>
      <c r="X24" s="3344"/>
      <c r="Y24" s="3053" t="s">
        <v>1630</v>
      </c>
      <c r="Z24" s="3058" t="str">
        <f>IF(V23=0,"",VLOOKUP(V23,Tablas!$K$1129:$M$1267,3,FALSE))</f>
        <v/>
      </c>
      <c r="AA24" s="4450"/>
      <c r="AB24" s="4418"/>
      <c r="AC24" s="2568"/>
      <c r="AD24" s="4468"/>
      <c r="AE24" s="4469"/>
      <c r="AF24" s="4469"/>
      <c r="AG24" s="4469"/>
      <c r="AH24" s="4470"/>
      <c r="AI24" s="4465"/>
      <c r="AJ24" s="4415"/>
      <c r="AK24" s="4418" t="str">
        <f>IF(AD24&lt;&gt;"",INDEX(Tablas!$T$26:$T$38,MAX(1+MATCH(VLOOKUP(Psíquicos!$AD24,'Tablas psiquica'!$D$7:$U$145,18,FALSE),'Tablas psiquica'!$I$6:$R$6,0),MAX(SUMPRODUCT(--(Tablas!$S$26:$S$38&lt;=(AL24-20*AI24)))+IF(Tablas!$G$446&gt;0,1,0)+IF(COUNTIF($C$39:$E$50,"Introversión")&gt;0,1,0),SUMPRODUCT(--(Tablas!$S$26:$S$38&lt;=(AL24)))))),"")</f>
        <v/>
      </c>
      <c r="AL24" s="4412">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73"/>
      <c r="D25" s="4473"/>
      <c r="E25" s="4473"/>
      <c r="F25" s="4474" t="str">
        <f>IF(C25=0,"",VLOOKUP(C25,Tabla_DisciplinasPsi,2,FALSE))</f>
        <v/>
      </c>
      <c r="G25" s="4474"/>
      <c r="H25" s="4474"/>
      <c r="I25" s="4474"/>
      <c r="J25" s="4474"/>
      <c r="K25" s="4474"/>
      <c r="L25" s="4474"/>
      <c r="M25" s="4474"/>
      <c r="N25" s="4474"/>
      <c r="O25" s="4474"/>
      <c r="P25" s="4474"/>
      <c r="Q25" s="4474"/>
      <c r="R25" s="69"/>
      <c r="S25" s="56"/>
      <c r="T25" s="56"/>
      <c r="U25" s="1973">
        <f>IF(V25=0,0,1)</f>
        <v>0</v>
      </c>
      <c r="V25" s="4441"/>
      <c r="W25" s="4442"/>
      <c r="X25" s="4442"/>
      <c r="Y25" s="4442"/>
      <c r="Z25" s="4442"/>
      <c r="AA25" s="4443"/>
      <c r="AB25" s="4419" t="str">
        <f>IF(AA25=0,"",IF(AA25*10&lt;100,AA25*10,100))</f>
        <v/>
      </c>
      <c r="AC25" s="2568"/>
      <c r="AD25" s="4445" t="str">
        <f>IF(AD24=0,"",VLOOKUP(AD24,Tablas!$K$1129:$M$1267,2,FALSE))</f>
        <v/>
      </c>
      <c r="AE25" s="3369"/>
      <c r="AF25" s="3369"/>
      <c r="AG25" s="3053" t="s">
        <v>1630</v>
      </c>
      <c r="AH25" s="3058" t="str">
        <f>IF(AD24=0,"",VLOOKUP(AD24,Tablas!$K$1129:$M$1267,3,FALSE))</f>
        <v/>
      </c>
      <c r="AI25" s="4465"/>
      <c r="AJ25" s="4415"/>
      <c r="AK25" s="4418"/>
      <c r="AL25" s="4412"/>
      <c r="AM25" s="1802"/>
      <c r="AN25" s="2509"/>
      <c r="AO25" s="2002"/>
      <c r="AP25" s="2002"/>
      <c r="AQ25" s="3004"/>
    </row>
    <row r="26" spans="1:43" ht="12" customHeight="1" x14ac:dyDescent="0.2">
      <c r="A26" s="190"/>
      <c r="B26" s="1799"/>
      <c r="C26" s="4473"/>
      <c r="D26" s="4473"/>
      <c r="E26" s="4473"/>
      <c r="F26" s="4474"/>
      <c r="G26" s="4474"/>
      <c r="H26" s="4474"/>
      <c r="I26" s="4474"/>
      <c r="J26" s="4474"/>
      <c r="K26" s="4474"/>
      <c r="L26" s="4474"/>
      <c r="M26" s="4474"/>
      <c r="N26" s="4474"/>
      <c r="O26" s="4474"/>
      <c r="P26" s="4474"/>
      <c r="Q26" s="4474"/>
      <c r="R26" s="69"/>
      <c r="S26" s="56"/>
      <c r="T26" s="56"/>
      <c r="U26" s="1973"/>
      <c r="V26" s="4433" t="str">
        <f>IF(V25=0,"",VLOOKUP(V25,Tablas!$K$1129:$M$1267,2,FALSE))</f>
        <v/>
      </c>
      <c r="W26" s="4434"/>
      <c r="X26" s="4434"/>
      <c r="Y26" s="3057" t="s">
        <v>1630</v>
      </c>
      <c r="Z26" s="3059" t="str">
        <f>IF(V25=0,"",VLOOKUP(V25,Tablas!$K$1129:$M$1267,3,FALSE))</f>
        <v/>
      </c>
      <c r="AA26" s="4443"/>
      <c r="AB26" s="4419"/>
      <c r="AC26" s="3068"/>
      <c r="AD26" s="4441"/>
      <c r="AE26" s="4442"/>
      <c r="AF26" s="4442"/>
      <c r="AG26" s="4442"/>
      <c r="AH26" s="4442"/>
      <c r="AI26" s="4440"/>
      <c r="AJ26" s="4416"/>
      <c r="AK26" s="4419" t="str">
        <f>IF(AD26&lt;&gt;"",INDEX(Tablas!$T$26:$T$38,MAX(1+MATCH(VLOOKUP(Psíquicos!$AD26,'Tablas psiquica'!$D$7:$U$145,18,FALSE),'Tablas psiquica'!$I$6:$R$6,0),MAX(SUMPRODUCT(--(Tablas!$S$26:$S$38&lt;=(AL26-20*AI26)))+IF(Tablas!$G$446&gt;0,1,0)+IF(COUNTIF($C$39:$E$50,"Introversión")&gt;0,1,0),SUMPRODUCT(--(Tablas!$S$26:$S$38&lt;=(AL26)))))),"")</f>
        <v/>
      </c>
      <c r="AL26" s="4412">
        <f t="shared" ref="AL26" si="4">$H$11+IF(ISNA(VLOOKUP(AD26,$V$11:$AB$64,7,FALSE)),0,IF(VLOOKUP(AD26,$V$11:$AB$64,7,FALSE)="",0,VLOOKUP(AD26,$V$11:$AB$64,7,FALSE)))+AI26*20+AJ26</f>
        <v>0</v>
      </c>
      <c r="AM26" s="1802"/>
      <c r="AO26" s="2001"/>
      <c r="AP26" s="2001"/>
      <c r="AQ26" s="2001"/>
    </row>
    <row r="27" spans="1:43" ht="12" customHeight="1" x14ac:dyDescent="0.2">
      <c r="A27" s="190"/>
      <c r="B27" s="1799"/>
      <c r="C27" s="4475"/>
      <c r="D27" s="4475"/>
      <c r="E27" s="4475"/>
      <c r="F27" s="4474" t="str">
        <f>IF(C27=0,"",VLOOKUP(C27,Tabla_DisciplinasPsi,2,FALSE))</f>
        <v/>
      </c>
      <c r="G27" s="4474"/>
      <c r="H27" s="4474"/>
      <c r="I27" s="4474"/>
      <c r="J27" s="4474"/>
      <c r="K27" s="4474"/>
      <c r="L27" s="4474"/>
      <c r="M27" s="4474"/>
      <c r="N27" s="4474"/>
      <c r="O27" s="4474"/>
      <c r="P27" s="4474"/>
      <c r="Q27" s="4474"/>
      <c r="R27" s="69"/>
      <c r="S27" s="56"/>
      <c r="T27" s="56"/>
      <c r="U27" s="1973">
        <f>IF(V27=0,0,1)</f>
        <v>0</v>
      </c>
      <c r="V27" s="4428"/>
      <c r="W27" s="4429"/>
      <c r="X27" s="4429"/>
      <c r="Y27" s="4429"/>
      <c r="Z27" s="4429"/>
      <c r="AA27" s="4450"/>
      <c r="AB27" s="4418" t="str">
        <f>IF(AA27=0,"",IF(AA27*10&lt;100,AA27*10,100))</f>
        <v/>
      </c>
      <c r="AC27" s="3068"/>
      <c r="AD27" s="4433" t="str">
        <f>IF(AD26=0,"",VLOOKUP(AD26,Tablas!$K$1129:$M$1267,2,FALSE))</f>
        <v/>
      </c>
      <c r="AE27" s="4460"/>
      <c r="AF27" s="4460"/>
      <c r="AG27" s="3057" t="s">
        <v>1630</v>
      </c>
      <c r="AH27" s="3059" t="str">
        <f>IF(AD26=0,"",VLOOKUP(AD26,Tablas!$K$1129:$M$1267,3,FALSE))</f>
        <v/>
      </c>
      <c r="AI27" s="4440"/>
      <c r="AJ27" s="4416"/>
      <c r="AK27" s="4419"/>
      <c r="AL27" s="4412"/>
      <c r="AM27" s="1802"/>
      <c r="AQ27" s="2002"/>
    </row>
    <row r="28" spans="1:43" ht="12" customHeight="1" x14ac:dyDescent="0.2">
      <c r="A28" s="190"/>
      <c r="B28" s="1799"/>
      <c r="C28" s="4475"/>
      <c r="D28" s="4475"/>
      <c r="E28" s="4475"/>
      <c r="F28" s="4474"/>
      <c r="G28" s="4474"/>
      <c r="H28" s="4474"/>
      <c r="I28" s="4474"/>
      <c r="J28" s="4474"/>
      <c r="K28" s="4474"/>
      <c r="L28" s="4474"/>
      <c r="M28" s="4474"/>
      <c r="N28" s="4474"/>
      <c r="O28" s="4474"/>
      <c r="P28" s="4474"/>
      <c r="Q28" s="4474"/>
      <c r="R28" s="69"/>
      <c r="S28" s="56"/>
      <c r="T28" s="56"/>
      <c r="U28" s="1973"/>
      <c r="V28" s="4445" t="str">
        <f>IF(V27=0,"",VLOOKUP(V27,Tablas!$K$1129:$M$1267,2,FALSE))</f>
        <v/>
      </c>
      <c r="W28" s="3344"/>
      <c r="X28" s="3344"/>
      <c r="Y28" s="3053" t="s">
        <v>1630</v>
      </c>
      <c r="Z28" s="3058" t="str">
        <f>IF(V27=0,"",VLOOKUP(V27,Tablas!$K$1129:$M$1267,3,FALSE))</f>
        <v/>
      </c>
      <c r="AA28" s="4450"/>
      <c r="AB28" s="4418"/>
      <c r="AC28" s="210"/>
      <c r="AD28" s="4468"/>
      <c r="AE28" s="4469"/>
      <c r="AF28" s="4469"/>
      <c r="AG28" s="4469"/>
      <c r="AH28" s="4470"/>
      <c r="AI28" s="4444"/>
      <c r="AJ28" s="4415"/>
      <c r="AK28" s="4418" t="str">
        <f>IF(AD28&lt;&gt;"",INDEX(Tablas!$T$26:$T$38,MAX(1+MATCH(VLOOKUP(Psíquicos!$AD28,'Tablas psiquica'!$D$7:$U$145,18,FALSE),'Tablas psiquica'!$I$6:$R$6,0),MAX(SUMPRODUCT(--(Tablas!$S$26:$S$38&lt;=(AL28-20*AI28)))+IF(Tablas!$G$446&gt;0,1,0)+IF(COUNTIF($C$39:$E$50,"Introversión")&gt;0,1,0),SUMPRODUCT(--(Tablas!$S$26:$S$38&lt;=(AL28)))))),"")</f>
        <v/>
      </c>
      <c r="AL28" s="4412">
        <f t="shared" ref="AL28" si="5">$H$11+IF(ISNA(VLOOKUP(AD28,$V$11:$AB$64,7,FALSE)),0,IF(VLOOKUP(AD28,$V$11:$AB$64,7,FALSE)="",0,VLOOKUP(AD28,$V$11:$AB$64,7,FALSE)))+AI28*20+AJ28</f>
        <v>0</v>
      </c>
      <c r="AM28" s="1802"/>
      <c r="AQ28" s="1885"/>
    </row>
    <row r="29" spans="1:43" ht="12" customHeight="1" x14ac:dyDescent="0.2">
      <c r="A29" s="190"/>
      <c r="B29" s="1799"/>
      <c r="C29" s="4475"/>
      <c r="D29" s="4475"/>
      <c r="E29" s="4475"/>
      <c r="F29" s="4474" t="str">
        <f>IF(C29=0,"",VLOOKUP(C29,Tabla_DisciplinasPsi,2,FALSE))</f>
        <v/>
      </c>
      <c r="G29" s="4474"/>
      <c r="H29" s="4474"/>
      <c r="I29" s="4474"/>
      <c r="J29" s="4474"/>
      <c r="K29" s="4474"/>
      <c r="L29" s="4474"/>
      <c r="M29" s="4474"/>
      <c r="N29" s="4474"/>
      <c r="O29" s="4474"/>
      <c r="P29" s="4474"/>
      <c r="Q29" s="4474"/>
      <c r="R29" s="69"/>
      <c r="S29" s="56"/>
      <c r="T29" s="56"/>
      <c r="U29" s="1973">
        <f>IF(V29=0,0,1)</f>
        <v>0</v>
      </c>
      <c r="V29" s="4441"/>
      <c r="W29" s="4442"/>
      <c r="X29" s="4442"/>
      <c r="Y29" s="4442"/>
      <c r="Z29" s="4442"/>
      <c r="AA29" s="4443"/>
      <c r="AB29" s="4419" t="str">
        <f>IF(AA29=0,"",IF(AA29*10&lt;100,AA29*10,100))</f>
        <v/>
      </c>
      <c r="AC29" s="3067"/>
      <c r="AD29" s="4445" t="str">
        <f>IF(AD28=0,"",VLOOKUP(AD28,Tablas!$K$1129:$M$1267,2,FALSE))</f>
        <v/>
      </c>
      <c r="AE29" s="3369"/>
      <c r="AF29" s="3369"/>
      <c r="AG29" s="3053" t="s">
        <v>1630</v>
      </c>
      <c r="AH29" s="3058" t="str">
        <f>IF(AD28=0,"",VLOOKUP(AD28,Tablas!$K$1129:$M$1267,3,FALSE))</f>
        <v/>
      </c>
      <c r="AI29" s="4444"/>
      <c r="AJ29" s="4415"/>
      <c r="AK29" s="4418"/>
      <c r="AL29" s="4412"/>
      <c r="AM29" s="1802"/>
      <c r="AQ29" s="1885"/>
    </row>
    <row r="30" spans="1:43" ht="12" customHeight="1" x14ac:dyDescent="0.2">
      <c r="A30" s="190"/>
      <c r="B30" s="1799"/>
      <c r="C30" s="4475"/>
      <c r="D30" s="4475"/>
      <c r="E30" s="4475"/>
      <c r="F30" s="4474"/>
      <c r="G30" s="4474"/>
      <c r="H30" s="4474"/>
      <c r="I30" s="4474"/>
      <c r="J30" s="4474"/>
      <c r="K30" s="4474"/>
      <c r="L30" s="4474"/>
      <c r="M30" s="4474"/>
      <c r="N30" s="4474"/>
      <c r="O30" s="4474"/>
      <c r="P30" s="4474"/>
      <c r="Q30" s="4474"/>
      <c r="R30" s="69"/>
      <c r="S30" s="56"/>
      <c r="T30" s="56"/>
      <c r="U30" s="1973"/>
      <c r="V30" s="4433" t="str">
        <f>IF(V29=0,"",VLOOKUP(V29,Tablas!$K$1129:$M$1267,2,FALSE))</f>
        <v/>
      </c>
      <c r="W30" s="4434"/>
      <c r="X30" s="4434"/>
      <c r="Y30" s="3057" t="s">
        <v>1630</v>
      </c>
      <c r="Z30" s="3059" t="str">
        <f>IF(V29=0,"",VLOOKUP(V29,Tablas!$K$1129:$M$1267,3,FALSE))</f>
        <v/>
      </c>
      <c r="AA30" s="4443"/>
      <c r="AB30" s="4419"/>
      <c r="AC30" s="3068"/>
      <c r="AD30" s="4441"/>
      <c r="AE30" s="4442"/>
      <c r="AF30" s="4442"/>
      <c r="AG30" s="4442"/>
      <c r="AH30" s="4442"/>
      <c r="AI30" s="4440"/>
      <c r="AJ30" s="4416"/>
      <c r="AK30" s="4419" t="str">
        <f>IF(AD30&lt;&gt;"",INDEX(Tablas!$T$26:$T$38,MAX(1+MATCH(VLOOKUP(Psíquicos!$AD30,'Tablas psiquica'!$D$7:$U$145,18,FALSE),'Tablas psiquica'!$I$6:$R$6,0),MAX(SUMPRODUCT(--(Tablas!$S$26:$S$38&lt;=(AL30-20*AI30)))+IF(Tablas!$G$446&gt;0,1,0)+IF(COUNTIF($C$39:$E$50,"Introversión")&gt;0,1,0),SUMPRODUCT(--(Tablas!$S$26:$S$38&lt;=(AL30)))))),"")</f>
        <v/>
      </c>
      <c r="AL30" s="4412">
        <f t="shared" ref="AL30" si="6">$H$11+IF(ISNA(VLOOKUP(AD30,$V$11:$AB$64,7,FALSE)),0,IF(VLOOKUP(AD30,$V$11:$AB$64,7,FALSE)="",0,VLOOKUP(AD30,$V$11:$AB$64,7,FALSE)))+AI30*20+AJ30</f>
        <v>0</v>
      </c>
      <c r="AM30" s="1802"/>
      <c r="AQ30" s="1885"/>
    </row>
    <row r="31" spans="1:43" ht="12" customHeight="1" x14ac:dyDescent="0.2">
      <c r="A31" s="190"/>
      <c r="B31" s="1799"/>
      <c r="C31" s="4475"/>
      <c r="D31" s="4475"/>
      <c r="E31" s="4475"/>
      <c r="F31" s="4474" t="str">
        <f>IF(C31=0,"",VLOOKUP(C31,Tabla_DisciplinasPsi,2,FALSE))</f>
        <v/>
      </c>
      <c r="G31" s="4474"/>
      <c r="H31" s="4474"/>
      <c r="I31" s="4474"/>
      <c r="J31" s="4474"/>
      <c r="K31" s="4474"/>
      <c r="L31" s="4474"/>
      <c r="M31" s="4474"/>
      <c r="N31" s="4474"/>
      <c r="O31" s="4474"/>
      <c r="P31" s="4474"/>
      <c r="Q31" s="4474"/>
      <c r="R31" s="69"/>
      <c r="S31" s="56"/>
      <c r="T31" s="56"/>
      <c r="U31" s="1973">
        <f>IF(V31=0,0,1)</f>
        <v>0</v>
      </c>
      <c r="V31" s="4428"/>
      <c r="W31" s="4429"/>
      <c r="X31" s="4429"/>
      <c r="Y31" s="4429"/>
      <c r="Z31" s="4429"/>
      <c r="AA31" s="4450"/>
      <c r="AB31" s="4418" t="str">
        <f>IF(AA31=0,"",IF(AA31*10&lt;100,AA31*10,100))</f>
        <v/>
      </c>
      <c r="AC31" s="3068"/>
      <c r="AD31" s="4433" t="str">
        <f>IF(AD30=0,"",VLOOKUP(AD30,Tablas!$K$1129:$M$1267,2,FALSE))</f>
        <v/>
      </c>
      <c r="AE31" s="4460"/>
      <c r="AF31" s="4460"/>
      <c r="AG31" s="3057" t="s">
        <v>1630</v>
      </c>
      <c r="AH31" s="3059" t="str">
        <f>IF(AD30=0,"",VLOOKUP(AD30,Tablas!$K$1129:$M$1267,3,FALSE))</f>
        <v/>
      </c>
      <c r="AI31" s="4440"/>
      <c r="AJ31" s="4416"/>
      <c r="AK31" s="4419"/>
      <c r="AL31" s="4412"/>
      <c r="AM31" s="1802"/>
      <c r="AQ31" s="1885"/>
    </row>
    <row r="32" spans="1:43" ht="12" customHeight="1" x14ac:dyDescent="0.2">
      <c r="A32" s="190"/>
      <c r="B32" s="1799"/>
      <c r="C32" s="4475"/>
      <c r="D32" s="4475"/>
      <c r="E32" s="4475"/>
      <c r="F32" s="4474"/>
      <c r="G32" s="4474"/>
      <c r="H32" s="4474"/>
      <c r="I32" s="4474"/>
      <c r="J32" s="4474"/>
      <c r="K32" s="4474"/>
      <c r="L32" s="4474"/>
      <c r="M32" s="4474"/>
      <c r="N32" s="4474"/>
      <c r="O32" s="4474"/>
      <c r="P32" s="4474"/>
      <c r="Q32" s="4474"/>
      <c r="R32" s="69"/>
      <c r="S32" s="56"/>
      <c r="T32" s="56"/>
      <c r="U32" s="1973"/>
      <c r="V32" s="4445" t="str">
        <f>IF(V31=0,"",VLOOKUP(V31,Tablas!$K$1129:$M$1267,2,FALSE))</f>
        <v/>
      </c>
      <c r="W32" s="3344"/>
      <c r="X32" s="3344"/>
      <c r="Y32" s="3053" t="s">
        <v>1630</v>
      </c>
      <c r="Z32" s="3058" t="str">
        <f>IF(V31=0,"",VLOOKUP(V31,Tablas!$K$1129:$M$1267,3,FALSE))</f>
        <v/>
      </c>
      <c r="AA32" s="4450"/>
      <c r="AB32" s="4418"/>
      <c r="AC32" s="264"/>
      <c r="AD32" s="4468"/>
      <c r="AE32" s="4469"/>
      <c r="AF32" s="4469"/>
      <c r="AG32" s="4469"/>
      <c r="AH32" s="4470"/>
      <c r="AI32" s="4444"/>
      <c r="AJ32" s="4415"/>
      <c r="AK32" s="4418" t="str">
        <f>IF(AD32&lt;&gt;"",INDEX(Tablas!$T$26:$T$38,MAX(1+MATCH(VLOOKUP(Psíquicos!$AD32,'Tablas psiquica'!$D$7:$U$145,18,FALSE),'Tablas psiquica'!$I$6:$R$6,0),MAX(SUMPRODUCT(--(Tablas!$S$26:$S$38&lt;=(AL32-20*AI32)))+IF(Tablas!$G$446&gt;0,1,0)+IF(COUNTIF($C$39:$E$50,"Introversión")&gt;0,1,0),SUMPRODUCT(--(Tablas!$S$26:$S$38&lt;=(AL32)))))),"")</f>
        <v/>
      </c>
      <c r="AL32" s="4412">
        <f t="shared" ref="AL32" si="7">$H$11+IF(ISNA(VLOOKUP(AD32,$V$11:$AB$64,7,FALSE)),0,IF(VLOOKUP(AD32,$V$11:$AB$64,7,FALSE)="",0,VLOOKUP(AD32,$V$11:$AB$64,7,FALSE)))+AI32*20+AJ32</f>
        <v>0</v>
      </c>
      <c r="AM32" s="1802"/>
      <c r="AQ32" s="1885"/>
    </row>
    <row r="33" spans="1:43" ht="12" customHeight="1" x14ac:dyDescent="0.2">
      <c r="A33" s="190"/>
      <c r="B33" s="1799"/>
      <c r="C33" s="4475"/>
      <c r="D33" s="4475"/>
      <c r="E33" s="4475"/>
      <c r="F33" s="4474" t="str">
        <f>IF(C33=0,"",VLOOKUP(C33,Tabla_DisciplinasPsi,2,FALSE))</f>
        <v/>
      </c>
      <c r="G33" s="4474"/>
      <c r="H33" s="4474"/>
      <c r="I33" s="4474"/>
      <c r="J33" s="4474"/>
      <c r="K33" s="4474"/>
      <c r="L33" s="4474"/>
      <c r="M33" s="4474"/>
      <c r="N33" s="4474"/>
      <c r="O33" s="4474"/>
      <c r="P33" s="4474"/>
      <c r="Q33" s="4474"/>
      <c r="R33" s="69"/>
      <c r="S33" s="56"/>
      <c r="T33" s="56"/>
      <c r="U33" s="1973">
        <f>IF(V33=0,0,1)</f>
        <v>0</v>
      </c>
      <c r="V33" s="4441"/>
      <c r="W33" s="4442"/>
      <c r="X33" s="4442"/>
      <c r="Y33" s="4442"/>
      <c r="Z33" s="4442"/>
      <c r="AA33" s="4443"/>
      <c r="AB33" s="4419" t="str">
        <f>IF(AA33=0,"",IF(AA33*10&lt;100,AA33*10,100))</f>
        <v/>
      </c>
      <c r="AC33" s="264"/>
      <c r="AD33" s="4445" t="str">
        <f>IF(AD32=0,"",VLOOKUP(AD32,Tablas!$K$1129:$M$1267,2,FALSE))</f>
        <v/>
      </c>
      <c r="AE33" s="3369"/>
      <c r="AF33" s="3369"/>
      <c r="AG33" s="3053" t="s">
        <v>1630</v>
      </c>
      <c r="AH33" s="3058" t="str">
        <f>IF(AD32=0,"",VLOOKUP(AD32,Tablas!$K$1129:$M$1267,3,FALSE))</f>
        <v/>
      </c>
      <c r="AI33" s="4444"/>
      <c r="AJ33" s="4415"/>
      <c r="AK33" s="4418"/>
      <c r="AL33" s="4412"/>
      <c r="AM33" s="1802"/>
      <c r="AQ33" s="1885"/>
    </row>
    <row r="34" spans="1:43" ht="12" customHeight="1" x14ac:dyDescent="0.2">
      <c r="A34" s="190"/>
      <c r="B34" s="1799"/>
      <c r="C34" s="4475"/>
      <c r="D34" s="4475"/>
      <c r="E34" s="4475"/>
      <c r="F34" s="4474"/>
      <c r="G34" s="4474"/>
      <c r="H34" s="4474"/>
      <c r="I34" s="4474"/>
      <c r="J34" s="4474"/>
      <c r="K34" s="4474"/>
      <c r="L34" s="4474"/>
      <c r="M34" s="4474"/>
      <c r="N34" s="4474"/>
      <c r="O34" s="4474"/>
      <c r="P34" s="4474"/>
      <c r="Q34" s="4474"/>
      <c r="R34" s="69"/>
      <c r="S34" s="56"/>
      <c r="T34" s="56"/>
      <c r="U34" s="1973"/>
      <c r="V34" s="4433" t="str">
        <f>IF(V33=0,"",VLOOKUP(V33,Tablas!$K$1129:$M$1267,2,FALSE))</f>
        <v/>
      </c>
      <c r="W34" s="4434"/>
      <c r="X34" s="4434"/>
      <c r="Y34" s="3057" t="s">
        <v>1630</v>
      </c>
      <c r="Z34" s="3059" t="str">
        <f>IF(V33=0,"",VLOOKUP(V33,Tablas!$K$1129:$M$1267,3,FALSE))</f>
        <v/>
      </c>
      <c r="AA34" s="4443"/>
      <c r="AB34" s="4419"/>
      <c r="AC34" s="2568"/>
      <c r="AD34" s="4441"/>
      <c r="AE34" s="4442"/>
      <c r="AF34" s="4442"/>
      <c r="AG34" s="4442"/>
      <c r="AH34" s="4442"/>
      <c r="AI34" s="4440"/>
      <c r="AJ34" s="4416"/>
      <c r="AK34" s="4419" t="str">
        <f>IF(AD34&lt;&gt;"",INDEX(Tablas!$T$26:$T$38,MAX(1+MATCH(VLOOKUP(Psíquicos!$AD34,'Tablas psiquica'!$D$7:$U$145,18,FALSE),'Tablas psiquica'!$I$6:$R$6,0),MAX(SUMPRODUCT(--(Tablas!$S$26:$S$38&lt;=(AL34-20*AI34)))+IF(Tablas!$G$446&gt;0,1,0)+IF(COUNTIF($C$39:$E$50,"Introversión")&gt;0,1,0),SUMPRODUCT(--(Tablas!$S$26:$S$38&lt;=(AL34)))))),"")</f>
        <v/>
      </c>
      <c r="AL34" s="4412">
        <f t="shared" ref="AL34" si="8">$H$11+IF(ISNA(VLOOKUP(AD34,$V$11:$AB$64,7,FALSE)),0,IF(VLOOKUP(AD34,$V$11:$AB$64,7,FALSE)="",0,VLOOKUP(AD34,$V$11:$AB$64,7,FALSE)))+AI34*20+AJ34</f>
        <v>0</v>
      </c>
      <c r="AM34" s="1802"/>
      <c r="AQ34" s="1885"/>
    </row>
    <row r="35" spans="1:43" ht="12" customHeight="1" thickBot="1" x14ac:dyDescent="0.25">
      <c r="A35" s="190"/>
      <c r="B35" s="1799"/>
      <c r="C35" s="4476"/>
      <c r="D35" s="4476"/>
      <c r="E35" s="4476"/>
      <c r="F35" s="4477" t="str">
        <f>IF(C35=0,"",VLOOKUP(C35,Tabla_DisciplinasPsi,2,FALSE))</f>
        <v/>
      </c>
      <c r="G35" s="4477"/>
      <c r="H35" s="4477"/>
      <c r="I35" s="4477"/>
      <c r="J35" s="4477"/>
      <c r="K35" s="4477"/>
      <c r="L35" s="4477"/>
      <c r="M35" s="4477"/>
      <c r="N35" s="4477"/>
      <c r="O35" s="4477"/>
      <c r="P35" s="4477"/>
      <c r="Q35" s="4477"/>
      <c r="R35" s="69"/>
      <c r="S35" s="56"/>
      <c r="T35" s="56"/>
      <c r="U35" s="1973">
        <f>IF(V35=0,0,1)</f>
        <v>0</v>
      </c>
      <c r="V35" s="4428"/>
      <c r="W35" s="4429"/>
      <c r="X35" s="4429"/>
      <c r="Y35" s="4429"/>
      <c r="Z35" s="4429"/>
      <c r="AA35" s="4450"/>
      <c r="AB35" s="4418" t="str">
        <f>IF(AA35=0,"",IF(AA35*10&lt;100,AA35*10,100))</f>
        <v/>
      </c>
      <c r="AC35" s="3068"/>
      <c r="AD35" s="4433" t="str">
        <f>IF(AD34=0,"",VLOOKUP(AD34,Tablas!$K$1129:$M$1267,2,FALSE))</f>
        <v/>
      </c>
      <c r="AE35" s="4460"/>
      <c r="AF35" s="4460"/>
      <c r="AG35" s="3057" t="s">
        <v>1630</v>
      </c>
      <c r="AH35" s="3059" t="str">
        <f>IF(AD34=0,"",VLOOKUP(AD34,Tablas!$K$1129:$M$1267,3,FALSE))</f>
        <v/>
      </c>
      <c r="AI35" s="4440"/>
      <c r="AJ35" s="4416"/>
      <c r="AK35" s="4419"/>
      <c r="AL35" s="4412"/>
      <c r="AM35" s="1802"/>
      <c r="AQ35" s="1885"/>
    </row>
    <row r="36" spans="1:43" ht="12" customHeight="1" thickBot="1" x14ac:dyDescent="0.25">
      <c r="A36" s="190"/>
      <c r="B36" s="1799"/>
      <c r="C36" s="4476"/>
      <c r="D36" s="4476"/>
      <c r="E36" s="4476"/>
      <c r="F36" s="4477"/>
      <c r="G36" s="4477"/>
      <c r="H36" s="4477"/>
      <c r="I36" s="4477"/>
      <c r="J36" s="4477"/>
      <c r="K36" s="4477"/>
      <c r="L36" s="4477"/>
      <c r="M36" s="4477"/>
      <c r="N36" s="4477"/>
      <c r="O36" s="4477"/>
      <c r="P36" s="4477"/>
      <c r="Q36" s="4477"/>
      <c r="R36" s="69"/>
      <c r="S36" s="56"/>
      <c r="T36" s="56"/>
      <c r="U36" s="1973"/>
      <c r="V36" s="4445" t="str">
        <f>IF(V35=0,"",VLOOKUP(V35,Tablas!$K$1129:$M$1267,2,FALSE))</f>
        <v/>
      </c>
      <c r="W36" s="3344"/>
      <c r="X36" s="3344"/>
      <c r="Y36" s="3053" t="s">
        <v>1630</v>
      </c>
      <c r="Z36" s="3058" t="str">
        <f>IF(V35=0,"",VLOOKUP(V35,Tablas!$K$1129:$M$1267,3,FALSE))</f>
        <v/>
      </c>
      <c r="AA36" s="4450"/>
      <c r="AB36" s="4418"/>
      <c r="AC36" s="3068"/>
      <c r="AD36" s="4468"/>
      <c r="AE36" s="4469"/>
      <c r="AF36" s="4469"/>
      <c r="AG36" s="4469"/>
      <c r="AH36" s="4470"/>
      <c r="AI36" s="4444"/>
      <c r="AJ36" s="4415"/>
      <c r="AK36" s="4418" t="str">
        <f>IF(AD36&lt;&gt;"",INDEX(Tablas!$T$26:$T$38,MAX(1+MATCH(VLOOKUP(Psíquicos!$AD36,'Tablas psiquica'!$D$7:$U$145,18,FALSE),'Tablas psiquica'!$I$6:$R$6,0),MAX(SUMPRODUCT(--(Tablas!$S$26:$S$38&lt;=(AL36-20*AI36)))+IF(Tablas!$G$446&gt;0,1,0)+IF(COUNTIF($C$39:$E$50,"Introversión")&gt;0,1,0),SUMPRODUCT(--(Tablas!$S$26:$S$38&lt;=(AL36)))))),"")</f>
        <v/>
      </c>
      <c r="AL36" s="4412">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41"/>
      <c r="W37" s="4442"/>
      <c r="X37" s="4442"/>
      <c r="Y37" s="4442"/>
      <c r="Z37" s="4442"/>
      <c r="AA37" s="4443"/>
      <c r="AB37" s="4419" t="str">
        <f>IF(AA37=0,"",IF(AA37*10&lt;100,AA37*10,100))</f>
        <v/>
      </c>
      <c r="AC37" s="210"/>
      <c r="AD37" s="4445" t="str">
        <f>IF(AD36=0,"",VLOOKUP(AD36,Tablas!$K$1129:$M$1267,2,FALSE))</f>
        <v/>
      </c>
      <c r="AE37" s="3369"/>
      <c r="AF37" s="3369"/>
      <c r="AG37" s="3053" t="s">
        <v>1630</v>
      </c>
      <c r="AH37" s="3058" t="str">
        <f>IF(AD36=0,"",VLOOKUP(AD36,Tablas!$K$1129:$M$1267,3,FALSE))</f>
        <v/>
      </c>
      <c r="AI37" s="4444"/>
      <c r="AJ37" s="4415"/>
      <c r="AK37" s="4418"/>
      <c r="AL37" s="4412"/>
      <c r="AM37" s="1802"/>
      <c r="AQ37" s="1885"/>
    </row>
    <row r="38" spans="1:43" ht="12" customHeight="1" thickBot="1" x14ac:dyDescent="0.25">
      <c r="A38" s="190"/>
      <c r="B38" s="1799"/>
      <c r="C38" s="3183" t="s">
        <v>1839</v>
      </c>
      <c r="D38" s="3183"/>
      <c r="E38" s="3183"/>
      <c r="F38" s="3851" t="s">
        <v>2153</v>
      </c>
      <c r="G38" s="3851"/>
      <c r="H38" s="3851"/>
      <c r="I38" s="3851"/>
      <c r="J38" s="3851"/>
      <c r="K38" s="3851"/>
      <c r="L38" s="3851"/>
      <c r="M38" s="3851"/>
      <c r="N38" s="3851"/>
      <c r="O38" s="3851"/>
      <c r="P38" s="3851"/>
      <c r="Q38" s="3851"/>
      <c r="R38" s="69"/>
      <c r="S38" s="56"/>
      <c r="T38" s="56"/>
      <c r="U38" s="1973"/>
      <c r="V38" s="4433" t="str">
        <f>IF(V37=0,"",VLOOKUP(V37,Tablas!$K$1129:$M$1267,2,FALSE))</f>
        <v/>
      </c>
      <c r="W38" s="4434"/>
      <c r="X38" s="4434"/>
      <c r="Y38" s="3057" t="s">
        <v>1630</v>
      </c>
      <c r="Z38" s="3059" t="str">
        <f>IF(V37=0,"",VLOOKUP(V37,Tablas!$K$1129:$M$1267,3,FALSE))</f>
        <v/>
      </c>
      <c r="AA38" s="4443"/>
      <c r="AB38" s="4419"/>
      <c r="AC38" s="3067"/>
      <c r="AD38" s="4441"/>
      <c r="AE38" s="4442"/>
      <c r="AF38" s="4442"/>
      <c r="AG38" s="4442"/>
      <c r="AH38" s="4442"/>
      <c r="AI38" s="4440"/>
      <c r="AJ38" s="4416"/>
      <c r="AK38" s="4419" t="str">
        <f>IF(AD38&lt;&gt;"",INDEX(Tablas!$T$26:$T$38,MAX(1+MATCH(VLOOKUP(Psíquicos!$AD38,'Tablas psiquica'!$D$7:$U$145,18,FALSE),'Tablas psiquica'!$I$6:$R$6,0),MAX(SUMPRODUCT(--(Tablas!$S$26:$S$38&lt;=(AL38-20*AI38)))+IF(Tablas!$G$446&gt;0,1,0)+IF(COUNTIF($C$39:$E$50,"Introversión")&gt;0,1,0),SUMPRODUCT(--(Tablas!$S$26:$S$38&lt;=(AL38)))))),"")</f>
        <v/>
      </c>
      <c r="AL38" s="4412">
        <f t="shared" ref="AL38" si="10">$H$11+IF(ISNA(VLOOKUP(AD38,$V$11:$AB$64,7,FALSE)),0,IF(VLOOKUP(AD38,$V$11:$AB$64,7,FALSE)="",0,VLOOKUP(AD38,$V$11:$AB$64,7,FALSE)))+AI38*20+AJ38</f>
        <v>0</v>
      </c>
      <c r="AM38" s="1802"/>
      <c r="AQ38" s="1885"/>
    </row>
    <row r="39" spans="1:43" ht="12" customHeight="1" thickBot="1" x14ac:dyDescent="0.25">
      <c r="A39" s="190"/>
      <c r="B39" s="1799"/>
      <c r="C39" s="4478" t="str">
        <f>IF(PDs!E111=0,"",PDs!E111)</f>
        <v/>
      </c>
      <c r="D39" s="4478"/>
      <c r="E39" s="4478"/>
      <c r="F39" s="4479" t="str">
        <f>IF(C39="","",VLOOKUP(C39,Tablas!$D$1072:$R$1087,15,FALSE))</f>
        <v/>
      </c>
      <c r="G39" s="4479"/>
      <c r="H39" s="4479"/>
      <c r="I39" s="4479"/>
      <c r="J39" s="4479"/>
      <c r="K39" s="4479"/>
      <c r="L39" s="4479"/>
      <c r="M39" s="4479"/>
      <c r="N39" s="4479"/>
      <c r="O39" s="4479"/>
      <c r="P39" s="4479"/>
      <c r="Q39" s="4479"/>
      <c r="R39" s="69"/>
      <c r="S39" s="56"/>
      <c r="T39" s="56"/>
      <c r="U39" s="1973">
        <f>IF(V39=0,0,1)</f>
        <v>0</v>
      </c>
      <c r="V39" s="4428"/>
      <c r="W39" s="4429"/>
      <c r="X39" s="4429"/>
      <c r="Y39" s="4429"/>
      <c r="Z39" s="4429"/>
      <c r="AA39" s="4450"/>
      <c r="AB39" s="4418" t="str">
        <f>IF(AA39=0,"",IF(AA39*10&lt;100,AA39*10,100))</f>
        <v/>
      </c>
      <c r="AC39" s="3068"/>
      <c r="AD39" s="4433" t="str">
        <f>IF(AD38=0,"",VLOOKUP(AD38,Tablas!$K$1129:$M$1267,2,FALSE))</f>
        <v/>
      </c>
      <c r="AE39" s="4434"/>
      <c r="AF39" s="4434"/>
      <c r="AG39" s="3057" t="s">
        <v>1630</v>
      </c>
      <c r="AH39" s="3059" t="str">
        <f>IF(AD38=0,"",VLOOKUP(AD38,Tablas!$K$1129:$M$1267,3,FALSE))</f>
        <v/>
      </c>
      <c r="AI39" s="4440"/>
      <c r="AJ39" s="4416"/>
      <c r="AK39" s="4419"/>
      <c r="AL39" s="4412"/>
      <c r="AM39" s="1802"/>
      <c r="AQ39" s="1885"/>
    </row>
    <row r="40" spans="1:43" ht="12" customHeight="1" x14ac:dyDescent="0.2">
      <c r="A40" s="190"/>
      <c r="B40" s="1799"/>
      <c r="C40" s="4478"/>
      <c r="D40" s="4478"/>
      <c r="E40" s="4478"/>
      <c r="F40" s="3572" t="str">
        <f>IF(C39="","",VLOOKUP(C39,Tablas!$D$1072:$R$1087,7,FALSE))</f>
        <v/>
      </c>
      <c r="G40" s="3572"/>
      <c r="H40" s="3572"/>
      <c r="I40" s="3572"/>
      <c r="J40" s="3572"/>
      <c r="K40" s="3572"/>
      <c r="L40" s="3572"/>
      <c r="M40" s="3572"/>
      <c r="N40" s="3572"/>
      <c r="O40" s="3572"/>
      <c r="P40" s="3572"/>
      <c r="Q40" s="3572"/>
      <c r="R40" s="69"/>
      <c r="S40" s="56"/>
      <c r="T40" s="56"/>
      <c r="U40" s="1973"/>
      <c r="V40" s="4445" t="str">
        <f>IF(V39=0,"",VLOOKUP(V39,Tablas!$K$1129:$M$1267,2,FALSE))</f>
        <v/>
      </c>
      <c r="W40" s="3344"/>
      <c r="X40" s="3344"/>
      <c r="Y40" s="3053" t="s">
        <v>1630</v>
      </c>
      <c r="Z40" s="3058" t="str">
        <f>IF(V39=0,"",VLOOKUP(V39,Tablas!$K$1129:$M$1267,3,FALSE))</f>
        <v/>
      </c>
      <c r="AA40" s="4450"/>
      <c r="AB40" s="4418"/>
      <c r="AC40" s="3068"/>
      <c r="AD40" s="4428"/>
      <c r="AE40" s="4429"/>
      <c r="AF40" s="4429"/>
      <c r="AG40" s="4429"/>
      <c r="AH40" s="4429"/>
      <c r="AI40" s="4444"/>
      <c r="AJ40" s="4415"/>
      <c r="AK40" s="4418" t="str">
        <f>IF(AD40&lt;&gt;"",INDEX(Tablas!$T$26:$T$38,MAX(1+MATCH(VLOOKUP(Psíquicos!$AD40,'Tablas psiquica'!$D$7:$U$145,18,FALSE),'Tablas psiquica'!$I$6:$R$6,0),MAX(SUMPRODUCT(--(Tablas!$S$26:$S$38&lt;=(AL40-20*AI40)))+IF(Tablas!$G$446&gt;0,1,0)+IF(COUNTIF($C$39:$E$50,"Introversión")&gt;0,1,0),SUMPRODUCT(--(Tablas!$S$26:$S$38&lt;=(AL40)))))),"")</f>
        <v/>
      </c>
      <c r="AL40" s="4412">
        <f t="shared" ref="AL40" si="11">$H$11+IF(ISNA(VLOOKUP(AD40,$V$11:$AB$64,7,FALSE)),0,IF(VLOOKUP(AD40,$V$11:$AB$64,7,FALSE)="",0,VLOOKUP(AD40,$V$11:$AB$64,7,FALSE)))+AI40*20+AJ40</f>
        <v>0</v>
      </c>
      <c r="AM40" s="1802"/>
      <c r="AQ40" s="1885"/>
    </row>
    <row r="41" spans="1:43" ht="12" customHeight="1" x14ac:dyDescent="0.2">
      <c r="A41" s="190"/>
      <c r="B41" s="1799"/>
      <c r="C41" s="4480" t="str">
        <f>IF(PDs!E112=0,"",PDs!E112)</f>
        <v/>
      </c>
      <c r="D41" s="4480"/>
      <c r="E41" s="4480"/>
      <c r="F41" s="3572" t="str">
        <f>IF(C41="","",VLOOKUP(C41,Tablas!$D$1072:$R$1087,15,FALSE))</f>
        <v/>
      </c>
      <c r="G41" s="3572"/>
      <c r="H41" s="3572"/>
      <c r="I41" s="3572"/>
      <c r="J41" s="3572"/>
      <c r="K41" s="3572"/>
      <c r="L41" s="3572"/>
      <c r="M41" s="3572"/>
      <c r="N41" s="3572"/>
      <c r="O41" s="3572"/>
      <c r="P41" s="3572"/>
      <c r="Q41" s="3572"/>
      <c r="R41" s="69"/>
      <c r="S41" s="56"/>
      <c r="T41" s="56"/>
      <c r="U41" s="1973">
        <f>IF(V41=0,0,1)</f>
        <v>0</v>
      </c>
      <c r="V41" s="4441"/>
      <c r="W41" s="4442"/>
      <c r="X41" s="4442"/>
      <c r="Y41" s="4442"/>
      <c r="Z41" s="4442"/>
      <c r="AA41" s="4443"/>
      <c r="AB41" s="4419" t="str">
        <f>IF(AA41=0,"",IF(AA41*10&lt;100,AA41*10,100))</f>
        <v/>
      </c>
      <c r="AC41" s="264"/>
      <c r="AD41" s="4445" t="str">
        <f>IF(AD40=0,"",VLOOKUP(AD40,Tablas!$K$1129:$M$1267,2,FALSE))</f>
        <v/>
      </c>
      <c r="AE41" s="3344"/>
      <c r="AF41" s="3344"/>
      <c r="AG41" s="3053" t="s">
        <v>1630</v>
      </c>
      <c r="AH41" s="3058" t="str">
        <f>IF(AD40=0,"",VLOOKUP(AD40,Tablas!$K$1129:$M$1267,3,FALSE))</f>
        <v/>
      </c>
      <c r="AI41" s="4444"/>
      <c r="AJ41" s="4415"/>
      <c r="AK41" s="4418"/>
      <c r="AL41" s="4412"/>
      <c r="AM41" s="1802"/>
      <c r="AQ41" s="1885"/>
    </row>
    <row r="42" spans="1:43" ht="12" customHeight="1" x14ac:dyDescent="0.2">
      <c r="A42" s="190"/>
      <c r="B42" s="1799"/>
      <c r="C42" s="4480"/>
      <c r="D42" s="4480"/>
      <c r="E42" s="4480"/>
      <c r="F42" s="3572" t="str">
        <f>IF(C41="","",VLOOKUP(C41,Tablas!$D$1072:$R$1087,7,FALSE))</f>
        <v/>
      </c>
      <c r="G42" s="3572"/>
      <c r="H42" s="3572"/>
      <c r="I42" s="3572"/>
      <c r="J42" s="3572"/>
      <c r="K42" s="3572"/>
      <c r="L42" s="3572"/>
      <c r="M42" s="3572"/>
      <c r="N42" s="3572"/>
      <c r="O42" s="3572"/>
      <c r="P42" s="3572"/>
      <c r="Q42" s="3572"/>
      <c r="R42" s="69"/>
      <c r="S42" s="56"/>
      <c r="T42" s="56"/>
      <c r="U42" s="1973"/>
      <c r="V42" s="4433" t="str">
        <f>IF(V41=0,"",VLOOKUP(V41,Tablas!$K$1129:$M$1267,2,FALSE))</f>
        <v/>
      </c>
      <c r="W42" s="4434"/>
      <c r="X42" s="4434"/>
      <c r="Y42" s="3057" t="s">
        <v>1630</v>
      </c>
      <c r="Z42" s="3059" t="str">
        <f>IF(V41=0,"",VLOOKUP(V41,Tablas!$K$1129:$M$1267,3,FALSE))</f>
        <v/>
      </c>
      <c r="AA42" s="4443"/>
      <c r="AB42" s="4419"/>
      <c r="AC42" s="264"/>
      <c r="AD42" s="4441"/>
      <c r="AE42" s="4442"/>
      <c r="AF42" s="4442"/>
      <c r="AG42" s="4442"/>
      <c r="AH42" s="4442"/>
      <c r="AI42" s="4440"/>
      <c r="AJ42" s="4416"/>
      <c r="AK42" s="4419" t="str">
        <f>IF(AD42&lt;&gt;"",INDEX(Tablas!$T$26:$T$38,MAX(1+MATCH(VLOOKUP(Psíquicos!$AD42,'Tablas psiquica'!$D$7:$U$145,18,FALSE),'Tablas psiquica'!$I$6:$R$6,0),MAX(SUMPRODUCT(--(Tablas!$S$26:$S$38&lt;=(AL42-20*AI42)))+IF(Tablas!$G$446&gt;0,1,0)+IF(COUNTIF($C$39:$E$50,"Introversión")&gt;0,1,0),SUMPRODUCT(--(Tablas!$S$26:$S$38&lt;=(AL42)))))),"")</f>
        <v/>
      </c>
      <c r="AL42" s="4412">
        <f t="shared" ref="AL42" si="12">$H$11+IF(ISNA(VLOOKUP(AD42,$V$11:$AB$64,7,FALSE)),0,IF(VLOOKUP(AD42,$V$11:$AB$64,7,FALSE)="",0,VLOOKUP(AD42,$V$11:$AB$64,7,FALSE)))+AI42*20+AJ42</f>
        <v>0</v>
      </c>
      <c r="AM42" s="1802"/>
      <c r="AQ42" s="1885"/>
    </row>
    <row r="43" spans="1:43" ht="12" customHeight="1" x14ac:dyDescent="0.2">
      <c r="A43" s="190"/>
      <c r="B43" s="1799"/>
      <c r="C43" s="4480" t="str">
        <f>IF(PDs!E113=0,"",PDs!E113)</f>
        <v/>
      </c>
      <c r="D43" s="4480"/>
      <c r="E43" s="4480"/>
      <c r="F43" s="3572" t="str">
        <f>IF(C43="","",VLOOKUP(C43,Tablas!$D$1072:$R$1087,15,FALSE))</f>
        <v/>
      </c>
      <c r="G43" s="3572"/>
      <c r="H43" s="3572"/>
      <c r="I43" s="3572"/>
      <c r="J43" s="3572"/>
      <c r="K43" s="3572"/>
      <c r="L43" s="3572"/>
      <c r="M43" s="3572"/>
      <c r="N43" s="3572"/>
      <c r="O43" s="3572"/>
      <c r="P43" s="3572"/>
      <c r="Q43" s="3572"/>
      <c r="R43" s="69"/>
      <c r="S43" s="56"/>
      <c r="T43" s="56"/>
      <c r="U43" s="1973">
        <f>IF(V43=0,0,1)</f>
        <v>0</v>
      </c>
      <c r="V43" s="4428"/>
      <c r="W43" s="4429"/>
      <c r="X43" s="4429"/>
      <c r="Y43" s="4429"/>
      <c r="Z43" s="4429"/>
      <c r="AA43" s="4450"/>
      <c r="AB43" s="4418" t="str">
        <f>IF(AA43=0,"",IF(AA43*10&lt;100,AA43*10,100))</f>
        <v/>
      </c>
      <c r="AC43" s="2568"/>
      <c r="AD43" s="4433" t="str">
        <f>IF(AD42=0,"",VLOOKUP(AD42,Tablas!$K$1129:$M$1267,2,FALSE))</f>
        <v/>
      </c>
      <c r="AE43" s="4434"/>
      <c r="AF43" s="4434"/>
      <c r="AG43" s="3057" t="s">
        <v>1630</v>
      </c>
      <c r="AH43" s="3059" t="str">
        <f>IF(AD42=0,"",VLOOKUP(AD42,Tablas!$K$1129:$M$1267,3,FALSE))</f>
        <v/>
      </c>
      <c r="AI43" s="4440"/>
      <c r="AJ43" s="4416"/>
      <c r="AK43" s="4419"/>
      <c r="AL43" s="4412"/>
      <c r="AM43" s="1802"/>
      <c r="AQ43" s="1885"/>
    </row>
    <row r="44" spans="1:43" ht="12" customHeight="1" x14ac:dyDescent="0.2">
      <c r="A44" s="190"/>
      <c r="B44" s="1799"/>
      <c r="C44" s="4480"/>
      <c r="D44" s="4480"/>
      <c r="E44" s="4480"/>
      <c r="F44" s="3572" t="str">
        <f>IF(C43="","",VLOOKUP(C43,Tablas!$D$1072:$R$1087,7,FALSE))</f>
        <v/>
      </c>
      <c r="G44" s="3572"/>
      <c r="H44" s="3572"/>
      <c r="I44" s="3572"/>
      <c r="J44" s="3572"/>
      <c r="K44" s="3572"/>
      <c r="L44" s="3572"/>
      <c r="M44" s="3572"/>
      <c r="N44" s="3572"/>
      <c r="O44" s="3572"/>
      <c r="P44" s="3572"/>
      <c r="Q44" s="3572"/>
      <c r="R44" s="69"/>
      <c r="S44" s="56"/>
      <c r="T44" s="56"/>
      <c r="U44" s="1973"/>
      <c r="V44" s="4445" t="str">
        <f>IF(V43=0,"",VLOOKUP(V43,Tablas!$K$1129:$M$1267,2,FALSE))</f>
        <v/>
      </c>
      <c r="W44" s="3344"/>
      <c r="X44" s="3344"/>
      <c r="Y44" s="3053" t="s">
        <v>1630</v>
      </c>
      <c r="Z44" s="3058" t="str">
        <f>IF(V43=0,"",VLOOKUP(V43,Tablas!$K$1129:$M$1267,3,FALSE))</f>
        <v/>
      </c>
      <c r="AA44" s="4450"/>
      <c r="AB44" s="4418"/>
      <c r="AC44" s="100"/>
      <c r="AD44" s="4428"/>
      <c r="AE44" s="4429"/>
      <c r="AF44" s="4429"/>
      <c r="AG44" s="4429"/>
      <c r="AH44" s="4429"/>
      <c r="AI44" s="4444"/>
      <c r="AJ44" s="4415"/>
      <c r="AK44" s="4418" t="str">
        <f>IF(AD44&lt;&gt;"",INDEX(Tablas!$T$26:$T$38,MAX(1+MATCH(VLOOKUP(Psíquicos!$AD44,'Tablas psiquica'!$D$7:$U$145,18,FALSE),'Tablas psiquica'!$I$6:$R$6,0),MAX(SUMPRODUCT(--(Tablas!$S$26:$S$38&lt;=(AL44-20*AI44)))+IF(Tablas!$G$446&gt;0,1,0)+IF(COUNTIF($C$39:$E$50,"Introversión")&gt;0,1,0),SUMPRODUCT(--(Tablas!$S$26:$S$38&lt;=(AL44)))))),"")</f>
        <v/>
      </c>
      <c r="AL44" s="4412">
        <f t="shared" ref="AL44" si="13">$H$11+IF(ISNA(VLOOKUP(AD44,$V$11:$AB$64,7,FALSE)),0,IF(VLOOKUP(AD44,$V$11:$AB$64,7,FALSE)="",0,VLOOKUP(AD44,$V$11:$AB$64,7,FALSE)))+AI44*20+AJ44</f>
        <v>0</v>
      </c>
      <c r="AM44" s="1802"/>
      <c r="AQ44" s="1885"/>
    </row>
    <row r="45" spans="1:43" ht="12" customHeight="1" x14ac:dyDescent="0.2">
      <c r="A45" s="190"/>
      <c r="B45" s="1799"/>
      <c r="C45" s="4480" t="str">
        <f>IF(PDs!E114=0,"",PDs!E114)</f>
        <v/>
      </c>
      <c r="D45" s="4480"/>
      <c r="E45" s="4480"/>
      <c r="F45" s="3572" t="str">
        <f>IF(C45="","",VLOOKUP(C45,Tablas!$D$1072:$R$1087,15,FALSE))</f>
        <v/>
      </c>
      <c r="G45" s="3572"/>
      <c r="H45" s="3572"/>
      <c r="I45" s="3572"/>
      <c r="J45" s="3572"/>
      <c r="K45" s="3572"/>
      <c r="L45" s="3572"/>
      <c r="M45" s="3572"/>
      <c r="N45" s="3572"/>
      <c r="O45" s="3572"/>
      <c r="P45" s="3572"/>
      <c r="Q45" s="3572"/>
      <c r="R45" s="69"/>
      <c r="S45" s="56"/>
      <c r="T45" s="56"/>
      <c r="U45" s="1973">
        <f>IF(V45=0,0,1)</f>
        <v>0</v>
      </c>
      <c r="V45" s="4441"/>
      <c r="W45" s="4442"/>
      <c r="X45" s="4442"/>
      <c r="Y45" s="4442"/>
      <c r="Z45" s="4442"/>
      <c r="AA45" s="4443"/>
      <c r="AB45" s="4419" t="str">
        <f>IF(AA45=0,"",IF(AA45*10&lt;100,AA45*10,100))</f>
        <v/>
      </c>
      <c r="AC45" s="100"/>
      <c r="AD45" s="4445" t="str">
        <f>IF(AD44=0,"",VLOOKUP(AD44,Tablas!$K$1129:$M$1267,2,FALSE))</f>
        <v/>
      </c>
      <c r="AE45" s="3344"/>
      <c r="AF45" s="3344"/>
      <c r="AG45" s="3053" t="s">
        <v>1630</v>
      </c>
      <c r="AH45" s="3058" t="str">
        <f>IF(AD44=0,"",VLOOKUP(AD44,Tablas!$K$1129:$M$1267,3,FALSE))</f>
        <v/>
      </c>
      <c r="AI45" s="4444"/>
      <c r="AJ45" s="4415"/>
      <c r="AK45" s="4418"/>
      <c r="AL45" s="4412"/>
      <c r="AM45" s="1802"/>
      <c r="AQ45" s="1885"/>
    </row>
    <row r="46" spans="1:43" ht="12" customHeight="1" x14ac:dyDescent="0.2">
      <c r="A46" s="190"/>
      <c r="B46" s="1799"/>
      <c r="C46" s="4480"/>
      <c r="D46" s="4480"/>
      <c r="E46" s="4480"/>
      <c r="F46" s="3572" t="str">
        <f>IF(C45="","",VLOOKUP(C45,Tablas!$D$1072:$R$1087,7,FALSE))</f>
        <v/>
      </c>
      <c r="G46" s="3572"/>
      <c r="H46" s="3572"/>
      <c r="I46" s="3572"/>
      <c r="J46" s="3572"/>
      <c r="K46" s="3572"/>
      <c r="L46" s="3572"/>
      <c r="M46" s="3572"/>
      <c r="N46" s="3572"/>
      <c r="O46" s="3572"/>
      <c r="P46" s="3572"/>
      <c r="Q46" s="3572"/>
      <c r="R46" s="69"/>
      <c r="S46" s="56"/>
      <c r="T46" s="56"/>
      <c r="U46" s="1973"/>
      <c r="V46" s="4433" t="str">
        <f>IF(V45=0,"",VLOOKUP(V45,Tablas!$K$1129:$M$1267,2,FALSE))</f>
        <v/>
      </c>
      <c r="W46" s="4434"/>
      <c r="X46" s="4434"/>
      <c r="Y46" s="3057" t="s">
        <v>1630</v>
      </c>
      <c r="Z46" s="3059" t="str">
        <f>IF(V45=0,"",VLOOKUP(V45,Tablas!$K$1129:$M$1267,3,FALSE))</f>
        <v/>
      </c>
      <c r="AA46" s="4443"/>
      <c r="AB46" s="4419"/>
      <c r="AC46" s="100"/>
      <c r="AD46" s="4441"/>
      <c r="AE46" s="4442"/>
      <c r="AF46" s="4442"/>
      <c r="AG46" s="4442"/>
      <c r="AH46" s="4442"/>
      <c r="AI46" s="4440"/>
      <c r="AJ46" s="4416"/>
      <c r="AK46" s="4419" t="str">
        <f>IF(AD46&lt;&gt;"",INDEX(Tablas!$T$26:$T$38,MAX(1+MATCH(VLOOKUP(Psíquicos!$AD46,'Tablas psiquica'!$D$7:$U$145,18,FALSE),'Tablas psiquica'!$I$6:$R$6,0),MAX(SUMPRODUCT(--(Tablas!$S$26:$S$38&lt;=(AL46-20*AI46)))+IF(Tablas!$G$446&gt;0,1,0)+IF(COUNTIF($C$39:$E$50,"Introversión")&gt;0,1,0),SUMPRODUCT(--(Tablas!$S$26:$S$38&lt;=(AL46)))))),"")</f>
        <v/>
      </c>
      <c r="AL46" s="4412">
        <f t="shared" ref="AL46" si="14">$H$11+IF(ISNA(VLOOKUP(AD46,$V$11:$AB$64,7,FALSE)),0,IF(VLOOKUP(AD46,$V$11:$AB$64,7,FALSE)="",0,VLOOKUP(AD46,$V$11:$AB$64,7,FALSE)))+AI46*20+AJ46</f>
        <v>0</v>
      </c>
      <c r="AM46" s="1802"/>
      <c r="AQ46" s="1885"/>
    </row>
    <row r="47" spans="1:43" ht="12" customHeight="1" x14ac:dyDescent="0.2">
      <c r="A47" s="190"/>
      <c r="B47" s="1799"/>
      <c r="C47" s="4480" t="str">
        <f>IF(PDs!E115=0,"",PDs!E115)</f>
        <v/>
      </c>
      <c r="D47" s="4480"/>
      <c r="E47" s="4480"/>
      <c r="F47" s="3572" t="str">
        <f>IF(C47="","",VLOOKUP(C47,Tablas!$D$1072:$R$1087,15,FALSE))</f>
        <v/>
      </c>
      <c r="G47" s="3572"/>
      <c r="H47" s="3572"/>
      <c r="I47" s="3572"/>
      <c r="J47" s="3572"/>
      <c r="K47" s="3572"/>
      <c r="L47" s="3572"/>
      <c r="M47" s="3572"/>
      <c r="N47" s="3572"/>
      <c r="O47" s="3572"/>
      <c r="P47" s="3572"/>
      <c r="Q47" s="3572"/>
      <c r="R47" s="69"/>
      <c r="S47" s="56"/>
      <c r="T47" s="56"/>
      <c r="U47" s="1973">
        <f>IF(V47=0,0,1)</f>
        <v>0</v>
      </c>
      <c r="V47" s="4428"/>
      <c r="W47" s="4429"/>
      <c r="X47" s="4429"/>
      <c r="Y47" s="4429"/>
      <c r="Z47" s="4429"/>
      <c r="AA47" s="4450"/>
      <c r="AB47" s="4418" t="str">
        <f>IF(AA47=0,"",IF(AA47*10&lt;100,AA47*10,100))</f>
        <v/>
      </c>
      <c r="AC47" s="100"/>
      <c r="AD47" s="4433" t="str">
        <f>IF(AD46=0,"",VLOOKUP(AD46,Tablas!$K$1129:$M$1267,2,FALSE))</f>
        <v/>
      </c>
      <c r="AE47" s="4434"/>
      <c r="AF47" s="4434"/>
      <c r="AG47" s="3057" t="s">
        <v>1630</v>
      </c>
      <c r="AH47" s="3059" t="str">
        <f>IF(AD46=0,"",VLOOKUP(AD46,Tablas!$K$1129:$M$1267,3,FALSE))</f>
        <v/>
      </c>
      <c r="AI47" s="4440"/>
      <c r="AJ47" s="4416"/>
      <c r="AK47" s="4419"/>
      <c r="AL47" s="4412"/>
      <c r="AM47" s="1802"/>
      <c r="AQ47" s="1885"/>
    </row>
    <row r="48" spans="1:43" ht="12" customHeight="1" x14ac:dyDescent="0.2">
      <c r="A48" s="190"/>
      <c r="B48" s="1799"/>
      <c r="C48" s="4480"/>
      <c r="D48" s="4480"/>
      <c r="E48" s="4480"/>
      <c r="F48" s="3572" t="str">
        <f>IF(C47="","",VLOOKUP(C47,Tablas!$D$1072:$R$1087,7,FALSE))</f>
        <v/>
      </c>
      <c r="G48" s="3572"/>
      <c r="H48" s="3572"/>
      <c r="I48" s="3572"/>
      <c r="J48" s="3572"/>
      <c r="K48" s="3572"/>
      <c r="L48" s="3572"/>
      <c r="M48" s="3572"/>
      <c r="N48" s="3572"/>
      <c r="O48" s="3572"/>
      <c r="P48" s="3572"/>
      <c r="Q48" s="3572"/>
      <c r="R48" s="69"/>
      <c r="S48" s="56"/>
      <c r="T48" s="56"/>
      <c r="U48" s="1973"/>
      <c r="V48" s="4445" t="str">
        <f>IF(V47=0,"",VLOOKUP(V47,Tablas!$K$1129:$M$1267,2,FALSE))</f>
        <v/>
      </c>
      <c r="W48" s="3344"/>
      <c r="X48" s="3344"/>
      <c r="Y48" s="3053" t="s">
        <v>1630</v>
      </c>
      <c r="Z48" s="3058" t="str">
        <f>IF(V47=0,"",VLOOKUP(V47,Tablas!$K$1129:$M$1267,3,FALSE))</f>
        <v/>
      </c>
      <c r="AA48" s="4450"/>
      <c r="AB48" s="4418"/>
      <c r="AC48" s="100"/>
      <c r="AD48" s="4428"/>
      <c r="AE48" s="4429"/>
      <c r="AF48" s="4429"/>
      <c r="AG48" s="4429"/>
      <c r="AH48" s="4429"/>
      <c r="AI48" s="4444"/>
      <c r="AJ48" s="4415"/>
      <c r="AK48" s="4418" t="str">
        <f>IF(AD48&lt;&gt;"",INDEX(Tablas!$T$26:$T$38,MAX(1+MATCH(VLOOKUP(Psíquicos!$AD48,'Tablas psiquica'!$D$7:$U$145,18,FALSE),'Tablas psiquica'!$I$6:$R$6,0),MAX(SUMPRODUCT(--(Tablas!$S$26:$S$38&lt;=(AL48-20*AI48)))+IF(Tablas!$G$446&gt;0,1,0)+IF(COUNTIF($C$39:$E$50,"Introversión")&gt;0,1,0),SUMPRODUCT(--(Tablas!$S$26:$S$38&lt;=(AL48)))))),"")</f>
        <v/>
      </c>
      <c r="AL48" s="4412">
        <f t="shared" ref="AL48" si="15">$H$11+IF(ISNA(VLOOKUP(AD48,$V$11:$AB$64,7,FALSE)),0,IF(VLOOKUP(AD48,$V$11:$AB$64,7,FALSE)="",0,VLOOKUP(AD48,$V$11:$AB$64,7,FALSE)))+AI48*20+AJ48</f>
        <v>0</v>
      </c>
      <c r="AM48" s="1802"/>
      <c r="AQ48" s="1885"/>
    </row>
    <row r="49" spans="1:43" ht="12" customHeight="1" thickBot="1" x14ac:dyDescent="0.25">
      <c r="A49" s="190"/>
      <c r="B49" s="1799"/>
      <c r="C49" s="4481" t="str">
        <f>IF(PDs!E116=0,"",PDs!E116)</f>
        <v/>
      </c>
      <c r="D49" s="4481"/>
      <c r="E49" s="4481"/>
      <c r="F49" s="3572" t="str">
        <f>IF(C49="","",VLOOKUP(C49,Tablas!$D$1072:$R$1087,15,FALSE))</f>
        <v/>
      </c>
      <c r="G49" s="3572"/>
      <c r="H49" s="3572"/>
      <c r="I49" s="3572"/>
      <c r="J49" s="3572"/>
      <c r="K49" s="3572"/>
      <c r="L49" s="3572"/>
      <c r="M49" s="3572"/>
      <c r="N49" s="3572"/>
      <c r="O49" s="3572"/>
      <c r="P49" s="3572"/>
      <c r="Q49" s="3572"/>
      <c r="R49" s="69"/>
      <c r="S49" s="56"/>
      <c r="T49" s="56"/>
      <c r="U49" s="1973">
        <f>IF(V49=0,0,1)</f>
        <v>0</v>
      </c>
      <c r="V49" s="4441"/>
      <c r="W49" s="4442"/>
      <c r="X49" s="4442"/>
      <c r="Y49" s="4442"/>
      <c r="Z49" s="4442"/>
      <c r="AA49" s="4443"/>
      <c r="AB49" s="4419" t="str">
        <f>IF(AA49=0,"",IF(AA49*10&lt;100,AA49*10,100))</f>
        <v/>
      </c>
      <c r="AC49" s="100"/>
      <c r="AD49" s="4445" t="str">
        <f>IF(AD48=0,"",VLOOKUP(AD48,Tablas!$K$1129:$M$1267,2,FALSE))</f>
        <v/>
      </c>
      <c r="AE49" s="3344"/>
      <c r="AF49" s="3344"/>
      <c r="AG49" s="3053" t="s">
        <v>1630</v>
      </c>
      <c r="AH49" s="3058" t="str">
        <f>IF(AD48=0,"",VLOOKUP(AD48,Tablas!$K$1129:$M$1267,3,FALSE))</f>
        <v/>
      </c>
      <c r="AI49" s="4444"/>
      <c r="AJ49" s="4415"/>
      <c r="AK49" s="4418"/>
      <c r="AL49" s="4412"/>
      <c r="AM49" s="1802"/>
      <c r="AQ49" s="1885"/>
    </row>
    <row r="50" spans="1:43" ht="12" customHeight="1" thickBot="1" x14ac:dyDescent="0.25">
      <c r="A50" s="190"/>
      <c r="B50" s="1799"/>
      <c r="C50" s="4481"/>
      <c r="D50" s="4481"/>
      <c r="E50" s="4481"/>
      <c r="F50" s="4483" t="str">
        <f>IF(C49="","",VLOOKUP(C49,Tablas!$D$1072:$R$1087,7,FALSE))</f>
        <v/>
      </c>
      <c r="G50" s="4483"/>
      <c r="H50" s="4483"/>
      <c r="I50" s="4483"/>
      <c r="J50" s="4483"/>
      <c r="K50" s="4483"/>
      <c r="L50" s="4483"/>
      <c r="M50" s="4483"/>
      <c r="N50" s="4483"/>
      <c r="O50" s="4483"/>
      <c r="P50" s="4483"/>
      <c r="Q50" s="4483"/>
      <c r="R50" s="69"/>
      <c r="S50" s="56"/>
      <c r="T50" s="56"/>
      <c r="U50" s="1973"/>
      <c r="V50" s="4433" t="str">
        <f>IF(V49=0,"",VLOOKUP(V49,Tablas!$K$1129:$M$1267,2,FALSE))</f>
        <v/>
      </c>
      <c r="W50" s="4434"/>
      <c r="X50" s="4434"/>
      <c r="Y50" s="3057" t="s">
        <v>1630</v>
      </c>
      <c r="Z50" s="3059" t="str">
        <f>IF(V49=0,"",VLOOKUP(V49,Tablas!$K$1129:$M$1267,3,FALSE))</f>
        <v/>
      </c>
      <c r="AA50" s="4443"/>
      <c r="AB50" s="4419"/>
      <c r="AC50" s="100"/>
      <c r="AD50" s="4441"/>
      <c r="AE50" s="4442"/>
      <c r="AF50" s="4442"/>
      <c r="AG50" s="4442"/>
      <c r="AH50" s="4442"/>
      <c r="AI50" s="4440"/>
      <c r="AJ50" s="4416"/>
      <c r="AK50" s="4419" t="str">
        <f>IF(AD50&lt;&gt;"",INDEX(Tablas!$T$26:$T$38,MAX(1+MATCH(VLOOKUP(Psíquicos!$AD50,'Tablas psiquica'!$D$7:$U$145,18,FALSE),'Tablas psiquica'!$I$6:$R$6,0),MAX(SUMPRODUCT(--(Tablas!$S$26:$S$38&lt;=(AL50-20*AI50)))+IF(Tablas!$G$446&gt;0,1,0)+IF(COUNTIF($C$39:$E$50,"Introversión")&gt;0,1,0),SUMPRODUCT(--(Tablas!$S$26:$S$38&lt;=(AL50)))))),"")</f>
        <v/>
      </c>
      <c r="AL50" s="4412">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28"/>
      <c r="W51" s="4429"/>
      <c r="X51" s="4429"/>
      <c r="Y51" s="4429"/>
      <c r="Z51" s="4429"/>
      <c r="AA51" s="4450"/>
      <c r="AB51" s="4418" t="str">
        <f>IF(AA51=0,"",IF(AA51*10&lt;100,AA51*10,100))</f>
        <v/>
      </c>
      <c r="AC51" s="100"/>
      <c r="AD51" s="4433" t="str">
        <f>IF(AD50=0,"",VLOOKUP(AD50,Tablas!$K$1129:$M$1267,2,FALSE))</f>
        <v/>
      </c>
      <c r="AE51" s="4434"/>
      <c r="AF51" s="4434"/>
      <c r="AG51" s="3057" t="s">
        <v>1630</v>
      </c>
      <c r="AH51" s="3059" t="str">
        <f>IF(AD50=0,"",VLOOKUP(AD50,Tablas!$K$1129:$M$1267,3,FALSE))</f>
        <v/>
      </c>
      <c r="AI51" s="4440"/>
      <c r="AJ51" s="4416"/>
      <c r="AK51" s="4419"/>
      <c r="AL51" s="4412"/>
      <c r="AM51" s="1802"/>
      <c r="AQ51" s="1885"/>
    </row>
    <row r="52" spans="1:43" ht="12" customHeight="1" thickBot="1" x14ac:dyDescent="0.25">
      <c r="A52" s="190"/>
      <c r="B52" s="1973"/>
      <c r="C52" s="3183" t="s">
        <v>1789</v>
      </c>
      <c r="D52" s="3183"/>
      <c r="E52" s="3183"/>
      <c r="F52" s="3183"/>
      <c r="G52" s="3183"/>
      <c r="H52" s="3183"/>
      <c r="I52" s="68"/>
      <c r="J52" s="4009" t="s">
        <v>2051</v>
      </c>
      <c r="K52" s="4009"/>
      <c r="L52" s="4009"/>
      <c r="M52" s="4090" t="s">
        <v>2129</v>
      </c>
      <c r="N52" s="4090"/>
      <c r="O52" s="4090"/>
      <c r="P52" s="4090"/>
      <c r="Q52" s="4090"/>
      <c r="R52" s="77"/>
      <c r="S52" s="385"/>
      <c r="T52" s="385"/>
      <c r="U52" s="1973"/>
      <c r="V52" s="4445" t="str">
        <f>IF(V51=0,"",VLOOKUP(V51,Tablas!$K$1129:$M$1267,2,FALSE))</f>
        <v/>
      </c>
      <c r="W52" s="3344"/>
      <c r="X52" s="3344"/>
      <c r="Y52" s="3053" t="s">
        <v>1630</v>
      </c>
      <c r="Z52" s="3058" t="str">
        <f>IF(V51=0,"",VLOOKUP(V51,Tablas!$K$1129:$M$1267,3,FALSE))</f>
        <v/>
      </c>
      <c r="AA52" s="4450"/>
      <c r="AB52" s="4418"/>
      <c r="AC52" s="100"/>
      <c r="AD52" s="4428"/>
      <c r="AE52" s="4429"/>
      <c r="AF52" s="4429"/>
      <c r="AG52" s="4429"/>
      <c r="AH52" s="4429"/>
      <c r="AI52" s="4444"/>
      <c r="AJ52" s="4415"/>
      <c r="AK52" s="4418" t="str">
        <f>IF(AD52&lt;&gt;"",INDEX(Tablas!$T$26:$T$38,MAX(1+MATCH(VLOOKUP(Psíquicos!$AD52,'Tablas psiquica'!$D$7:$U$145,18,FALSE),'Tablas psiquica'!$I$6:$R$6,0),MAX(SUMPRODUCT(--(Tablas!$S$26:$S$38&lt;=(AL52-20*AI52)))+IF(Tablas!$G$446&gt;0,1,0)+IF(COUNTIF($C$39:$E$50,"Introversión")&gt;0,1,0),SUMPRODUCT(--(Tablas!$S$26:$S$38&lt;=(AL52)))))),"")</f>
        <v/>
      </c>
      <c r="AL52" s="4412">
        <f t="shared" ref="AL52" si="17">$H$11+IF(ISNA(VLOOKUP(AD52,$V$11:$AB$64,7,FALSE)),0,IF(VLOOKUP(AD52,$V$11:$AB$64,7,FALSE)="",0,VLOOKUP(AD52,$V$11:$AB$64,7,FALSE)))+AI52*20+AJ52</f>
        <v>0</v>
      </c>
      <c r="AM52" s="1802"/>
      <c r="AQ52" s="1885"/>
    </row>
    <row r="53" spans="1:43" ht="12" customHeight="1" thickBot="1" x14ac:dyDescent="0.25">
      <c r="A53" s="190"/>
      <c r="B53" s="1973"/>
      <c r="C53" s="4482"/>
      <c r="D53" s="4482"/>
      <c r="E53" s="4482"/>
      <c r="F53" s="4482"/>
      <c r="G53" s="4482"/>
      <c r="H53" s="4482"/>
      <c r="I53" s="68"/>
      <c r="J53" s="286">
        <v>20</v>
      </c>
      <c r="K53" s="4080" t="s">
        <v>2055</v>
      </c>
      <c r="L53" s="4080"/>
      <c r="M53" s="4086" t="s">
        <v>2056</v>
      </c>
      <c r="N53" s="4086"/>
      <c r="O53" s="4086"/>
      <c r="P53" s="4086"/>
      <c r="Q53" s="4086"/>
      <c r="R53" s="77"/>
      <c r="S53" s="385"/>
      <c r="T53" s="385"/>
      <c r="U53" s="1973">
        <f>IF(V53=0,0,1)</f>
        <v>0</v>
      </c>
      <c r="V53" s="4441"/>
      <c r="W53" s="4442"/>
      <c r="X53" s="4442"/>
      <c r="Y53" s="4442"/>
      <c r="Z53" s="4442"/>
      <c r="AA53" s="4443"/>
      <c r="AB53" s="4419" t="str">
        <f>IF(AA53=0,"",IF(AA53*10&lt;100,AA53*10,100))</f>
        <v/>
      </c>
      <c r="AC53" s="100"/>
      <c r="AD53" s="4445" t="str">
        <f>IF(AD52=0,"",VLOOKUP(AD52,Tablas!$K$1129:$M$1267,2,FALSE))</f>
        <v/>
      </c>
      <c r="AE53" s="3344"/>
      <c r="AF53" s="3344"/>
      <c r="AG53" s="3053" t="s">
        <v>1630</v>
      </c>
      <c r="AH53" s="3058" t="str">
        <f>IF(AD52=0,"",VLOOKUP(AD52,Tablas!$K$1129:$M$1267,3,FALSE))</f>
        <v/>
      </c>
      <c r="AI53" s="4444"/>
      <c r="AJ53" s="4415"/>
      <c r="AK53" s="4418"/>
      <c r="AL53" s="4412"/>
      <c r="AM53" s="1802"/>
      <c r="AQ53" s="1885"/>
    </row>
    <row r="54" spans="1:43" ht="12" customHeight="1" thickBot="1" x14ac:dyDescent="0.25">
      <c r="A54" s="190"/>
      <c r="B54" s="1973"/>
      <c r="C54" s="4482"/>
      <c r="D54" s="4482"/>
      <c r="E54" s="4482"/>
      <c r="F54" s="4482"/>
      <c r="G54" s="4482"/>
      <c r="H54" s="4482"/>
      <c r="I54" s="68"/>
      <c r="J54" s="286">
        <v>40</v>
      </c>
      <c r="K54" s="4080" t="s">
        <v>2059</v>
      </c>
      <c r="L54" s="4080"/>
      <c r="M54" s="4078" t="s">
        <v>2060</v>
      </c>
      <c r="N54" s="4078"/>
      <c r="O54" s="4078"/>
      <c r="P54" s="4078"/>
      <c r="Q54" s="4078"/>
      <c r="R54" s="77"/>
      <c r="S54" s="385"/>
      <c r="T54" s="385"/>
      <c r="U54" s="1973"/>
      <c r="V54" s="4433" t="str">
        <f>IF(V53=0,"",VLOOKUP(V53,Tablas!$K$1129:$M$1267,2,FALSE))</f>
        <v/>
      </c>
      <c r="W54" s="4434"/>
      <c r="X54" s="4434"/>
      <c r="Y54" s="3057" t="s">
        <v>1630</v>
      </c>
      <c r="Z54" s="3059" t="str">
        <f>IF(V53=0,"",VLOOKUP(V53,Tablas!$K$1129:$M$1267,3,FALSE))</f>
        <v/>
      </c>
      <c r="AA54" s="4443"/>
      <c r="AB54" s="4419"/>
      <c r="AC54" s="100"/>
      <c r="AD54" s="4441"/>
      <c r="AE54" s="4442"/>
      <c r="AF54" s="4442"/>
      <c r="AG54" s="4442"/>
      <c r="AH54" s="4442"/>
      <c r="AI54" s="4440"/>
      <c r="AJ54" s="4416"/>
      <c r="AK54" s="4419" t="str">
        <f>IF(AD54&lt;&gt;"",INDEX(Tablas!$T$26:$T$38,MAX(1+MATCH(VLOOKUP(Psíquicos!$AD54,'Tablas psiquica'!$D$7:$U$145,18,FALSE),'Tablas psiquica'!$I$6:$R$6,0),MAX(SUMPRODUCT(--(Tablas!$S$26:$S$38&lt;=(AL54-20*AI54)))+IF(Tablas!$G$446&gt;0,1,0)+IF(COUNTIF($C$39:$E$50,"Introversión")&gt;0,1,0),SUMPRODUCT(--(Tablas!$S$26:$S$38&lt;=(AL54)))))),"")</f>
        <v/>
      </c>
      <c r="AL54" s="4412">
        <f t="shared" ref="AL54" si="18">$H$11+IF(ISNA(VLOOKUP(AD54,$V$11:$AB$64,7,FALSE)),0,IF(VLOOKUP(AD54,$V$11:$AB$64,7,FALSE)="",0,VLOOKUP(AD54,$V$11:$AB$64,7,FALSE)))+AI54*20+AJ54</f>
        <v>0</v>
      </c>
      <c r="AM54" s="1802"/>
      <c r="AQ54" s="1885"/>
    </row>
    <row r="55" spans="1:43" ht="12" customHeight="1" thickBot="1" x14ac:dyDescent="0.25">
      <c r="A55" s="190"/>
      <c r="B55" s="1973"/>
      <c r="C55" s="4482"/>
      <c r="D55" s="4482"/>
      <c r="E55" s="4482"/>
      <c r="F55" s="4482"/>
      <c r="G55" s="4482"/>
      <c r="H55" s="4482"/>
      <c r="I55" s="68"/>
      <c r="J55" s="286">
        <v>80</v>
      </c>
      <c r="K55" s="4080" t="s">
        <v>2062</v>
      </c>
      <c r="L55" s="4080"/>
      <c r="M55" s="4078" t="s">
        <v>2063</v>
      </c>
      <c r="N55" s="4078"/>
      <c r="O55" s="4078"/>
      <c r="P55" s="4078"/>
      <c r="Q55" s="4078"/>
      <c r="R55" s="77"/>
      <c r="S55" s="385"/>
      <c r="T55" s="385"/>
      <c r="U55" s="1973">
        <f>IF(V55=0,0,1)</f>
        <v>0</v>
      </c>
      <c r="V55" s="4428"/>
      <c r="W55" s="4429"/>
      <c r="X55" s="4429"/>
      <c r="Y55" s="4429"/>
      <c r="Z55" s="4429"/>
      <c r="AA55" s="4450"/>
      <c r="AB55" s="4418" t="str">
        <f>IF(AA55=0,"",IF(AA55*10&lt;100,AA55*10,100))</f>
        <v/>
      </c>
      <c r="AC55" s="100"/>
      <c r="AD55" s="4433" t="str">
        <f>IF(AD54=0,"",VLOOKUP(AD54,Tablas!$K$1129:$M$1267,2,FALSE))</f>
        <v/>
      </c>
      <c r="AE55" s="4434"/>
      <c r="AF55" s="4434"/>
      <c r="AG55" s="3057" t="s">
        <v>1630</v>
      </c>
      <c r="AH55" s="3059" t="str">
        <f>IF(AD54=0,"",VLOOKUP(AD54,Tablas!$K$1129:$M$1267,3,FALSE))</f>
        <v/>
      </c>
      <c r="AI55" s="4440"/>
      <c r="AJ55" s="4416"/>
      <c r="AK55" s="4419"/>
      <c r="AL55" s="4412"/>
      <c r="AM55" s="1802"/>
      <c r="AQ55" s="1885"/>
    </row>
    <row r="56" spans="1:43" ht="12" customHeight="1" thickBot="1" x14ac:dyDescent="0.25">
      <c r="A56" s="190"/>
      <c r="B56" s="1973"/>
      <c r="C56" s="4482"/>
      <c r="D56" s="4482"/>
      <c r="E56" s="4482"/>
      <c r="F56" s="4482"/>
      <c r="G56" s="4482"/>
      <c r="H56" s="4482"/>
      <c r="I56" s="68"/>
      <c r="J56" s="286">
        <v>120</v>
      </c>
      <c r="K56" s="4080" t="s">
        <v>2066</v>
      </c>
      <c r="L56" s="4080"/>
      <c r="M56" s="4078" t="s">
        <v>2154</v>
      </c>
      <c r="N56" s="4078"/>
      <c r="O56" s="4078"/>
      <c r="P56" s="4078"/>
      <c r="Q56" s="4078"/>
      <c r="R56" s="77"/>
      <c r="S56" s="385"/>
      <c r="T56" s="385"/>
      <c r="U56" s="1973"/>
      <c r="V56" s="4445" t="str">
        <f>IF(V55=0,"",VLOOKUP(V55,Tablas!$K$1129:$M$1267,2,FALSE))</f>
        <v/>
      </c>
      <c r="W56" s="3344"/>
      <c r="X56" s="3344"/>
      <c r="Y56" s="3053" t="s">
        <v>1630</v>
      </c>
      <c r="Z56" s="3058" t="str">
        <f>IF(V55=0,"",VLOOKUP(V55,Tablas!$K$1129:$M$1267,3,FALSE))</f>
        <v/>
      </c>
      <c r="AA56" s="4450"/>
      <c r="AB56" s="4418"/>
      <c r="AC56" s="100"/>
      <c r="AD56" s="4428"/>
      <c r="AE56" s="4429"/>
      <c r="AF56" s="4429"/>
      <c r="AG56" s="4429"/>
      <c r="AH56" s="4429"/>
      <c r="AI56" s="4444"/>
      <c r="AJ56" s="4415"/>
      <c r="AK56" s="4418" t="str">
        <f>IF(AD56&lt;&gt;"",INDEX(Tablas!$T$26:$T$38,MAX(1+MATCH(VLOOKUP(Psíquicos!$AD56,'Tablas psiquica'!$D$7:$U$145,18,FALSE),'Tablas psiquica'!$I$6:$R$6,0),MAX(SUMPRODUCT(--(Tablas!$S$26:$S$38&lt;=(AL56-20*AI56)))+IF(Tablas!$G$446&gt;0,1,0)+IF(COUNTIF($C$39:$E$50,"Introversión")&gt;0,1,0),SUMPRODUCT(--(Tablas!$S$26:$S$38&lt;=(AL56)))))),"")</f>
        <v/>
      </c>
      <c r="AL56" s="4412">
        <f t="shared" ref="AL56" si="19">$H$11+IF(ISNA(VLOOKUP(AD56,$V$11:$AB$64,7,FALSE)),0,IF(VLOOKUP(AD56,$V$11:$AB$64,7,FALSE)="",0,VLOOKUP(AD56,$V$11:$AB$64,7,FALSE)))+AI56*20+AJ56</f>
        <v>0</v>
      </c>
      <c r="AM56" s="1802"/>
      <c r="AQ56" s="1885"/>
    </row>
    <row r="57" spans="1:43" ht="12" customHeight="1" thickBot="1" x14ac:dyDescent="0.25">
      <c r="A57" s="190"/>
      <c r="B57" s="1973"/>
      <c r="C57" s="4482"/>
      <c r="D57" s="4482"/>
      <c r="E57" s="4482"/>
      <c r="F57" s="4482"/>
      <c r="G57" s="4482"/>
      <c r="H57" s="4482"/>
      <c r="I57" s="68"/>
      <c r="J57" s="286">
        <v>140</v>
      </c>
      <c r="K57" s="4080" t="s">
        <v>2068</v>
      </c>
      <c r="L57" s="4080"/>
      <c r="M57" s="4078" t="s">
        <v>2155</v>
      </c>
      <c r="N57" s="4078"/>
      <c r="O57" s="4078"/>
      <c r="P57" s="4078"/>
      <c r="Q57" s="4078"/>
      <c r="R57" s="77"/>
      <c r="S57" s="385"/>
      <c r="T57" s="385"/>
      <c r="U57" s="1973">
        <f>IF(V57=0,0,1)</f>
        <v>0</v>
      </c>
      <c r="V57" s="4441"/>
      <c r="W57" s="4442"/>
      <c r="X57" s="4442"/>
      <c r="Y57" s="4442"/>
      <c r="Z57" s="4442"/>
      <c r="AA57" s="4443"/>
      <c r="AB57" s="4419" t="str">
        <f>IF(AA57=0,"",IF(AA57*10&lt;100,AA57*10,100))</f>
        <v/>
      </c>
      <c r="AC57" s="68"/>
      <c r="AD57" s="4445" t="str">
        <f>IF(AD56=0,"",VLOOKUP(AD56,Tablas!$K$1129:$M$1267,2,FALSE))</f>
        <v/>
      </c>
      <c r="AE57" s="3344"/>
      <c r="AF57" s="3344"/>
      <c r="AG57" s="3053" t="s">
        <v>1630</v>
      </c>
      <c r="AH57" s="3058" t="str">
        <f>IF(AD56=0,"",VLOOKUP(AD56,Tablas!$K$1129:$M$1267,3,FALSE))</f>
        <v/>
      </c>
      <c r="AI57" s="4444"/>
      <c r="AJ57" s="4415"/>
      <c r="AK57" s="4418"/>
      <c r="AL57" s="4412"/>
      <c r="AM57" s="1802"/>
      <c r="AQ57" s="1885"/>
    </row>
    <row r="58" spans="1:43" ht="12" customHeight="1" thickBot="1" x14ac:dyDescent="0.25">
      <c r="A58" s="190"/>
      <c r="B58" s="1973"/>
      <c r="C58" s="4482"/>
      <c r="D58" s="4482"/>
      <c r="E58" s="4482"/>
      <c r="F58" s="4482"/>
      <c r="G58" s="4482"/>
      <c r="H58" s="4482"/>
      <c r="I58" s="68"/>
      <c r="J58" s="286">
        <v>180</v>
      </c>
      <c r="K58" s="4080" t="s">
        <v>2071</v>
      </c>
      <c r="L58" s="4080"/>
      <c r="M58" s="4078" t="s">
        <v>2156</v>
      </c>
      <c r="N58" s="4078"/>
      <c r="O58" s="4078"/>
      <c r="P58" s="4078"/>
      <c r="Q58" s="4078"/>
      <c r="R58" s="77"/>
      <c r="S58" s="385"/>
      <c r="T58" s="385"/>
      <c r="U58" s="1973"/>
      <c r="V58" s="4433" t="str">
        <f>IF(V57=0,"",VLOOKUP(V57,Tablas!$K$1129:$M$1267,2,FALSE))</f>
        <v/>
      </c>
      <c r="W58" s="4434"/>
      <c r="X58" s="4434"/>
      <c r="Y58" s="3057" t="s">
        <v>1630</v>
      </c>
      <c r="Z58" s="3059" t="str">
        <f>IF(V57=0,"",VLOOKUP(V57,Tablas!$K$1129:$M$1267,3,FALSE))</f>
        <v/>
      </c>
      <c r="AA58" s="4443"/>
      <c r="AB58" s="4419"/>
      <c r="AC58" s="218"/>
      <c r="AD58" s="4441"/>
      <c r="AE58" s="4442"/>
      <c r="AF58" s="4442"/>
      <c r="AG58" s="4442"/>
      <c r="AH58" s="4442"/>
      <c r="AI58" s="4440"/>
      <c r="AJ58" s="4416"/>
      <c r="AK58" s="4419" t="str">
        <f>IF(AD58&lt;&gt;"",INDEX(Tablas!$T$26:$T$38,MAX(1+MATCH(VLOOKUP(Psíquicos!$AD58,'Tablas psiquica'!$D$7:$U$145,18,FALSE),'Tablas psiquica'!$I$6:$R$6,0),MAX(SUMPRODUCT(--(Tablas!$S$26:$S$38&lt;=(AL58-20*AI58)))+IF(Tablas!$G$446&gt;0,1,0)+IF(COUNTIF($C$39:$E$50,"Introversión")&gt;0,1,0),SUMPRODUCT(--(Tablas!$S$26:$S$38&lt;=(AL58)))))),"")</f>
        <v/>
      </c>
      <c r="AL58" s="4412">
        <f t="shared" ref="AL58" si="20">$H$11+IF(ISNA(VLOOKUP(AD58,$V$11:$AB$64,7,FALSE)),0,IF(VLOOKUP(AD58,$V$11:$AB$64,7,FALSE)="",0,VLOOKUP(AD58,$V$11:$AB$64,7,FALSE)))+AI58*20+AJ58</f>
        <v>0</v>
      </c>
      <c r="AM58" s="1802"/>
      <c r="AQ58" s="1885"/>
    </row>
    <row r="59" spans="1:43" ht="12" customHeight="1" thickBot="1" x14ac:dyDescent="0.25">
      <c r="A59" s="190"/>
      <c r="B59" s="1973"/>
      <c r="C59" s="4482"/>
      <c r="D59" s="4482"/>
      <c r="E59" s="4482"/>
      <c r="F59" s="4482"/>
      <c r="G59" s="4482"/>
      <c r="H59" s="4482"/>
      <c r="I59" s="68"/>
      <c r="J59" s="286">
        <v>240</v>
      </c>
      <c r="K59" s="4080" t="s">
        <v>2073</v>
      </c>
      <c r="L59" s="4080"/>
      <c r="M59" s="4078" t="s">
        <v>2157</v>
      </c>
      <c r="N59" s="4078"/>
      <c r="O59" s="4078"/>
      <c r="P59" s="4078"/>
      <c r="Q59" s="4078"/>
      <c r="R59" s="77"/>
      <c r="S59" s="385"/>
      <c r="T59" s="385"/>
      <c r="U59" s="1973">
        <f>IF(V59=0,0,1)</f>
        <v>0</v>
      </c>
      <c r="V59" s="4428"/>
      <c r="W59" s="4429"/>
      <c r="X59" s="4429"/>
      <c r="Y59" s="4429"/>
      <c r="Z59" s="4429"/>
      <c r="AA59" s="4450"/>
      <c r="AB59" s="4418" t="str">
        <f>IF(AA59=0,"",IF(AA59*10&lt;100,AA59*10,100))</f>
        <v/>
      </c>
      <c r="AC59" s="68"/>
      <c r="AD59" s="4433" t="str">
        <f>IF(AD58=0,"",VLOOKUP(AD58,Tablas!$K$1129:$M$1267,2,FALSE))</f>
        <v/>
      </c>
      <c r="AE59" s="4434"/>
      <c r="AF59" s="4434"/>
      <c r="AG59" s="3057" t="s">
        <v>1630</v>
      </c>
      <c r="AH59" s="3059" t="str">
        <f>IF(AD58=0,"",VLOOKUP(AD58,Tablas!$K$1129:$M$1267,3,FALSE))</f>
        <v/>
      </c>
      <c r="AI59" s="4440"/>
      <c r="AJ59" s="4416"/>
      <c r="AK59" s="4419"/>
      <c r="AL59" s="4412"/>
      <c r="AM59" s="1802"/>
      <c r="AQ59" s="1885"/>
    </row>
    <row r="60" spans="1:43" ht="12" customHeight="1" thickBot="1" x14ac:dyDescent="0.25">
      <c r="A60" s="190"/>
      <c r="B60" s="1973"/>
      <c r="C60" s="4482"/>
      <c r="D60" s="4482"/>
      <c r="E60" s="4482"/>
      <c r="F60" s="4482"/>
      <c r="G60" s="4482"/>
      <c r="H60" s="4482"/>
      <c r="I60" s="68"/>
      <c r="J60" s="286">
        <v>280</v>
      </c>
      <c r="K60" s="4080" t="s">
        <v>2076</v>
      </c>
      <c r="L60" s="4080"/>
      <c r="M60" s="4078" t="s">
        <v>2158</v>
      </c>
      <c r="N60" s="4078"/>
      <c r="O60" s="4078"/>
      <c r="P60" s="4078"/>
      <c r="Q60" s="4078"/>
      <c r="R60" s="77"/>
      <c r="S60" s="385"/>
      <c r="T60" s="385"/>
      <c r="U60" s="1973"/>
      <c r="V60" s="4445" t="str">
        <f>IF(V59=0,"",VLOOKUP(V59,Tablas!$K$1129:$M$1267,2,FALSE))</f>
        <v/>
      </c>
      <c r="W60" s="3344"/>
      <c r="X60" s="3344"/>
      <c r="Y60" s="3053" t="s">
        <v>1630</v>
      </c>
      <c r="Z60" s="3058" t="str">
        <f>IF(V59=0,"",VLOOKUP(V59,Tablas!$K$1129:$M$1267,3,FALSE))</f>
        <v/>
      </c>
      <c r="AA60" s="4450"/>
      <c r="AB60" s="4418"/>
      <c r="AC60" s="68"/>
      <c r="AD60" s="4428"/>
      <c r="AE60" s="4429"/>
      <c r="AF60" s="4429"/>
      <c r="AG60" s="4429"/>
      <c r="AH60" s="4429"/>
      <c r="AI60" s="4444"/>
      <c r="AJ60" s="4415"/>
      <c r="AK60" s="4418" t="str">
        <f>IF(AD60&lt;&gt;"",INDEX(Tablas!$T$26:$T$38,MAX(1+MATCH(VLOOKUP(Psíquicos!$AD60,'Tablas psiquica'!$D$7:$U$145,18,FALSE),'Tablas psiquica'!$I$6:$R$6,0),MAX(SUMPRODUCT(--(Tablas!$S$26:$S$38&lt;=(AL60-20*AI60)))+IF(Tablas!$G$446&gt;0,1,0)+IF(COUNTIF($C$39:$E$50,"Introversión")&gt;0,1,0),SUMPRODUCT(--(Tablas!$S$26:$S$38&lt;=(AL60)))))),"")</f>
        <v/>
      </c>
      <c r="AL60" s="4412">
        <f t="shared" ref="AL60" si="21">$H$11+IF(ISNA(VLOOKUP(AD60,$V$11:$AB$64,7,FALSE)),0,IF(VLOOKUP(AD60,$V$11:$AB$64,7,FALSE)="",0,VLOOKUP(AD60,$V$11:$AB$64,7,FALSE)))+AI60*20+AJ60</f>
        <v>0</v>
      </c>
      <c r="AM60" s="1802"/>
      <c r="AQ60" s="1885"/>
    </row>
    <row r="61" spans="1:43" ht="12" customHeight="1" thickBot="1" x14ac:dyDescent="0.25">
      <c r="A61" s="190"/>
      <c r="B61" s="1973"/>
      <c r="C61" s="4482"/>
      <c r="D61" s="4482"/>
      <c r="E61" s="4482"/>
      <c r="F61" s="4482"/>
      <c r="G61" s="4482"/>
      <c r="H61" s="4482"/>
      <c r="I61" s="68"/>
      <c r="J61" s="286">
        <v>320</v>
      </c>
      <c r="K61" s="4080" t="s">
        <v>2078</v>
      </c>
      <c r="L61" s="4080"/>
      <c r="M61" s="4078" t="s">
        <v>1769</v>
      </c>
      <c r="N61" s="4078"/>
      <c r="O61" s="4078"/>
      <c r="P61" s="4078"/>
      <c r="Q61" s="4078"/>
      <c r="R61" s="77"/>
      <c r="S61" s="385"/>
      <c r="T61" s="385"/>
      <c r="U61" s="1973">
        <f>IF(V61=0,0,1)</f>
        <v>0</v>
      </c>
      <c r="V61" s="4441"/>
      <c r="W61" s="4442"/>
      <c r="X61" s="4442"/>
      <c r="Y61" s="4442"/>
      <c r="Z61" s="4442"/>
      <c r="AA61" s="4443"/>
      <c r="AB61" s="4419" t="str">
        <f>IF(AA61=0,"",IF(AA61*10&lt;100,AA61*10,100))</f>
        <v/>
      </c>
      <c r="AC61" s="68"/>
      <c r="AD61" s="4430" t="str">
        <f>IF(AD60=0,"",VLOOKUP(AD60,Tablas!$K$1129:$M$1267,2,FALSE))</f>
        <v/>
      </c>
      <c r="AE61" s="4431"/>
      <c r="AF61" s="4431"/>
      <c r="AG61" s="3055" t="s">
        <v>1630</v>
      </c>
      <c r="AH61" s="1374" t="str">
        <f>IF(AD60=0,"",VLOOKUP(AD60,Tablas!$K$1129:$M$1267,3,FALSE))</f>
        <v/>
      </c>
      <c r="AI61" s="4487"/>
      <c r="AJ61" s="4417"/>
      <c r="AK61" s="4407"/>
      <c r="AL61" s="4412"/>
      <c r="AM61" s="1802"/>
      <c r="AQ61" s="1885"/>
    </row>
    <row r="62" spans="1:43" ht="12" customHeight="1" thickBot="1" x14ac:dyDescent="0.25">
      <c r="A62" s="190"/>
      <c r="B62" s="1973"/>
      <c r="C62" s="4482"/>
      <c r="D62" s="4482"/>
      <c r="E62" s="4482"/>
      <c r="F62" s="4482"/>
      <c r="G62" s="4482"/>
      <c r="H62" s="4482"/>
      <c r="I62" s="68"/>
      <c r="J62" s="289">
        <v>440</v>
      </c>
      <c r="K62" s="4488" t="s">
        <v>2012</v>
      </c>
      <c r="L62" s="4488"/>
      <c r="M62" s="4489" t="s">
        <v>1769</v>
      </c>
      <c r="N62" s="4489"/>
      <c r="O62" s="4489"/>
      <c r="P62" s="4489"/>
      <c r="Q62" s="4489"/>
      <c r="R62" s="77"/>
      <c r="S62" s="385"/>
      <c r="T62" s="385"/>
      <c r="U62" s="1973"/>
      <c r="V62" s="4433" t="str">
        <f>IF(V61=0,"",VLOOKUP(V61,Tablas!$K$1129:$M$1267,2,FALSE))</f>
        <v/>
      </c>
      <c r="W62" s="4434"/>
      <c r="X62" s="4434"/>
      <c r="Y62" s="3057" t="s">
        <v>1630</v>
      </c>
      <c r="Z62" s="3059" t="str">
        <f>IF(V61=0,"",VLOOKUP(V61,Tablas!$K$1129:$M$1267,3,FALSE))</f>
        <v/>
      </c>
      <c r="AA62" s="4443"/>
      <c r="AB62" s="4419"/>
      <c r="AC62" s="68"/>
      <c r="AD62" s="68"/>
      <c r="AE62" s="68"/>
      <c r="AF62" s="68"/>
      <c r="AG62" s="68"/>
      <c r="AH62" s="68"/>
      <c r="AI62" s="68"/>
      <c r="AJ62" s="68"/>
      <c r="AK62" s="100"/>
      <c r="AL62" s="2105"/>
      <c r="AM62" s="1802"/>
      <c r="AQ62" s="1885"/>
    </row>
    <row r="63" spans="1:43" ht="12" customHeight="1" thickBot="1" x14ac:dyDescent="0.25">
      <c r="A63" s="190"/>
      <c r="B63" s="1973"/>
      <c r="C63" s="4482"/>
      <c r="D63" s="4482"/>
      <c r="E63" s="4482"/>
      <c r="F63" s="4482"/>
      <c r="G63" s="4482"/>
      <c r="H63" s="4482"/>
      <c r="I63" s="68"/>
      <c r="J63" s="4095"/>
      <c r="K63" s="4095"/>
      <c r="L63" s="4095"/>
      <c r="M63" s="4095"/>
      <c r="N63" s="4095"/>
      <c r="O63" s="4095"/>
      <c r="P63" s="4095"/>
      <c r="Q63" s="4095"/>
      <c r="R63" s="77"/>
      <c r="S63" s="385"/>
      <c r="T63" s="385"/>
      <c r="U63" s="1973">
        <f>IF(V63=0,0,1)</f>
        <v>0</v>
      </c>
      <c r="V63" s="4428"/>
      <c r="W63" s="4429"/>
      <c r="X63" s="4429"/>
      <c r="Y63" s="4429"/>
      <c r="Z63" s="4429"/>
      <c r="AA63" s="4484"/>
      <c r="AB63" s="4486"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2"/>
      <c r="D64" s="4482"/>
      <c r="E64" s="4482"/>
      <c r="F64" s="4482"/>
      <c r="G64" s="4482"/>
      <c r="H64" s="4482"/>
      <c r="I64" s="68"/>
      <c r="J64" s="4095"/>
      <c r="K64" s="4095"/>
      <c r="L64" s="4095"/>
      <c r="M64" s="4095"/>
      <c r="N64" s="4095"/>
      <c r="O64" s="4095"/>
      <c r="P64" s="4095"/>
      <c r="Q64" s="4095"/>
      <c r="R64" s="69"/>
      <c r="S64" s="56"/>
      <c r="T64" s="56"/>
      <c r="U64" s="2482"/>
      <c r="V64" s="4430" t="str">
        <f>IF(V63=0,"",VLOOKUP(V63,Tablas!$K$1129:$M$1267,2,FALSE))</f>
        <v/>
      </c>
      <c r="W64" s="4431"/>
      <c r="X64" s="4431"/>
      <c r="Y64" s="3055" t="s">
        <v>1630</v>
      </c>
      <c r="Z64" s="1374" t="str">
        <f>IF(V63=0,"",VLOOKUP(V63,Tablas!$K$1129:$M$1267,3,FALSE))</f>
        <v/>
      </c>
      <c r="AA64" s="4485"/>
      <c r="AB64" s="4407"/>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499" priority="58" stopIfTrue="1">
      <formula>NOT(OR(A1=$C$25,A1=$C$27,A1=$C$29,A1=$C$31,A1=$C$33,A1=$C$35))</formula>
    </cfRule>
  </conditionalFormatting>
  <conditionalFormatting sqref="E12:F13">
    <cfRule type="cellIs" dxfId="498" priority="59" stopIfTrue="1" operator="greaterThan">
      <formula>$C$12</formula>
    </cfRule>
  </conditionalFormatting>
  <conditionalFormatting sqref="V18:X18 V20:X20">
    <cfRule type="expression" dxfId="497" priority="57" stopIfTrue="1">
      <formula>NOT(OR(A7=$C$25,A7=$C$27,A7=$C$29,A7=$C$31,A7=$C$33,A7=$C$35))</formula>
    </cfRule>
  </conditionalFormatting>
  <conditionalFormatting sqref="V22:X22 V24:X24">
    <cfRule type="expression" dxfId="496" priority="56" stopIfTrue="1">
      <formula>NOT(OR(A11=$C$25,A11=$C$27,A11=$C$29,A11=$C$31,A11=$C$33,A11=$C$35))</formula>
    </cfRule>
  </conditionalFormatting>
  <conditionalFormatting sqref="V26:X26 V28:X28">
    <cfRule type="expression" dxfId="495" priority="55" stopIfTrue="1">
      <formula>NOT(OR(A15=$C$25,A15=$C$27,A15=$C$29,A15=$C$31,A15=$C$33,A15=$C$35))</formula>
    </cfRule>
  </conditionalFormatting>
  <conditionalFormatting sqref="V30:X30 V32:X32">
    <cfRule type="expression" dxfId="494" priority="54" stopIfTrue="1">
      <formula>NOT(OR(A19=$C$25,A19=$C$27,A19=$C$29,A19=$C$31,A19=$C$33,A19=$C$35))</formula>
    </cfRule>
  </conditionalFormatting>
  <conditionalFormatting sqref="V34:X34 V36:X36">
    <cfRule type="expression" dxfId="493" priority="53" stopIfTrue="1">
      <formula>NOT(OR(A23=$C$25,A23=$C$27,A23=$C$29,A23=$C$31,A23=$C$33,A23=$C$35))</formula>
    </cfRule>
  </conditionalFormatting>
  <conditionalFormatting sqref="V38:X38 V40:X40">
    <cfRule type="expression" dxfId="492" priority="52" stopIfTrue="1">
      <formula>NOT(OR(A27=$C$25,A27=$C$27,A27=$C$29,A27=$C$31,A27=$C$33,A27=$C$35))</formula>
    </cfRule>
  </conditionalFormatting>
  <conditionalFormatting sqref="V42:X42 V44:X44">
    <cfRule type="expression" dxfId="491" priority="51" stopIfTrue="1">
      <formula>NOT(OR(A31=$C$25,A31=$C$27,A31=$C$29,A31=$C$31,A31=$C$33,A31=$C$35))</formula>
    </cfRule>
  </conditionalFormatting>
  <conditionalFormatting sqref="V46:X46 V48:X48">
    <cfRule type="expression" dxfId="490" priority="50" stopIfTrue="1">
      <formula>NOT(OR(A35=$C$25,A35=$C$27,A35=$C$29,A35=$C$31,A35=$C$33,A35=$C$35))</formula>
    </cfRule>
  </conditionalFormatting>
  <conditionalFormatting sqref="V50:X50 V52:X52">
    <cfRule type="expression" dxfId="489" priority="49" stopIfTrue="1">
      <formula>NOT(OR(A39=$C$25,A39=$C$27,A39=$C$29,A39=$C$31,A39=$C$33,A39=$C$35))</formula>
    </cfRule>
  </conditionalFormatting>
  <conditionalFormatting sqref="V54:X54 V56:X56">
    <cfRule type="expression" dxfId="488" priority="48" stopIfTrue="1">
      <formula>NOT(OR(A43=$C$25,A43=$C$27,A43=$C$29,A43=$C$31,A43=$C$33,A43=$C$35))</formula>
    </cfRule>
  </conditionalFormatting>
  <conditionalFormatting sqref="V58:X58 V60:X60">
    <cfRule type="expression" dxfId="487" priority="47" stopIfTrue="1">
      <formula>NOT(OR(A47=$C$25,A47=$C$27,A47=$C$29,A47=$C$31,A47=$C$33,A47=$C$35))</formula>
    </cfRule>
  </conditionalFormatting>
  <conditionalFormatting sqref="V62:X62 V64:X64">
    <cfRule type="expression" dxfId="486"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5" priority="32" stopIfTrue="1">
      <formula>NOT(OR(I1=$C$25,I1=$C$27,I1=$C$29,I1=$C$31,I1=$C$33,I1=$C$35))</formula>
    </cfRule>
  </conditionalFormatting>
  <conditionalFormatting sqref="AD23:AF23">
    <cfRule type="expression" dxfId="484" priority="19" stopIfTrue="1">
      <formula>NOT(OR(I7=$C$25,I7=$C$27,I7=$C$29,I7=$C$31,I7=$C$33,I7=$C$35))</formula>
    </cfRule>
  </conditionalFormatting>
  <conditionalFormatting sqref="AD27:AF27">
    <cfRule type="expression" dxfId="483" priority="18" stopIfTrue="1">
      <formula>NOT(OR(I11=$C$25,I11=$C$27,I11=$C$29,I11=$C$31,I11=$C$33,I11=$C$35))</formula>
    </cfRule>
  </conditionalFormatting>
  <conditionalFormatting sqref="AD31:AF31">
    <cfRule type="expression" dxfId="482" priority="17" stopIfTrue="1">
      <formula>NOT(OR(I15=$C$25,I15=$C$27,I15=$C$29,I15=$C$31,I15=$C$33,I15=$C$35))</formula>
    </cfRule>
  </conditionalFormatting>
  <conditionalFormatting sqref="AD35:AF35">
    <cfRule type="expression" dxfId="481" priority="16" stopIfTrue="1">
      <formula>NOT(OR(I19=$C$25,I19=$C$27,I19=$C$29,I19=$C$31,I19=$C$33,I19=$C$35))</formula>
    </cfRule>
  </conditionalFormatting>
  <conditionalFormatting sqref="AD39:AF39">
    <cfRule type="expression" dxfId="480" priority="15" stopIfTrue="1">
      <formula>NOT(OR(I23=$C$25,I23=$C$27,I23=$C$29,I23=$C$31,I23=$C$33,I23=$C$35))</formula>
    </cfRule>
  </conditionalFormatting>
  <conditionalFormatting sqref="AD43:AF43">
    <cfRule type="expression" dxfId="479" priority="14" stopIfTrue="1">
      <formula>NOT(OR(I27=$C$25,I27=$C$27,I27=$C$29,I27=$C$31,I27=$C$33,I27=$C$35))</formula>
    </cfRule>
  </conditionalFormatting>
  <conditionalFormatting sqref="AD47:AF47">
    <cfRule type="expression" dxfId="478" priority="13" stopIfTrue="1">
      <formula>NOT(OR(I31=$C$25,I31=$C$27,I31=$C$29,I31=$C$31,I31=$C$33,I31=$C$35))</formula>
    </cfRule>
  </conditionalFormatting>
  <conditionalFormatting sqref="AD51:AF51">
    <cfRule type="expression" dxfId="477" priority="12" stopIfTrue="1">
      <formula>NOT(OR(I35=$C$25,I35=$C$27,I35=$C$29,I35=$C$31,I35=$C$33,I35=$C$35))</formula>
    </cfRule>
  </conditionalFormatting>
  <conditionalFormatting sqref="AD55:AF55">
    <cfRule type="expression" dxfId="476" priority="11" stopIfTrue="1">
      <formula>NOT(OR(I39=$C$25,I39=$C$27,I39=$C$29,I39=$C$31,I39=$C$33,I39=$C$35))</formula>
    </cfRule>
  </conditionalFormatting>
  <conditionalFormatting sqref="AD59:AF59">
    <cfRule type="expression" dxfId="475" priority="10" stopIfTrue="1">
      <formula>NOT(OR(I43=$C$25,I43=$C$27,I43=$C$29,I43=$C$31,I43=$C$33,I43=$C$35))</formula>
    </cfRule>
  </conditionalFormatting>
  <conditionalFormatting sqref="AD12:AF12">
    <cfRule type="expression" dxfId="474" priority="2" stopIfTrue="1">
      <formula>NOT(OR(I1048569=$C$25,I1048569=$C$27,I1048569=$C$29,I1048569=$C$31,I1048569=$C$33,I1048569=$C$35))</formula>
    </cfRule>
  </conditionalFormatting>
  <conditionalFormatting sqref="AI16:AI61">
    <cfRule type="expression" dxfId="473"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F12" sqref="F12:I13"/>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496"/>
      <c r="D3" s="4497"/>
      <c r="E3" s="4497"/>
      <c r="F3" s="4497"/>
      <c r="G3" s="4497"/>
      <c r="H3" s="4497"/>
      <c r="I3" s="2761"/>
      <c r="J3" s="2761"/>
      <c r="K3" s="2761"/>
      <c r="L3" s="2761"/>
      <c r="M3" s="2761"/>
      <c r="N3" s="2761"/>
      <c r="O3" s="2761"/>
      <c r="P3" s="2761"/>
      <c r="Q3" s="1215"/>
      <c r="R3" s="3007"/>
      <c r="S3" s="2544"/>
      <c r="T3" s="2544"/>
      <c r="U3" s="615"/>
      <c r="V3" s="4496"/>
      <c r="W3" s="4497"/>
      <c r="X3" s="4497"/>
      <c r="Y3" s="4497"/>
      <c r="Z3" s="4497"/>
      <c r="AA3" s="4497"/>
      <c r="AB3" s="1214"/>
      <c r="AC3" s="1214"/>
      <c r="AD3" s="1214"/>
      <c r="AE3" s="1214"/>
      <c r="AF3" s="1214"/>
      <c r="AG3" s="1214"/>
      <c r="AH3" s="1214"/>
      <c r="AI3" s="1214"/>
      <c r="AJ3" s="1215"/>
      <c r="AK3" s="1216"/>
      <c r="AL3" s="1210"/>
    </row>
    <row r="4" spans="1:45" ht="12" customHeight="1" x14ac:dyDescent="0.2">
      <c r="A4" s="1210"/>
      <c r="B4" s="3022"/>
      <c r="C4" s="4498"/>
      <c r="D4" s="4499"/>
      <c r="E4" s="4499"/>
      <c r="F4" s="4499"/>
      <c r="G4" s="4499"/>
      <c r="H4" s="4499"/>
      <c r="I4" s="2762"/>
      <c r="J4" s="4502" t="s">
        <v>1628</v>
      </c>
      <c r="K4" s="4503"/>
      <c r="L4" s="3119" t="str">
        <f>IF(OR(General!$G$22="",General!$G$22=0),"",General!$G$22)</f>
        <v/>
      </c>
      <c r="M4" s="3119"/>
      <c r="N4" s="3119"/>
      <c r="O4" s="3119"/>
      <c r="P4" s="3119"/>
      <c r="Q4" s="813"/>
      <c r="R4" s="3008"/>
      <c r="S4" s="2544"/>
      <c r="T4" s="2544"/>
      <c r="U4" s="615"/>
      <c r="V4" s="4498"/>
      <c r="W4" s="4499"/>
      <c r="X4" s="4499"/>
      <c r="Y4" s="4499"/>
      <c r="Z4" s="4499"/>
      <c r="AA4" s="4499"/>
      <c r="AB4" s="1219"/>
      <c r="AC4" s="4502" t="s">
        <v>1628</v>
      </c>
      <c r="AD4" s="4503"/>
      <c r="AE4" s="3119" t="str">
        <f>IF(OR(General!$G$22="",General!$G$22=0),"",General!$G$22)</f>
        <v/>
      </c>
      <c r="AF4" s="3119"/>
      <c r="AG4" s="3119"/>
      <c r="AH4" s="3119"/>
      <c r="AI4" s="3119"/>
      <c r="AJ4" s="813"/>
      <c r="AK4" s="1216"/>
      <c r="AL4" s="1210"/>
    </row>
    <row r="5" spans="1:45" ht="12" customHeight="1" x14ac:dyDescent="0.2">
      <c r="A5" s="1210"/>
      <c r="B5" s="3022"/>
      <c r="C5" s="4498"/>
      <c r="D5" s="4499"/>
      <c r="E5" s="4499"/>
      <c r="F5" s="4499"/>
      <c r="G5" s="4499"/>
      <c r="H5" s="4499"/>
      <c r="I5" s="2762"/>
      <c r="J5" s="4490" t="s">
        <v>1629</v>
      </c>
      <c r="K5" s="4491"/>
      <c r="L5" s="4492" t="str">
        <f>Principal!$L$5</f>
        <v>Hechicero</v>
      </c>
      <c r="M5" s="4493"/>
      <c r="N5" s="4493"/>
      <c r="O5" s="1221" t="s">
        <v>1630</v>
      </c>
      <c r="P5" s="1222" t="str">
        <f>Principal!$P$5</f>
        <v>1</v>
      </c>
      <c r="Q5" s="1223"/>
      <c r="R5" s="3008"/>
      <c r="S5" s="2544"/>
      <c r="T5" s="2544"/>
      <c r="U5" s="615"/>
      <c r="V5" s="4498"/>
      <c r="W5" s="4499"/>
      <c r="X5" s="4499"/>
      <c r="Y5" s="4499"/>
      <c r="Z5" s="4499"/>
      <c r="AA5" s="4499"/>
      <c r="AB5" s="1219"/>
      <c r="AC5" s="4490" t="s">
        <v>1629</v>
      </c>
      <c r="AD5" s="4491"/>
      <c r="AE5" s="4492" t="str">
        <f>Principal!$L$5</f>
        <v>Hechicero</v>
      </c>
      <c r="AF5" s="4493"/>
      <c r="AG5" s="4493"/>
      <c r="AH5" s="1221" t="s">
        <v>1630</v>
      </c>
      <c r="AI5" s="1222" t="str">
        <f>Principal!$P$5</f>
        <v>1</v>
      </c>
      <c r="AJ5" s="1223"/>
      <c r="AK5" s="1216"/>
      <c r="AL5" s="1210"/>
    </row>
    <row r="6" spans="1:45" ht="12" customHeight="1" x14ac:dyDescent="0.2">
      <c r="A6" s="1210"/>
      <c r="B6" s="3022"/>
      <c r="C6" s="4498"/>
      <c r="D6" s="4499"/>
      <c r="E6" s="4499"/>
      <c r="F6" s="4499"/>
      <c r="G6" s="4499"/>
      <c r="H6" s="4499"/>
      <c r="I6" s="2762"/>
      <c r="J6" s="4494" t="s">
        <v>1911</v>
      </c>
      <c r="K6" s="4495"/>
      <c r="L6" s="4495"/>
      <c r="M6" s="4495"/>
      <c r="N6" s="4495"/>
      <c r="O6" s="4495"/>
      <c r="P6" s="4495"/>
      <c r="Q6" s="1223"/>
      <c r="R6" s="3008"/>
      <c r="S6" s="2544"/>
      <c r="T6" s="2544"/>
      <c r="U6" s="615"/>
      <c r="V6" s="4498"/>
      <c r="W6" s="4499"/>
      <c r="X6" s="4499"/>
      <c r="Y6" s="4499"/>
      <c r="Z6" s="4499"/>
      <c r="AA6" s="4499"/>
      <c r="AB6" s="1219"/>
      <c r="AC6" s="4494" t="s">
        <v>1912</v>
      </c>
      <c r="AD6" s="4495"/>
      <c r="AE6" s="4495"/>
      <c r="AF6" s="4495"/>
      <c r="AG6" s="4495"/>
      <c r="AH6" s="4495"/>
      <c r="AI6" s="4495"/>
      <c r="AJ6" s="1223"/>
      <c r="AK6" s="1216"/>
      <c r="AL6" s="1210"/>
    </row>
    <row r="7" spans="1:45" ht="12" customHeight="1" x14ac:dyDescent="0.2">
      <c r="A7" s="1210"/>
      <c r="B7" s="3022"/>
      <c r="C7" s="4498"/>
      <c r="D7" s="4499"/>
      <c r="E7" s="4499"/>
      <c r="F7" s="4499"/>
      <c r="G7" s="4499"/>
      <c r="H7" s="4499"/>
      <c r="I7" s="2762"/>
      <c r="J7" s="4495"/>
      <c r="K7" s="4495"/>
      <c r="L7" s="4495"/>
      <c r="M7" s="4495"/>
      <c r="N7" s="4495"/>
      <c r="O7" s="4495"/>
      <c r="P7" s="4495"/>
      <c r="Q7" s="1223"/>
      <c r="R7" s="3008"/>
      <c r="S7" s="2544"/>
      <c r="T7" s="2544"/>
      <c r="U7" s="615"/>
      <c r="V7" s="4498"/>
      <c r="W7" s="4499"/>
      <c r="X7" s="4499"/>
      <c r="Y7" s="4499"/>
      <c r="Z7" s="4499"/>
      <c r="AA7" s="4499"/>
      <c r="AB7" s="1219"/>
      <c r="AC7" s="4495"/>
      <c r="AD7" s="4495"/>
      <c r="AE7" s="4495"/>
      <c r="AF7" s="4495"/>
      <c r="AG7" s="4495"/>
      <c r="AH7" s="4495"/>
      <c r="AI7" s="4495"/>
      <c r="AJ7" s="1223"/>
      <c r="AK7" s="1216"/>
      <c r="AL7" s="1210"/>
    </row>
    <row r="8" spans="1:45" ht="12" customHeight="1" thickBot="1" x14ac:dyDescent="0.25">
      <c r="A8" s="1210"/>
      <c r="B8" s="3022"/>
      <c r="C8" s="4500"/>
      <c r="D8" s="4501"/>
      <c r="E8" s="4501"/>
      <c r="F8" s="4501"/>
      <c r="G8" s="4501"/>
      <c r="H8" s="4501"/>
      <c r="I8" s="2763"/>
      <c r="J8" s="2763"/>
      <c r="K8" s="2763"/>
      <c r="L8" s="2763"/>
      <c r="M8" s="2763"/>
      <c r="N8" s="2763"/>
      <c r="O8" s="2763"/>
      <c r="P8" s="2763"/>
      <c r="Q8" s="1229"/>
      <c r="R8" s="3008"/>
      <c r="S8" s="2544"/>
      <c r="T8" s="2544"/>
      <c r="U8" s="615"/>
      <c r="V8" s="4500"/>
      <c r="W8" s="4501"/>
      <c r="X8" s="4501"/>
      <c r="Y8" s="4501"/>
      <c r="Z8" s="4501"/>
      <c r="AA8" s="4501"/>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504" t="str">
        <f>IF(Tablas!G488+Tablas!G489+Tablas!G551+Tablas!G534+Tablas!G552&gt;0,"Empatía hacia elemento: -5 CM al coste de cada efecto relacionado con elemento afín (Coste mínimo 5 CM)","")</f>
        <v/>
      </c>
      <c r="W9" s="4504"/>
      <c r="X9" s="4504"/>
      <c r="Y9" s="4504"/>
      <c r="Z9" s="4504"/>
      <c r="AA9" s="4504"/>
      <c r="AB9" s="4504"/>
      <c r="AC9" s="4504"/>
      <c r="AD9" s="4504"/>
      <c r="AE9" s="4504"/>
      <c r="AF9" s="4504"/>
      <c r="AG9" s="4504"/>
      <c r="AH9" s="4504"/>
      <c r="AI9" s="4504"/>
      <c r="AJ9" s="4504"/>
      <c r="AK9" s="1216"/>
      <c r="AL9" s="1210"/>
      <c r="AM9" s="1295"/>
      <c r="AN9" s="1295"/>
      <c r="AO9" s="1295"/>
      <c r="AP9" s="1295"/>
      <c r="AQ9" s="1296"/>
    </row>
    <row r="10" spans="1:45" ht="12" customHeight="1" thickBot="1" x14ac:dyDescent="0.25">
      <c r="A10" s="1210"/>
      <c r="B10" s="3022"/>
      <c r="C10" s="4336" t="s">
        <v>1913</v>
      </c>
      <c r="D10" s="4337"/>
      <c r="E10" s="4337"/>
      <c r="F10" s="4337"/>
      <c r="G10" s="4337"/>
      <c r="H10" s="4337"/>
      <c r="I10" s="4338"/>
      <c r="J10" s="3013"/>
      <c r="K10" s="4505" t="s">
        <v>1914</v>
      </c>
      <c r="L10" s="4506"/>
      <c r="M10" s="4506"/>
      <c r="N10" s="4506"/>
      <c r="O10" s="4506"/>
      <c r="P10" s="4509">
        <f>IF(Q10=0,40,"-")</f>
        <v>40</v>
      </c>
      <c r="Q10" s="4511"/>
      <c r="R10" s="4556" t="b">
        <f t="shared" ref="R10:R11" si="0">P10="-"</f>
        <v>0</v>
      </c>
      <c r="S10" s="2544"/>
      <c r="T10" s="2544"/>
      <c r="U10" s="615"/>
      <c r="V10" s="4513" t="s">
        <v>1915</v>
      </c>
      <c r="W10" s="4514"/>
      <c r="X10" s="4514"/>
      <c r="Y10" s="4515"/>
      <c r="Z10" s="1269"/>
      <c r="AA10" s="4513" t="s">
        <v>1916</v>
      </c>
      <c r="AB10" s="4514"/>
      <c r="AC10" s="4514"/>
      <c r="AD10" s="4514"/>
      <c r="AE10" s="4514"/>
      <c r="AF10" s="4514"/>
      <c r="AG10" s="4514"/>
      <c r="AH10" s="4514"/>
      <c r="AI10" s="4514"/>
      <c r="AJ10" s="4515"/>
      <c r="AK10" s="1216"/>
      <c r="AL10" s="1210"/>
    </row>
    <row r="11" spans="1:45" ht="12" customHeight="1" thickBot="1" x14ac:dyDescent="0.25">
      <c r="A11" s="1210"/>
      <c r="B11" s="3022"/>
      <c r="C11" s="1297"/>
      <c r="D11" s="705" t="s">
        <v>1917</v>
      </c>
      <c r="E11" s="1298" t="s">
        <v>1918</v>
      </c>
      <c r="F11" s="4516" t="s">
        <v>1919</v>
      </c>
      <c r="G11" s="4517"/>
      <c r="H11" s="4517"/>
      <c r="I11" s="4518"/>
      <c r="J11" s="3013"/>
      <c r="K11" s="4507"/>
      <c r="L11" s="4508"/>
      <c r="M11" s="4508"/>
      <c r="N11" s="4508"/>
      <c r="O11" s="4508"/>
      <c r="P11" s="4510"/>
      <c r="Q11" s="4512"/>
      <c r="R11" s="4556" t="b">
        <f t="shared" si="0"/>
        <v>0</v>
      </c>
      <c r="S11" s="2544"/>
      <c r="T11" s="2544"/>
      <c r="U11" s="615"/>
      <c r="V11" s="4520" t="s">
        <v>1920</v>
      </c>
      <c r="W11" s="4555"/>
      <c r="X11" s="4553"/>
      <c r="Y11" s="4533"/>
      <c r="Z11" s="1299"/>
      <c r="AA11" s="4542" t="s">
        <v>1921</v>
      </c>
      <c r="AB11" s="4387"/>
      <c r="AC11" s="4543"/>
      <c r="AD11" s="4387" t="s">
        <v>1922</v>
      </c>
      <c r="AE11" s="4387"/>
      <c r="AF11" s="4387"/>
      <c r="AG11" s="4387"/>
      <c r="AH11" s="4387"/>
      <c r="AI11" s="4387"/>
      <c r="AJ11" s="4388"/>
      <c r="AK11" s="1216"/>
      <c r="AL11" s="1210"/>
    </row>
    <row r="12" spans="1:45" ht="12" customHeight="1" x14ac:dyDescent="0.2">
      <c r="A12" s="1210"/>
      <c r="B12" s="3022"/>
      <c r="C12" s="4519" t="s">
        <v>1685</v>
      </c>
      <c r="D12" s="4521">
        <f>PDs!$AA33</f>
        <v>0</v>
      </c>
      <c r="E12" s="4523">
        <f>IF(OR(Tablas!$G$375&gt;0,Tablas!$G$17378&gt;0),"-",PDs!$AA27)</f>
        <v>0</v>
      </c>
      <c r="F12" s="4525"/>
      <c r="G12" s="4526"/>
      <c r="H12" s="4526"/>
      <c r="I12" s="4527"/>
      <c r="J12" s="3013"/>
      <c r="K12" s="4531" t="s">
        <v>1923</v>
      </c>
      <c r="L12" s="4532"/>
      <c r="M12" s="4532"/>
      <c r="N12" s="4532"/>
      <c r="O12" s="4532"/>
      <c r="P12" s="2764">
        <f>IF(Q12=0,30,"-")</f>
        <v>30</v>
      </c>
      <c r="Q12" s="2765"/>
      <c r="R12" s="3009" t="b">
        <f>P12="-"</f>
        <v>0</v>
      </c>
      <c r="S12" s="2544"/>
      <c r="T12" s="2544"/>
      <c r="U12" s="615"/>
      <c r="V12" s="4520"/>
      <c r="W12" s="4555"/>
      <c r="X12" s="4553"/>
      <c r="Y12" s="4533"/>
      <c r="Z12" s="1299"/>
      <c r="AA12" s="4536"/>
      <c r="AB12" s="4537"/>
      <c r="AC12" s="4538"/>
      <c r="AD12" s="4548"/>
      <c r="AE12" s="4548"/>
      <c r="AF12" s="4548"/>
      <c r="AG12" s="4548"/>
      <c r="AH12" s="4548"/>
      <c r="AI12" s="4548"/>
      <c r="AJ12" s="4549"/>
      <c r="AK12" s="1216"/>
      <c r="AL12" s="1210"/>
    </row>
    <row r="13" spans="1:45" ht="12" customHeight="1" x14ac:dyDescent="0.2">
      <c r="A13" s="1210"/>
      <c r="B13" s="3022"/>
      <c r="C13" s="4520"/>
      <c r="D13" s="4522"/>
      <c r="E13" s="4524"/>
      <c r="F13" s="4528"/>
      <c r="G13" s="4529"/>
      <c r="H13" s="4529"/>
      <c r="I13" s="4530"/>
      <c r="J13" s="3013"/>
      <c r="K13" s="1300" t="s">
        <v>1924</v>
      </c>
      <c r="L13" s="4550" t="s">
        <v>1925</v>
      </c>
      <c r="M13" s="4550"/>
      <c r="N13" s="4550"/>
      <c r="O13" s="4550"/>
      <c r="P13" s="2764">
        <f>IF(Q13=0,20,"-")</f>
        <v>20</v>
      </c>
      <c r="Q13" s="2765"/>
      <c r="R13" s="3009" t="b">
        <f t="shared" ref="R13:R62" si="1">P13="-"</f>
        <v>0</v>
      </c>
      <c r="S13" s="2544"/>
      <c r="T13" s="2544"/>
      <c r="U13" s="615"/>
      <c r="V13" s="4520" t="s">
        <v>1926</v>
      </c>
      <c r="W13" s="4555"/>
      <c r="X13" s="4553"/>
      <c r="Y13" s="4533"/>
      <c r="Z13" s="746"/>
      <c r="AA13" s="4539"/>
      <c r="AB13" s="4540"/>
      <c r="AC13" s="4541"/>
      <c r="AD13" s="4551"/>
      <c r="AE13" s="4551"/>
      <c r="AF13" s="4551"/>
      <c r="AG13" s="4551"/>
      <c r="AH13" s="4551"/>
      <c r="AI13" s="4551"/>
      <c r="AJ13" s="4552"/>
      <c r="AK13" s="1216"/>
      <c r="AL13" s="1210"/>
    </row>
    <row r="14" spans="1:45" ht="12" customHeight="1" x14ac:dyDescent="0.2">
      <c r="A14" s="1210"/>
      <c r="B14" s="3022"/>
      <c r="C14" s="4534" t="s">
        <v>1813</v>
      </c>
      <c r="D14" s="4535">
        <f>PDs!$AA34</f>
        <v>0</v>
      </c>
      <c r="E14" s="4544">
        <f>IF(OR(Tablas!$G$375&gt;0,Tablas!$G$17378&gt;0),"-",PDs!$AA28)</f>
        <v>0</v>
      </c>
      <c r="F14" s="4545"/>
      <c r="G14" s="4546"/>
      <c r="H14" s="4546"/>
      <c r="I14" s="4547"/>
      <c r="J14" s="3013"/>
      <c r="K14" s="1300" t="s">
        <v>1927</v>
      </c>
      <c r="L14" s="1301" t="s">
        <v>1928</v>
      </c>
      <c r="M14" s="4554" t="s">
        <v>1929</v>
      </c>
      <c r="N14" s="4554"/>
      <c r="O14" s="4554"/>
      <c r="P14" s="2764">
        <f>IF(Q14=0,10,"-")</f>
        <v>10</v>
      </c>
      <c r="Q14" s="2765"/>
      <c r="R14" s="3009" t="b">
        <f t="shared" si="1"/>
        <v>0</v>
      </c>
      <c r="S14" s="2544"/>
      <c r="T14" s="2544"/>
      <c r="U14" s="615"/>
      <c r="V14" s="4520"/>
      <c r="W14" s="4555"/>
      <c r="X14" s="4553"/>
      <c r="Y14" s="4533"/>
      <c r="Z14" s="1273"/>
      <c r="AA14" s="4539"/>
      <c r="AB14" s="4540"/>
      <c r="AC14" s="4541"/>
      <c r="AD14" s="4551"/>
      <c r="AE14" s="4551"/>
      <c r="AF14" s="4551"/>
      <c r="AG14" s="4551"/>
      <c r="AH14" s="4551"/>
      <c r="AI14" s="4551"/>
      <c r="AJ14" s="4552"/>
      <c r="AK14" s="1216"/>
      <c r="AL14" s="1210"/>
    </row>
    <row r="15" spans="1:45" ht="12" customHeight="1" x14ac:dyDescent="0.2">
      <c r="A15" s="1210"/>
      <c r="B15" s="3022"/>
      <c r="C15" s="4534"/>
      <c r="D15" s="4535"/>
      <c r="E15" s="4544"/>
      <c r="F15" s="4545"/>
      <c r="G15" s="4546"/>
      <c r="H15" s="4546"/>
      <c r="I15" s="4547"/>
      <c r="J15" s="3013"/>
      <c r="K15" s="1300" t="s">
        <v>1924</v>
      </c>
      <c r="L15" s="4554" t="s">
        <v>1930</v>
      </c>
      <c r="M15" s="4554"/>
      <c r="N15" s="4554"/>
      <c r="O15" s="4554"/>
      <c r="P15" s="2764">
        <f>IF(Q15=0,40,"-")</f>
        <v>40</v>
      </c>
      <c r="Q15" s="2765"/>
      <c r="R15" s="3009" t="b">
        <f t="shared" si="1"/>
        <v>0</v>
      </c>
      <c r="S15" s="2544"/>
      <c r="T15" s="2544"/>
      <c r="U15" s="615"/>
      <c r="V15" s="4520" t="s">
        <v>1931</v>
      </c>
      <c r="W15" s="4555"/>
      <c r="X15" s="4553"/>
      <c r="Y15" s="4533"/>
      <c r="Z15" s="1302"/>
      <c r="AA15" s="4539"/>
      <c r="AB15" s="4540"/>
      <c r="AC15" s="4541"/>
      <c r="AD15" s="4551"/>
      <c r="AE15" s="4551"/>
      <c r="AF15" s="4551"/>
      <c r="AG15" s="4551"/>
      <c r="AH15" s="4551"/>
      <c r="AI15" s="4551"/>
      <c r="AJ15" s="4552"/>
      <c r="AK15" s="1216"/>
      <c r="AL15" s="1210"/>
    </row>
    <row r="16" spans="1:45" ht="12" customHeight="1" x14ac:dyDescent="0.2">
      <c r="A16" s="1210"/>
      <c r="B16" s="3022"/>
      <c r="C16" s="4520" t="s">
        <v>1690</v>
      </c>
      <c r="D16" s="4522">
        <f>PDs!$AA35</f>
        <v>0</v>
      </c>
      <c r="E16" s="4524">
        <f>IF(OR(Tablas!$G$375&gt;0,Tablas!$G$17378&gt;0),"-",PDs!$AA29)</f>
        <v>0</v>
      </c>
      <c r="F16" s="4528"/>
      <c r="G16" s="4529"/>
      <c r="H16" s="4529"/>
      <c r="I16" s="4530"/>
      <c r="J16" s="3013"/>
      <c r="K16" s="1300" t="s">
        <v>1924</v>
      </c>
      <c r="L16" s="4554" t="s">
        <v>1932</v>
      </c>
      <c r="M16" s="4554"/>
      <c r="N16" s="4554"/>
      <c r="O16" s="4554"/>
      <c r="P16" s="2764">
        <f>IF(Q16=0,10,"-")</f>
        <v>10</v>
      </c>
      <c r="Q16" s="2765"/>
      <c r="R16" s="3009" t="b">
        <f t="shared" si="1"/>
        <v>0</v>
      </c>
      <c r="S16" s="2544"/>
      <c r="T16" s="2544"/>
      <c r="U16" s="615"/>
      <c r="V16" s="4520"/>
      <c r="W16" s="4555"/>
      <c r="X16" s="4553"/>
      <c r="Y16" s="4533"/>
      <c r="Z16" s="1302"/>
      <c r="AA16" s="4539"/>
      <c r="AB16" s="4540"/>
      <c r="AC16" s="4541"/>
      <c r="AD16" s="4551"/>
      <c r="AE16" s="4551"/>
      <c r="AF16" s="4551"/>
      <c r="AG16" s="4551"/>
      <c r="AH16" s="4551"/>
      <c r="AI16" s="4551"/>
      <c r="AJ16" s="4552"/>
      <c r="AK16" s="1216"/>
      <c r="AL16" s="1210"/>
      <c r="AO16" s="741"/>
      <c r="AP16" s="741"/>
      <c r="AQ16" s="741"/>
      <c r="AR16" s="741"/>
      <c r="AS16" s="741"/>
    </row>
    <row r="17" spans="1:47" ht="12" customHeight="1" x14ac:dyDescent="0.2">
      <c r="A17" s="1210"/>
      <c r="B17" s="3022"/>
      <c r="C17" s="4520"/>
      <c r="D17" s="4522"/>
      <c r="E17" s="4524"/>
      <c r="F17" s="4528"/>
      <c r="G17" s="4529"/>
      <c r="H17" s="4529"/>
      <c r="I17" s="4530"/>
      <c r="J17" s="3013"/>
      <c r="K17" s="1300" t="s">
        <v>1927</v>
      </c>
      <c r="L17" s="1303" t="s">
        <v>1924</v>
      </c>
      <c r="M17" s="4550" t="s">
        <v>1933</v>
      </c>
      <c r="N17" s="4550"/>
      <c r="O17" s="4550"/>
      <c r="P17" s="2764">
        <f>IF(Q17=0,30,"-")</f>
        <v>30</v>
      </c>
      <c r="Q17" s="2765"/>
      <c r="R17" s="3009" t="b">
        <f t="shared" si="1"/>
        <v>0</v>
      </c>
      <c r="S17" s="2544"/>
      <c r="T17" s="2544"/>
      <c r="U17" s="615"/>
      <c r="V17" s="4520" t="s">
        <v>1934</v>
      </c>
      <c r="W17" s="4555"/>
      <c r="X17" s="4553"/>
      <c r="Y17" s="4533"/>
      <c r="Z17" s="1304"/>
      <c r="AA17" s="4539"/>
      <c r="AB17" s="4540"/>
      <c r="AC17" s="4541"/>
      <c r="AD17" s="4551"/>
      <c r="AE17" s="4551"/>
      <c r="AF17" s="4551"/>
      <c r="AG17" s="4551"/>
      <c r="AH17" s="4551"/>
      <c r="AI17" s="4551"/>
      <c r="AJ17" s="4552"/>
      <c r="AK17" s="1216"/>
      <c r="AL17" s="1210"/>
      <c r="AO17" s="741"/>
      <c r="AP17" s="741"/>
      <c r="AQ17" s="741"/>
      <c r="AR17" s="741"/>
      <c r="AS17" s="741"/>
    </row>
    <row r="18" spans="1:47" ht="12" customHeight="1" x14ac:dyDescent="0.2">
      <c r="A18" s="1210"/>
      <c r="B18" s="3022"/>
      <c r="C18" s="4534" t="s">
        <v>1695</v>
      </c>
      <c r="D18" s="4535">
        <f>PDs!$AA36</f>
        <v>0</v>
      </c>
      <c r="E18" s="4544">
        <f>IF(OR(Tablas!$G$375&gt;0,Tablas!$G$17378&gt;0),"-",PDs!$AA30)</f>
        <v>0</v>
      </c>
      <c r="F18" s="4545"/>
      <c r="G18" s="4546"/>
      <c r="H18" s="4546"/>
      <c r="I18" s="4547"/>
      <c r="J18" s="3013"/>
      <c r="K18" s="1300" t="s">
        <v>1927</v>
      </c>
      <c r="L18" s="1303" t="s">
        <v>1927</v>
      </c>
      <c r="M18" s="1303" t="s">
        <v>1935</v>
      </c>
      <c r="N18" s="4557" t="s">
        <v>1936</v>
      </c>
      <c r="O18" s="4557"/>
      <c r="P18" s="2764">
        <f>IF(Q18=0,20,"-")</f>
        <v>20</v>
      </c>
      <c r="Q18" s="2765"/>
      <c r="R18" s="3009" t="b">
        <f t="shared" si="1"/>
        <v>0</v>
      </c>
      <c r="S18" s="2544"/>
      <c r="T18" s="2544"/>
      <c r="U18" s="615"/>
      <c r="V18" s="4520"/>
      <c r="W18" s="4555"/>
      <c r="X18" s="4553"/>
      <c r="Y18" s="4533"/>
      <c r="Z18" s="1305"/>
      <c r="AA18" s="4539"/>
      <c r="AB18" s="4540"/>
      <c r="AC18" s="4541"/>
      <c r="AD18" s="4551"/>
      <c r="AE18" s="4551"/>
      <c r="AF18" s="4551"/>
      <c r="AG18" s="4551"/>
      <c r="AH18" s="4551"/>
      <c r="AI18" s="4551"/>
      <c r="AJ18" s="4552"/>
      <c r="AK18" s="1216"/>
      <c r="AL18" s="1210"/>
      <c r="AO18" s="741"/>
      <c r="AP18" s="741"/>
      <c r="AQ18" s="741"/>
      <c r="AR18" s="741"/>
      <c r="AS18" s="741"/>
    </row>
    <row r="19" spans="1:47" ht="12" customHeight="1" x14ac:dyDescent="0.2">
      <c r="A19" s="1210"/>
      <c r="B19" s="3022"/>
      <c r="C19" s="4534"/>
      <c r="D19" s="4535"/>
      <c r="E19" s="4544"/>
      <c r="F19" s="4545"/>
      <c r="G19" s="4546"/>
      <c r="H19" s="4546"/>
      <c r="I19" s="4547"/>
      <c r="J19" s="3013"/>
      <c r="K19" s="1300" t="s">
        <v>1927</v>
      </c>
      <c r="L19" s="1303" t="s">
        <v>1924</v>
      </c>
      <c r="M19" s="4550" t="s">
        <v>1937</v>
      </c>
      <c r="N19" s="4550"/>
      <c r="O19" s="4550"/>
      <c r="P19" s="2764">
        <f>IF(Q19=0,30,"-")</f>
        <v>30</v>
      </c>
      <c r="Q19" s="2765"/>
      <c r="R19" s="3009" t="b">
        <f t="shared" si="1"/>
        <v>0</v>
      </c>
      <c r="S19" s="2544"/>
      <c r="T19" s="2544"/>
      <c r="U19" s="615"/>
      <c r="V19" s="4520" t="s">
        <v>1938</v>
      </c>
      <c r="W19" s="4555"/>
      <c r="X19" s="4563"/>
      <c r="Y19" s="4533"/>
      <c r="Z19" s="1305"/>
      <c r="AA19" s="4539"/>
      <c r="AB19" s="4540"/>
      <c r="AC19" s="4541"/>
      <c r="AD19" s="4551"/>
      <c r="AE19" s="4551"/>
      <c r="AF19" s="4551"/>
      <c r="AG19" s="4551"/>
      <c r="AH19" s="4551"/>
      <c r="AI19" s="4551"/>
      <c r="AJ19" s="4552"/>
      <c r="AK19" s="1216"/>
      <c r="AL19" s="1210"/>
      <c r="AM19" s="1255"/>
      <c r="AO19" s="741"/>
      <c r="AP19" s="741"/>
      <c r="AQ19" s="741"/>
      <c r="AR19" s="741"/>
      <c r="AS19" s="741"/>
    </row>
    <row r="20" spans="1:47" ht="12" customHeight="1" thickBot="1" x14ac:dyDescent="0.25">
      <c r="A20" s="1210"/>
      <c r="B20" s="3022"/>
      <c r="C20" s="4520" t="s">
        <v>1703</v>
      </c>
      <c r="D20" s="4522">
        <f>PDs!$AA37</f>
        <v>0</v>
      </c>
      <c r="E20" s="4524">
        <f>IF(OR(Tablas!$G$375&gt;0,Tablas!$G$17378&gt;0),"-",PDs!$AA31)</f>
        <v>0</v>
      </c>
      <c r="F20" s="4528"/>
      <c r="G20" s="4529"/>
      <c r="H20" s="4529"/>
      <c r="I20" s="4530"/>
      <c r="J20" s="3013"/>
      <c r="K20" s="1300" t="s">
        <v>1927</v>
      </c>
      <c r="L20" s="1303" t="s">
        <v>1927</v>
      </c>
      <c r="M20" s="1303" t="s">
        <v>1924</v>
      </c>
      <c r="N20" s="4554" t="s">
        <v>1939</v>
      </c>
      <c r="O20" s="4554"/>
      <c r="P20" s="2764">
        <f>IF(Q20=0,30,"-")</f>
        <v>30</v>
      </c>
      <c r="Q20" s="2765"/>
      <c r="R20" s="3009" t="b">
        <f t="shared" si="1"/>
        <v>0</v>
      </c>
      <c r="S20" s="2544"/>
      <c r="T20" s="2544"/>
      <c r="U20" s="615"/>
      <c r="V20" s="4561"/>
      <c r="W20" s="4562"/>
      <c r="X20" s="4564"/>
      <c r="Y20" s="4565"/>
      <c r="Z20" s="1305"/>
      <c r="AA20" s="4558"/>
      <c r="AB20" s="4559"/>
      <c r="AC20" s="4560"/>
      <c r="AD20" s="4577"/>
      <c r="AE20" s="4577"/>
      <c r="AF20" s="4577"/>
      <c r="AG20" s="4577"/>
      <c r="AH20" s="4577"/>
      <c r="AI20" s="4577"/>
      <c r="AJ20" s="4578"/>
      <c r="AK20" s="1216"/>
      <c r="AL20" s="1210"/>
      <c r="AM20" s="1269"/>
      <c r="AN20" s="1258"/>
      <c r="AO20" s="1258"/>
      <c r="AP20" s="1258"/>
      <c r="AQ20" s="1258"/>
      <c r="AR20" s="1258"/>
      <c r="AS20" s="1258"/>
      <c r="AT20" s="1258"/>
      <c r="AU20" s="1258"/>
    </row>
    <row r="21" spans="1:47" ht="12" customHeight="1" thickBot="1" x14ac:dyDescent="0.25">
      <c r="A21" s="1210"/>
      <c r="B21" s="3022"/>
      <c r="C21" s="4520"/>
      <c r="D21" s="4522"/>
      <c r="E21" s="4524"/>
      <c r="F21" s="4528"/>
      <c r="G21" s="4529"/>
      <c r="H21" s="4529"/>
      <c r="I21" s="4530"/>
      <c r="J21" s="3013"/>
      <c r="K21" s="1300" t="s">
        <v>1927</v>
      </c>
      <c r="L21" s="1303" t="s">
        <v>1927</v>
      </c>
      <c r="M21" s="1303" t="s">
        <v>1927</v>
      </c>
      <c r="N21" s="4550" t="s">
        <v>1940</v>
      </c>
      <c r="O21" s="4550"/>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34" t="s">
        <v>1704</v>
      </c>
      <c r="D22" s="4535">
        <f>PDs!$AA38</f>
        <v>0</v>
      </c>
      <c r="E22" s="4544">
        <f>IF(OR(Tablas!$G$375&gt;0,Tablas!$G$17378&gt;0),"-",PDs!$AA32)</f>
        <v>0</v>
      </c>
      <c r="F22" s="4545"/>
      <c r="G22" s="4546"/>
      <c r="H22" s="4546"/>
      <c r="I22" s="4547"/>
      <c r="J22" s="3013"/>
      <c r="K22" s="1300" t="s">
        <v>1927</v>
      </c>
      <c r="L22" s="1303" t="s">
        <v>1927</v>
      </c>
      <c r="M22" s="1303" t="s">
        <v>1935</v>
      </c>
      <c r="N22" s="4554" t="s">
        <v>1941</v>
      </c>
      <c r="O22" s="4554"/>
      <c r="P22" s="2764">
        <f>IF(Q22=0,30,"-")</f>
        <v>30</v>
      </c>
      <c r="Q22" s="2765"/>
      <c r="R22" s="3009" t="b">
        <f t="shared" si="1"/>
        <v>0</v>
      </c>
      <c r="S22" s="2544"/>
      <c r="T22" s="2544"/>
      <c r="U22" s="615"/>
      <c r="V22" s="4267" t="s">
        <v>1912</v>
      </c>
      <c r="W22" s="4268"/>
      <c r="X22" s="4268"/>
      <c r="Y22" s="4268"/>
      <c r="Z22" s="4268"/>
      <c r="AA22" s="4269"/>
      <c r="AB22" s="1337" t="s">
        <v>1815</v>
      </c>
      <c r="AD22" s="4267" t="s">
        <v>1912</v>
      </c>
      <c r="AE22" s="4268"/>
      <c r="AF22" s="4268"/>
      <c r="AG22" s="4268"/>
      <c r="AH22" s="4268"/>
      <c r="AI22" s="4269"/>
      <c r="AJ22" s="1337" t="s">
        <v>1815</v>
      </c>
      <c r="AK22" s="1216"/>
      <c r="AL22" s="1210"/>
      <c r="AM22" s="1269"/>
      <c r="AN22" s="1258"/>
      <c r="AO22" s="1258"/>
      <c r="AP22" s="1258"/>
      <c r="AQ22" s="1258"/>
      <c r="AR22" s="1258"/>
      <c r="AS22" s="1258"/>
      <c r="AT22" s="1258"/>
      <c r="AU22" s="1258"/>
    </row>
    <row r="23" spans="1:47" ht="12" customHeight="1" x14ac:dyDescent="0.2">
      <c r="A23" s="1210"/>
      <c r="B23" s="3022"/>
      <c r="C23" s="4571"/>
      <c r="D23" s="4572"/>
      <c r="E23" s="4573"/>
      <c r="F23" s="4574"/>
      <c r="G23" s="4575"/>
      <c r="H23" s="4575"/>
      <c r="I23" s="4576"/>
      <c r="J23" s="3013"/>
      <c r="K23" s="1300" t="s">
        <v>1927</v>
      </c>
      <c r="L23" s="1303" t="s">
        <v>1927</v>
      </c>
      <c r="M23" s="1306"/>
      <c r="N23" s="4550" t="s">
        <v>1942</v>
      </c>
      <c r="O23" s="4550"/>
      <c r="P23" s="2764">
        <f>IF(Q23=0,40,"-")</f>
        <v>40</v>
      </c>
      <c r="Q23" s="2765"/>
      <c r="R23" s="3009" t="b">
        <f t="shared" si="1"/>
        <v>0</v>
      </c>
      <c r="S23" s="2544"/>
      <c r="T23" s="2544"/>
      <c r="U23" s="1307">
        <f>IF(V23=0,0,1)</f>
        <v>0</v>
      </c>
      <c r="V23" s="4566"/>
      <c r="W23" s="4567"/>
      <c r="X23" s="4567"/>
      <c r="Y23" s="4567"/>
      <c r="Z23" s="4567"/>
      <c r="AA23" s="4568"/>
      <c r="AB23" s="4569" t="str">
        <f>IF(V23="","",VLOOKUP(V23,'Tablas Técnicas'!$AD$5:$AI$188,3,FALSE))</f>
        <v/>
      </c>
      <c r="AD23" s="4566"/>
      <c r="AE23" s="4567"/>
      <c r="AF23" s="4567"/>
      <c r="AG23" s="4567"/>
      <c r="AH23" s="4567"/>
      <c r="AI23" s="4568"/>
      <c r="AJ23" s="4569"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21">
        <f>D12+D14+D16+D18+D20+D22</f>
        <v>0</v>
      </c>
      <c r="E24" s="4523">
        <f>IF(OR(Tablas!$G$375&gt;0,Tablas!$H$2008&gt;0),((PDs!AA31*6)+(PDs!V27+PDs!V28+PDs!V29+PDs!V30+PDs!V31+PDs!V32)),(E12+E14+E16+E18+E20+E22))</f>
        <v>0</v>
      </c>
      <c r="F24" s="4581"/>
      <c r="G24" s="4582"/>
      <c r="H24" s="4582"/>
      <c r="I24" s="4583"/>
      <c r="J24" s="3013"/>
      <c r="K24" s="1300" t="s">
        <v>1927</v>
      </c>
      <c r="L24" s="1303" t="s">
        <v>1935</v>
      </c>
      <c r="M24" s="4554" t="s">
        <v>1944</v>
      </c>
      <c r="N24" s="4554"/>
      <c r="O24" s="4554"/>
      <c r="P24" s="2764">
        <f>IF(Q24=0,20,"-")</f>
        <v>20</v>
      </c>
      <c r="Q24" s="2765"/>
      <c r="R24" s="3009" t="b">
        <f t="shared" si="1"/>
        <v>0</v>
      </c>
      <c r="S24" s="2544"/>
      <c r="T24" s="2544"/>
      <c r="U24" s="1307"/>
      <c r="V24" s="4587" t="str">
        <f>IF(V23="","",VLOOKUP(V23,'Tablas Técnicas'!$AD$5:$AI$188,4,FALSE))</f>
        <v/>
      </c>
      <c r="W24" s="4588"/>
      <c r="X24" s="4588"/>
      <c r="Y24" s="4588"/>
      <c r="Z24" s="1363" t="s">
        <v>1630</v>
      </c>
      <c r="AA24" s="1467" t="str">
        <f>IF(V23="","",VLOOKUP(V23,'Tablas Técnicas'!$AD$5:$AI$188,2,FALSE))</f>
        <v/>
      </c>
      <c r="AB24" s="4570"/>
      <c r="AD24" s="4587" t="str">
        <f>IF(AD23="","",VLOOKUP(AD23,'Tablas Técnicas'!$AD$5:$AI$188,4,FALSE))</f>
        <v/>
      </c>
      <c r="AE24" s="4588"/>
      <c r="AF24" s="4588"/>
      <c r="AG24" s="4588"/>
      <c r="AH24" s="1342" t="s">
        <v>1630</v>
      </c>
      <c r="AI24" s="1344" t="str">
        <f>IF(AD23="","",VLOOKUP(AD23,'Tablas Técnicas'!$AD$5:$AI$188,2,FALSE))</f>
        <v/>
      </c>
      <c r="AJ24" s="4570"/>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79"/>
      <c r="E25" s="4580"/>
      <c r="F25" s="4584"/>
      <c r="G25" s="4585"/>
      <c r="H25" s="4585"/>
      <c r="I25" s="4586"/>
      <c r="J25" s="3013"/>
      <c r="K25" s="1300" t="s">
        <v>1924</v>
      </c>
      <c r="L25" s="4554" t="s">
        <v>1945</v>
      </c>
      <c r="M25" s="4554"/>
      <c r="N25" s="4554"/>
      <c r="O25" s="4554"/>
      <c r="P25" s="2764">
        <f>IF(Q25=0,50,"-")</f>
        <v>50</v>
      </c>
      <c r="Q25" s="2765"/>
      <c r="R25" s="3009" t="b">
        <f t="shared" si="1"/>
        <v>0</v>
      </c>
      <c r="S25" s="2544"/>
      <c r="T25" s="2544"/>
      <c r="U25" s="1307">
        <f t="shared" ref="U25:U63" si="2">IF(V25=0,0,1)</f>
        <v>0</v>
      </c>
      <c r="V25" s="4589"/>
      <c r="W25" s="4546"/>
      <c r="X25" s="4546"/>
      <c r="Y25" s="4546"/>
      <c r="Z25" s="4546"/>
      <c r="AA25" s="4590"/>
      <c r="AB25" s="4591" t="str">
        <f>IF(V25="","",VLOOKUP(V25,'Tablas Técnicas'!$AD$5:$AI$188,3,FALSE))</f>
        <v/>
      </c>
      <c r="AD25" s="4589"/>
      <c r="AE25" s="4546"/>
      <c r="AF25" s="4546"/>
      <c r="AG25" s="4546"/>
      <c r="AH25" s="4546"/>
      <c r="AI25" s="4590"/>
      <c r="AJ25" s="4591"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54" t="s">
        <v>1946</v>
      </c>
      <c r="M26" s="4554"/>
      <c r="N26" s="4554"/>
      <c r="O26" s="4554"/>
      <c r="P26" s="2764">
        <f>IF(Q26=0,20,"-")</f>
        <v>20</v>
      </c>
      <c r="Q26" s="2765"/>
      <c r="R26" s="3009" t="b">
        <f t="shared" si="1"/>
        <v>0</v>
      </c>
      <c r="S26" s="2544"/>
      <c r="T26" s="2544"/>
      <c r="U26" s="1307"/>
      <c r="V26" s="4594" t="str">
        <f>IF(V25="","",VLOOKUP(V25,'Tablas Técnicas'!$AD$5:$AI$188,4,FALSE))</f>
        <v/>
      </c>
      <c r="W26" s="4595"/>
      <c r="X26" s="4595"/>
      <c r="Y26" s="4595"/>
      <c r="Z26" s="1273" t="s">
        <v>1630</v>
      </c>
      <c r="AA26" s="1309" t="str">
        <f>IF(V25="","",VLOOKUP(V25,'Tablas Técnicas'!$AD$5:$AI$188,2,FALSE))</f>
        <v/>
      </c>
      <c r="AB26" s="4591"/>
      <c r="AD26" s="4594" t="str">
        <f>IF(AD25="","",VLOOKUP(AD25,'Tablas Técnicas'!$AD$5:$AI$188,4,FALSE))</f>
        <v/>
      </c>
      <c r="AE26" s="4595"/>
      <c r="AF26" s="4595"/>
      <c r="AG26" s="4595"/>
      <c r="AH26" s="1273" t="s">
        <v>1630</v>
      </c>
      <c r="AI26" s="1309" t="str">
        <f>IF(AD25="","",VLOOKUP(AD25,'Tablas Técnicas'!$AD$5:$AI$188,2,FALSE))</f>
        <v/>
      </c>
      <c r="AJ26" s="4591"/>
      <c r="AK26" s="1216"/>
      <c r="AL26" s="1210"/>
      <c r="AM26" s="1258"/>
      <c r="AN26" s="1258"/>
      <c r="AO26" s="1258"/>
      <c r="AP26" s="1258"/>
      <c r="AQ26" s="1258"/>
      <c r="AR26" s="1258"/>
      <c r="AS26" s="1258"/>
      <c r="AT26" s="1258"/>
      <c r="AU26" s="1258"/>
    </row>
    <row r="27" spans="1:47" ht="12" customHeight="1" thickBot="1" x14ac:dyDescent="0.25">
      <c r="A27" s="1210"/>
      <c r="B27" s="3022"/>
      <c r="C27" s="4336" t="s">
        <v>1947</v>
      </c>
      <c r="D27" s="4337"/>
      <c r="E27" s="4337"/>
      <c r="F27" s="4338"/>
      <c r="G27" s="741"/>
      <c r="H27" s="4513" t="s">
        <v>1948</v>
      </c>
      <c r="I27" s="4515"/>
      <c r="J27" s="3013"/>
      <c r="K27" s="4531" t="s">
        <v>1949</v>
      </c>
      <c r="L27" s="4601"/>
      <c r="M27" s="4601"/>
      <c r="N27" s="4601"/>
      <c r="O27" s="4601"/>
      <c r="P27" s="2764">
        <f>IF(Q27=0,10,"-")</f>
        <v>10</v>
      </c>
      <c r="Q27" s="2765"/>
      <c r="R27" s="3009" t="b">
        <f t="shared" si="1"/>
        <v>0</v>
      </c>
      <c r="S27" s="2544"/>
      <c r="T27" s="2544"/>
      <c r="U27" s="1307">
        <f t="shared" si="2"/>
        <v>0</v>
      </c>
      <c r="V27" s="4592"/>
      <c r="W27" s="4529"/>
      <c r="X27" s="4529"/>
      <c r="Y27" s="4529"/>
      <c r="Z27" s="4529"/>
      <c r="AA27" s="4593"/>
      <c r="AB27" s="4570" t="str">
        <f>IF(V27="","",VLOOKUP(V27,'Tablas Técnicas'!$AD$5:$AI$188,3,FALSE))</f>
        <v/>
      </c>
      <c r="AD27" s="4592"/>
      <c r="AE27" s="4529"/>
      <c r="AF27" s="4529"/>
      <c r="AG27" s="4529"/>
      <c r="AH27" s="4529"/>
      <c r="AI27" s="4593"/>
      <c r="AJ27" s="4570"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610" t="s">
        <v>1950</v>
      </c>
      <c r="D28" s="4611"/>
      <c r="E28" s="4612" t="s">
        <v>1951</v>
      </c>
      <c r="F28" s="4613"/>
      <c r="G28" s="3015">
        <f>Tablas!$H$945</f>
        <v>0</v>
      </c>
      <c r="H28" s="4614"/>
      <c r="I28" s="4615"/>
      <c r="J28" s="3013"/>
      <c r="K28" s="1300" t="s">
        <v>1935</v>
      </c>
      <c r="L28" s="4554" t="s">
        <v>1952</v>
      </c>
      <c r="M28" s="4554"/>
      <c r="N28" s="4554"/>
      <c r="O28" s="4554"/>
      <c r="P28" s="2764">
        <f>IF(Q28=0,20,"-")</f>
        <v>20</v>
      </c>
      <c r="Q28" s="2765"/>
      <c r="R28" s="3009" t="b">
        <f t="shared" si="1"/>
        <v>0</v>
      </c>
      <c r="S28" s="2544"/>
      <c r="T28" s="2544"/>
      <c r="U28" s="1307"/>
      <c r="V28" s="4391" t="str">
        <f>IF(V27="","",VLOOKUP(V27,'Tablas Técnicas'!$AD$5:$AI$188,4,FALSE))</f>
        <v/>
      </c>
      <c r="W28" s="4339"/>
      <c r="X28" s="4339"/>
      <c r="Y28" s="4339"/>
      <c r="Z28" s="1342" t="s">
        <v>1630</v>
      </c>
      <c r="AA28" s="1344" t="str">
        <f>IF(V27="","",VLOOKUP(V27,'Tablas Técnicas'!$AD$5:$AI$188,2,FALSE))</f>
        <v/>
      </c>
      <c r="AB28" s="4570"/>
      <c r="AD28" s="4391" t="str">
        <f>IF(AD27="","",VLOOKUP(AD27,'Tablas Técnicas'!$AD$5:$AI$188,4,FALSE))</f>
        <v/>
      </c>
      <c r="AE28" s="4339"/>
      <c r="AF28" s="4339"/>
      <c r="AG28" s="4339"/>
      <c r="AH28" s="1342" t="s">
        <v>1630</v>
      </c>
      <c r="AI28" s="1344" t="str">
        <f>IF(AD27="","",VLOOKUP(AD27,'Tablas Técnicas'!$AD$5:$AI$188,2,FALSE))</f>
        <v/>
      </c>
      <c r="AJ28" s="4570"/>
      <c r="AK28" s="1216"/>
      <c r="AL28" s="1210"/>
      <c r="AM28" s="1258"/>
      <c r="AN28" s="1258"/>
      <c r="AO28" s="1258"/>
      <c r="AP28" s="1258"/>
      <c r="AQ28" s="1258"/>
      <c r="AR28" s="1258"/>
      <c r="AS28" s="1258"/>
      <c r="AT28" s="1258"/>
      <c r="AU28" s="1258"/>
    </row>
    <row r="29" spans="1:47" ht="12" customHeight="1" x14ac:dyDescent="0.2">
      <c r="A29" s="1210"/>
      <c r="B29" s="3022"/>
      <c r="C29" s="4602">
        <f>CM_final</f>
        <v>10</v>
      </c>
      <c r="D29" s="4603"/>
      <c r="E29" s="4603">
        <f>SUM(Q10:Q64)+SUM(I43:I64)+IF(I40="",0,I40)+IF(I41="",0,I41)+SUM(PDs!$AA$78:$AA$82)+IF(X11=0,0,30)+IF(X13=0,0,30)+IF(X15=0,0,30)+IF(X17=0,0,30)+IF(X19=0,0,30)+IF(Y11=0,0,60)+IF(Y13=0,0,60)+IF(Y15=0,0,60)+IF(Y17=0,0,60)+IF(Y19=0,0,60)+IF(H28=0,0,5)+IF(H29=0,0,5)+IF(H30=0,0,10)+IF(H31=0,0,10)+IF(H32=0,0,15)+IF(H33=0,0,15)+IF(H34=0,0,20)+IF(H35=0,0,20)+IF(H36=0,0,25)+IF(H37=0,0,25)+SUM(AB23:AB64)+SUM(AJ23:AJ64)</f>
        <v>0</v>
      </c>
      <c r="F29" s="4606"/>
      <c r="G29" s="741"/>
      <c r="H29" s="4608"/>
      <c r="I29" s="4609"/>
      <c r="J29" s="3013"/>
      <c r="K29" s="1310"/>
      <c r="L29" s="1303" t="s">
        <v>1924</v>
      </c>
      <c r="M29" s="4554" t="s">
        <v>1953</v>
      </c>
      <c r="N29" s="4554"/>
      <c r="O29" s="4554"/>
      <c r="P29" s="2764">
        <f>IF(Q29=0,10,"-")</f>
        <v>10</v>
      </c>
      <c r="Q29" s="2765"/>
      <c r="R29" s="3009" t="b">
        <f t="shared" si="1"/>
        <v>0</v>
      </c>
      <c r="S29" s="2544"/>
      <c r="T29" s="2544"/>
      <c r="U29" s="1307">
        <f t="shared" si="2"/>
        <v>0</v>
      </c>
      <c r="V29" s="4589"/>
      <c r="W29" s="4546"/>
      <c r="X29" s="4546"/>
      <c r="Y29" s="4546"/>
      <c r="Z29" s="4546"/>
      <c r="AA29" s="4590"/>
      <c r="AB29" s="4591" t="str">
        <f>IF(V29="","",VLOOKUP(V29,'Tablas Técnicas'!$AD$5:$AI$188,3,FALSE))</f>
        <v/>
      </c>
      <c r="AD29" s="4589"/>
      <c r="AE29" s="4546"/>
      <c r="AF29" s="4546"/>
      <c r="AG29" s="4546"/>
      <c r="AH29" s="4546"/>
      <c r="AI29" s="4590"/>
      <c r="AJ29" s="4591"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604"/>
      <c r="D30" s="4605"/>
      <c r="E30" s="4605"/>
      <c r="F30" s="4607"/>
      <c r="G30" s="741"/>
      <c r="H30" s="4596"/>
      <c r="I30" s="4597"/>
      <c r="J30" s="3013"/>
      <c r="K30" s="1310"/>
      <c r="L30" s="1303" t="s">
        <v>1924</v>
      </c>
      <c r="M30" s="4554" t="s">
        <v>1954</v>
      </c>
      <c r="N30" s="4554"/>
      <c r="O30" s="4554"/>
      <c r="P30" s="2764">
        <f>IF(Q30=0,20,"-")</f>
        <v>20</v>
      </c>
      <c r="Q30" s="2765"/>
      <c r="R30" s="3009" t="b">
        <f t="shared" si="1"/>
        <v>0</v>
      </c>
      <c r="S30" s="2544"/>
      <c r="T30" s="2544"/>
      <c r="U30" s="1307"/>
      <c r="V30" s="4594" t="str">
        <f>IF(V29="","",VLOOKUP(V29,'Tablas Técnicas'!$AD$5:$AI$188,4,FALSE))</f>
        <v/>
      </c>
      <c r="W30" s="4595"/>
      <c r="X30" s="4595"/>
      <c r="Y30" s="4595"/>
      <c r="Z30" s="1273" t="s">
        <v>1630</v>
      </c>
      <c r="AA30" s="1309" t="str">
        <f>IF(V29="","",VLOOKUP(V29,'Tablas Técnicas'!$AD$5:$AI$188,2,FALSE))</f>
        <v/>
      </c>
      <c r="AB30" s="4591"/>
      <c r="AD30" s="4594" t="str">
        <f>IF(AD29="","",VLOOKUP(AD29,'Tablas Técnicas'!$AD$5:$AI$188,4,FALSE))</f>
        <v/>
      </c>
      <c r="AE30" s="4595"/>
      <c r="AF30" s="4595"/>
      <c r="AG30" s="4595"/>
      <c r="AH30" s="1273" t="s">
        <v>1630</v>
      </c>
      <c r="AI30" s="1309" t="str">
        <f>IF(AD29="","",VLOOKUP(AD29,'Tablas Técnicas'!$AD$5:$AI$188,2,FALSE))</f>
        <v/>
      </c>
      <c r="AJ30" s="4591"/>
      <c r="AK30" s="1216"/>
      <c r="AL30" s="1210"/>
      <c r="AM30" s="1258"/>
      <c r="AN30" s="1258"/>
      <c r="AO30" s="1258"/>
      <c r="AP30" s="1258"/>
      <c r="AQ30" s="1258"/>
      <c r="AR30" s="1258"/>
      <c r="AS30" s="1258"/>
      <c r="AT30" s="1258"/>
      <c r="AU30" s="1258"/>
    </row>
    <row r="31" spans="1:47" ht="12" customHeight="1" thickBot="1" x14ac:dyDescent="0.25">
      <c r="A31" s="1210"/>
      <c r="B31" s="3022"/>
      <c r="C31" s="4598" t="str">
        <f>IF(E29&gt;C29,"Exceso de CM",IF(Tablas!$X$21,IF(E29&gt;C29*VLOOKUP(Nivel_Sobrenatural,Tablas!$S$9:$X$12,4,FALSE),"Exceso de CM inicial",""),""))</f>
        <v/>
      </c>
      <c r="D31" s="4599"/>
      <c r="E31" s="4599"/>
      <c r="F31" s="4600"/>
      <c r="G31" s="741"/>
      <c r="H31" s="4596"/>
      <c r="I31" s="4597"/>
      <c r="J31" s="3013"/>
      <c r="K31" s="1310"/>
      <c r="L31" s="1303" t="s">
        <v>1935</v>
      </c>
      <c r="M31" s="4554" t="s">
        <v>1955</v>
      </c>
      <c r="N31" s="4554"/>
      <c r="O31" s="4554"/>
      <c r="P31" s="2764">
        <f>IF(Q31=0,20,"-")</f>
        <v>20</v>
      </c>
      <c r="Q31" s="2765"/>
      <c r="R31" s="3009" t="b">
        <f t="shared" si="1"/>
        <v>0</v>
      </c>
      <c r="S31" s="2544"/>
      <c r="T31" s="2544"/>
      <c r="U31" s="1307">
        <f t="shared" si="2"/>
        <v>0</v>
      </c>
      <c r="V31" s="4592"/>
      <c r="W31" s="4529"/>
      <c r="X31" s="4529"/>
      <c r="Y31" s="4529"/>
      <c r="Z31" s="4529"/>
      <c r="AA31" s="4593"/>
      <c r="AB31" s="4570" t="str">
        <f>IF(V31="","",VLOOKUP(V31,'Tablas Técnicas'!$AD$5:$AI$188,3,FALSE))</f>
        <v/>
      </c>
      <c r="AD31" s="4592"/>
      <c r="AE31" s="4529"/>
      <c r="AF31" s="4529"/>
      <c r="AG31" s="4529"/>
      <c r="AH31" s="4529"/>
      <c r="AI31" s="4593"/>
      <c r="AJ31" s="4570"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608"/>
      <c r="I32" s="4609"/>
      <c r="J32" s="3013"/>
      <c r="K32" s="4531" t="s">
        <v>1956</v>
      </c>
      <c r="L32" s="4532"/>
      <c r="M32" s="4532"/>
      <c r="N32" s="4532"/>
      <c r="O32" s="4532"/>
      <c r="P32" s="2764">
        <f>IF(Q32=0,10,"-")</f>
        <v>10</v>
      </c>
      <c r="Q32" s="2765"/>
      <c r="R32" s="3009" t="b">
        <f t="shared" si="1"/>
        <v>0</v>
      </c>
      <c r="S32" s="2544"/>
      <c r="T32" s="2544"/>
      <c r="U32" s="1307"/>
      <c r="V32" s="4391" t="str">
        <f>IF(V31="","",VLOOKUP(V31,'Tablas Técnicas'!$AD$5:$AI$188,4,FALSE))</f>
        <v/>
      </c>
      <c r="W32" s="4339"/>
      <c r="X32" s="4339"/>
      <c r="Y32" s="4339"/>
      <c r="Z32" s="1342" t="s">
        <v>1630</v>
      </c>
      <c r="AA32" s="1344" t="str">
        <f>IF(V31="","",VLOOKUP(V31,'Tablas Técnicas'!$AD$5:$AI$188,2,FALSE))</f>
        <v/>
      </c>
      <c r="AB32" s="4570"/>
      <c r="AD32" s="4391" t="str">
        <f>IF(AD31="","",VLOOKUP(AD31,'Tablas Técnicas'!$AD$5:$AI$188,4,FALSE))</f>
        <v/>
      </c>
      <c r="AE32" s="4339"/>
      <c r="AF32" s="4339"/>
      <c r="AG32" s="4339"/>
      <c r="AH32" s="1342" t="s">
        <v>1630</v>
      </c>
      <c r="AI32" s="1344" t="str">
        <f>IF(AD31="","",VLOOKUP(AD31,'Tablas Técnicas'!$AD$5:$AI$188,2,FALSE))</f>
        <v/>
      </c>
      <c r="AJ32" s="4570"/>
      <c r="AK32" s="1216"/>
      <c r="AL32" s="1210"/>
      <c r="AM32" s="1258"/>
      <c r="AN32" s="1258"/>
      <c r="AO32" s="1258"/>
      <c r="AP32" s="1258"/>
      <c r="AQ32" s="1258"/>
      <c r="AR32" s="1258"/>
      <c r="AS32" s="1258"/>
      <c r="AT32" s="1258"/>
      <c r="AU32" s="1258"/>
    </row>
    <row r="33" spans="1:50" ht="12" customHeight="1" thickBot="1" x14ac:dyDescent="0.25">
      <c r="A33" s="1210"/>
      <c r="B33" s="3022"/>
      <c r="C33" s="4336" t="s">
        <v>1957</v>
      </c>
      <c r="D33" s="4337"/>
      <c r="E33" s="4337"/>
      <c r="F33" s="4338"/>
      <c r="G33" s="741"/>
      <c r="H33" s="4608"/>
      <c r="I33" s="4609"/>
      <c r="J33" s="3013"/>
      <c r="K33" s="1300" t="s">
        <v>1924</v>
      </c>
      <c r="L33" s="4601" t="s">
        <v>1958</v>
      </c>
      <c r="M33" s="4532"/>
      <c r="N33" s="4532"/>
      <c r="O33" s="4532"/>
      <c r="P33" s="2764">
        <f t="shared" ref="P33:P40" si="3">IF(Q33=0,10,"-")</f>
        <v>10</v>
      </c>
      <c r="Q33" s="2765"/>
      <c r="R33" s="3009" t="b">
        <f t="shared" si="1"/>
        <v>0</v>
      </c>
      <c r="S33" s="2544"/>
      <c r="T33" s="2544"/>
      <c r="U33" s="1307">
        <f t="shared" si="2"/>
        <v>0</v>
      </c>
      <c r="V33" s="4589"/>
      <c r="W33" s="4546"/>
      <c r="X33" s="4546"/>
      <c r="Y33" s="4546"/>
      <c r="Z33" s="4546"/>
      <c r="AA33" s="4590"/>
      <c r="AB33" s="4591" t="str">
        <f>IF(V33="","",VLOOKUP(V33,'Tablas Técnicas'!$AD$5:$AI$188,3,FALSE))</f>
        <v/>
      </c>
      <c r="AD33" s="4589"/>
      <c r="AE33" s="4546"/>
      <c r="AF33" s="4546"/>
      <c r="AG33" s="4546"/>
      <c r="AH33" s="4546"/>
      <c r="AI33" s="4590"/>
      <c r="AJ33" s="4591"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619" t="s">
        <v>1687</v>
      </c>
      <c r="D34" s="4620"/>
      <c r="E34" s="2766" t="s">
        <v>1731</v>
      </c>
      <c r="F34" s="1311" t="s">
        <v>1661</v>
      </c>
      <c r="G34" s="741"/>
      <c r="H34" s="4596"/>
      <c r="I34" s="4597"/>
      <c r="J34" s="3013"/>
      <c r="K34" s="1300" t="s">
        <v>1959</v>
      </c>
      <c r="L34" s="1303" t="s">
        <v>1935</v>
      </c>
      <c r="M34" s="4601" t="s">
        <v>1960</v>
      </c>
      <c r="N34" s="4601"/>
      <c r="O34" s="4601"/>
      <c r="P34" s="2764">
        <f t="shared" si="3"/>
        <v>10</v>
      </c>
      <c r="Q34" s="2765"/>
      <c r="R34" s="3009" t="b">
        <f t="shared" si="1"/>
        <v>0</v>
      </c>
      <c r="S34" s="2544"/>
      <c r="T34" s="2544"/>
      <c r="U34" s="1307"/>
      <c r="V34" s="4594" t="str">
        <f>IF(V33="","",VLOOKUP(V33,'Tablas Técnicas'!$AD$5:$AI$188,4,FALSE))</f>
        <v/>
      </c>
      <c r="W34" s="4595"/>
      <c r="X34" s="4595"/>
      <c r="Y34" s="4595"/>
      <c r="Z34" s="1273" t="s">
        <v>1630</v>
      </c>
      <c r="AA34" s="1309" t="str">
        <f>IF(V33="","",VLOOKUP(V33,'Tablas Técnicas'!$AD$5:$AI$188,2,FALSE))</f>
        <v/>
      </c>
      <c r="AB34" s="4591"/>
      <c r="AD34" s="4594" t="str">
        <f>IF(AD33="","",VLOOKUP(AD33,'Tablas Técnicas'!$AD$5:$AI$188,4,FALSE))</f>
        <v/>
      </c>
      <c r="AE34" s="4595"/>
      <c r="AF34" s="4595"/>
      <c r="AG34" s="4595"/>
      <c r="AH34" s="1273" t="s">
        <v>1630</v>
      </c>
      <c r="AI34" s="1309" t="str">
        <f>IF(AD33="","",VLOOKUP(AD33,'Tablas Técnicas'!$AD$5:$AI$188,2,FALSE))</f>
        <v/>
      </c>
      <c r="AJ34" s="4591"/>
      <c r="AK34" s="1216"/>
      <c r="AL34" s="1210"/>
      <c r="AM34" s="1258"/>
      <c r="AN34" s="1258"/>
      <c r="AO34" s="1258"/>
      <c r="AP34" s="1258"/>
      <c r="AQ34" s="1258"/>
      <c r="AR34" s="1258"/>
      <c r="AS34" s="1258"/>
      <c r="AT34" s="1258"/>
      <c r="AU34" s="1258"/>
    </row>
    <row r="35" spans="1:50" ht="12" customHeight="1" x14ac:dyDescent="0.2">
      <c r="A35" s="1210"/>
      <c r="B35" s="3022"/>
      <c r="C35" s="4616" t="s">
        <v>1961</v>
      </c>
      <c r="D35" s="4617"/>
      <c r="E35" s="3016"/>
      <c r="F35" s="1312" t="str">
        <f>IF(Ki!P13="-",TRUNC((Ki!C29+Advertir_final)/2+E35+Tablas!$CD$225+IF(Tablas!$G$379&gt;0,10*PDs!$X$15,0),0),"-")</f>
        <v>-</v>
      </c>
      <c r="G35" s="741"/>
      <c r="H35" s="4596"/>
      <c r="I35" s="4597"/>
      <c r="J35" s="3017"/>
      <c r="K35" s="1300" t="s">
        <v>1959</v>
      </c>
      <c r="L35" s="1313"/>
      <c r="M35" s="1303" t="s">
        <v>1935</v>
      </c>
      <c r="N35" s="4618" t="s">
        <v>1962</v>
      </c>
      <c r="O35" s="4618"/>
      <c r="P35" s="2764">
        <f t="shared" si="3"/>
        <v>10</v>
      </c>
      <c r="Q35" s="2765"/>
      <c r="R35" s="3009" t="b">
        <f t="shared" si="1"/>
        <v>0</v>
      </c>
      <c r="S35" s="2544"/>
      <c r="T35" s="2544"/>
      <c r="U35" s="1307">
        <f t="shared" si="2"/>
        <v>0</v>
      </c>
      <c r="V35" s="4592"/>
      <c r="W35" s="4529"/>
      <c r="X35" s="4529"/>
      <c r="Y35" s="4529"/>
      <c r="Z35" s="4529"/>
      <c r="AA35" s="4593"/>
      <c r="AB35" s="4570" t="str">
        <f>IF(V35="","",VLOOKUP(V35,'Tablas Técnicas'!$AD$5:$AI$188,3,FALSE))</f>
        <v/>
      </c>
      <c r="AD35" s="4592"/>
      <c r="AE35" s="4529"/>
      <c r="AF35" s="4529"/>
      <c r="AG35" s="4529"/>
      <c r="AH35" s="4529"/>
      <c r="AI35" s="4593"/>
      <c r="AJ35" s="4570"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621" t="s">
        <v>1963</v>
      </c>
      <c r="D36" s="4622"/>
      <c r="E36" s="3018"/>
      <c r="F36" s="730" t="str">
        <f>IF(OR(Ki!P50="-",Raza="D'Anjayni",Raza="Nephilim D'Anjayni"),TRUNC((Ocultarse_final+Ki!$C$29)/2+E36+IF(Raza="D'Anjayni",50,0)+IF(Raza="Nephilim D'Anjayni",30,0)+Tablas!$CE$225+IF(Tablas!$G$374&gt;0,10*PDs!$X$15,0),0),"-")</f>
        <v>-</v>
      </c>
      <c r="G36" s="741"/>
      <c r="H36" s="4608"/>
      <c r="I36" s="4609"/>
      <c r="J36" s="3017"/>
      <c r="K36" s="1300" t="s">
        <v>1924</v>
      </c>
      <c r="L36" s="4601" t="s">
        <v>1964</v>
      </c>
      <c r="M36" s="4532"/>
      <c r="N36" s="4532"/>
      <c r="O36" s="4532"/>
      <c r="P36" s="2764">
        <f t="shared" si="3"/>
        <v>10</v>
      </c>
      <c r="Q36" s="2765"/>
      <c r="R36" s="3009" t="b">
        <f t="shared" si="1"/>
        <v>0</v>
      </c>
      <c r="S36" s="2544"/>
      <c r="T36" s="2544"/>
      <c r="U36" s="1307"/>
      <c r="V36" s="4391" t="str">
        <f>IF(V35="","",VLOOKUP(V35,'Tablas Técnicas'!$AD$5:$AI$188,4,FALSE))</f>
        <v/>
      </c>
      <c r="W36" s="4339"/>
      <c r="X36" s="4339"/>
      <c r="Y36" s="4339"/>
      <c r="Z36" s="1342" t="s">
        <v>1630</v>
      </c>
      <c r="AA36" s="1344" t="str">
        <f>IF(V35="","",VLOOKUP(V35,'Tablas Técnicas'!$AD$5:$AI$188,2,FALSE))</f>
        <v/>
      </c>
      <c r="AB36" s="4570"/>
      <c r="AD36" s="4391" t="str">
        <f>IF(AD35="","",VLOOKUP(AD35,'Tablas Técnicas'!$AD$5:$AI$188,4,FALSE))</f>
        <v/>
      </c>
      <c r="AE36" s="4339"/>
      <c r="AF36" s="4339"/>
      <c r="AG36" s="4339"/>
      <c r="AH36" s="1342" t="s">
        <v>1630</v>
      </c>
      <c r="AI36" s="1344" t="str">
        <f>IF(AD35="","",VLOOKUP(AD35,'Tablas Técnicas'!$AD$5:$AI$188,2,FALSE))</f>
        <v/>
      </c>
      <c r="AJ36" s="4570"/>
      <c r="AK36" s="1216"/>
      <c r="AL36" s="1210"/>
      <c r="AM36" s="1258"/>
      <c r="AN36" s="1258"/>
      <c r="AO36" s="1258"/>
      <c r="AP36" s="1258"/>
      <c r="AQ36" s="1258"/>
      <c r="AR36" s="1258"/>
      <c r="AS36" s="1258"/>
      <c r="AT36" s="1258"/>
      <c r="AU36" s="1258"/>
    </row>
    <row r="37" spans="1:50" ht="12" customHeight="1" thickBot="1" x14ac:dyDescent="0.25">
      <c r="A37" s="1210"/>
      <c r="B37" s="3022"/>
      <c r="C37" s="4623"/>
      <c r="D37" s="4624"/>
      <c r="E37" s="4624"/>
      <c r="F37" s="4625"/>
      <c r="G37" s="741"/>
      <c r="H37" s="4626"/>
      <c r="I37" s="4627"/>
      <c r="J37" s="3017"/>
      <c r="K37" s="1300" t="s">
        <v>1959</v>
      </c>
      <c r="L37" s="1303" t="s">
        <v>1924</v>
      </c>
      <c r="M37" s="4601" t="s">
        <v>1965</v>
      </c>
      <c r="N37" s="4601"/>
      <c r="O37" s="4601"/>
      <c r="P37" s="2764">
        <f t="shared" si="3"/>
        <v>10</v>
      </c>
      <c r="Q37" s="2765"/>
      <c r="R37" s="3009" t="b">
        <f t="shared" si="1"/>
        <v>0</v>
      </c>
      <c r="S37" s="2544"/>
      <c r="T37" s="2544"/>
      <c r="U37" s="1307">
        <f t="shared" si="2"/>
        <v>0</v>
      </c>
      <c r="V37" s="4589"/>
      <c r="W37" s="4546"/>
      <c r="X37" s="4546"/>
      <c r="Y37" s="4546"/>
      <c r="Z37" s="4546"/>
      <c r="AA37" s="4590"/>
      <c r="AB37" s="4591" t="str">
        <f>IF(V37="","",VLOOKUP(V37,'Tablas Técnicas'!$AD$5:$AI$188,3,FALSE))</f>
        <v/>
      </c>
      <c r="AD37" s="4589"/>
      <c r="AE37" s="4546"/>
      <c r="AF37" s="4546"/>
      <c r="AG37" s="4546"/>
      <c r="AH37" s="4546"/>
      <c r="AI37" s="4590"/>
      <c r="AJ37" s="4591"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601" t="s">
        <v>1966</v>
      </c>
      <c r="N38" s="4601"/>
      <c r="O38" s="4601"/>
      <c r="P38" s="2764">
        <f t="shared" si="3"/>
        <v>10</v>
      </c>
      <c r="Q38" s="2765"/>
      <c r="R38" s="3009" t="b">
        <f t="shared" si="1"/>
        <v>0</v>
      </c>
      <c r="S38" s="2544"/>
      <c r="T38" s="2544"/>
      <c r="U38" s="1307"/>
      <c r="V38" s="4594" t="str">
        <f>IF(V37="","",VLOOKUP(V37,'Tablas Técnicas'!$AD$5:$AI$188,4,FALSE))</f>
        <v/>
      </c>
      <c r="W38" s="4595"/>
      <c r="X38" s="4595"/>
      <c r="Y38" s="4595"/>
      <c r="Z38" s="1273" t="s">
        <v>1630</v>
      </c>
      <c r="AA38" s="1309" t="str">
        <f>IF(V37="","",VLOOKUP(V37,'Tablas Técnicas'!$AD$5:$AI$188,2,FALSE))</f>
        <v/>
      </c>
      <c r="AB38" s="4591"/>
      <c r="AD38" s="4594" t="str">
        <f>IF(AD37="","",VLOOKUP(AD37,'Tablas Técnicas'!$AD$5:$AI$188,4,FALSE))</f>
        <v/>
      </c>
      <c r="AE38" s="4595"/>
      <c r="AF38" s="4595"/>
      <c r="AG38" s="4595"/>
      <c r="AH38" s="1273" t="s">
        <v>1630</v>
      </c>
      <c r="AI38" s="1309" t="str">
        <f>IF(AD37="","",VLOOKUP(AD37,'Tablas Técnicas'!$AD$5:$AI$188,2,FALSE))</f>
        <v/>
      </c>
      <c r="AJ38" s="4591"/>
      <c r="AK38" s="1216"/>
      <c r="AL38" s="1210"/>
      <c r="AM38" s="1258"/>
      <c r="AN38" s="1258"/>
      <c r="AO38" s="1258"/>
      <c r="AP38" s="1258"/>
      <c r="AQ38" s="1258"/>
      <c r="AR38" s="1258"/>
      <c r="AS38" s="1258"/>
      <c r="AT38" s="1258"/>
      <c r="AU38" s="1258"/>
      <c r="AW38" s="1276"/>
    </row>
    <row r="39" spans="1:50" ht="12" customHeight="1" thickBot="1" x14ac:dyDescent="0.25">
      <c r="A39" s="1210"/>
      <c r="B39" s="3022"/>
      <c r="C39" s="4631" t="s">
        <v>1967</v>
      </c>
      <c r="D39" s="4632"/>
      <c r="E39" s="4632"/>
      <c r="F39" s="4633"/>
      <c r="G39" s="4634" t="s">
        <v>1968</v>
      </c>
      <c r="H39" s="4634"/>
      <c r="I39" s="1315">
        <f>IF(Tablas!$G$535&gt;0,2,1)-IF(Ki!C40="",0,1)-IF(Ki!C41="",0,1)</f>
        <v>1</v>
      </c>
      <c r="J39" s="3017"/>
      <c r="K39" s="1300" t="s">
        <v>1959</v>
      </c>
      <c r="L39" s="1303" t="s">
        <v>1924</v>
      </c>
      <c r="M39" s="4601" t="str">
        <f>"Alcance incrementado"</f>
        <v>Alcance incrementado</v>
      </c>
      <c r="N39" s="4601"/>
      <c r="O39" s="4601"/>
      <c r="P39" s="2764">
        <f t="shared" si="3"/>
        <v>10</v>
      </c>
      <c r="Q39" s="2765"/>
      <c r="R39" s="3009" t="b">
        <f t="shared" si="1"/>
        <v>0</v>
      </c>
      <c r="S39" s="2544"/>
      <c r="T39" s="2544"/>
      <c r="U39" s="1307">
        <f t="shared" si="2"/>
        <v>0</v>
      </c>
      <c r="V39" s="4592"/>
      <c r="W39" s="4529"/>
      <c r="X39" s="4529"/>
      <c r="Y39" s="4529"/>
      <c r="Z39" s="4529"/>
      <c r="AA39" s="4593"/>
      <c r="AB39" s="4570" t="str">
        <f>IF(V39="","",VLOOKUP(V39,'Tablas Técnicas'!$AD$5:$AI$188,3,FALSE))</f>
        <v/>
      </c>
      <c r="AD39" s="4592"/>
      <c r="AE39" s="4529"/>
      <c r="AF39" s="4529"/>
      <c r="AG39" s="4529"/>
      <c r="AH39" s="4529"/>
      <c r="AI39" s="4593"/>
      <c r="AJ39" s="4570"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628"/>
      <c r="D40" s="4629"/>
      <c r="E40" s="4629"/>
      <c r="F40" s="4629"/>
      <c r="G40" s="4629"/>
      <c r="H40" s="4630"/>
      <c r="I40" s="1316" t="str">
        <f>IF(C40=0,"",VLOOKUP(C40,Tablas!$D$1013:$M$1019,2))</f>
        <v/>
      </c>
      <c r="J40" s="3017"/>
      <c r="K40" s="1300" t="s">
        <v>1959</v>
      </c>
      <c r="L40" s="1303" t="s">
        <v>1935</v>
      </c>
      <c r="M40" s="4601" t="s">
        <v>1969</v>
      </c>
      <c r="N40" s="4601"/>
      <c r="O40" s="4601"/>
      <c r="P40" s="2764">
        <f t="shared" si="3"/>
        <v>10</v>
      </c>
      <c r="Q40" s="2765"/>
      <c r="R40" s="3009" t="b">
        <f t="shared" si="1"/>
        <v>0</v>
      </c>
      <c r="S40" s="2544"/>
      <c r="T40" s="2544"/>
      <c r="U40" s="1307"/>
      <c r="V40" s="4391" t="str">
        <f>IF(V39="","",VLOOKUP(V39,'Tablas Técnicas'!$AD$5:$AI$188,4,FALSE))</f>
        <v/>
      </c>
      <c r="W40" s="4339"/>
      <c r="X40" s="4339"/>
      <c r="Y40" s="4339"/>
      <c r="Z40" s="1342" t="s">
        <v>1630</v>
      </c>
      <c r="AA40" s="1344" t="str">
        <f>IF(V39="","",VLOOKUP(V39,'Tablas Técnicas'!$AD$5:$AI$188,2,FALSE))</f>
        <v/>
      </c>
      <c r="AB40" s="4570"/>
      <c r="AD40" s="4391" t="str">
        <f>IF(AD39="","",VLOOKUP(AD39,'Tablas Técnicas'!$AD$5:$AI$188,4,FALSE))</f>
        <v/>
      </c>
      <c r="AE40" s="4339"/>
      <c r="AF40" s="4339"/>
      <c r="AG40" s="4339"/>
      <c r="AH40" s="1342" t="s">
        <v>1630</v>
      </c>
      <c r="AI40" s="1344" t="str">
        <f>IF(AD39="","",VLOOKUP(AD39,'Tablas Técnicas'!$AD$5:$AI$188,2,FALSE))</f>
        <v/>
      </c>
      <c r="AJ40" s="4570"/>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635"/>
      <c r="D41" s="4636"/>
      <c r="E41" s="4636"/>
      <c r="F41" s="4636"/>
      <c r="G41" s="4636"/>
      <c r="H41" s="4636"/>
      <c r="I41" s="1317" t="str">
        <f>IF(C41=0,"",VLOOKUP(C41,Tablas!$D$1013:$M$1019,2))</f>
        <v/>
      </c>
      <c r="J41" s="3017"/>
      <c r="K41" s="1300" t="s">
        <v>1924</v>
      </c>
      <c r="L41" s="4601" t="s">
        <v>1970</v>
      </c>
      <c r="M41" s="4532"/>
      <c r="N41" s="4532"/>
      <c r="O41" s="4532"/>
      <c r="P41" s="2764">
        <f>IF(Q41=0,20,"-")</f>
        <v>20</v>
      </c>
      <c r="Q41" s="2765"/>
      <c r="R41" s="3009" t="b">
        <f t="shared" si="1"/>
        <v>0</v>
      </c>
      <c r="S41" s="2544"/>
      <c r="T41" s="2544"/>
      <c r="U41" s="1307">
        <f t="shared" si="2"/>
        <v>0</v>
      </c>
      <c r="V41" s="4589"/>
      <c r="W41" s="4546"/>
      <c r="X41" s="4546"/>
      <c r="Y41" s="4546"/>
      <c r="Z41" s="4546"/>
      <c r="AA41" s="4590"/>
      <c r="AB41" s="4591" t="str">
        <f>IF(V41="","",VLOOKUP(V41,'Tablas Técnicas'!$AD$5:$AI$188,3,FALSE))</f>
        <v/>
      </c>
      <c r="AD41" s="4589"/>
      <c r="AE41" s="4546"/>
      <c r="AF41" s="4546"/>
      <c r="AG41" s="4546"/>
      <c r="AH41" s="4546"/>
      <c r="AI41" s="4590"/>
      <c r="AJ41" s="4591"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601" t="s">
        <v>1971</v>
      </c>
      <c r="M42" s="4532"/>
      <c r="N42" s="4532"/>
      <c r="O42" s="4532"/>
      <c r="P42" s="2764">
        <f>IF(Q42=0,30,"-")</f>
        <v>30</v>
      </c>
      <c r="Q42" s="2765"/>
      <c r="R42" s="3009" t="b">
        <f t="shared" si="1"/>
        <v>0</v>
      </c>
      <c r="S42" s="2544"/>
      <c r="T42" s="2544"/>
      <c r="U42" s="1307"/>
      <c r="V42" s="4594" t="str">
        <f>IF(V41="","",VLOOKUP(V41,'Tablas Técnicas'!$AD$5:$AI$188,4,FALSE))</f>
        <v/>
      </c>
      <c r="W42" s="4595"/>
      <c r="X42" s="4595"/>
      <c r="Y42" s="4595"/>
      <c r="Z42" s="1273" t="s">
        <v>1630</v>
      </c>
      <c r="AA42" s="1309" t="str">
        <f>IF(V41="","",VLOOKUP(V41,'Tablas Técnicas'!$AD$5:$AI$188,2,FALSE))</f>
        <v/>
      </c>
      <c r="AB42" s="4591"/>
      <c r="AD42" s="4594" t="str">
        <f>IF(AD41="","",VLOOKUP(AD41,'Tablas Técnicas'!$AD$5:$AI$188,4,FALSE))</f>
        <v/>
      </c>
      <c r="AE42" s="4595"/>
      <c r="AF42" s="4595"/>
      <c r="AG42" s="4595"/>
      <c r="AH42" s="1273" t="s">
        <v>1630</v>
      </c>
      <c r="AI42" s="1309" t="str">
        <f>IF(AD41="","",VLOOKUP(AD41,'Tablas Técnicas'!$AD$5:$AI$188,2,FALSE))</f>
        <v/>
      </c>
      <c r="AJ42" s="4591"/>
      <c r="AK42" s="1216"/>
      <c r="AL42" s="1210"/>
      <c r="AM42" s="1258"/>
      <c r="AN42" s="1258"/>
      <c r="AO42" s="1258"/>
      <c r="AP42" s="1258"/>
      <c r="AQ42" s="1258"/>
      <c r="AR42" s="1258"/>
      <c r="AS42" s="1258"/>
      <c r="AT42" s="1258"/>
      <c r="AU42" s="1258"/>
      <c r="AW42" s="1295"/>
      <c r="AX42" s="1295"/>
    </row>
    <row r="43" spans="1:50" ht="12" customHeight="1" x14ac:dyDescent="0.2">
      <c r="A43" s="1210"/>
      <c r="B43" s="3022"/>
      <c r="C43" s="4505" t="s">
        <v>1972</v>
      </c>
      <c r="D43" s="4506"/>
      <c r="E43" s="4506"/>
      <c r="F43" s="4506"/>
      <c r="G43" s="4506"/>
      <c r="H43" s="4509">
        <f>IF(I43=0,70,"-")</f>
        <v>70</v>
      </c>
      <c r="I43" s="4511"/>
      <c r="J43" s="3019"/>
      <c r="K43" s="1300" t="s">
        <v>1935</v>
      </c>
      <c r="L43" s="4601" t="s">
        <v>1973</v>
      </c>
      <c r="M43" s="4532"/>
      <c r="N43" s="4532"/>
      <c r="O43" s="4532"/>
      <c r="P43" s="2764">
        <f>IF(Q43=0,10,"-")</f>
        <v>10</v>
      </c>
      <c r="Q43" s="2765"/>
      <c r="R43" s="3009" t="b">
        <f t="shared" si="1"/>
        <v>0</v>
      </c>
      <c r="S43" s="2544"/>
      <c r="T43" s="2544"/>
      <c r="U43" s="1307">
        <f t="shared" si="2"/>
        <v>0</v>
      </c>
      <c r="V43" s="4592"/>
      <c r="W43" s="4529"/>
      <c r="X43" s="4529"/>
      <c r="Y43" s="4529"/>
      <c r="Z43" s="4529"/>
      <c r="AA43" s="4593"/>
      <c r="AB43" s="4570" t="str">
        <f>IF(V43="","",VLOOKUP(V43,'Tablas Técnicas'!$AD$5:$AI$188,3,FALSE))</f>
        <v/>
      </c>
      <c r="AD43" s="4592"/>
      <c r="AE43" s="4529"/>
      <c r="AF43" s="4529"/>
      <c r="AG43" s="4529"/>
      <c r="AH43" s="4529"/>
      <c r="AI43" s="4593"/>
      <c r="AJ43" s="4570" t="str">
        <f>IF(AD43="","",VLOOKUP(AD43,'Tablas Técnicas'!$AD$5:$AI$188,3,FALSE))</f>
        <v/>
      </c>
      <c r="AK43" s="1216"/>
      <c r="AL43" s="1210"/>
      <c r="AM43" s="1258"/>
      <c r="AN43" s="1258"/>
      <c r="AO43" s="1258"/>
      <c r="AP43" s="1258"/>
      <c r="AQ43" s="1258"/>
      <c r="AR43" s="1258"/>
      <c r="AS43" s="1258"/>
      <c r="AT43" s="1258"/>
      <c r="AU43" s="1258"/>
      <c r="AW43" s="4637"/>
      <c r="AX43" s="741"/>
    </row>
    <row r="44" spans="1:50" ht="12" customHeight="1" thickBot="1" x14ac:dyDescent="0.25">
      <c r="A44" s="1210"/>
      <c r="B44" s="3022"/>
      <c r="C44" s="4507"/>
      <c r="D44" s="4508"/>
      <c r="E44" s="4508"/>
      <c r="F44" s="4508"/>
      <c r="G44" s="4508"/>
      <c r="H44" s="4510"/>
      <c r="I44" s="4512"/>
      <c r="J44" s="3019"/>
      <c r="K44" s="4531" t="s">
        <v>1974</v>
      </c>
      <c r="L44" s="4532"/>
      <c r="M44" s="4532"/>
      <c r="N44" s="4532"/>
      <c r="O44" s="4532"/>
      <c r="P44" s="2764">
        <f t="shared" ref="P44:P53" si="4">IF(Q44=0,10,"-")</f>
        <v>10</v>
      </c>
      <c r="Q44" s="2765"/>
      <c r="R44" s="3009" t="b">
        <f t="shared" si="1"/>
        <v>0</v>
      </c>
      <c r="S44" s="2544"/>
      <c r="T44" s="2544"/>
      <c r="U44" s="1307"/>
      <c r="V44" s="4391" t="str">
        <f>IF(V43="","",VLOOKUP(V43,'Tablas Técnicas'!$AD$5:$AI$188,4,FALSE))</f>
        <v/>
      </c>
      <c r="W44" s="4339"/>
      <c r="X44" s="4339"/>
      <c r="Y44" s="4339"/>
      <c r="Z44" s="1342" t="s">
        <v>1630</v>
      </c>
      <c r="AA44" s="1344" t="str">
        <f>IF(V43="","",VLOOKUP(V43,'Tablas Técnicas'!$AD$5:$AI$188,2,FALSE))</f>
        <v/>
      </c>
      <c r="AB44" s="4570"/>
      <c r="AD44" s="4391" t="str">
        <f>IF(AD43="","",VLOOKUP(AD43,'Tablas Técnicas'!$AD$5:$AI$188,4,FALSE))</f>
        <v/>
      </c>
      <c r="AE44" s="4339"/>
      <c r="AF44" s="4339"/>
      <c r="AG44" s="4339"/>
      <c r="AH44" s="1342" t="s">
        <v>1630</v>
      </c>
      <c r="AI44" s="1344" t="str">
        <f>IF(AD43="","",VLOOKUP(AD43,'Tablas Técnicas'!$AD$5:$AI$188,2,FALSE))</f>
        <v/>
      </c>
      <c r="AJ44" s="4570"/>
      <c r="AK44" s="1216"/>
      <c r="AL44" s="1210"/>
      <c r="AM44" s="1258"/>
      <c r="AN44" s="1258"/>
      <c r="AO44" s="1258"/>
      <c r="AP44" s="1258"/>
      <c r="AQ44" s="1258"/>
      <c r="AR44" s="1258"/>
      <c r="AS44" s="1258"/>
      <c r="AT44" s="1258"/>
      <c r="AU44" s="1258"/>
      <c r="AW44" s="4637"/>
      <c r="AX44" s="1318"/>
    </row>
    <row r="45" spans="1:50" ht="12" customHeight="1" x14ac:dyDescent="0.2">
      <c r="A45" s="1210"/>
      <c r="B45" s="3009" t="b">
        <f t="shared" ref="B45:B62" si="5">H45="-"</f>
        <v>0</v>
      </c>
      <c r="C45" s="4531" t="s">
        <v>1975</v>
      </c>
      <c r="D45" s="4532"/>
      <c r="E45" s="4532"/>
      <c r="F45" s="4532"/>
      <c r="G45" s="4532"/>
      <c r="H45" s="2764">
        <f>IF(I45=0,20,"-")</f>
        <v>20</v>
      </c>
      <c r="I45" s="2765"/>
      <c r="J45" s="741"/>
      <c r="K45" s="1300" t="s">
        <v>1924</v>
      </c>
      <c r="L45" s="4601" t="s">
        <v>1976</v>
      </c>
      <c r="M45" s="4532"/>
      <c r="N45" s="4532"/>
      <c r="O45" s="4532"/>
      <c r="P45" s="2764">
        <f t="shared" si="4"/>
        <v>10</v>
      </c>
      <c r="Q45" s="2765"/>
      <c r="R45" s="3009" t="b">
        <f t="shared" si="1"/>
        <v>0</v>
      </c>
      <c r="S45" s="2544"/>
      <c r="T45" s="2544"/>
      <c r="U45" s="1307">
        <f t="shared" si="2"/>
        <v>0</v>
      </c>
      <c r="V45" s="4589"/>
      <c r="W45" s="4546"/>
      <c r="X45" s="4546"/>
      <c r="Y45" s="4546"/>
      <c r="Z45" s="4546"/>
      <c r="AA45" s="4590"/>
      <c r="AB45" s="4591" t="str">
        <f>IF(V45="","",VLOOKUP(V45,'Tablas Técnicas'!$AD$5:$AI$188,3,FALSE))</f>
        <v/>
      </c>
      <c r="AD45" s="4589"/>
      <c r="AE45" s="4546"/>
      <c r="AF45" s="4546"/>
      <c r="AG45" s="4546"/>
      <c r="AH45" s="4546"/>
      <c r="AI45" s="4590"/>
      <c r="AJ45" s="4591"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601" t="s">
        <v>1977</v>
      </c>
      <c r="E46" s="4532"/>
      <c r="F46" s="4532"/>
      <c r="G46" s="4532"/>
      <c r="H46" s="2764">
        <f>IF(I46=0,30,"-")</f>
        <v>30</v>
      </c>
      <c r="I46" s="2765"/>
      <c r="J46" s="741"/>
      <c r="K46" s="1300" t="s">
        <v>1959</v>
      </c>
      <c r="L46" s="1303" t="s">
        <v>1924</v>
      </c>
      <c r="M46" s="4601" t="s">
        <v>1978</v>
      </c>
      <c r="N46" s="4601"/>
      <c r="O46" s="4601"/>
      <c r="P46" s="2764">
        <f t="shared" si="4"/>
        <v>10</v>
      </c>
      <c r="Q46" s="2765"/>
      <c r="R46" s="3009" t="b">
        <f t="shared" si="1"/>
        <v>0</v>
      </c>
      <c r="S46" s="2544"/>
      <c r="T46" s="2544"/>
      <c r="U46" s="1307"/>
      <c r="V46" s="4594" t="str">
        <f>IF(V45="","",VLOOKUP(V45,'Tablas Técnicas'!$AD$5:$AI$188,4,FALSE))</f>
        <v/>
      </c>
      <c r="W46" s="4595"/>
      <c r="X46" s="4595"/>
      <c r="Y46" s="4595"/>
      <c r="Z46" s="1273" t="s">
        <v>1630</v>
      </c>
      <c r="AA46" s="1309" t="str">
        <f>IF(V45="","",VLOOKUP(V45,'Tablas Técnicas'!$AD$5:$AI$188,2,FALSE))</f>
        <v/>
      </c>
      <c r="AB46" s="4591"/>
      <c r="AD46" s="4594" t="str">
        <f>IF(AD45="","",VLOOKUP(AD45,'Tablas Técnicas'!$AD$5:$AI$188,4,FALSE))</f>
        <v/>
      </c>
      <c r="AE46" s="4595"/>
      <c r="AF46" s="4595"/>
      <c r="AG46" s="4595"/>
      <c r="AH46" s="1273" t="s">
        <v>1630</v>
      </c>
      <c r="AI46" s="1309" t="str">
        <f>IF(AD45="","",VLOOKUP(AD45,'Tablas Técnicas'!$AD$5:$AI$188,2,FALSE))</f>
        <v/>
      </c>
      <c r="AJ46" s="4591"/>
      <c r="AK46" s="1216"/>
      <c r="AL46" s="1210"/>
      <c r="AM46" s="1258"/>
      <c r="AN46" s="1258"/>
      <c r="AO46" s="1258"/>
      <c r="AP46" s="1258"/>
      <c r="AQ46" s="1258"/>
      <c r="AR46" s="1258"/>
      <c r="AS46" s="1258"/>
      <c r="AT46" s="1258"/>
      <c r="AU46" s="1258"/>
    </row>
    <row r="47" spans="1:50" ht="12" customHeight="1" x14ac:dyDescent="0.2">
      <c r="A47" s="1210"/>
      <c r="B47" s="3009" t="b">
        <f t="shared" si="5"/>
        <v>0</v>
      </c>
      <c r="C47" s="4531" t="s">
        <v>1979</v>
      </c>
      <c r="D47" s="4601"/>
      <c r="E47" s="4601"/>
      <c r="F47" s="4601"/>
      <c r="G47" s="4601"/>
      <c r="H47" s="2764">
        <f>IF(I47=0,30,"-")</f>
        <v>30</v>
      </c>
      <c r="I47" s="2765"/>
      <c r="J47" s="741"/>
      <c r="K47" s="1300" t="s">
        <v>1959</v>
      </c>
      <c r="L47" s="1303" t="s">
        <v>1935</v>
      </c>
      <c r="M47" s="4601" t="s">
        <v>1980</v>
      </c>
      <c r="N47" s="4601"/>
      <c r="O47" s="4601"/>
      <c r="P47" s="2764">
        <f t="shared" si="4"/>
        <v>10</v>
      </c>
      <c r="Q47" s="2765"/>
      <c r="R47" s="3009" t="b">
        <f t="shared" si="1"/>
        <v>0</v>
      </c>
      <c r="S47" s="2544"/>
      <c r="T47" s="2544"/>
      <c r="U47" s="1307">
        <f t="shared" si="2"/>
        <v>0</v>
      </c>
      <c r="V47" s="4592"/>
      <c r="W47" s="4529"/>
      <c r="X47" s="4529"/>
      <c r="Y47" s="4529"/>
      <c r="Z47" s="4529"/>
      <c r="AA47" s="4593"/>
      <c r="AB47" s="4570" t="str">
        <f>IF(V47="","",VLOOKUP(V47,'Tablas Técnicas'!$AD$5:$AI$188,3,FALSE))</f>
        <v/>
      </c>
      <c r="AD47" s="4592"/>
      <c r="AE47" s="4529"/>
      <c r="AF47" s="4529"/>
      <c r="AG47" s="4529"/>
      <c r="AH47" s="4529"/>
      <c r="AI47" s="4593"/>
      <c r="AJ47" s="4570"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601" t="s">
        <v>1981</v>
      </c>
      <c r="E48" s="4601"/>
      <c r="F48" s="4601"/>
      <c r="G48" s="4601"/>
      <c r="H48" s="2764">
        <f>IF(I48=0,20,"-")</f>
        <v>20</v>
      </c>
      <c r="I48" s="2765"/>
      <c r="J48" s="741"/>
      <c r="K48" s="1300" t="s">
        <v>1935</v>
      </c>
      <c r="L48" s="4601" t="s">
        <v>1982</v>
      </c>
      <c r="M48" s="4532"/>
      <c r="N48" s="4532"/>
      <c r="O48" s="4532"/>
      <c r="P48" s="2764">
        <f t="shared" si="4"/>
        <v>10</v>
      </c>
      <c r="Q48" s="2765"/>
      <c r="R48" s="3009" t="b">
        <f t="shared" si="1"/>
        <v>0</v>
      </c>
      <c r="S48" s="2544"/>
      <c r="T48" s="2544"/>
      <c r="U48" s="1307"/>
      <c r="V48" s="4391" t="str">
        <f>IF(V47="","",VLOOKUP(V47,'Tablas Técnicas'!$AD$5:$AI$188,4,FALSE))</f>
        <v/>
      </c>
      <c r="W48" s="4339"/>
      <c r="X48" s="4339"/>
      <c r="Y48" s="4339"/>
      <c r="Z48" s="1342" t="s">
        <v>1630</v>
      </c>
      <c r="AA48" s="1344" t="str">
        <f>IF(V47="","",VLOOKUP(V47,'Tablas Técnicas'!$AD$5:$AI$188,2,FALSE))</f>
        <v/>
      </c>
      <c r="AB48" s="4570"/>
      <c r="AD48" s="4391" t="str">
        <f>IF(AD47="","",VLOOKUP(AD47,'Tablas Técnicas'!$AD$5:$AI$188,4,FALSE))</f>
        <v/>
      </c>
      <c r="AE48" s="4339"/>
      <c r="AF48" s="4339"/>
      <c r="AG48" s="4339"/>
      <c r="AH48" s="1342" t="s">
        <v>1630</v>
      </c>
      <c r="AI48" s="1344" t="str">
        <f>IF(AD47="","",VLOOKUP(AD47,'Tablas Técnicas'!$AD$5:$AI$188,2,FALSE))</f>
        <v/>
      </c>
      <c r="AJ48" s="4570"/>
      <c r="AK48" s="1216"/>
      <c r="AL48" s="1210"/>
      <c r="AM48" s="1258"/>
      <c r="AN48" s="1258"/>
      <c r="AO48" s="1258"/>
      <c r="AP48" s="1258"/>
      <c r="AQ48" s="1258"/>
      <c r="AR48" s="1258"/>
      <c r="AS48" s="1258"/>
      <c r="AT48" s="1258"/>
      <c r="AU48" s="1258"/>
    </row>
    <row r="49" spans="1:47" ht="12" customHeight="1" x14ac:dyDescent="0.2">
      <c r="A49" s="1210"/>
      <c r="B49" s="3009" t="b">
        <f t="shared" si="5"/>
        <v>0</v>
      </c>
      <c r="C49" s="4531" t="s">
        <v>1983</v>
      </c>
      <c r="D49" s="4601"/>
      <c r="E49" s="4601"/>
      <c r="F49" s="4601"/>
      <c r="G49" s="4601"/>
      <c r="H49" s="2764">
        <f>IF(I49=0,30,"-")</f>
        <v>30</v>
      </c>
      <c r="I49" s="2765"/>
      <c r="J49" s="741"/>
      <c r="K49" s="4531" t="s">
        <v>1984</v>
      </c>
      <c r="L49" s="4532"/>
      <c r="M49" s="4532"/>
      <c r="N49" s="4532"/>
      <c r="O49" s="4532"/>
      <c r="P49" s="2764">
        <f t="shared" si="4"/>
        <v>10</v>
      </c>
      <c r="Q49" s="2765"/>
      <c r="R49" s="3009" t="b">
        <f t="shared" si="1"/>
        <v>0</v>
      </c>
      <c r="S49" s="2544"/>
      <c r="T49" s="2544"/>
      <c r="U49" s="1307">
        <f t="shared" si="2"/>
        <v>0</v>
      </c>
      <c r="V49" s="4589"/>
      <c r="W49" s="4546"/>
      <c r="X49" s="4546"/>
      <c r="Y49" s="4546"/>
      <c r="Z49" s="4546"/>
      <c r="AA49" s="4590"/>
      <c r="AB49" s="4591" t="str">
        <f>IF(V49="","",VLOOKUP(V49,'Tablas Técnicas'!$AD$5:$AI$188,3,FALSE))</f>
        <v/>
      </c>
      <c r="AD49" s="4589"/>
      <c r="AE49" s="4546"/>
      <c r="AF49" s="4546"/>
      <c r="AG49" s="4546"/>
      <c r="AH49" s="4546"/>
      <c r="AI49" s="4590"/>
      <c r="AJ49" s="4591"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601" t="s">
        <v>1985</v>
      </c>
      <c r="E50" s="4601"/>
      <c r="F50" s="4601"/>
      <c r="G50" s="4601"/>
      <c r="H50" s="2764">
        <f>IF(I50=0,20,"-")</f>
        <v>20</v>
      </c>
      <c r="I50" s="2765"/>
      <c r="J50" s="741"/>
      <c r="K50" s="1300" t="s">
        <v>1924</v>
      </c>
      <c r="L50" s="4601" t="s">
        <v>1986</v>
      </c>
      <c r="M50" s="4532"/>
      <c r="N50" s="4532"/>
      <c r="O50" s="4532"/>
      <c r="P50" s="2764">
        <f t="shared" si="4"/>
        <v>10</v>
      </c>
      <c r="Q50" s="2765"/>
      <c r="R50" s="3009" t="b">
        <f t="shared" si="1"/>
        <v>0</v>
      </c>
      <c r="S50" s="2544"/>
      <c r="T50" s="2544"/>
      <c r="U50" s="1307"/>
      <c r="V50" s="4594" t="str">
        <f>IF(V49="","",VLOOKUP(V49,'Tablas Técnicas'!$AD$5:$AI$188,4,FALSE))</f>
        <v/>
      </c>
      <c r="W50" s="4595"/>
      <c r="X50" s="4595"/>
      <c r="Y50" s="4595"/>
      <c r="Z50" s="1273" t="s">
        <v>1630</v>
      </c>
      <c r="AA50" s="1309" t="str">
        <f>IF(V49="","",VLOOKUP(V49,'Tablas Técnicas'!$AD$5:$AI$188,2,FALSE))</f>
        <v/>
      </c>
      <c r="AB50" s="4591"/>
      <c r="AD50" s="4594" t="str">
        <f>IF(AD49="","",VLOOKUP(AD49,'Tablas Técnicas'!$AD$5:$AI$188,4,FALSE))</f>
        <v/>
      </c>
      <c r="AE50" s="4595"/>
      <c r="AF50" s="4595"/>
      <c r="AG50" s="4595"/>
      <c r="AH50" s="1273" t="s">
        <v>1630</v>
      </c>
      <c r="AI50" s="1309" t="str">
        <f>IF(AD49="","",VLOOKUP(AD49,'Tablas Técnicas'!$AD$5:$AI$188,2,FALSE))</f>
        <v/>
      </c>
      <c r="AJ50" s="4591"/>
      <c r="AK50" s="1216"/>
      <c r="AL50" s="1210"/>
      <c r="AM50" s="1258"/>
      <c r="AN50" s="1258"/>
      <c r="AO50" s="1258"/>
      <c r="AP50" s="1258"/>
      <c r="AQ50" s="1258"/>
      <c r="AR50" s="1258"/>
      <c r="AS50" s="1258"/>
      <c r="AT50" s="1258"/>
      <c r="AU50" s="1258"/>
    </row>
    <row r="51" spans="1:47" ht="12" customHeight="1" x14ac:dyDescent="0.2">
      <c r="A51" s="1210"/>
      <c r="B51" s="3009" t="b">
        <f t="shared" si="5"/>
        <v>0</v>
      </c>
      <c r="C51" s="4531" t="s">
        <v>1987</v>
      </c>
      <c r="D51" s="4601"/>
      <c r="E51" s="4601"/>
      <c r="F51" s="4601"/>
      <c r="G51" s="4601"/>
      <c r="H51" s="2764">
        <f>IF(I51=0,30,"-")</f>
        <v>30</v>
      </c>
      <c r="I51" s="2765"/>
      <c r="J51" s="741"/>
      <c r="K51" s="1300" t="s">
        <v>1959</v>
      </c>
      <c r="L51" s="1303" t="s">
        <v>1924</v>
      </c>
      <c r="M51" s="4601" t="s">
        <v>1988</v>
      </c>
      <c r="N51" s="4601"/>
      <c r="O51" s="4601"/>
      <c r="P51" s="2764">
        <f t="shared" si="4"/>
        <v>10</v>
      </c>
      <c r="Q51" s="2765"/>
      <c r="R51" s="3009" t="b">
        <f t="shared" si="1"/>
        <v>0</v>
      </c>
      <c r="S51" s="2544"/>
      <c r="T51" s="2544"/>
      <c r="U51" s="1307">
        <f t="shared" si="2"/>
        <v>0</v>
      </c>
      <c r="V51" s="4592"/>
      <c r="W51" s="4529"/>
      <c r="X51" s="4529"/>
      <c r="Y51" s="4529"/>
      <c r="Z51" s="4529"/>
      <c r="AA51" s="4593"/>
      <c r="AB51" s="4570" t="str">
        <f>IF(V51="","",VLOOKUP(V51,'Tablas Técnicas'!$AD$5:$AI$188,3,FALSE))</f>
        <v/>
      </c>
      <c r="AD51" s="4592"/>
      <c r="AE51" s="4529"/>
      <c r="AF51" s="4529"/>
      <c r="AG51" s="4529"/>
      <c r="AH51" s="4529"/>
      <c r="AI51" s="4593"/>
      <c r="AJ51" s="4570"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601" t="s">
        <v>1989</v>
      </c>
      <c r="E52" s="4601"/>
      <c r="F52" s="4601"/>
      <c r="G52" s="4601"/>
      <c r="H52" s="2764">
        <f>IF(I52=0,20,"-")</f>
        <v>20</v>
      </c>
      <c r="I52" s="2765"/>
      <c r="J52" s="741"/>
      <c r="K52" s="1300" t="s">
        <v>1959</v>
      </c>
      <c r="L52" s="1303" t="s">
        <v>1935</v>
      </c>
      <c r="M52" s="4601" t="s">
        <v>1990</v>
      </c>
      <c r="N52" s="4601"/>
      <c r="O52" s="4601"/>
      <c r="P52" s="2764">
        <f t="shared" si="4"/>
        <v>10</v>
      </c>
      <c r="Q52" s="2765"/>
      <c r="R52" s="3009" t="b">
        <f t="shared" si="1"/>
        <v>0</v>
      </c>
      <c r="S52" s="2544"/>
      <c r="T52" s="2544"/>
      <c r="U52" s="1307"/>
      <c r="V52" s="4391" t="str">
        <f>IF(V51="","",VLOOKUP(V51,'Tablas Técnicas'!$AD$5:$AI$188,4,FALSE))</f>
        <v/>
      </c>
      <c r="W52" s="4339"/>
      <c r="X52" s="4339"/>
      <c r="Y52" s="4339"/>
      <c r="Z52" s="1342" t="s">
        <v>1630</v>
      </c>
      <c r="AA52" s="1344" t="str">
        <f>IF(V51="","",VLOOKUP(V51,'Tablas Técnicas'!$AD$5:$AI$188,2,FALSE))</f>
        <v/>
      </c>
      <c r="AB52" s="4570"/>
      <c r="AD52" s="4391" t="str">
        <f>IF(AD51="","",VLOOKUP(AD51,'Tablas Técnicas'!$AD$5:$AI$188,4,FALSE))</f>
        <v/>
      </c>
      <c r="AE52" s="4339"/>
      <c r="AF52" s="4339"/>
      <c r="AG52" s="4339"/>
      <c r="AH52" s="1342" t="s">
        <v>1630</v>
      </c>
      <c r="AI52" s="1344" t="str">
        <f>IF(AD51="","",VLOOKUP(AD51,'Tablas Técnicas'!$AD$5:$AI$188,2,FALSE))</f>
        <v/>
      </c>
      <c r="AJ52" s="4570"/>
      <c r="AK52" s="1216"/>
      <c r="AL52" s="1210"/>
      <c r="AM52" s="1258"/>
      <c r="AN52" s="1258"/>
      <c r="AO52" s="1258"/>
      <c r="AP52" s="1258"/>
      <c r="AQ52" s="1258"/>
      <c r="AR52" s="1258"/>
      <c r="AS52" s="1258"/>
      <c r="AT52" s="1258"/>
      <c r="AU52" s="1258"/>
    </row>
    <row r="53" spans="1:47" ht="12" customHeight="1" x14ac:dyDescent="0.2">
      <c r="A53" s="1210"/>
      <c r="B53" s="3009" t="b">
        <f t="shared" si="5"/>
        <v>0</v>
      </c>
      <c r="C53" s="4531" t="s">
        <v>1991</v>
      </c>
      <c r="D53" s="4532"/>
      <c r="E53" s="4532"/>
      <c r="F53" s="4532"/>
      <c r="G53" s="4532"/>
      <c r="H53" s="2764">
        <f>IF(I53=0,30,"-")</f>
        <v>30</v>
      </c>
      <c r="I53" s="2765"/>
      <c r="J53" s="741"/>
      <c r="K53" s="1300" t="s">
        <v>1924</v>
      </c>
      <c r="L53" s="4601" t="s">
        <v>1992</v>
      </c>
      <c r="M53" s="4532"/>
      <c r="N53" s="4532"/>
      <c r="O53" s="4532"/>
      <c r="P53" s="2764">
        <f t="shared" si="4"/>
        <v>10</v>
      </c>
      <c r="Q53" s="2765"/>
      <c r="R53" s="3009" t="b">
        <f t="shared" si="1"/>
        <v>0</v>
      </c>
      <c r="S53" s="2544"/>
      <c r="T53" s="2544"/>
      <c r="U53" s="1307">
        <f t="shared" si="2"/>
        <v>0</v>
      </c>
      <c r="V53" s="4589"/>
      <c r="W53" s="4546"/>
      <c r="X53" s="4546"/>
      <c r="Y53" s="4546"/>
      <c r="Z53" s="4546"/>
      <c r="AA53" s="4590"/>
      <c r="AB53" s="4591" t="str">
        <f>IF(V53="","",VLOOKUP(V53,'Tablas Técnicas'!$AD$5:$AI$188,3,FALSE))</f>
        <v/>
      </c>
      <c r="AD53" s="4589"/>
      <c r="AE53" s="4546"/>
      <c r="AF53" s="4546"/>
      <c r="AG53" s="4546"/>
      <c r="AH53" s="4546"/>
      <c r="AI53" s="4590"/>
      <c r="AJ53" s="4591"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531" t="s">
        <v>1993</v>
      </c>
      <c r="D54" s="4532"/>
      <c r="E54" s="4532"/>
      <c r="F54" s="4532"/>
      <c r="G54" s="4532"/>
      <c r="H54" s="2764">
        <f>IF(I54=0,30,"-")</f>
        <v>30</v>
      </c>
      <c r="I54" s="2765"/>
      <c r="J54" s="741"/>
      <c r="K54" s="1300" t="s">
        <v>1959</v>
      </c>
      <c r="L54" s="1303" t="s">
        <v>1924</v>
      </c>
      <c r="M54" s="4601" t="s">
        <v>1994</v>
      </c>
      <c r="N54" s="4601"/>
      <c r="O54" s="4601"/>
      <c r="P54" s="2764">
        <f>IF(Q54=0,20,"-")</f>
        <v>20</v>
      </c>
      <c r="Q54" s="2765"/>
      <c r="R54" s="3009" t="b">
        <f t="shared" si="1"/>
        <v>0</v>
      </c>
      <c r="S54" s="2544"/>
      <c r="T54" s="2544"/>
      <c r="U54" s="1307"/>
      <c r="V54" s="4594" t="str">
        <f>IF(V53="","",VLOOKUP(V53,'Tablas Técnicas'!$AD$5:$AI$188,4,FALSE))</f>
        <v/>
      </c>
      <c r="W54" s="4595"/>
      <c r="X54" s="4595"/>
      <c r="Y54" s="4595"/>
      <c r="Z54" s="1273" t="s">
        <v>1630</v>
      </c>
      <c r="AA54" s="1309" t="str">
        <f>IF(V53="","",VLOOKUP(V53,'Tablas Técnicas'!$AD$5:$AI$188,2,FALSE))</f>
        <v/>
      </c>
      <c r="AB54" s="4591"/>
      <c r="AD54" s="4594" t="str">
        <f>IF(AD53="","",VLOOKUP(AD53,'Tablas Técnicas'!$AD$5:$AI$188,4,FALSE))</f>
        <v/>
      </c>
      <c r="AE54" s="4595"/>
      <c r="AF54" s="4595"/>
      <c r="AG54" s="4595"/>
      <c r="AH54" s="1273" t="s">
        <v>1630</v>
      </c>
      <c r="AI54" s="1309" t="str">
        <f>IF(AD53="","",VLOOKUP(AD53,'Tablas Técnicas'!$AD$5:$AI$188,2,FALSE))</f>
        <v/>
      </c>
      <c r="AJ54" s="4591"/>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601" t="s">
        <v>1995</v>
      </c>
      <c r="E55" s="4532"/>
      <c r="F55" s="4532"/>
      <c r="G55" s="4532"/>
      <c r="H55" s="2764">
        <f>IF(I55=0,30,"-")</f>
        <v>30</v>
      </c>
      <c r="I55" s="2765"/>
      <c r="J55" s="741"/>
      <c r="K55" s="1300" t="s">
        <v>1959</v>
      </c>
      <c r="L55" s="1303" t="s">
        <v>1924</v>
      </c>
      <c r="M55" s="4601" t="s">
        <v>1996</v>
      </c>
      <c r="N55" s="4601"/>
      <c r="O55" s="4601"/>
      <c r="P55" s="2764">
        <f>IF(Q55=0,20,"-")</f>
        <v>20</v>
      </c>
      <c r="Q55" s="2765"/>
      <c r="R55" s="3009" t="b">
        <f t="shared" si="1"/>
        <v>0</v>
      </c>
      <c r="S55" s="2544"/>
      <c r="T55" s="2544"/>
      <c r="U55" s="1307">
        <f t="shared" si="2"/>
        <v>0</v>
      </c>
      <c r="V55" s="4592"/>
      <c r="W55" s="4529"/>
      <c r="X55" s="4529"/>
      <c r="Y55" s="4529"/>
      <c r="Z55" s="4529"/>
      <c r="AA55" s="4593"/>
      <c r="AB55" s="4570" t="str">
        <f>IF(V55="","",VLOOKUP(V55,'Tablas Técnicas'!$AD$5:$AI$188,3,FALSE))</f>
        <v/>
      </c>
      <c r="AD55" s="4592"/>
      <c r="AE55" s="4529"/>
      <c r="AF55" s="4529"/>
      <c r="AG55" s="4529"/>
      <c r="AH55" s="4529"/>
      <c r="AI55" s="4593"/>
      <c r="AJ55" s="4570"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531" t="s">
        <v>1997</v>
      </c>
      <c r="D56" s="4532"/>
      <c r="E56" s="4532"/>
      <c r="F56" s="4532"/>
      <c r="G56" s="4532"/>
      <c r="H56" s="2764">
        <f>IF(I56=0,10,"-")</f>
        <v>10</v>
      </c>
      <c r="I56" s="2765"/>
      <c r="J56" s="741"/>
      <c r="K56" s="1300" t="s">
        <v>1959</v>
      </c>
      <c r="L56" s="1303" t="s">
        <v>1935</v>
      </c>
      <c r="M56" s="4601" t="s">
        <v>1998</v>
      </c>
      <c r="N56" s="4601"/>
      <c r="O56" s="4601"/>
      <c r="P56" s="2764">
        <f>IF(Q56=0,20,"-")</f>
        <v>20</v>
      </c>
      <c r="Q56" s="2765"/>
      <c r="R56" s="3009" t="b">
        <f t="shared" si="1"/>
        <v>0</v>
      </c>
      <c r="S56" s="2544"/>
      <c r="T56" s="2544"/>
      <c r="U56" s="1307"/>
      <c r="V56" s="4391" t="str">
        <f>IF(V55="","",VLOOKUP(V55,'Tablas Técnicas'!$AD$5:$AI$188,4,FALSE))</f>
        <v/>
      </c>
      <c r="W56" s="4339"/>
      <c r="X56" s="4339"/>
      <c r="Y56" s="4339"/>
      <c r="Z56" s="1342" t="s">
        <v>1630</v>
      </c>
      <c r="AA56" s="1344" t="str">
        <f>IF(V55="","",VLOOKUP(V55,'Tablas Técnicas'!$AD$5:$AI$188,2,FALSE))</f>
        <v/>
      </c>
      <c r="AB56" s="4570"/>
      <c r="AD56" s="4391" t="str">
        <f>IF(AD55="","",VLOOKUP(AD55,'Tablas Técnicas'!$AD$5:$AI$188,4,FALSE))</f>
        <v/>
      </c>
      <c r="AE56" s="4339"/>
      <c r="AF56" s="4339"/>
      <c r="AG56" s="4339"/>
      <c r="AH56" s="1342" t="s">
        <v>1630</v>
      </c>
      <c r="AI56" s="1344" t="str">
        <f>IF(AD55="","",VLOOKUP(AD55,'Tablas Técnicas'!$AD$5:$AI$188,2,FALSE))</f>
        <v/>
      </c>
      <c r="AJ56" s="4570"/>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601" t="s">
        <v>1999</v>
      </c>
      <c r="E57" s="4532"/>
      <c r="F57" s="4532"/>
      <c r="G57" s="4532"/>
      <c r="H57" s="2764">
        <f>IF(I57=0,10,"-")</f>
        <v>10</v>
      </c>
      <c r="I57" s="2765"/>
      <c r="J57" s="741"/>
      <c r="K57" s="1300" t="s">
        <v>1924</v>
      </c>
      <c r="L57" s="4601" t="s">
        <v>2000</v>
      </c>
      <c r="M57" s="4532"/>
      <c r="N57" s="4532"/>
      <c r="O57" s="4532"/>
      <c r="P57" s="2764">
        <f>IF(Q57=0,20,"-")</f>
        <v>20</v>
      </c>
      <c r="Q57" s="2765"/>
      <c r="R57" s="3009" t="b">
        <f t="shared" si="1"/>
        <v>0</v>
      </c>
      <c r="S57" s="2544"/>
      <c r="T57" s="2544"/>
      <c r="U57" s="1307">
        <f t="shared" si="2"/>
        <v>0</v>
      </c>
      <c r="V57" s="4589"/>
      <c r="W57" s="4546"/>
      <c r="X57" s="4546"/>
      <c r="Y57" s="4546"/>
      <c r="Z57" s="4546"/>
      <c r="AA57" s="4590"/>
      <c r="AB57" s="4591" t="str">
        <f>IF(V57="","",VLOOKUP(V57,'Tablas Técnicas'!$AD$5:$AI$188,3,FALSE))</f>
        <v/>
      </c>
      <c r="AD57" s="4589"/>
      <c r="AE57" s="4546"/>
      <c r="AF57" s="4546"/>
      <c r="AG57" s="4546"/>
      <c r="AH57" s="4546"/>
      <c r="AI57" s="4590"/>
      <c r="AJ57" s="4591"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601" t="s">
        <v>2001</v>
      </c>
      <c r="E58" s="4532"/>
      <c r="F58" s="4532"/>
      <c r="G58" s="4532"/>
      <c r="H58" s="2764">
        <f>IF(I58=0,20,"-")</f>
        <v>20</v>
      </c>
      <c r="I58" s="2765"/>
      <c r="J58" s="741"/>
      <c r="K58" s="1300" t="s">
        <v>1959</v>
      </c>
      <c r="L58" s="1303" t="s">
        <v>1924</v>
      </c>
      <c r="M58" s="4601" t="s">
        <v>2002</v>
      </c>
      <c r="N58" s="4601"/>
      <c r="O58" s="4601"/>
      <c r="P58" s="2764">
        <f>IF(Q58=0,20,"-")</f>
        <v>20</v>
      </c>
      <c r="Q58" s="2765"/>
      <c r="R58" s="3009" t="b">
        <f t="shared" si="1"/>
        <v>0</v>
      </c>
      <c r="S58" s="2544"/>
      <c r="T58" s="2544"/>
      <c r="U58" s="1307"/>
      <c r="V58" s="4594" t="str">
        <f>IF(V57="","",VLOOKUP(V57,'Tablas Técnicas'!$AD$5:$AI$188,4,FALSE))</f>
        <v/>
      </c>
      <c r="W58" s="4595"/>
      <c r="X58" s="4595"/>
      <c r="Y58" s="4595"/>
      <c r="Z58" s="1273" t="s">
        <v>1630</v>
      </c>
      <c r="AA58" s="1309" t="str">
        <f>IF(V57="","",VLOOKUP(V57,'Tablas Técnicas'!$AD$5:$AI$188,2,FALSE))</f>
        <v/>
      </c>
      <c r="AB58" s="4591"/>
      <c r="AD58" s="4594" t="str">
        <f>IF(AD57="","",VLOOKUP(AD57,'Tablas Técnicas'!$AD$5:$AI$188,4,FALSE))</f>
        <v/>
      </c>
      <c r="AE58" s="4595"/>
      <c r="AF58" s="4595"/>
      <c r="AG58" s="4595"/>
      <c r="AH58" s="1273" t="s">
        <v>1630</v>
      </c>
      <c r="AI58" s="1309" t="str">
        <f>IF(AD57="","",VLOOKUP(AD57,'Tablas Técnicas'!$AD$5:$AI$188,2,FALSE))</f>
        <v/>
      </c>
      <c r="AJ58" s="4591"/>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601" t="s">
        <v>2003</v>
      </c>
      <c r="E59" s="4532"/>
      <c r="F59" s="4532"/>
      <c r="G59" s="4532"/>
      <c r="H59" s="2764">
        <f>IF(I59=0,20,"-")</f>
        <v>20</v>
      </c>
      <c r="I59" s="2765"/>
      <c r="J59" s="741"/>
      <c r="K59" s="1300" t="s">
        <v>1959</v>
      </c>
      <c r="L59" s="1303" t="s">
        <v>1935</v>
      </c>
      <c r="M59" s="4601" t="s">
        <v>2004</v>
      </c>
      <c r="N59" s="4601"/>
      <c r="O59" s="4601"/>
      <c r="P59" s="2764">
        <f>IF(Q59=0,10,"-")</f>
        <v>10</v>
      </c>
      <c r="Q59" s="2765"/>
      <c r="R59" s="3009" t="b">
        <f t="shared" si="1"/>
        <v>0</v>
      </c>
      <c r="S59" s="2544"/>
      <c r="T59" s="2544"/>
      <c r="U59" s="1307">
        <f t="shared" si="2"/>
        <v>0</v>
      </c>
      <c r="V59" s="4592"/>
      <c r="W59" s="4529"/>
      <c r="X59" s="4529"/>
      <c r="Y59" s="4529"/>
      <c r="Z59" s="4529"/>
      <c r="AA59" s="4593"/>
      <c r="AB59" s="4570" t="str">
        <f>IF(V59="","",VLOOKUP(V59,'Tablas Técnicas'!$AD$5:$AI$188,3,FALSE))</f>
        <v/>
      </c>
      <c r="AD59" s="4592"/>
      <c r="AE59" s="4529"/>
      <c r="AF59" s="4529"/>
      <c r="AG59" s="4529"/>
      <c r="AH59" s="4529"/>
      <c r="AI59" s="4593"/>
      <c r="AJ59" s="4570"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601" t="s">
        <v>2005</v>
      </c>
      <c r="F60" s="4601"/>
      <c r="G60" s="4601"/>
      <c r="H60" s="2764">
        <f>IF(I60=0,40,"-")</f>
        <v>40</v>
      </c>
      <c r="I60" s="2765"/>
      <c r="J60" s="741"/>
      <c r="K60" s="1300" t="s">
        <v>1935</v>
      </c>
      <c r="L60" s="4601" t="s">
        <v>2006</v>
      </c>
      <c r="M60" s="4601"/>
      <c r="N60" s="4601"/>
      <c r="O60" s="4601"/>
      <c r="P60" s="2764">
        <f>IF(Q60=0,20,"-")</f>
        <v>20</v>
      </c>
      <c r="Q60" s="2765"/>
      <c r="R60" s="3009" t="b">
        <f t="shared" si="1"/>
        <v>0</v>
      </c>
      <c r="S60" s="2544"/>
      <c r="T60" s="2544"/>
      <c r="U60" s="1307"/>
      <c r="V60" s="4391" t="str">
        <f>IF(V59="","",VLOOKUP(V59,'Tablas Técnicas'!$AD$5:$AI$188,4,FALSE))</f>
        <v/>
      </c>
      <c r="W60" s="4339"/>
      <c r="X60" s="4339"/>
      <c r="Y60" s="4339"/>
      <c r="Z60" s="1342" t="s">
        <v>1630</v>
      </c>
      <c r="AA60" s="1344" t="str">
        <f>IF(V59="","",VLOOKUP(V59,'Tablas Técnicas'!$AD$5:$AI$188,2,FALSE))</f>
        <v/>
      </c>
      <c r="AB60" s="4570"/>
      <c r="AD60" s="4391" t="str">
        <f>IF(AD59="","",VLOOKUP(AD59,'Tablas Técnicas'!$AD$5:$AI$188,4,FALSE))</f>
        <v/>
      </c>
      <c r="AE60" s="4339"/>
      <c r="AF60" s="4339"/>
      <c r="AG60" s="4339"/>
      <c r="AH60" s="1342" t="s">
        <v>1630</v>
      </c>
      <c r="AI60" s="1344" t="str">
        <f>IF(AD59="","",VLOOKUP(AD59,'Tablas Técnicas'!$AD$5:$AI$188,2,FALSE))</f>
        <v/>
      </c>
      <c r="AJ60" s="4570"/>
      <c r="AK60" s="1216"/>
      <c r="AL60" s="1210"/>
      <c r="AM60" s="1258"/>
      <c r="AN60" s="1258"/>
      <c r="AO60" s="1258"/>
      <c r="AP60" s="1258"/>
      <c r="AQ60" s="1258"/>
      <c r="AR60" s="1258"/>
      <c r="AS60" s="1258"/>
      <c r="AT60" s="1258"/>
      <c r="AU60" s="1258"/>
    </row>
    <row r="61" spans="1:47" ht="12" customHeight="1" x14ac:dyDescent="0.2">
      <c r="A61" s="1210"/>
      <c r="B61" s="3009" t="b">
        <f t="shared" si="5"/>
        <v>0</v>
      </c>
      <c r="C61" s="4531" t="s">
        <v>2007</v>
      </c>
      <c r="D61" s="4532"/>
      <c r="E61" s="4532"/>
      <c r="F61" s="4532"/>
      <c r="G61" s="4532"/>
      <c r="H61" s="2764">
        <f>IF(I61=0,30,"-")</f>
        <v>30</v>
      </c>
      <c r="I61" s="2765"/>
      <c r="J61" s="741"/>
      <c r="K61" s="1320"/>
      <c r="L61" s="1303" t="s">
        <v>1935</v>
      </c>
      <c r="M61" s="4601" t="s">
        <v>2008</v>
      </c>
      <c r="N61" s="4601"/>
      <c r="O61" s="4601"/>
      <c r="P61" s="2764">
        <f>IF(Q61=0,20,"-")</f>
        <v>20</v>
      </c>
      <c r="Q61" s="2765"/>
      <c r="R61" s="3009" t="b">
        <f t="shared" si="1"/>
        <v>0</v>
      </c>
      <c r="S61" s="2544"/>
      <c r="T61" s="2544"/>
      <c r="U61" s="1307">
        <f t="shared" si="2"/>
        <v>0</v>
      </c>
      <c r="V61" s="4589"/>
      <c r="W61" s="4546"/>
      <c r="X61" s="4546"/>
      <c r="Y61" s="4546"/>
      <c r="Z61" s="4546"/>
      <c r="AA61" s="4590"/>
      <c r="AB61" s="4591" t="str">
        <f>IF(V61="","",VLOOKUP(V61,'Tablas Técnicas'!$AD$5:$AI$188,3,FALSE))</f>
        <v/>
      </c>
      <c r="AD61" s="4589"/>
      <c r="AE61" s="4546"/>
      <c r="AF61" s="4546"/>
      <c r="AG61" s="4546"/>
      <c r="AH61" s="4546"/>
      <c r="AI61" s="4590"/>
      <c r="AJ61" s="4591"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531" t="s">
        <v>2009</v>
      </c>
      <c r="D62" s="4532"/>
      <c r="E62" s="4532"/>
      <c r="F62" s="4532"/>
      <c r="G62" s="4532"/>
      <c r="H62" s="2764">
        <f>IF(I62=0,10,"-")</f>
        <v>10</v>
      </c>
      <c r="I62" s="2765"/>
      <c r="J62" s="741"/>
      <c r="K62" s="4531" t="s">
        <v>2010</v>
      </c>
      <c r="L62" s="4532"/>
      <c r="M62" s="4532"/>
      <c r="N62" s="4532"/>
      <c r="O62" s="4532"/>
      <c r="P62" s="2764">
        <f>IF(Q62=0,50,"-")</f>
        <v>50</v>
      </c>
      <c r="Q62" s="2765"/>
      <c r="R62" s="3009" t="b">
        <f t="shared" si="1"/>
        <v>0</v>
      </c>
      <c r="S62" s="2544"/>
      <c r="T62" s="2544"/>
      <c r="U62" s="1307"/>
      <c r="V62" s="4594" t="str">
        <f>IF(V61="","",VLOOKUP(V61,'Tablas Técnicas'!$AD$5:$AI$188,4,FALSE))</f>
        <v/>
      </c>
      <c r="W62" s="4595"/>
      <c r="X62" s="4595"/>
      <c r="Y62" s="4595"/>
      <c r="Z62" s="1273" t="s">
        <v>1630</v>
      </c>
      <c r="AA62" s="1309" t="str">
        <f>IF(V61="","",VLOOKUP(V61,'Tablas Técnicas'!$AD$5:$AI$188,2,FALSE))</f>
        <v/>
      </c>
      <c r="AB62" s="4591"/>
      <c r="AD62" s="4594" t="str">
        <f>IF(AD61="","",VLOOKUP(AD61,'Tablas Técnicas'!$AD$5:$AI$188,4,FALSE))</f>
        <v/>
      </c>
      <c r="AE62" s="4595"/>
      <c r="AF62" s="4595"/>
      <c r="AG62" s="4595"/>
      <c r="AH62" s="1273" t="s">
        <v>1630</v>
      </c>
      <c r="AI62" s="1309" t="str">
        <f>IF(AD61="","",VLOOKUP(AD61,'Tablas Técnicas'!$AD$5:$AI$188,2,FALSE))</f>
        <v/>
      </c>
      <c r="AJ62" s="4591"/>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531" t="s">
        <v>2011</v>
      </c>
      <c r="D63" s="4532"/>
      <c r="E63" s="4532"/>
      <c r="F63" s="4532"/>
      <c r="G63" s="4532"/>
      <c r="H63" s="2764">
        <f>IF(I63=0,20,"-")</f>
        <v>20</v>
      </c>
      <c r="I63" s="2765"/>
      <c r="J63" s="741"/>
      <c r="K63" s="4531" t="s">
        <v>2011</v>
      </c>
      <c r="L63" s="4601"/>
      <c r="M63" s="4601"/>
      <c r="N63" s="4601"/>
      <c r="O63" s="4601"/>
      <c r="P63" s="2764">
        <f>IF(Q63=0,30,"-")</f>
        <v>30</v>
      </c>
      <c r="Q63" s="2765"/>
      <c r="R63" s="3009" t="b">
        <f>OR(Ki!$P63="-",Ki!$H63="-",Tablas!$H$1880&gt;0,Raza=Tablas!$J$124,Tablas!$P$258&gt;0,Tablas!$P$259&gt;0)</f>
        <v>0</v>
      </c>
      <c r="S63" s="2544"/>
      <c r="T63" s="2544"/>
      <c r="U63" s="1307">
        <f t="shared" si="2"/>
        <v>0</v>
      </c>
      <c r="V63" s="4592"/>
      <c r="W63" s="4529"/>
      <c r="X63" s="4529"/>
      <c r="Y63" s="4529"/>
      <c r="Z63" s="4529"/>
      <c r="AA63" s="4593"/>
      <c r="AB63" s="4570" t="str">
        <f>IF(V63="","",VLOOKUP(V63,'Tablas Técnicas'!$AD$5:$AI$188,3,FALSE))</f>
        <v/>
      </c>
      <c r="AD63" s="4592"/>
      <c r="AE63" s="4529"/>
      <c r="AF63" s="4529"/>
      <c r="AG63" s="4529"/>
      <c r="AH63" s="4529"/>
      <c r="AI63" s="4593"/>
      <c r="AJ63" s="4570"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639" t="s">
        <v>2012</v>
      </c>
      <c r="E64" s="4640"/>
      <c r="F64" s="4640"/>
      <c r="G64" s="4640"/>
      <c r="H64" s="1322">
        <f>IF(I64=0,40,"-")</f>
        <v>40</v>
      </c>
      <c r="I64" s="2767"/>
      <c r="J64" s="741"/>
      <c r="K64" s="1321" t="s">
        <v>1935</v>
      </c>
      <c r="L64" s="4639" t="s">
        <v>2012</v>
      </c>
      <c r="M64" s="4639"/>
      <c r="N64" s="4639"/>
      <c r="O64" s="4639"/>
      <c r="P64" s="1322">
        <f t="shared" ref="P64" si="6">IF(Q64=0,50,"-")</f>
        <v>50</v>
      </c>
      <c r="Q64" s="2767"/>
      <c r="R64" s="3009" t="b">
        <f>OR(Ki!$P64="-",Ki!$H64="-",Tablas!$H$1881&gt;0)</f>
        <v>0</v>
      </c>
      <c r="S64" s="2544"/>
      <c r="T64" s="2544"/>
      <c r="U64" s="1323"/>
      <c r="V64" s="4397" t="str">
        <f>IF(V63="","",VLOOKUP(V63,'Tablas Técnicas'!$AD$5:$AI$188,4,FALSE))</f>
        <v/>
      </c>
      <c r="W64" s="4356"/>
      <c r="X64" s="4356"/>
      <c r="Y64" s="4356"/>
      <c r="Z64" s="1324" t="s">
        <v>1630</v>
      </c>
      <c r="AA64" s="1345" t="str">
        <f>IF(V63="","",VLOOKUP(V63,'Tablas Técnicas'!$AD$5:$AI$188,2,FALSE))</f>
        <v/>
      </c>
      <c r="AB64" s="4638"/>
      <c r="AD64" s="4397" t="str">
        <f>IF(AD63="","",VLOOKUP(AD63,'Tablas Técnicas'!$AD$5:$AI$188,4,FALSE))</f>
        <v/>
      </c>
      <c r="AE64" s="4356"/>
      <c r="AF64" s="4356"/>
      <c r="AG64" s="4356"/>
      <c r="AH64" s="1324" t="s">
        <v>1630</v>
      </c>
      <c r="AI64" s="1345" t="str">
        <f>IF(AD63="","",VLOOKUP(AD63,'Tablas Técnicas'!$AD$5:$AI$188,2,FALSE))</f>
        <v/>
      </c>
      <c r="AJ64" s="4638"/>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71" priority="94" stopIfTrue="1">
      <formula>H28=0</formula>
    </cfRule>
  </conditionalFormatting>
  <conditionalFormatting sqref="Y11:Y20">
    <cfRule type="expression" dxfId="470" priority="93" stopIfTrue="1">
      <formula>X11=0</formula>
    </cfRule>
  </conditionalFormatting>
  <conditionalFormatting sqref="C56:G56">
    <cfRule type="expression" dxfId="469" priority="91" stopIfTrue="1">
      <formula>AND(NOT($H$43="-"),$H$56="-")</formula>
    </cfRule>
    <cfRule type="expression" dxfId="468" priority="92" stopIfTrue="1">
      <formula>$H$56="-"</formula>
    </cfRule>
  </conditionalFormatting>
  <conditionalFormatting sqref="D57:G57">
    <cfRule type="expression" dxfId="467" priority="90" stopIfTrue="1">
      <formula>AND(NOT($H$56="-"),$H$57="-")</formula>
    </cfRule>
  </conditionalFormatting>
  <conditionalFormatting sqref="D58:G58">
    <cfRule type="expression" dxfId="466" priority="88" stopIfTrue="1">
      <formula>AND(NOT($H$56="-"),$H$58="-")</formula>
    </cfRule>
    <cfRule type="expression" dxfId="465" priority="89" stopIfTrue="1">
      <formula>$H$58="-"</formula>
    </cfRule>
  </conditionalFormatting>
  <conditionalFormatting sqref="H28:I28">
    <cfRule type="expression" dxfId="464" priority="87" stopIfTrue="1">
      <formula>$G$28=0</formula>
    </cfRule>
  </conditionalFormatting>
  <conditionalFormatting sqref="K12:O12">
    <cfRule type="expression" dxfId="463" priority="86" stopIfTrue="1">
      <formula>AND(NOT($P$10="-"),$P$12="-")</formula>
    </cfRule>
  </conditionalFormatting>
  <conditionalFormatting sqref="L13:O13">
    <cfRule type="expression" dxfId="462" priority="84" stopIfTrue="1">
      <formula>AND(NOT($P$12="-"),$P$13="-")</formula>
    </cfRule>
    <cfRule type="expression" dxfId="461" priority="85" stopIfTrue="1">
      <formula>$P$13="-"</formula>
    </cfRule>
  </conditionalFormatting>
  <conditionalFormatting sqref="M14:O14">
    <cfRule type="expression" dxfId="460" priority="83" stopIfTrue="1">
      <formula>AND(NOT($P$13="-"),$P$14="-")</formula>
    </cfRule>
  </conditionalFormatting>
  <conditionalFormatting sqref="L15:O15">
    <cfRule type="expression" dxfId="459" priority="82" stopIfTrue="1">
      <formula>AND(NOT($P$12="-"),$P$15="-")</formula>
    </cfRule>
  </conditionalFormatting>
  <conditionalFormatting sqref="L16:O16">
    <cfRule type="expression" dxfId="458" priority="80" stopIfTrue="1">
      <formula>AND(NOT($P$12="-"),$P$16="-")</formula>
    </cfRule>
    <cfRule type="expression" dxfId="457" priority="81" stopIfTrue="1">
      <formula>$P$16="-"</formula>
    </cfRule>
  </conditionalFormatting>
  <conditionalFormatting sqref="M17:O17">
    <cfRule type="expression" dxfId="456" priority="79" stopIfTrue="1">
      <formula>AND(NOT($P$16="-"),$P$17="-")</formula>
    </cfRule>
  </conditionalFormatting>
  <conditionalFormatting sqref="N18:O18">
    <cfRule type="expression" dxfId="455" priority="78" stopIfTrue="1">
      <formula>AND(NOT($P$17="-"),$P$18="-")</formula>
    </cfRule>
  </conditionalFormatting>
  <conditionalFormatting sqref="M19:O19">
    <cfRule type="expression" dxfId="454" priority="77" stopIfTrue="1">
      <formula>AND(NOT($P$16="-"),$P$19="-")</formula>
    </cfRule>
  </conditionalFormatting>
  <conditionalFormatting sqref="N20:O20">
    <cfRule type="expression" dxfId="453" priority="76" stopIfTrue="1">
      <formula>AND(NOT($P$19="-"),$P$20="-")</formula>
    </cfRule>
  </conditionalFormatting>
  <conditionalFormatting sqref="N21:O21">
    <cfRule type="expression" dxfId="452" priority="75" stopIfTrue="1">
      <formula>AND(NOT($P$20="-"),$P$21="-")</formula>
    </cfRule>
  </conditionalFormatting>
  <conditionalFormatting sqref="N22:O22">
    <cfRule type="expression" dxfId="451" priority="74" stopIfTrue="1">
      <formula>AND(NOT($P$19="-"),$P$22="-")</formula>
    </cfRule>
  </conditionalFormatting>
  <conditionalFormatting sqref="N23:O23">
    <cfRule type="expression" dxfId="450" priority="73" stopIfTrue="1">
      <formula>AND(NOT($P$22="-"),$P$23="-")</formula>
    </cfRule>
  </conditionalFormatting>
  <conditionalFormatting sqref="M24:O24">
    <cfRule type="expression" dxfId="449" priority="72" stopIfTrue="1">
      <formula>AND(NOT($P$16="-"),$P$24="-")</formula>
    </cfRule>
  </conditionalFormatting>
  <conditionalFormatting sqref="L25:O25">
    <cfRule type="expression" dxfId="448" priority="71" stopIfTrue="1">
      <formula>AND(NOT($P$12="-"),$P$25="-")</formula>
    </cfRule>
  </conditionalFormatting>
  <conditionalFormatting sqref="L26:O26">
    <cfRule type="expression" dxfId="447" priority="70" stopIfTrue="1">
      <formula>AND(NOT($P$12="-"),$P$26="-")</formula>
    </cfRule>
  </conditionalFormatting>
  <conditionalFormatting sqref="K27:O27">
    <cfRule type="expression" dxfId="446" priority="69" stopIfTrue="1">
      <formula>AND(NOT($P$10="-"),$P$27="-")</formula>
    </cfRule>
  </conditionalFormatting>
  <conditionalFormatting sqref="L28:O28">
    <cfRule type="expression" dxfId="445" priority="68" stopIfTrue="1">
      <formula>AND(NOT($P$27="-"),$P$28="-")</formula>
    </cfRule>
  </conditionalFormatting>
  <conditionalFormatting sqref="M29:O29">
    <cfRule type="expression" dxfId="444" priority="67" stopIfTrue="1">
      <formula>AND(NOT($P$28="-"),$P$29="-")</formula>
    </cfRule>
  </conditionalFormatting>
  <conditionalFormatting sqref="M30:O30">
    <cfRule type="expression" dxfId="443" priority="66" stopIfTrue="1">
      <formula>AND(NOT($P$28="-"),$P$30="-")</formula>
    </cfRule>
  </conditionalFormatting>
  <conditionalFormatting sqref="M31:O31">
    <cfRule type="expression" dxfId="442" priority="65" stopIfTrue="1">
      <formula>AND(NOT($P$28="-"),$P$31="-")</formula>
    </cfRule>
  </conditionalFormatting>
  <conditionalFormatting sqref="K32:O32">
    <cfRule type="expression" dxfId="441" priority="64" stopIfTrue="1">
      <formula>AND(NOT($P$10="-"),$P$32="-")</formula>
    </cfRule>
  </conditionalFormatting>
  <conditionalFormatting sqref="L33:O33">
    <cfRule type="expression" dxfId="440" priority="62" stopIfTrue="1">
      <formula>AND(NOT($P$32="-"),$P$33="-")</formula>
    </cfRule>
    <cfRule type="expression" dxfId="439" priority="63" stopIfTrue="1">
      <formula>$P$33="-"</formula>
    </cfRule>
  </conditionalFormatting>
  <conditionalFormatting sqref="M37:O37">
    <cfRule type="expression" dxfId="438" priority="61" stopIfTrue="1">
      <formula>AND(NOT($P$36="-"),$P$37="-")</formula>
    </cfRule>
  </conditionalFormatting>
  <conditionalFormatting sqref="M38:O38">
    <cfRule type="expression" dxfId="437" priority="59" stopIfTrue="1">
      <formula>AND(NOT($P$36="-"),$P$38="-")</formula>
    </cfRule>
    <cfRule type="expression" dxfId="436" priority="60" stopIfTrue="1">
      <formula>$P$38="-"</formula>
    </cfRule>
  </conditionalFormatting>
  <conditionalFormatting sqref="M40:O40">
    <cfRule type="expression" dxfId="435" priority="57" stopIfTrue="1">
      <formula>AND(NOT($P$36="-"),$P$40="-")</formula>
    </cfRule>
    <cfRule type="expression" dxfId="434" priority="58" stopIfTrue="1">
      <formula>$P$40="-"</formula>
    </cfRule>
  </conditionalFormatting>
  <conditionalFormatting sqref="L41:O41">
    <cfRule type="expression" dxfId="433" priority="56" stopIfTrue="1">
      <formula>AND(NOT($P$32="-"),$P$41="-")</formula>
    </cfRule>
  </conditionalFormatting>
  <conditionalFormatting sqref="L42:O42">
    <cfRule type="expression" dxfId="432" priority="55" stopIfTrue="1">
      <formula>AND(NOT($P$32="-"),$P$42="-")</formula>
    </cfRule>
  </conditionalFormatting>
  <conditionalFormatting sqref="L43:O43">
    <cfRule type="expression" dxfId="431" priority="54" stopIfTrue="1">
      <formula>AND(NOT($P$32="-"),$P$43="-")</formula>
    </cfRule>
  </conditionalFormatting>
  <conditionalFormatting sqref="K44:O44">
    <cfRule type="expression" dxfId="430" priority="53" stopIfTrue="1">
      <formula>AND(NOT($P$10="-"),$P$44="-")</formula>
    </cfRule>
  </conditionalFormatting>
  <conditionalFormatting sqref="L45:O45">
    <cfRule type="expression" dxfId="429" priority="52" stopIfTrue="1">
      <formula>AND(NOT($P$44="-"),$P$45="-")</formula>
    </cfRule>
  </conditionalFormatting>
  <conditionalFormatting sqref="M46:O46">
    <cfRule type="expression" dxfId="428" priority="51" stopIfTrue="1">
      <formula>AND(NOT($P$45="-"),$P$46="-")</formula>
    </cfRule>
  </conditionalFormatting>
  <conditionalFormatting sqref="M47:O47">
    <cfRule type="expression" dxfId="427" priority="50" stopIfTrue="1">
      <formula>AND(NOT($P$45="-"),$P$47="-")</formula>
    </cfRule>
  </conditionalFormatting>
  <conditionalFormatting sqref="L48:O48">
    <cfRule type="expression" dxfId="426" priority="49" stopIfTrue="1">
      <formula>AND(NOT($P$44="-"),$P$48="-")</formula>
    </cfRule>
  </conditionalFormatting>
  <conditionalFormatting sqref="K49:O49">
    <cfRule type="expression" dxfId="425" priority="48" stopIfTrue="1">
      <formula>AND(NOT($P$10="-"),$P$49="-")</formula>
    </cfRule>
  </conditionalFormatting>
  <conditionalFormatting sqref="L50:O50">
    <cfRule type="expression" dxfId="424" priority="46" stopIfTrue="1">
      <formula>AND(NOT($P$49="-"),$P$50="-")</formula>
    </cfRule>
    <cfRule type="expression" dxfId="423" priority="47" stopIfTrue="1">
      <formula>$P$50="-"</formula>
    </cfRule>
  </conditionalFormatting>
  <conditionalFormatting sqref="M51:O51">
    <cfRule type="expression" dxfId="422" priority="45" stopIfTrue="1">
      <formula>AND(NOT($P$50="-"),$P$51="-")</formula>
    </cfRule>
  </conditionalFormatting>
  <conditionalFormatting sqref="M52:O52">
    <cfRule type="expression" dxfId="421" priority="44" stopIfTrue="1">
      <formula>AND(NOT($P$50="-"),$P$52="-")</formula>
    </cfRule>
  </conditionalFormatting>
  <conditionalFormatting sqref="L53:O53">
    <cfRule type="expression" dxfId="420" priority="43" stopIfTrue="1">
      <formula>AND(NOT($P$49="-"),$P$53="-")</formula>
    </cfRule>
  </conditionalFormatting>
  <conditionalFormatting sqref="M54:O54">
    <cfRule type="expression" dxfId="419" priority="42" stopIfTrue="1">
      <formula>AND(NOT($P$53="-"),$P$54="-")</formula>
    </cfRule>
  </conditionalFormatting>
  <conditionalFormatting sqref="M55:O55">
    <cfRule type="expression" dxfId="418" priority="41" stopIfTrue="1">
      <formula>AND(NOT($P$53="-"),$P$55="-")</formula>
    </cfRule>
  </conditionalFormatting>
  <conditionalFormatting sqref="M56:O56">
    <cfRule type="expression" dxfId="417" priority="40" stopIfTrue="1">
      <formula>AND(NOT($P$53="-"),$P$56="-")</formula>
    </cfRule>
  </conditionalFormatting>
  <conditionalFormatting sqref="L57:O57">
    <cfRule type="expression" dxfId="416" priority="38" stopIfTrue="1">
      <formula>AND(NOT($P$49="-"),$P$57="-")</formula>
    </cfRule>
    <cfRule type="expression" dxfId="415" priority="39" stopIfTrue="1">
      <formula>$P$57="-"</formula>
    </cfRule>
  </conditionalFormatting>
  <conditionalFormatting sqref="M58:O58">
    <cfRule type="expression" dxfId="414" priority="37" stopIfTrue="1">
      <formula>AND(NOT($P$57="-"),$P$58="-")</formula>
    </cfRule>
  </conditionalFormatting>
  <conditionalFormatting sqref="M59:O59">
    <cfRule type="expression" dxfId="413" priority="36" stopIfTrue="1">
      <formula>AND(NOT($P$57="-"),$P$59="-")</formula>
    </cfRule>
  </conditionalFormatting>
  <conditionalFormatting sqref="L60:O60">
    <cfRule type="expression" dxfId="412" priority="35" stopIfTrue="1">
      <formula>AND(NOT($P$49="-"),$P$60="-")</formula>
    </cfRule>
  </conditionalFormatting>
  <conditionalFormatting sqref="M61:O61">
    <cfRule type="expression" dxfId="411" priority="34" stopIfTrue="1">
      <formula>AND(NOT($P$60="-"),$P$61="-")</formula>
    </cfRule>
  </conditionalFormatting>
  <conditionalFormatting sqref="K62:O62">
    <cfRule type="expression" dxfId="410" priority="33" stopIfTrue="1">
      <formula>AND(NOT($P$10="-"),$P$62="-")</formula>
    </cfRule>
  </conditionalFormatting>
  <conditionalFormatting sqref="C45:G45">
    <cfRule type="expression" dxfId="409" priority="32" stopIfTrue="1">
      <formula>AND(NOT($H$43="-"),$H$45="-")</formula>
    </cfRule>
  </conditionalFormatting>
  <conditionalFormatting sqref="D46:G46">
    <cfRule type="expression" dxfId="408" priority="31" stopIfTrue="1">
      <formula>AND(NOT($H$45="-"),$H$46="-")</formula>
    </cfRule>
  </conditionalFormatting>
  <conditionalFormatting sqref="C47:G47">
    <cfRule type="expression" dxfId="407" priority="30" stopIfTrue="1">
      <formula>AND(NOT($H$43="-"),$H$47="-")</formula>
    </cfRule>
  </conditionalFormatting>
  <conditionalFormatting sqref="D48:G48">
    <cfRule type="expression" dxfId="406" priority="29" stopIfTrue="1">
      <formula>AND(NOT($H$47="-"),$H$48="-")</formula>
    </cfRule>
  </conditionalFormatting>
  <conditionalFormatting sqref="C49:G49">
    <cfRule type="expression" dxfId="405" priority="28" stopIfTrue="1">
      <formula>AND(NOT($H$43="-"),$H$49="-")</formula>
    </cfRule>
  </conditionalFormatting>
  <conditionalFormatting sqref="D50:G50">
    <cfRule type="expression" dxfId="404" priority="27" stopIfTrue="1">
      <formula>AND(NOT($H$49="-"),$H$50="-")</formula>
    </cfRule>
  </conditionalFormatting>
  <conditionalFormatting sqref="C51:G51">
    <cfRule type="expression" dxfId="403" priority="26" stopIfTrue="1">
      <formula>AND(NOT($H$43="-"),$H$51="-")</formula>
    </cfRule>
  </conditionalFormatting>
  <conditionalFormatting sqref="D52:G52">
    <cfRule type="expression" dxfId="402" priority="25" stopIfTrue="1">
      <formula>AND(NOT($H$51="-"),$H$52="-")</formula>
    </cfRule>
  </conditionalFormatting>
  <conditionalFormatting sqref="C53:G53">
    <cfRule type="expression" dxfId="401" priority="24" stopIfTrue="1">
      <formula>AND(NOT($H$43="-"),$H$53="-")</formula>
    </cfRule>
  </conditionalFormatting>
  <conditionalFormatting sqref="C54:G54">
    <cfRule type="expression" dxfId="400" priority="23" stopIfTrue="1">
      <formula>AND(NOT($H$43="-"),$H$54="-")</formula>
    </cfRule>
  </conditionalFormatting>
  <conditionalFormatting sqref="D59:G59">
    <cfRule type="expression" dxfId="399" priority="22" stopIfTrue="1">
      <formula>AND(NOT($H$56="-"),$H$59="-")</formula>
    </cfRule>
  </conditionalFormatting>
  <conditionalFormatting sqref="E60:G60">
    <cfRule type="expression" dxfId="398" priority="21" stopIfTrue="1">
      <formula>AND(NOT($H$59="-"),$H$60="-")</formula>
    </cfRule>
  </conditionalFormatting>
  <conditionalFormatting sqref="I39">
    <cfRule type="cellIs" dxfId="397" priority="20" stopIfTrue="1" operator="lessThan">
      <formula>0</formula>
    </cfRule>
  </conditionalFormatting>
  <conditionalFormatting sqref="C61:G61">
    <cfRule type="expression" dxfId="396" priority="19" stopIfTrue="1">
      <formula>AND(NOT($H$43="-"),$H$61="-")</formula>
    </cfRule>
  </conditionalFormatting>
  <conditionalFormatting sqref="C62:G62">
    <cfRule type="expression" dxfId="395" priority="18" stopIfTrue="1">
      <formula>AND(NOT($H$43="-"),$H$62="-")</formula>
    </cfRule>
  </conditionalFormatting>
  <conditionalFormatting sqref="E29:F30">
    <cfRule type="cellIs" dxfId="394" priority="17" stopIfTrue="1" operator="greaterThan">
      <formula>$C$29</formula>
    </cfRule>
  </conditionalFormatting>
  <conditionalFormatting sqref="M34:O34">
    <cfRule type="expression" dxfId="393" priority="16" stopIfTrue="1">
      <formula>AND(NOT($P$33="-"),$P$34="-")</formula>
    </cfRule>
  </conditionalFormatting>
  <conditionalFormatting sqref="N35:O35">
    <cfRule type="expression" dxfId="392" priority="14" stopIfTrue="1">
      <formula>AND(NOT($P$34="-"),$P$35="-")</formula>
    </cfRule>
    <cfRule type="expression" dxfId="391" priority="15" stopIfTrue="1">
      <formula>$P$35="-"</formula>
    </cfRule>
  </conditionalFormatting>
  <conditionalFormatting sqref="L36:O36">
    <cfRule type="expression" dxfId="390" priority="12" stopIfTrue="1">
      <formula>AND(NOT($P$32="-"),$P$36="-")</formula>
    </cfRule>
    <cfRule type="expression" dxfId="389" priority="13" stopIfTrue="1">
      <formula>AND($P$36="-",$M$39="Alcance incrementado")</formula>
    </cfRule>
  </conditionalFormatting>
  <conditionalFormatting sqref="M39:O39">
    <cfRule type="expression" dxfId="388" priority="10" stopIfTrue="1">
      <formula>AND(NOT($P$36="-"),$P$39="-")</formula>
    </cfRule>
    <cfRule type="expression" dxfId="387" priority="11" stopIfTrue="1">
      <formula>AND($P$39="-",$M$39="Aura incrementada")</formula>
    </cfRule>
  </conditionalFormatting>
  <conditionalFormatting sqref="D55:G55">
    <cfRule type="expression" dxfId="386" priority="9" stopIfTrue="1">
      <formula>AND(NOT($H$54="-"),$H$55="-")</formula>
    </cfRule>
  </conditionalFormatting>
  <conditionalFormatting sqref="K63:O63">
    <cfRule type="expression" dxfId="385" priority="4812" stopIfTrue="1">
      <formula>AND(NOT($P$10="-"),$P$63="-",NOT($B$63=1))</formula>
    </cfRule>
    <cfRule type="expression" dxfId="384" priority="4813" stopIfTrue="1">
      <formula>$P$63="-"</formula>
    </cfRule>
  </conditionalFormatting>
  <conditionalFormatting sqref="L64:O64">
    <cfRule type="expression" dxfId="383" priority="4814" stopIfTrue="1">
      <formula>AND(NOT($P$63="-"),$P$64="-",NOT($B$64=1))</formula>
    </cfRule>
    <cfRule type="expression" dxfId="382" priority="4815" stopIfTrue="1">
      <formula>$P$64="-"</formula>
    </cfRule>
  </conditionalFormatting>
  <conditionalFormatting sqref="C63:G63">
    <cfRule type="expression" dxfId="381" priority="4816" stopIfTrue="1">
      <formula>AND(NOT($H$43="-"),$H$63="-",NOT($B$63=1))</formula>
    </cfRule>
    <cfRule type="expression" dxfId="380" priority="4817" stopIfTrue="1">
      <formula>$H$63="-"</formula>
    </cfRule>
  </conditionalFormatting>
  <conditionalFormatting sqref="D64:G64">
    <cfRule type="expression" dxfId="379" priority="4818" stopIfTrue="1">
      <formula>AND(NOT($H$63="-"),$H$64="-",NOT($B$64=1))</formula>
    </cfRule>
    <cfRule type="expression" dxfId="378"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67" t="s">
        <v>4665</v>
      </c>
      <c r="G3" s="4667"/>
      <c r="H3" s="4667"/>
      <c r="I3" s="4667"/>
      <c r="J3" s="4667"/>
      <c r="K3" s="4667"/>
      <c r="L3" s="4667"/>
      <c r="M3" s="4667"/>
      <c r="N3" s="4667"/>
      <c r="O3" s="4667"/>
      <c r="P3" s="4667"/>
      <c r="Q3" s="4667"/>
      <c r="R3" s="4667"/>
      <c r="S3" s="4667"/>
      <c r="T3" s="4667"/>
      <c r="U3" s="4667"/>
      <c r="V3" s="4667"/>
      <c r="W3" s="4667"/>
      <c r="X3" s="4667"/>
      <c r="Y3" s="4667"/>
      <c r="Z3" s="4667"/>
      <c r="AA3" s="4667"/>
      <c r="AB3" s="4667"/>
      <c r="AC3" s="4667"/>
      <c r="AD3" s="4667"/>
      <c r="AE3" s="4667"/>
      <c r="AF3" s="4667"/>
      <c r="AG3" s="4667"/>
      <c r="AH3" s="4667"/>
      <c r="AI3" s="4667"/>
      <c r="AJ3" s="4667"/>
      <c r="AK3" s="4667"/>
      <c r="AL3" s="4667"/>
      <c r="AM3" s="4667"/>
      <c r="AN3" s="4667"/>
      <c r="AO3" s="4667"/>
      <c r="AP3" s="4667"/>
      <c r="AQ3" s="4667"/>
      <c r="AR3" s="4667"/>
      <c r="AS3" s="4667"/>
      <c r="AT3" s="4667"/>
      <c r="AU3" s="4667"/>
      <c r="AV3" s="4667"/>
      <c r="AW3" s="4667"/>
      <c r="AX3" s="4667"/>
      <c r="AY3" s="4667"/>
      <c r="AZ3" s="4667"/>
      <c r="BA3" s="4667"/>
      <c r="BB3" s="4667"/>
      <c r="BC3" s="4667"/>
      <c r="BD3" s="4667"/>
      <c r="BE3" s="4667"/>
      <c r="BF3" s="4667"/>
      <c r="BG3" s="4667"/>
      <c r="BH3" s="4667"/>
      <c r="BI3" s="4667"/>
      <c r="BJ3" s="4667"/>
      <c r="BK3" s="4667"/>
      <c r="BL3" s="4667"/>
      <c r="BM3" s="4667"/>
      <c r="BN3" s="4667"/>
      <c r="BO3" s="4667"/>
      <c r="BP3" s="4667"/>
      <c r="BQ3" s="4667"/>
      <c r="BR3" s="4667"/>
      <c r="BS3" s="4667"/>
      <c r="BT3" s="4667"/>
      <c r="BU3" s="4668"/>
      <c r="BV3" s="1031"/>
      <c r="BW3" s="1029"/>
      <c r="BX3" s="1029"/>
      <c r="BY3" s="1383"/>
      <c r="BZ3" s="1401"/>
      <c r="CA3" s="1017"/>
      <c r="DR3" s="1017"/>
      <c r="DT3" s="1406"/>
      <c r="DU3" s="4658" t="s">
        <v>9103</v>
      </c>
      <c r="DV3" s="4659"/>
      <c r="DW3" s="4659"/>
      <c r="DX3" s="4660"/>
      <c r="DY3" s="1387"/>
      <c r="DZ3" s="1017"/>
    </row>
    <row r="4" spans="1:132" ht="11.25" customHeight="1" x14ac:dyDescent="0.2">
      <c r="A4" s="1017"/>
      <c r="B4" s="1017"/>
      <c r="C4" s="1406"/>
      <c r="D4" s="1547"/>
      <c r="E4" s="1032"/>
      <c r="F4" s="4669"/>
      <c r="G4" s="4669"/>
      <c r="H4" s="4669"/>
      <c r="I4" s="4669"/>
      <c r="J4" s="4669"/>
      <c r="K4" s="4669"/>
      <c r="L4" s="4669"/>
      <c r="M4" s="4669"/>
      <c r="N4" s="4669"/>
      <c r="O4" s="4669"/>
      <c r="P4" s="4669"/>
      <c r="Q4" s="4669"/>
      <c r="R4" s="4669"/>
      <c r="S4" s="4669"/>
      <c r="T4" s="4669"/>
      <c r="U4" s="4669"/>
      <c r="V4" s="4669"/>
      <c r="W4" s="4669"/>
      <c r="X4" s="4669"/>
      <c r="Y4" s="4669"/>
      <c r="Z4" s="4669"/>
      <c r="AA4" s="4669"/>
      <c r="AB4" s="4669"/>
      <c r="AC4" s="4669"/>
      <c r="AD4" s="4669"/>
      <c r="AE4" s="4669"/>
      <c r="AF4" s="4669"/>
      <c r="AG4" s="4669"/>
      <c r="AH4" s="4669"/>
      <c r="AI4" s="4669"/>
      <c r="AJ4" s="4669"/>
      <c r="AK4" s="4669"/>
      <c r="AL4" s="4669"/>
      <c r="AM4" s="4669"/>
      <c r="AN4" s="4669"/>
      <c r="AO4" s="4669"/>
      <c r="AP4" s="4669"/>
      <c r="AQ4" s="4669"/>
      <c r="AR4" s="4669"/>
      <c r="AS4" s="4669"/>
      <c r="AT4" s="4669"/>
      <c r="AU4" s="4669"/>
      <c r="AV4" s="4669"/>
      <c r="AW4" s="4669"/>
      <c r="AX4" s="4669"/>
      <c r="AY4" s="4669"/>
      <c r="AZ4" s="4669"/>
      <c r="BA4" s="4669"/>
      <c r="BB4" s="4669"/>
      <c r="BC4" s="4669"/>
      <c r="BD4" s="4669"/>
      <c r="BE4" s="4669"/>
      <c r="BF4" s="4669"/>
      <c r="BG4" s="4669"/>
      <c r="BH4" s="4669"/>
      <c r="BI4" s="4669"/>
      <c r="BJ4" s="4669"/>
      <c r="BK4" s="4669"/>
      <c r="BL4" s="4669"/>
      <c r="BM4" s="4669"/>
      <c r="BN4" s="4669"/>
      <c r="BO4" s="4669"/>
      <c r="BP4" s="4669"/>
      <c r="BQ4" s="4669"/>
      <c r="BR4" s="4669"/>
      <c r="BS4" s="4669"/>
      <c r="BT4" s="4669"/>
      <c r="BU4" s="4670"/>
      <c r="BV4" s="1031"/>
      <c r="BW4" s="1029"/>
      <c r="BX4" s="1029"/>
      <c r="BY4" s="1383"/>
      <c r="BZ4" s="1401"/>
      <c r="CA4" s="1017"/>
      <c r="DR4" s="1017"/>
      <c r="DT4" s="1406"/>
      <c r="DU4" s="4661"/>
      <c r="DV4" s="4662"/>
      <c r="DW4" s="4662"/>
      <c r="DX4" s="4663"/>
      <c r="DY4" s="1387"/>
      <c r="DZ4" s="1017"/>
    </row>
    <row r="5" spans="1:132" ht="11.25" customHeight="1" x14ac:dyDescent="0.2">
      <c r="A5" s="1017"/>
      <c r="B5" s="1017"/>
      <c r="C5" s="1406"/>
      <c r="D5" s="1547"/>
      <c r="E5" s="1032"/>
      <c r="F5" s="4669"/>
      <c r="G5" s="4669"/>
      <c r="H5" s="4669"/>
      <c r="I5" s="4669"/>
      <c r="J5" s="4669"/>
      <c r="K5" s="4669"/>
      <c r="L5" s="4669"/>
      <c r="M5" s="4669"/>
      <c r="N5" s="4669"/>
      <c r="O5" s="4669"/>
      <c r="P5" s="4669"/>
      <c r="Q5" s="4669"/>
      <c r="R5" s="4669"/>
      <c r="S5" s="4669"/>
      <c r="T5" s="4669"/>
      <c r="U5" s="4669"/>
      <c r="V5" s="4669"/>
      <c r="W5" s="4669"/>
      <c r="X5" s="4669"/>
      <c r="Y5" s="4669"/>
      <c r="Z5" s="4669"/>
      <c r="AA5" s="4669"/>
      <c r="AB5" s="4669"/>
      <c r="AC5" s="4669"/>
      <c r="AD5" s="4669"/>
      <c r="AE5" s="4669"/>
      <c r="AF5" s="4669"/>
      <c r="AG5" s="4669"/>
      <c r="AH5" s="4669"/>
      <c r="AI5" s="4669"/>
      <c r="AJ5" s="4669"/>
      <c r="AK5" s="4669"/>
      <c r="AL5" s="4669"/>
      <c r="AM5" s="4669"/>
      <c r="AN5" s="4669"/>
      <c r="AO5" s="4669"/>
      <c r="AP5" s="4669"/>
      <c r="AQ5" s="4669"/>
      <c r="AR5" s="4669"/>
      <c r="AS5" s="4669"/>
      <c r="AT5" s="4669"/>
      <c r="AU5" s="4669"/>
      <c r="AV5" s="4669"/>
      <c r="AW5" s="4669"/>
      <c r="AX5" s="4669"/>
      <c r="AY5" s="4669"/>
      <c r="AZ5" s="4669"/>
      <c r="BA5" s="4669"/>
      <c r="BB5" s="4669"/>
      <c r="BC5" s="4669"/>
      <c r="BD5" s="4669"/>
      <c r="BE5" s="4669"/>
      <c r="BF5" s="4669"/>
      <c r="BG5" s="4669"/>
      <c r="BH5" s="4669"/>
      <c r="BI5" s="4669"/>
      <c r="BJ5" s="4669"/>
      <c r="BK5" s="4669"/>
      <c r="BL5" s="4669"/>
      <c r="BM5" s="4669"/>
      <c r="BN5" s="4669"/>
      <c r="BO5" s="4669"/>
      <c r="BP5" s="4669"/>
      <c r="BQ5" s="4669"/>
      <c r="BR5" s="4669"/>
      <c r="BS5" s="4669"/>
      <c r="BT5" s="4669"/>
      <c r="BU5" s="4670"/>
      <c r="BV5" s="1031"/>
      <c r="BW5" s="1029"/>
      <c r="BX5" s="1029"/>
      <c r="BY5" s="1383"/>
      <c r="BZ5" s="1401"/>
      <c r="CA5" s="1017"/>
      <c r="DR5" s="1017"/>
      <c r="DT5" s="1421"/>
      <c r="DU5" s="4661"/>
      <c r="DV5" s="4662"/>
      <c r="DW5" s="4662"/>
      <c r="DX5" s="4663"/>
      <c r="DY5" s="1422"/>
      <c r="DZ5" s="1017"/>
    </row>
    <row r="6" spans="1:132" ht="11.25" customHeight="1" thickBot="1" x14ac:dyDescent="0.25">
      <c r="A6" s="1017"/>
      <c r="B6" s="1017"/>
      <c r="C6" s="1406"/>
      <c r="D6" s="1548"/>
      <c r="E6" s="1033"/>
      <c r="F6" s="4671"/>
      <c r="G6" s="4671"/>
      <c r="H6" s="4671"/>
      <c r="I6" s="4671"/>
      <c r="J6" s="4671"/>
      <c r="K6" s="4671"/>
      <c r="L6" s="4671"/>
      <c r="M6" s="4671"/>
      <c r="N6" s="4671"/>
      <c r="O6" s="4671"/>
      <c r="P6" s="4671"/>
      <c r="Q6" s="4671"/>
      <c r="R6" s="4671"/>
      <c r="S6" s="4671"/>
      <c r="T6" s="4671"/>
      <c r="U6" s="4671"/>
      <c r="V6" s="4671"/>
      <c r="W6" s="4671"/>
      <c r="X6" s="4671"/>
      <c r="Y6" s="4671"/>
      <c r="Z6" s="4671"/>
      <c r="AA6" s="4671"/>
      <c r="AB6" s="4671"/>
      <c r="AC6" s="4671"/>
      <c r="AD6" s="4671"/>
      <c r="AE6" s="4671"/>
      <c r="AF6" s="4671"/>
      <c r="AG6" s="4671"/>
      <c r="AH6" s="4671"/>
      <c r="AI6" s="4671"/>
      <c r="AJ6" s="4671"/>
      <c r="AK6" s="4671"/>
      <c r="AL6" s="4671"/>
      <c r="AM6" s="4671"/>
      <c r="AN6" s="4671"/>
      <c r="AO6" s="4671"/>
      <c r="AP6" s="4671"/>
      <c r="AQ6" s="4671"/>
      <c r="AR6" s="4671"/>
      <c r="AS6" s="4671"/>
      <c r="AT6" s="4671"/>
      <c r="AU6" s="4671"/>
      <c r="AV6" s="4671"/>
      <c r="AW6" s="4671"/>
      <c r="AX6" s="4671"/>
      <c r="AY6" s="4671"/>
      <c r="AZ6" s="4671"/>
      <c r="BA6" s="4671"/>
      <c r="BB6" s="4671"/>
      <c r="BC6" s="4671"/>
      <c r="BD6" s="4671"/>
      <c r="BE6" s="4671"/>
      <c r="BF6" s="4671"/>
      <c r="BG6" s="4671"/>
      <c r="BH6" s="4671"/>
      <c r="BI6" s="4671"/>
      <c r="BJ6" s="4671"/>
      <c r="BK6" s="4671"/>
      <c r="BL6" s="4671"/>
      <c r="BM6" s="4671"/>
      <c r="BN6" s="4671"/>
      <c r="BO6" s="4671"/>
      <c r="BP6" s="4671"/>
      <c r="BQ6" s="4671"/>
      <c r="BR6" s="4671"/>
      <c r="BS6" s="4671"/>
      <c r="BT6" s="4671"/>
      <c r="BU6" s="4672"/>
      <c r="BV6" s="1031"/>
      <c r="BW6" s="1029"/>
      <c r="BX6" s="1029"/>
      <c r="BY6" s="1383"/>
      <c r="BZ6" s="1401"/>
      <c r="CA6" s="1017"/>
      <c r="DR6" s="1017"/>
      <c r="DT6" s="1421"/>
      <c r="DU6" s="4664"/>
      <c r="DV6" s="4665"/>
      <c r="DW6" s="4665"/>
      <c r="DX6" s="4666"/>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73" t="s">
        <v>3471</v>
      </c>
      <c r="X8" s="4673"/>
      <c r="Y8" s="4673"/>
      <c r="Z8" s="4673"/>
      <c r="AA8" s="4673"/>
      <c r="AB8" s="4673"/>
      <c r="AC8" s="4673"/>
      <c r="AD8" s="4673"/>
      <c r="AE8" s="4673"/>
      <c r="AF8" s="4673"/>
      <c r="AG8" s="4673"/>
      <c r="AH8" s="4673"/>
      <c r="AI8" s="4673"/>
      <c r="AJ8" s="4673"/>
      <c r="AK8" s="4673"/>
      <c r="AL8" s="4673"/>
      <c r="AM8" s="4673"/>
      <c r="AN8" s="4673"/>
      <c r="AO8" s="4673"/>
      <c r="AP8" s="4673"/>
      <c r="AQ8" s="4673"/>
      <c r="AR8" s="4673"/>
      <c r="AS8" s="4673"/>
      <c r="AT8" s="4673"/>
      <c r="AU8" s="4673"/>
      <c r="AV8" s="4673"/>
      <c r="AW8" s="4673"/>
      <c r="AX8" s="4673"/>
      <c r="AY8" s="4673"/>
      <c r="AZ8" s="4673"/>
      <c r="BA8" s="4673"/>
      <c r="BB8" s="4673"/>
      <c r="BC8" s="4673"/>
      <c r="BD8" s="4673"/>
      <c r="BE8" s="4673"/>
      <c r="BF8" s="4673"/>
      <c r="BG8" s="4673"/>
      <c r="BH8" s="4673"/>
      <c r="BI8" s="4673"/>
      <c r="BJ8" s="4673"/>
      <c r="BK8" s="4673" t="s">
        <v>3472</v>
      </c>
      <c r="BL8" s="4673"/>
      <c r="BM8" s="4674"/>
      <c r="BN8" s="1047" t="s">
        <v>4667</v>
      </c>
      <c r="BO8" s="1047" t="s">
        <v>4668</v>
      </c>
      <c r="BP8" s="1047" t="s">
        <v>4669</v>
      </c>
      <c r="BQ8" s="1047" t="s">
        <v>4670</v>
      </c>
      <c r="BR8" s="1047" t="s">
        <v>4671</v>
      </c>
      <c r="BS8" s="1048" t="s">
        <v>4672</v>
      </c>
      <c r="BT8" s="4648" t="s">
        <v>4673</v>
      </c>
      <c r="BU8" s="4649"/>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48" t="s">
        <v>4674</v>
      </c>
      <c r="BU10" s="4649"/>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5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75" t="s">
        <v>4675</v>
      </c>
      <c r="U11" s="4676"/>
      <c r="V11" s="4676"/>
      <c r="W11" s="4676"/>
      <c r="X11" s="4676"/>
      <c r="Y11" s="4676"/>
      <c r="Z11" s="4676"/>
      <c r="AA11" s="4676"/>
      <c r="AB11" s="4676"/>
      <c r="AC11" s="4676"/>
      <c r="AD11" s="4676"/>
      <c r="AE11" s="4676"/>
      <c r="AF11" s="4676"/>
      <c r="AG11" s="4676"/>
      <c r="AH11" s="4676"/>
      <c r="AI11" s="4676"/>
      <c r="AJ11" s="4676"/>
      <c r="AK11" s="4676"/>
      <c r="AL11" s="4676"/>
      <c r="AM11" s="4676"/>
      <c r="AN11" s="4676"/>
      <c r="AO11" s="4676"/>
      <c r="AP11" s="4676"/>
      <c r="AQ11" s="4676"/>
      <c r="AR11" s="4676"/>
      <c r="AS11" s="4676"/>
      <c r="AT11" s="4676"/>
      <c r="AU11" s="4676"/>
      <c r="AV11" s="4676"/>
      <c r="AW11" s="4676"/>
      <c r="AX11" s="4676"/>
      <c r="AY11" s="4676"/>
      <c r="AZ11" s="4676"/>
      <c r="BA11" s="4676"/>
      <c r="BB11" s="4676"/>
      <c r="BC11" s="4676"/>
      <c r="BD11" s="4676"/>
      <c r="BE11" s="4676"/>
      <c r="BF11" s="4676"/>
      <c r="BG11" s="4676"/>
      <c r="BH11" s="4676"/>
      <c r="BI11" s="4676"/>
      <c r="BJ11" s="4676"/>
      <c r="BK11" s="4677"/>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5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1"/>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54"/>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87"/>
      <c r="U12" s="4688"/>
      <c r="V12" s="1484" t="str">
        <f>IF(OR(V10=0,V10=""),"N/A",V10)</f>
        <v>N/A</v>
      </c>
      <c r="W12" s="4687" t="str">
        <f xml:space="preserve"> IF(OR(AF10=0,AF10=""),"N/A",W10)</f>
        <v>N/A</v>
      </c>
      <c r="X12" s="4689"/>
      <c r="Y12" s="4689"/>
      <c r="Z12" s="4689"/>
      <c r="AA12" s="4689"/>
      <c r="AB12" s="4689"/>
      <c r="AC12" s="4689"/>
      <c r="AD12" s="4689"/>
      <c r="AE12" s="4689"/>
      <c r="AF12" s="4688"/>
      <c r="AG12" s="4687" t="str">
        <f xml:space="preserve"> IF(OR(AP10="",AP10=0),"N/A",AG10)</f>
        <v>N/A</v>
      </c>
      <c r="AH12" s="4689"/>
      <c r="AI12" s="4689"/>
      <c r="AJ12" s="4689"/>
      <c r="AK12" s="4689"/>
      <c r="AL12" s="4689"/>
      <c r="AM12" s="4689"/>
      <c r="AN12" s="4689"/>
      <c r="AO12" s="4689"/>
      <c r="AP12" s="4688"/>
      <c r="AQ12" s="4687" t="str">
        <f xml:space="preserve"> IF(OR(AZ10="",AZ10=0),"N/A",AQ10)</f>
        <v>N/A</v>
      </c>
      <c r="AR12" s="4689"/>
      <c r="AS12" s="4689"/>
      <c r="AT12" s="4689"/>
      <c r="AU12" s="4689"/>
      <c r="AV12" s="4689"/>
      <c r="AW12" s="4689"/>
      <c r="AX12" s="4689"/>
      <c r="AY12" s="4689"/>
      <c r="AZ12" s="4688"/>
      <c r="BA12" s="4687" t="str">
        <f xml:space="preserve"> IF(OR(BJ10="",BJ10=0),"N/A",BA10)</f>
        <v>N/A</v>
      </c>
      <c r="BB12" s="4689"/>
      <c r="BC12" s="4689"/>
      <c r="BD12" s="4689"/>
      <c r="BE12" s="4689"/>
      <c r="BF12" s="4689"/>
      <c r="BG12" s="4689"/>
      <c r="BH12" s="4689"/>
      <c r="BI12" s="4689"/>
      <c r="BJ12" s="4688"/>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54"/>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90" t="s">
        <v>4677</v>
      </c>
      <c r="U13" s="4691"/>
      <c r="V13" s="1490"/>
      <c r="W13" s="4692"/>
      <c r="X13" s="4693"/>
      <c r="Y13" s="4693"/>
      <c r="Z13" s="4693"/>
      <c r="AA13" s="4693"/>
      <c r="AB13" s="4693"/>
      <c r="AC13" s="4693"/>
      <c r="AD13" s="4693"/>
      <c r="AE13" s="4693"/>
      <c r="AF13" s="4694"/>
      <c r="AG13" s="4692"/>
      <c r="AH13" s="4693"/>
      <c r="AI13" s="4693"/>
      <c r="AJ13" s="4693"/>
      <c r="AK13" s="4693"/>
      <c r="AL13" s="4693"/>
      <c r="AM13" s="4693"/>
      <c r="AN13" s="4693"/>
      <c r="AO13" s="4693"/>
      <c r="AP13" s="4694"/>
      <c r="AQ13" s="4692"/>
      <c r="AR13" s="4693"/>
      <c r="AS13" s="4693"/>
      <c r="AT13" s="4693"/>
      <c r="AU13" s="4693"/>
      <c r="AV13" s="4693"/>
      <c r="AW13" s="4693"/>
      <c r="AX13" s="4693"/>
      <c r="AY13" s="4693"/>
      <c r="AZ13" s="4694"/>
      <c r="BA13" s="4692"/>
      <c r="BB13" s="4693"/>
      <c r="BC13" s="4693"/>
      <c r="BD13" s="4693"/>
      <c r="BE13" s="4693"/>
      <c r="BF13" s="4693"/>
      <c r="BG13" s="4693"/>
      <c r="BH13" s="4693"/>
      <c r="BI13" s="4693"/>
      <c r="BJ13" s="4694"/>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48" t="s">
        <v>4678</v>
      </c>
      <c r="BU13" s="4649"/>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54"/>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2" t="s">
        <v>4679</v>
      </c>
      <c r="U14" s="4683"/>
      <c r="V14" s="1488"/>
      <c r="W14" s="4684"/>
      <c r="X14" s="4685"/>
      <c r="Y14" s="4685"/>
      <c r="Z14" s="4685"/>
      <c r="AA14" s="4685"/>
      <c r="AB14" s="4685"/>
      <c r="AC14" s="4685"/>
      <c r="AD14" s="4685"/>
      <c r="AE14" s="4685"/>
      <c r="AF14" s="4686"/>
      <c r="AG14" s="4684"/>
      <c r="AH14" s="4685"/>
      <c r="AI14" s="4685"/>
      <c r="AJ14" s="4685"/>
      <c r="AK14" s="4685"/>
      <c r="AL14" s="4685"/>
      <c r="AM14" s="4685"/>
      <c r="AN14" s="4685"/>
      <c r="AO14" s="4685"/>
      <c r="AP14" s="4686"/>
      <c r="AQ14" s="4684"/>
      <c r="AR14" s="4685"/>
      <c r="AS14" s="4685"/>
      <c r="AT14" s="4685"/>
      <c r="AU14" s="4685"/>
      <c r="AV14" s="4685"/>
      <c r="AW14" s="4685"/>
      <c r="AX14" s="4685"/>
      <c r="AY14" s="4685"/>
      <c r="AZ14" s="4686"/>
      <c r="BA14" s="4684"/>
      <c r="BB14" s="4685"/>
      <c r="BC14" s="4685"/>
      <c r="BD14" s="4685"/>
      <c r="BE14" s="4685"/>
      <c r="BF14" s="4685"/>
      <c r="BG14" s="4685"/>
      <c r="BH14" s="4685"/>
      <c r="BI14" s="4685"/>
      <c r="BJ14" s="4686"/>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2" t="s">
        <v>1693</v>
      </c>
      <c r="BU14" s="4653"/>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54"/>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48" t="s">
        <v>4680</v>
      </c>
      <c r="BU15" s="4649"/>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2" t="s">
        <v>4660</v>
      </c>
      <c r="BU16" s="4653"/>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75" t="s">
        <v>4675</v>
      </c>
      <c r="U17" s="4676"/>
      <c r="V17" s="4676"/>
      <c r="W17" s="4676"/>
      <c r="X17" s="4676"/>
      <c r="Y17" s="4676"/>
      <c r="Z17" s="4676"/>
      <c r="AA17" s="4676"/>
      <c r="AB17" s="4676"/>
      <c r="AC17" s="4676"/>
      <c r="AD17" s="4676"/>
      <c r="AE17" s="4676"/>
      <c r="AF17" s="4676"/>
      <c r="AG17" s="4676"/>
      <c r="AH17" s="4676"/>
      <c r="AI17" s="4676"/>
      <c r="AJ17" s="4676"/>
      <c r="AK17" s="4676"/>
      <c r="AL17" s="4676"/>
      <c r="AM17" s="4676"/>
      <c r="AN17" s="4676"/>
      <c r="AO17" s="4676"/>
      <c r="AP17" s="4676"/>
      <c r="AQ17" s="4676"/>
      <c r="AR17" s="4676"/>
      <c r="AS17" s="4676"/>
      <c r="AT17" s="4676"/>
      <c r="AU17" s="4676"/>
      <c r="AV17" s="4676"/>
      <c r="AW17" s="4676"/>
      <c r="AX17" s="4676"/>
      <c r="AY17" s="4676"/>
      <c r="AZ17" s="4676"/>
      <c r="BA17" s="4676"/>
      <c r="BB17" s="4676"/>
      <c r="BC17" s="4676"/>
      <c r="BD17" s="4676"/>
      <c r="BE17" s="4676"/>
      <c r="BF17" s="4676"/>
      <c r="BG17" s="4676"/>
      <c r="BH17" s="4676"/>
      <c r="BI17" s="4676"/>
      <c r="BJ17" s="4676"/>
      <c r="BK17" s="4677"/>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48" t="s">
        <v>4681</v>
      </c>
      <c r="BU17" s="4649"/>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87"/>
      <c r="U18" s="4688"/>
      <c r="V18" s="1484" t="str">
        <f>IF(OR(V16=0,V16=""),"N/A",V16)</f>
        <v>N/A</v>
      </c>
      <c r="W18" s="4687" t="str">
        <f xml:space="preserve"> IF(OR(AF16=0,AF16=""),"N/A",W16)</f>
        <v>N/A</v>
      </c>
      <c r="X18" s="4689"/>
      <c r="Y18" s="4689"/>
      <c r="Z18" s="4689"/>
      <c r="AA18" s="4689"/>
      <c r="AB18" s="4689"/>
      <c r="AC18" s="4689"/>
      <c r="AD18" s="4689"/>
      <c r="AE18" s="4689"/>
      <c r="AF18" s="4688"/>
      <c r="AG18" s="4687" t="str">
        <f xml:space="preserve"> IF(OR(AP16="",AP16=0),"N/A",AG16)</f>
        <v>N/A</v>
      </c>
      <c r="AH18" s="4689"/>
      <c r="AI18" s="4689"/>
      <c r="AJ18" s="4689"/>
      <c r="AK18" s="4689"/>
      <c r="AL18" s="4689"/>
      <c r="AM18" s="4689"/>
      <c r="AN18" s="4689"/>
      <c r="AO18" s="4689"/>
      <c r="AP18" s="4688"/>
      <c r="AQ18" s="4687" t="str">
        <f xml:space="preserve"> IF(OR(AZ16="",AZ16=0),"N/A",AQ16)</f>
        <v>N/A</v>
      </c>
      <c r="AR18" s="4689"/>
      <c r="AS18" s="4689"/>
      <c r="AT18" s="4689"/>
      <c r="AU18" s="4689"/>
      <c r="AV18" s="4689"/>
      <c r="AW18" s="4689"/>
      <c r="AX18" s="4689"/>
      <c r="AY18" s="4689"/>
      <c r="AZ18" s="4688"/>
      <c r="BA18" s="4687" t="str">
        <f xml:space="preserve"> IF(OR(BJ16="",BJ16=0),"N/A",BA16)</f>
        <v>N/A</v>
      </c>
      <c r="BB18" s="4689"/>
      <c r="BC18" s="4689"/>
      <c r="BD18" s="4689"/>
      <c r="BE18" s="4689"/>
      <c r="BF18" s="4689"/>
      <c r="BG18" s="4689"/>
      <c r="BH18" s="4689"/>
      <c r="BI18" s="4689"/>
      <c r="BJ18" s="4688"/>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2" t="s">
        <v>4654</v>
      </c>
      <c r="BU18" s="4653"/>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90" t="s">
        <v>4677</v>
      </c>
      <c r="U19" s="4691"/>
      <c r="V19" s="1490"/>
      <c r="W19" s="4692"/>
      <c r="X19" s="4693"/>
      <c r="Y19" s="4693"/>
      <c r="Z19" s="4693"/>
      <c r="AA19" s="4693"/>
      <c r="AB19" s="4693"/>
      <c r="AC19" s="4693"/>
      <c r="AD19" s="4693"/>
      <c r="AE19" s="4693"/>
      <c r="AF19" s="4694"/>
      <c r="AG19" s="4692"/>
      <c r="AH19" s="4693"/>
      <c r="AI19" s="4693"/>
      <c r="AJ19" s="4693"/>
      <c r="AK19" s="4693"/>
      <c r="AL19" s="4693"/>
      <c r="AM19" s="4693"/>
      <c r="AN19" s="4693"/>
      <c r="AO19" s="4693"/>
      <c r="AP19" s="4694"/>
      <c r="AQ19" s="4692"/>
      <c r="AR19" s="4693"/>
      <c r="AS19" s="4693"/>
      <c r="AT19" s="4693"/>
      <c r="AU19" s="4693"/>
      <c r="AV19" s="4693"/>
      <c r="AW19" s="4693"/>
      <c r="AX19" s="4693"/>
      <c r="AY19" s="4693"/>
      <c r="AZ19" s="4694"/>
      <c r="BA19" s="4692"/>
      <c r="BB19" s="4693"/>
      <c r="BC19" s="4693"/>
      <c r="BD19" s="4693"/>
      <c r="BE19" s="4693"/>
      <c r="BF19" s="4693"/>
      <c r="BG19" s="4693"/>
      <c r="BH19" s="4693"/>
      <c r="BI19" s="4693"/>
      <c r="BJ19" s="4694"/>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4" t="s">
        <v>4682</v>
      </c>
      <c r="BU19" s="4645"/>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2" t="s">
        <v>4679</v>
      </c>
      <c r="U20" s="4683"/>
      <c r="V20" s="1488"/>
      <c r="W20" s="4684"/>
      <c r="X20" s="4685"/>
      <c r="Y20" s="4685"/>
      <c r="Z20" s="4685"/>
      <c r="AA20" s="4685"/>
      <c r="AB20" s="4685"/>
      <c r="AC20" s="4685"/>
      <c r="AD20" s="4685"/>
      <c r="AE20" s="4685"/>
      <c r="AF20" s="4686"/>
      <c r="AG20" s="4684"/>
      <c r="AH20" s="4685"/>
      <c r="AI20" s="4685"/>
      <c r="AJ20" s="4685"/>
      <c r="AK20" s="4685"/>
      <c r="AL20" s="4685"/>
      <c r="AM20" s="4685"/>
      <c r="AN20" s="4685"/>
      <c r="AO20" s="4685"/>
      <c r="AP20" s="4686"/>
      <c r="AQ20" s="4684"/>
      <c r="AR20" s="4685"/>
      <c r="AS20" s="4685"/>
      <c r="AT20" s="4685"/>
      <c r="AU20" s="4685"/>
      <c r="AV20" s="4685"/>
      <c r="AW20" s="4685"/>
      <c r="AX20" s="4685"/>
      <c r="AY20" s="4685"/>
      <c r="AZ20" s="4686"/>
      <c r="BA20" s="4684"/>
      <c r="BB20" s="4685"/>
      <c r="BC20" s="4685"/>
      <c r="BD20" s="4685"/>
      <c r="BE20" s="4685"/>
      <c r="BF20" s="4685"/>
      <c r="BG20" s="4685"/>
      <c r="BH20" s="4685"/>
      <c r="BI20" s="4685"/>
      <c r="BJ20" s="4686"/>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1"/>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1"/>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41"/>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75" t="s">
        <v>4675</v>
      </c>
      <c r="U23" s="4676"/>
      <c r="V23" s="4676"/>
      <c r="W23" s="4676"/>
      <c r="X23" s="4676"/>
      <c r="Y23" s="4676"/>
      <c r="Z23" s="4676"/>
      <c r="AA23" s="4676"/>
      <c r="AB23" s="4676"/>
      <c r="AC23" s="4676"/>
      <c r="AD23" s="4676"/>
      <c r="AE23" s="4676"/>
      <c r="AF23" s="4676"/>
      <c r="AG23" s="4676"/>
      <c r="AH23" s="4676"/>
      <c r="AI23" s="4676"/>
      <c r="AJ23" s="4676"/>
      <c r="AK23" s="4676"/>
      <c r="AL23" s="4676"/>
      <c r="AM23" s="4676"/>
      <c r="AN23" s="4676"/>
      <c r="AO23" s="4676"/>
      <c r="AP23" s="4676"/>
      <c r="AQ23" s="4676"/>
      <c r="AR23" s="4676"/>
      <c r="AS23" s="4676"/>
      <c r="AT23" s="4676"/>
      <c r="AU23" s="4676"/>
      <c r="AV23" s="4676"/>
      <c r="AW23" s="4676"/>
      <c r="AX23" s="4676"/>
      <c r="AY23" s="4676"/>
      <c r="AZ23" s="4676"/>
      <c r="BA23" s="4676"/>
      <c r="BB23" s="4676"/>
      <c r="BC23" s="4676"/>
      <c r="BD23" s="4676"/>
      <c r="BE23" s="4676"/>
      <c r="BF23" s="4676"/>
      <c r="BG23" s="4676"/>
      <c r="BH23" s="4676"/>
      <c r="BI23" s="4676"/>
      <c r="BJ23" s="4676"/>
      <c r="BK23" s="4677"/>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87"/>
      <c r="U24" s="4688"/>
      <c r="V24" s="1484" t="str">
        <f>IF(OR(V22=0,V22=""),"N/A",V22)</f>
        <v>N/A</v>
      </c>
      <c r="W24" s="4687" t="str">
        <f xml:space="preserve"> IF(OR(AF22=0,AF22=""),"N/A",W22)</f>
        <v>N/A</v>
      </c>
      <c r="X24" s="4689"/>
      <c r="Y24" s="4689"/>
      <c r="Z24" s="4689"/>
      <c r="AA24" s="4689"/>
      <c r="AB24" s="4689"/>
      <c r="AC24" s="4689"/>
      <c r="AD24" s="4689"/>
      <c r="AE24" s="4689"/>
      <c r="AF24" s="4688"/>
      <c r="AG24" s="4687" t="str">
        <f xml:space="preserve"> IF(OR(AP22="",AP22=0),"N/A",AG22)</f>
        <v>N/A</v>
      </c>
      <c r="AH24" s="4689"/>
      <c r="AI24" s="4689"/>
      <c r="AJ24" s="4689"/>
      <c r="AK24" s="4689"/>
      <c r="AL24" s="4689"/>
      <c r="AM24" s="4689"/>
      <c r="AN24" s="4689"/>
      <c r="AO24" s="4689"/>
      <c r="AP24" s="4688"/>
      <c r="AQ24" s="4687" t="str">
        <f xml:space="preserve"> IF(OR(AZ22="",AZ22=0),"N/A",AQ22)</f>
        <v>N/A</v>
      </c>
      <c r="AR24" s="4689"/>
      <c r="AS24" s="4689"/>
      <c r="AT24" s="4689"/>
      <c r="AU24" s="4689"/>
      <c r="AV24" s="4689"/>
      <c r="AW24" s="4689"/>
      <c r="AX24" s="4689"/>
      <c r="AY24" s="4689"/>
      <c r="AZ24" s="4688"/>
      <c r="BA24" s="4687" t="str">
        <f xml:space="preserve"> IF(OR(BJ22="",BJ22=0),"N/A",BA22)</f>
        <v>N/A</v>
      </c>
      <c r="BB24" s="4689"/>
      <c r="BC24" s="4689"/>
      <c r="BD24" s="4689"/>
      <c r="BE24" s="4689"/>
      <c r="BF24" s="4689"/>
      <c r="BG24" s="4689"/>
      <c r="BH24" s="4689"/>
      <c r="BI24" s="4689"/>
      <c r="BJ24" s="4688"/>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90" t="s">
        <v>4677</v>
      </c>
      <c r="U25" s="4691"/>
      <c r="V25" s="1490"/>
      <c r="W25" s="4692"/>
      <c r="X25" s="4693"/>
      <c r="Y25" s="4693"/>
      <c r="Z25" s="4693"/>
      <c r="AA25" s="4693"/>
      <c r="AB25" s="4693"/>
      <c r="AC25" s="4693"/>
      <c r="AD25" s="4693"/>
      <c r="AE25" s="4693"/>
      <c r="AF25" s="4694"/>
      <c r="AG25" s="4692"/>
      <c r="AH25" s="4693"/>
      <c r="AI25" s="4693"/>
      <c r="AJ25" s="4693"/>
      <c r="AK25" s="4693"/>
      <c r="AL25" s="4693"/>
      <c r="AM25" s="4693"/>
      <c r="AN25" s="4693"/>
      <c r="AO25" s="4693"/>
      <c r="AP25" s="4694"/>
      <c r="AQ25" s="4692"/>
      <c r="AR25" s="4693"/>
      <c r="AS25" s="4693"/>
      <c r="AT25" s="4693"/>
      <c r="AU25" s="4693"/>
      <c r="AV25" s="4693"/>
      <c r="AW25" s="4693"/>
      <c r="AX25" s="4693"/>
      <c r="AY25" s="4693"/>
      <c r="AZ25" s="4694"/>
      <c r="BA25" s="4692"/>
      <c r="BB25" s="4693"/>
      <c r="BC25" s="4693"/>
      <c r="BD25" s="4693"/>
      <c r="BE25" s="4693"/>
      <c r="BF25" s="4693"/>
      <c r="BG25" s="4693"/>
      <c r="BH25" s="4693"/>
      <c r="BI25" s="4693"/>
      <c r="BJ25" s="4694"/>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2" t="s">
        <v>4679</v>
      </c>
      <c r="U26" s="4683"/>
      <c r="V26" s="1488"/>
      <c r="W26" s="4684"/>
      <c r="X26" s="4685"/>
      <c r="Y26" s="4685"/>
      <c r="Z26" s="4685"/>
      <c r="AA26" s="4685"/>
      <c r="AB26" s="4685"/>
      <c r="AC26" s="4685"/>
      <c r="AD26" s="4685"/>
      <c r="AE26" s="4685"/>
      <c r="AF26" s="4686"/>
      <c r="AG26" s="4684"/>
      <c r="AH26" s="4685"/>
      <c r="AI26" s="4685"/>
      <c r="AJ26" s="4685"/>
      <c r="AK26" s="4685"/>
      <c r="AL26" s="4685"/>
      <c r="AM26" s="4685"/>
      <c r="AN26" s="4685"/>
      <c r="AO26" s="4685"/>
      <c r="AP26" s="4686"/>
      <c r="AQ26" s="4684"/>
      <c r="AR26" s="4685"/>
      <c r="AS26" s="4685"/>
      <c r="AT26" s="4685"/>
      <c r="AU26" s="4685"/>
      <c r="AV26" s="4685"/>
      <c r="AW26" s="4685"/>
      <c r="AX26" s="4685"/>
      <c r="AY26" s="4685"/>
      <c r="AZ26" s="4686"/>
      <c r="BA26" s="4684"/>
      <c r="BB26" s="4685"/>
      <c r="BC26" s="4685"/>
      <c r="BD26" s="4685"/>
      <c r="BE26" s="4685"/>
      <c r="BF26" s="4685"/>
      <c r="BG26" s="4685"/>
      <c r="BH26" s="4685"/>
      <c r="BI26" s="4685"/>
      <c r="BJ26" s="4686"/>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75" t="s">
        <v>4675</v>
      </c>
      <c r="U29" s="4676"/>
      <c r="V29" s="4676"/>
      <c r="W29" s="4676"/>
      <c r="X29" s="4676"/>
      <c r="Y29" s="4676"/>
      <c r="Z29" s="4676"/>
      <c r="AA29" s="4676"/>
      <c r="AB29" s="4676"/>
      <c r="AC29" s="4676"/>
      <c r="AD29" s="4676"/>
      <c r="AE29" s="4676"/>
      <c r="AF29" s="4676"/>
      <c r="AG29" s="4676"/>
      <c r="AH29" s="4676"/>
      <c r="AI29" s="4676"/>
      <c r="AJ29" s="4676"/>
      <c r="AK29" s="4676"/>
      <c r="AL29" s="4676"/>
      <c r="AM29" s="4676"/>
      <c r="AN29" s="4676"/>
      <c r="AO29" s="4676"/>
      <c r="AP29" s="4676"/>
      <c r="AQ29" s="4676"/>
      <c r="AR29" s="4676"/>
      <c r="AS29" s="4676"/>
      <c r="AT29" s="4676"/>
      <c r="AU29" s="4676"/>
      <c r="AV29" s="4676"/>
      <c r="AW29" s="4676"/>
      <c r="AX29" s="4676"/>
      <c r="AY29" s="4676"/>
      <c r="AZ29" s="4676"/>
      <c r="BA29" s="4676"/>
      <c r="BB29" s="4676"/>
      <c r="BC29" s="4676"/>
      <c r="BD29" s="4676"/>
      <c r="BE29" s="4676"/>
      <c r="BF29" s="4676"/>
      <c r="BG29" s="4676"/>
      <c r="BH29" s="4676"/>
      <c r="BI29" s="4676"/>
      <c r="BJ29" s="4676"/>
      <c r="BK29" s="4677"/>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87"/>
      <c r="U30" s="4688"/>
      <c r="V30" s="1484" t="str">
        <f>IF(OR(V28=0,V28=""),"N/A",V28)</f>
        <v>N/A</v>
      </c>
      <c r="W30" s="4687" t="str">
        <f xml:space="preserve"> IF(OR(AF28=0,AF28=""),"N/A",W28)</f>
        <v>N/A</v>
      </c>
      <c r="X30" s="4689"/>
      <c r="Y30" s="4689"/>
      <c r="Z30" s="4689"/>
      <c r="AA30" s="4689"/>
      <c r="AB30" s="4689"/>
      <c r="AC30" s="4689"/>
      <c r="AD30" s="4689"/>
      <c r="AE30" s="4689"/>
      <c r="AF30" s="4688"/>
      <c r="AG30" s="4687" t="str">
        <f xml:space="preserve"> IF(OR(AP28="",AP28=0),"N/A",AG28)</f>
        <v>N/A</v>
      </c>
      <c r="AH30" s="4689"/>
      <c r="AI30" s="4689"/>
      <c r="AJ30" s="4689"/>
      <c r="AK30" s="4689"/>
      <c r="AL30" s="4689"/>
      <c r="AM30" s="4689"/>
      <c r="AN30" s="4689"/>
      <c r="AO30" s="4689"/>
      <c r="AP30" s="4688"/>
      <c r="AQ30" s="4687" t="str">
        <f xml:space="preserve"> IF(OR(AZ28="",AZ28=0),"N/A",AQ28)</f>
        <v>N/A</v>
      </c>
      <c r="AR30" s="4689"/>
      <c r="AS30" s="4689"/>
      <c r="AT30" s="4689"/>
      <c r="AU30" s="4689"/>
      <c r="AV30" s="4689"/>
      <c r="AW30" s="4689"/>
      <c r="AX30" s="4689"/>
      <c r="AY30" s="4689"/>
      <c r="AZ30" s="4688"/>
      <c r="BA30" s="4687" t="str">
        <f xml:space="preserve"> IF(OR(BJ28="",BJ28=0),"N/A",BA28)</f>
        <v>N/A</v>
      </c>
      <c r="BB30" s="4689"/>
      <c r="BC30" s="4689"/>
      <c r="BD30" s="4689"/>
      <c r="BE30" s="4689"/>
      <c r="BF30" s="4689"/>
      <c r="BG30" s="4689"/>
      <c r="BH30" s="4689"/>
      <c r="BI30" s="4689"/>
      <c r="BJ30" s="4688"/>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90" t="s">
        <v>4677</v>
      </c>
      <c r="U31" s="4691"/>
      <c r="V31" s="1490"/>
      <c r="W31" s="4692"/>
      <c r="X31" s="4693"/>
      <c r="Y31" s="4693"/>
      <c r="Z31" s="4693"/>
      <c r="AA31" s="4693"/>
      <c r="AB31" s="4693"/>
      <c r="AC31" s="4693"/>
      <c r="AD31" s="4693"/>
      <c r="AE31" s="4693"/>
      <c r="AF31" s="4694"/>
      <c r="AG31" s="4692"/>
      <c r="AH31" s="4693"/>
      <c r="AI31" s="4693"/>
      <c r="AJ31" s="4693"/>
      <c r="AK31" s="4693"/>
      <c r="AL31" s="4693"/>
      <c r="AM31" s="4693"/>
      <c r="AN31" s="4693"/>
      <c r="AO31" s="4693"/>
      <c r="AP31" s="4694"/>
      <c r="AQ31" s="4692"/>
      <c r="AR31" s="4693"/>
      <c r="AS31" s="4693"/>
      <c r="AT31" s="4693"/>
      <c r="AU31" s="4693"/>
      <c r="AV31" s="4693"/>
      <c r="AW31" s="4693"/>
      <c r="AX31" s="4693"/>
      <c r="AY31" s="4693"/>
      <c r="AZ31" s="4694"/>
      <c r="BA31" s="4692"/>
      <c r="BB31" s="4693"/>
      <c r="BC31" s="4693"/>
      <c r="BD31" s="4693"/>
      <c r="BE31" s="4693"/>
      <c r="BF31" s="4693"/>
      <c r="BG31" s="4693"/>
      <c r="BH31" s="4693"/>
      <c r="BI31" s="4693"/>
      <c r="BJ31" s="4694"/>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2" t="s">
        <v>4679</v>
      </c>
      <c r="U32" s="4683"/>
      <c r="V32" s="1488"/>
      <c r="W32" s="4684"/>
      <c r="X32" s="4685"/>
      <c r="Y32" s="4685"/>
      <c r="Z32" s="4685"/>
      <c r="AA32" s="4685"/>
      <c r="AB32" s="4685"/>
      <c r="AC32" s="4685"/>
      <c r="AD32" s="4685"/>
      <c r="AE32" s="4685"/>
      <c r="AF32" s="4686"/>
      <c r="AG32" s="4684"/>
      <c r="AH32" s="4685"/>
      <c r="AI32" s="4685"/>
      <c r="AJ32" s="4685"/>
      <c r="AK32" s="4685"/>
      <c r="AL32" s="4685"/>
      <c r="AM32" s="4685"/>
      <c r="AN32" s="4685"/>
      <c r="AO32" s="4685"/>
      <c r="AP32" s="4686"/>
      <c r="AQ32" s="4684"/>
      <c r="AR32" s="4685"/>
      <c r="AS32" s="4685"/>
      <c r="AT32" s="4685"/>
      <c r="AU32" s="4685"/>
      <c r="AV32" s="4685"/>
      <c r="AW32" s="4685"/>
      <c r="AX32" s="4685"/>
      <c r="AY32" s="4685"/>
      <c r="AZ32" s="4686"/>
      <c r="BA32" s="4684"/>
      <c r="BB32" s="4685"/>
      <c r="BC32" s="4685"/>
      <c r="BD32" s="4685"/>
      <c r="BE32" s="4685"/>
      <c r="BF32" s="4685"/>
      <c r="BG32" s="4685"/>
      <c r="BH32" s="4685"/>
      <c r="BI32" s="4685"/>
      <c r="BJ32" s="4686"/>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2"/>
      <c r="BV34" s="4642"/>
      <c r="BW34" s="4642"/>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75" t="s">
        <v>4675</v>
      </c>
      <c r="U35" s="4676"/>
      <c r="V35" s="4676"/>
      <c r="W35" s="4676"/>
      <c r="X35" s="4676"/>
      <c r="Y35" s="4676"/>
      <c r="Z35" s="4676"/>
      <c r="AA35" s="4676"/>
      <c r="AB35" s="4676"/>
      <c r="AC35" s="4676"/>
      <c r="AD35" s="4676"/>
      <c r="AE35" s="4676"/>
      <c r="AF35" s="4676"/>
      <c r="AG35" s="4676"/>
      <c r="AH35" s="4676"/>
      <c r="AI35" s="4676"/>
      <c r="AJ35" s="4676"/>
      <c r="AK35" s="4676"/>
      <c r="AL35" s="4676"/>
      <c r="AM35" s="4676"/>
      <c r="AN35" s="4676"/>
      <c r="AO35" s="4676"/>
      <c r="AP35" s="4676"/>
      <c r="AQ35" s="4676"/>
      <c r="AR35" s="4676"/>
      <c r="AS35" s="4676"/>
      <c r="AT35" s="4676"/>
      <c r="AU35" s="4676"/>
      <c r="AV35" s="4676"/>
      <c r="AW35" s="4676"/>
      <c r="AX35" s="4676"/>
      <c r="AY35" s="4676"/>
      <c r="AZ35" s="4676"/>
      <c r="BA35" s="4676"/>
      <c r="BB35" s="4676"/>
      <c r="BC35" s="4676"/>
      <c r="BD35" s="4676"/>
      <c r="BE35" s="4676"/>
      <c r="BF35" s="4676"/>
      <c r="BG35" s="4676"/>
      <c r="BH35" s="4676"/>
      <c r="BI35" s="4676"/>
      <c r="BJ35" s="4676"/>
      <c r="BK35" s="4677"/>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87"/>
      <c r="U36" s="4688"/>
      <c r="V36" s="1484" t="str">
        <f>IF(OR(V34=0,V34=""),"N/A",V34)</f>
        <v>N/A</v>
      </c>
      <c r="W36" s="4687" t="str">
        <f xml:space="preserve"> IF(OR(AF34=0,AF34=""),"N/A",W34)</f>
        <v>N/A</v>
      </c>
      <c r="X36" s="4689"/>
      <c r="Y36" s="4689"/>
      <c r="Z36" s="4689"/>
      <c r="AA36" s="4689"/>
      <c r="AB36" s="4689"/>
      <c r="AC36" s="4689"/>
      <c r="AD36" s="4689"/>
      <c r="AE36" s="4689"/>
      <c r="AF36" s="4688"/>
      <c r="AG36" s="4687" t="str">
        <f xml:space="preserve"> IF(OR(AP34="",AP34=0),"N/A",AG34)</f>
        <v>N/A</v>
      </c>
      <c r="AH36" s="4689"/>
      <c r="AI36" s="4689"/>
      <c r="AJ36" s="4689"/>
      <c r="AK36" s="4689"/>
      <c r="AL36" s="4689"/>
      <c r="AM36" s="4689"/>
      <c r="AN36" s="4689"/>
      <c r="AO36" s="4689"/>
      <c r="AP36" s="4688"/>
      <c r="AQ36" s="4687" t="str">
        <f xml:space="preserve"> IF(OR(AZ34="",AZ34=0),"N/A",AQ34)</f>
        <v>N/A</v>
      </c>
      <c r="AR36" s="4689"/>
      <c r="AS36" s="4689"/>
      <c r="AT36" s="4689"/>
      <c r="AU36" s="4689"/>
      <c r="AV36" s="4689"/>
      <c r="AW36" s="4689"/>
      <c r="AX36" s="4689"/>
      <c r="AY36" s="4689"/>
      <c r="AZ36" s="4688"/>
      <c r="BA36" s="4687" t="str">
        <f xml:space="preserve"> IF(OR(BJ34="",BJ34=0),"N/A",BA34)</f>
        <v>N/A</v>
      </c>
      <c r="BB36" s="4689"/>
      <c r="BC36" s="4689"/>
      <c r="BD36" s="4689"/>
      <c r="BE36" s="4689"/>
      <c r="BF36" s="4689"/>
      <c r="BG36" s="4689"/>
      <c r="BH36" s="4689"/>
      <c r="BI36" s="4689"/>
      <c r="BJ36" s="4688"/>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3"/>
      <c r="BV36" s="4643"/>
      <c r="BW36" s="4643"/>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90" t="s">
        <v>4677</v>
      </c>
      <c r="U37" s="4691"/>
      <c r="V37" s="1490"/>
      <c r="W37" s="4692"/>
      <c r="X37" s="4693"/>
      <c r="Y37" s="4693"/>
      <c r="Z37" s="4693"/>
      <c r="AA37" s="4693"/>
      <c r="AB37" s="4693"/>
      <c r="AC37" s="4693"/>
      <c r="AD37" s="4693"/>
      <c r="AE37" s="4693"/>
      <c r="AF37" s="4694"/>
      <c r="AG37" s="4692"/>
      <c r="AH37" s="4693"/>
      <c r="AI37" s="4693"/>
      <c r="AJ37" s="4693"/>
      <c r="AK37" s="4693"/>
      <c r="AL37" s="4693"/>
      <c r="AM37" s="4693"/>
      <c r="AN37" s="4693"/>
      <c r="AO37" s="4693"/>
      <c r="AP37" s="4694"/>
      <c r="AQ37" s="4692"/>
      <c r="AR37" s="4693"/>
      <c r="AS37" s="4693"/>
      <c r="AT37" s="4693"/>
      <c r="AU37" s="4693"/>
      <c r="AV37" s="4693"/>
      <c r="AW37" s="4693"/>
      <c r="AX37" s="4693"/>
      <c r="AY37" s="4693"/>
      <c r="AZ37" s="4694"/>
      <c r="BA37" s="4692"/>
      <c r="BB37" s="4693"/>
      <c r="BC37" s="4693"/>
      <c r="BD37" s="4693"/>
      <c r="BE37" s="4693"/>
      <c r="BF37" s="4693"/>
      <c r="BG37" s="4693"/>
      <c r="BH37" s="4693"/>
      <c r="BI37" s="4693"/>
      <c r="BJ37" s="4694"/>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95" t="s">
        <v>4679</v>
      </c>
      <c r="U38" s="4696"/>
      <c r="V38" s="1493"/>
      <c r="W38" s="4697"/>
      <c r="X38" s="4698"/>
      <c r="Y38" s="4698"/>
      <c r="Z38" s="4698"/>
      <c r="AA38" s="4698"/>
      <c r="AB38" s="4698"/>
      <c r="AC38" s="4698"/>
      <c r="AD38" s="4698"/>
      <c r="AE38" s="4698"/>
      <c r="AF38" s="4699"/>
      <c r="AG38" s="4697"/>
      <c r="AH38" s="4698"/>
      <c r="AI38" s="4698"/>
      <c r="AJ38" s="4698"/>
      <c r="AK38" s="4698"/>
      <c r="AL38" s="4698"/>
      <c r="AM38" s="4698"/>
      <c r="AN38" s="4698"/>
      <c r="AO38" s="4698"/>
      <c r="AP38" s="4699"/>
      <c r="AQ38" s="4697"/>
      <c r="AR38" s="4698"/>
      <c r="AS38" s="4698"/>
      <c r="AT38" s="4698"/>
      <c r="AU38" s="4698"/>
      <c r="AV38" s="4698"/>
      <c r="AW38" s="4698"/>
      <c r="AX38" s="4698"/>
      <c r="AY38" s="4698"/>
      <c r="AZ38" s="4699"/>
      <c r="BA38" s="4697"/>
      <c r="BB38" s="4698"/>
      <c r="BC38" s="4698"/>
      <c r="BD38" s="4698"/>
      <c r="BE38" s="4698"/>
      <c r="BF38" s="4698"/>
      <c r="BG38" s="4698"/>
      <c r="BH38" s="4698"/>
      <c r="BI38" s="4698"/>
      <c r="BJ38" s="4699"/>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1"/>
      <c r="BL39" s="4681"/>
      <c r="BM39" s="4645"/>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4" t="s">
        <v>4688</v>
      </c>
      <c r="BU39" s="4645"/>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78" t="str">
        <f>IF(OR(E40='Tablas Técnicas'!A$678,E40='Tablas Técnicas'!A$679,E41='Tablas Técnicas'!A$678,E41='Tablas Técnicas'!A$679,E42='Tablas Técnicas'!A$678,E42='Tablas Técnicas'!A$679),"Selecciona la atadura elemental:","")</f>
        <v/>
      </c>
      <c r="AH40" s="4679"/>
      <c r="AI40" s="4679"/>
      <c r="AJ40" s="4679"/>
      <c r="AK40" s="4679"/>
      <c r="AL40" s="4679"/>
      <c r="AM40" s="4679"/>
      <c r="AN40" s="4679"/>
      <c r="AO40" s="4679"/>
      <c r="AP40" s="4679"/>
      <c r="AQ40" s="4679"/>
      <c r="AR40" s="4679"/>
      <c r="AS40" s="4679"/>
      <c r="AT40" s="4679"/>
      <c r="AU40" s="4679"/>
      <c r="AV40" s="4679"/>
      <c r="AW40" s="4679"/>
      <c r="AX40" s="4679"/>
      <c r="AY40" s="4679"/>
      <c r="AZ40" s="4679"/>
      <c r="BA40" s="4679"/>
      <c r="BB40" s="4679"/>
      <c r="BC40" s="4679"/>
      <c r="BD40" s="4679"/>
      <c r="BE40" s="4679"/>
      <c r="BF40" s="4679"/>
      <c r="BG40" s="4679"/>
      <c r="BH40" s="4679"/>
      <c r="BI40" s="4679"/>
      <c r="BJ40" s="4679"/>
      <c r="BK40" s="4680"/>
      <c r="BL40" s="1540"/>
      <c r="BM40" s="1540"/>
      <c r="BN40" s="1084"/>
      <c r="BO40" s="1084"/>
      <c r="BP40" s="1117"/>
      <c r="BQ40" s="1084"/>
      <c r="BR40" s="1084"/>
      <c r="BS40" s="1084"/>
      <c r="BT40" s="4646">
        <f>D8</f>
        <v>1</v>
      </c>
      <c r="BU40" s="4647"/>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73" t="s">
        <v>3471</v>
      </c>
      <c r="X45" s="4673"/>
      <c r="Y45" s="4673"/>
      <c r="Z45" s="4673"/>
      <c r="AA45" s="4673"/>
      <c r="AB45" s="4673"/>
      <c r="AC45" s="4673"/>
      <c r="AD45" s="4673"/>
      <c r="AE45" s="4673"/>
      <c r="AF45" s="4673"/>
      <c r="AG45" s="4673"/>
      <c r="AH45" s="4673"/>
      <c r="AI45" s="4673"/>
      <c r="AJ45" s="4673"/>
      <c r="AK45" s="4673"/>
      <c r="AL45" s="4673"/>
      <c r="AM45" s="4673"/>
      <c r="AN45" s="4673"/>
      <c r="AO45" s="4673"/>
      <c r="AP45" s="4673"/>
      <c r="AQ45" s="4673"/>
      <c r="AR45" s="4673"/>
      <c r="AS45" s="4673"/>
      <c r="AT45" s="4673"/>
      <c r="AU45" s="4673"/>
      <c r="AV45" s="4673"/>
      <c r="AW45" s="4673"/>
      <c r="AX45" s="4673"/>
      <c r="AY45" s="4673"/>
      <c r="AZ45" s="4673"/>
      <c r="BA45" s="4673"/>
      <c r="BB45" s="4673"/>
      <c r="BC45" s="4673"/>
      <c r="BD45" s="4673"/>
      <c r="BE45" s="4673"/>
      <c r="BF45" s="4673"/>
      <c r="BG45" s="4673"/>
      <c r="BH45" s="4673"/>
      <c r="BI45" s="4673"/>
      <c r="BJ45" s="4673"/>
      <c r="BK45" s="4673" t="s">
        <v>3472</v>
      </c>
      <c r="BL45" s="4673"/>
      <c r="BM45" s="4674"/>
      <c r="BN45" s="1047" t="s">
        <v>4667</v>
      </c>
      <c r="BO45" s="1047" t="s">
        <v>4668</v>
      </c>
      <c r="BP45" s="1047" t="s">
        <v>4669</v>
      </c>
      <c r="BQ45" s="1047" t="s">
        <v>4670</v>
      </c>
      <c r="BR45" s="1047" t="s">
        <v>4671</v>
      </c>
      <c r="BS45" s="1048" t="s">
        <v>4672</v>
      </c>
      <c r="BT45" s="4648" t="s">
        <v>4673</v>
      </c>
      <c r="BU45" s="4649"/>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48" t="s">
        <v>4674</v>
      </c>
      <c r="BU47" s="4649"/>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5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75" t="s">
        <v>4675</v>
      </c>
      <c r="U48" s="4676"/>
      <c r="V48" s="4676"/>
      <c r="W48" s="4676"/>
      <c r="X48" s="4676"/>
      <c r="Y48" s="4676"/>
      <c r="Z48" s="4676"/>
      <c r="AA48" s="4676"/>
      <c r="AB48" s="4676"/>
      <c r="AC48" s="4676"/>
      <c r="AD48" s="4676"/>
      <c r="AE48" s="4676"/>
      <c r="AF48" s="4676"/>
      <c r="AG48" s="4676"/>
      <c r="AH48" s="4676"/>
      <c r="AI48" s="4676"/>
      <c r="AJ48" s="4676"/>
      <c r="AK48" s="4676"/>
      <c r="AL48" s="4676"/>
      <c r="AM48" s="4676"/>
      <c r="AN48" s="4676"/>
      <c r="AO48" s="4676"/>
      <c r="AP48" s="4676"/>
      <c r="AQ48" s="4676"/>
      <c r="AR48" s="4676"/>
      <c r="AS48" s="4676"/>
      <c r="AT48" s="4676"/>
      <c r="AU48" s="4676"/>
      <c r="AV48" s="4676"/>
      <c r="AW48" s="4676"/>
      <c r="AX48" s="4676"/>
      <c r="AY48" s="4676"/>
      <c r="AZ48" s="4676"/>
      <c r="BA48" s="4676"/>
      <c r="BB48" s="4676"/>
      <c r="BC48" s="4676"/>
      <c r="BD48" s="4676"/>
      <c r="BE48" s="4676"/>
      <c r="BF48" s="4676"/>
      <c r="BG48" s="4676"/>
      <c r="BH48" s="4676"/>
      <c r="BI48" s="4676"/>
      <c r="BJ48" s="4676"/>
      <c r="BK48" s="4677"/>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5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1"/>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54"/>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87"/>
      <c r="U49" s="4688"/>
      <c r="V49" s="2372" t="str">
        <f>IF(OR(V47=0,V47=""),"N/A",V47)</f>
        <v>N/A</v>
      </c>
      <c r="W49" s="4687" t="str">
        <f xml:space="preserve"> IF(OR(AF47=0,AF47=""),"N/A",W47)</f>
        <v>N/A</v>
      </c>
      <c r="X49" s="4689"/>
      <c r="Y49" s="4689"/>
      <c r="Z49" s="4689"/>
      <c r="AA49" s="4689"/>
      <c r="AB49" s="4689"/>
      <c r="AC49" s="4689"/>
      <c r="AD49" s="4689"/>
      <c r="AE49" s="4689"/>
      <c r="AF49" s="4688"/>
      <c r="AG49" s="4687" t="str">
        <f xml:space="preserve"> IF(OR(AP47="",AP47=0),"N/A",AG47)</f>
        <v>N/A</v>
      </c>
      <c r="AH49" s="4689"/>
      <c r="AI49" s="4689"/>
      <c r="AJ49" s="4689"/>
      <c r="AK49" s="4689"/>
      <c r="AL49" s="4689"/>
      <c r="AM49" s="4689"/>
      <c r="AN49" s="4689"/>
      <c r="AO49" s="4689"/>
      <c r="AP49" s="4688"/>
      <c r="AQ49" s="4687" t="str">
        <f xml:space="preserve"> IF(OR(AZ47="",AZ47=0),"N/A",AQ47)</f>
        <v>N/A</v>
      </c>
      <c r="AR49" s="4689"/>
      <c r="AS49" s="4689"/>
      <c r="AT49" s="4689"/>
      <c r="AU49" s="4689"/>
      <c r="AV49" s="4689"/>
      <c r="AW49" s="4689"/>
      <c r="AX49" s="4689"/>
      <c r="AY49" s="4689"/>
      <c r="AZ49" s="4688"/>
      <c r="BA49" s="4687" t="str">
        <f xml:space="preserve"> IF(OR(BJ47="",BJ47=0),"N/A",BA47)</f>
        <v>N/A</v>
      </c>
      <c r="BB49" s="4689"/>
      <c r="BC49" s="4689"/>
      <c r="BD49" s="4689"/>
      <c r="BE49" s="4689"/>
      <c r="BF49" s="4689"/>
      <c r="BG49" s="4689"/>
      <c r="BH49" s="4689"/>
      <c r="BI49" s="4689"/>
      <c r="BJ49" s="4688"/>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54"/>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90" t="s">
        <v>4677</v>
      </c>
      <c r="U50" s="4691"/>
      <c r="V50" s="2373"/>
      <c r="W50" s="4692"/>
      <c r="X50" s="4693"/>
      <c r="Y50" s="4693"/>
      <c r="Z50" s="4693"/>
      <c r="AA50" s="4693"/>
      <c r="AB50" s="4693"/>
      <c r="AC50" s="4693"/>
      <c r="AD50" s="4693"/>
      <c r="AE50" s="4693"/>
      <c r="AF50" s="4694"/>
      <c r="AG50" s="4692"/>
      <c r="AH50" s="4693"/>
      <c r="AI50" s="4693"/>
      <c r="AJ50" s="4693"/>
      <c r="AK50" s="4693"/>
      <c r="AL50" s="4693"/>
      <c r="AM50" s="4693"/>
      <c r="AN50" s="4693"/>
      <c r="AO50" s="4693"/>
      <c r="AP50" s="4694"/>
      <c r="AQ50" s="4692"/>
      <c r="AR50" s="4693"/>
      <c r="AS50" s="4693"/>
      <c r="AT50" s="4693"/>
      <c r="AU50" s="4693"/>
      <c r="AV50" s="4693"/>
      <c r="AW50" s="4693"/>
      <c r="AX50" s="4693"/>
      <c r="AY50" s="4693"/>
      <c r="AZ50" s="4694"/>
      <c r="BA50" s="4692"/>
      <c r="BB50" s="4693"/>
      <c r="BC50" s="4693"/>
      <c r="BD50" s="4693"/>
      <c r="BE50" s="4693"/>
      <c r="BF50" s="4693"/>
      <c r="BG50" s="4693"/>
      <c r="BH50" s="4693"/>
      <c r="BI50" s="4693"/>
      <c r="BJ50" s="4694"/>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48" t="s">
        <v>4678</v>
      </c>
      <c r="BU50" s="4649"/>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54"/>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2" t="s">
        <v>4679</v>
      </c>
      <c r="U51" s="4683"/>
      <c r="V51" s="2371"/>
      <c r="W51" s="4684"/>
      <c r="X51" s="4685"/>
      <c r="Y51" s="4685"/>
      <c r="Z51" s="4685"/>
      <c r="AA51" s="4685"/>
      <c r="AB51" s="4685"/>
      <c r="AC51" s="4685"/>
      <c r="AD51" s="4685"/>
      <c r="AE51" s="4685"/>
      <c r="AF51" s="4686"/>
      <c r="AG51" s="4684"/>
      <c r="AH51" s="4685"/>
      <c r="AI51" s="4685"/>
      <c r="AJ51" s="4685"/>
      <c r="AK51" s="4685"/>
      <c r="AL51" s="4685"/>
      <c r="AM51" s="4685"/>
      <c r="AN51" s="4685"/>
      <c r="AO51" s="4685"/>
      <c r="AP51" s="4686"/>
      <c r="AQ51" s="4684"/>
      <c r="AR51" s="4685"/>
      <c r="AS51" s="4685"/>
      <c r="AT51" s="4685"/>
      <c r="AU51" s="4685"/>
      <c r="AV51" s="4685"/>
      <c r="AW51" s="4685"/>
      <c r="AX51" s="4685"/>
      <c r="AY51" s="4685"/>
      <c r="AZ51" s="4686"/>
      <c r="BA51" s="4684"/>
      <c r="BB51" s="4685"/>
      <c r="BC51" s="4685"/>
      <c r="BD51" s="4685"/>
      <c r="BE51" s="4685"/>
      <c r="BF51" s="4685"/>
      <c r="BG51" s="4685"/>
      <c r="BH51" s="4685"/>
      <c r="BI51" s="4685"/>
      <c r="BJ51" s="4686"/>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2" t="s">
        <v>1693</v>
      </c>
      <c r="BU51" s="4653"/>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54"/>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48" t="s">
        <v>4680</v>
      </c>
      <c r="BU52" s="4649"/>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2" t="s">
        <v>4660</v>
      </c>
      <c r="BU53" s="4653"/>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75" t="s">
        <v>4675</v>
      </c>
      <c r="U54" s="4676"/>
      <c r="V54" s="4676"/>
      <c r="W54" s="4676"/>
      <c r="X54" s="4676"/>
      <c r="Y54" s="4676"/>
      <c r="Z54" s="4676"/>
      <c r="AA54" s="4676"/>
      <c r="AB54" s="4676"/>
      <c r="AC54" s="4676"/>
      <c r="AD54" s="4676"/>
      <c r="AE54" s="4676"/>
      <c r="AF54" s="4676"/>
      <c r="AG54" s="4676"/>
      <c r="AH54" s="4676"/>
      <c r="AI54" s="4676"/>
      <c r="AJ54" s="4676"/>
      <c r="AK54" s="4676"/>
      <c r="AL54" s="4676"/>
      <c r="AM54" s="4676"/>
      <c r="AN54" s="4676"/>
      <c r="AO54" s="4676"/>
      <c r="AP54" s="4676"/>
      <c r="AQ54" s="4676"/>
      <c r="AR54" s="4676"/>
      <c r="AS54" s="4676"/>
      <c r="AT54" s="4676"/>
      <c r="AU54" s="4676"/>
      <c r="AV54" s="4676"/>
      <c r="AW54" s="4676"/>
      <c r="AX54" s="4676"/>
      <c r="AY54" s="4676"/>
      <c r="AZ54" s="4676"/>
      <c r="BA54" s="4676"/>
      <c r="BB54" s="4676"/>
      <c r="BC54" s="4676"/>
      <c r="BD54" s="4676"/>
      <c r="BE54" s="4676"/>
      <c r="BF54" s="4676"/>
      <c r="BG54" s="4676"/>
      <c r="BH54" s="4676"/>
      <c r="BI54" s="4676"/>
      <c r="BJ54" s="4676"/>
      <c r="BK54" s="4677"/>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48" t="s">
        <v>4681</v>
      </c>
      <c r="BU54" s="4649"/>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87"/>
      <c r="U55" s="4688"/>
      <c r="V55" s="2372" t="str">
        <f>IF(OR(V53=0,V53=""),"N/A",V53)</f>
        <v>N/A</v>
      </c>
      <c r="W55" s="4687" t="str">
        <f xml:space="preserve"> IF(OR(AF53=0,AF53=""),"N/A",W53)</f>
        <v>N/A</v>
      </c>
      <c r="X55" s="4689"/>
      <c r="Y55" s="4689"/>
      <c r="Z55" s="4689"/>
      <c r="AA55" s="4689"/>
      <c r="AB55" s="4689"/>
      <c r="AC55" s="4689"/>
      <c r="AD55" s="4689"/>
      <c r="AE55" s="4689"/>
      <c r="AF55" s="4688"/>
      <c r="AG55" s="4687" t="str">
        <f xml:space="preserve"> IF(OR(AP53="",AP53=0),"N/A",AG53)</f>
        <v>N/A</v>
      </c>
      <c r="AH55" s="4689"/>
      <c r="AI55" s="4689"/>
      <c r="AJ55" s="4689"/>
      <c r="AK55" s="4689"/>
      <c r="AL55" s="4689"/>
      <c r="AM55" s="4689"/>
      <c r="AN55" s="4689"/>
      <c r="AO55" s="4689"/>
      <c r="AP55" s="4688"/>
      <c r="AQ55" s="4687" t="str">
        <f xml:space="preserve"> IF(OR(AZ53="",AZ53=0),"N/A",AQ53)</f>
        <v>N/A</v>
      </c>
      <c r="AR55" s="4689"/>
      <c r="AS55" s="4689"/>
      <c r="AT55" s="4689"/>
      <c r="AU55" s="4689"/>
      <c r="AV55" s="4689"/>
      <c r="AW55" s="4689"/>
      <c r="AX55" s="4689"/>
      <c r="AY55" s="4689"/>
      <c r="AZ55" s="4688"/>
      <c r="BA55" s="4687" t="str">
        <f xml:space="preserve"> IF(OR(BJ53="",BJ53=0),"N/A",BA53)</f>
        <v>N/A</v>
      </c>
      <c r="BB55" s="4689"/>
      <c r="BC55" s="4689"/>
      <c r="BD55" s="4689"/>
      <c r="BE55" s="4689"/>
      <c r="BF55" s="4689"/>
      <c r="BG55" s="4689"/>
      <c r="BH55" s="4689"/>
      <c r="BI55" s="4689"/>
      <c r="BJ55" s="4688"/>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2" t="s">
        <v>4654</v>
      </c>
      <c r="BU55" s="4653"/>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90" t="s">
        <v>4677</v>
      </c>
      <c r="U56" s="4691"/>
      <c r="V56" s="2373"/>
      <c r="W56" s="4692"/>
      <c r="X56" s="4693"/>
      <c r="Y56" s="4693"/>
      <c r="Z56" s="4693"/>
      <c r="AA56" s="4693"/>
      <c r="AB56" s="4693"/>
      <c r="AC56" s="4693"/>
      <c r="AD56" s="4693"/>
      <c r="AE56" s="4693"/>
      <c r="AF56" s="4694"/>
      <c r="AG56" s="4692"/>
      <c r="AH56" s="4693"/>
      <c r="AI56" s="4693"/>
      <c r="AJ56" s="4693"/>
      <c r="AK56" s="4693"/>
      <c r="AL56" s="4693"/>
      <c r="AM56" s="4693"/>
      <c r="AN56" s="4693"/>
      <c r="AO56" s="4693"/>
      <c r="AP56" s="4694"/>
      <c r="AQ56" s="4692"/>
      <c r="AR56" s="4693"/>
      <c r="AS56" s="4693"/>
      <c r="AT56" s="4693"/>
      <c r="AU56" s="4693"/>
      <c r="AV56" s="4693"/>
      <c r="AW56" s="4693"/>
      <c r="AX56" s="4693"/>
      <c r="AY56" s="4693"/>
      <c r="AZ56" s="4694"/>
      <c r="BA56" s="4692"/>
      <c r="BB56" s="4693"/>
      <c r="BC56" s="4693"/>
      <c r="BD56" s="4693"/>
      <c r="BE56" s="4693"/>
      <c r="BF56" s="4693"/>
      <c r="BG56" s="4693"/>
      <c r="BH56" s="4693"/>
      <c r="BI56" s="4693"/>
      <c r="BJ56" s="4694"/>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4" t="s">
        <v>4682</v>
      </c>
      <c r="BU56" s="4645"/>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2" t="s">
        <v>4679</v>
      </c>
      <c r="U57" s="4683"/>
      <c r="V57" s="2371"/>
      <c r="W57" s="4684"/>
      <c r="X57" s="4685"/>
      <c r="Y57" s="4685"/>
      <c r="Z57" s="4685"/>
      <c r="AA57" s="4685"/>
      <c r="AB57" s="4685"/>
      <c r="AC57" s="4685"/>
      <c r="AD57" s="4685"/>
      <c r="AE57" s="4685"/>
      <c r="AF57" s="4686"/>
      <c r="AG57" s="4684"/>
      <c r="AH57" s="4685"/>
      <c r="AI57" s="4685"/>
      <c r="AJ57" s="4685"/>
      <c r="AK57" s="4685"/>
      <c r="AL57" s="4685"/>
      <c r="AM57" s="4685"/>
      <c r="AN57" s="4685"/>
      <c r="AO57" s="4685"/>
      <c r="AP57" s="4686"/>
      <c r="AQ57" s="4684"/>
      <c r="AR57" s="4685"/>
      <c r="AS57" s="4685"/>
      <c r="AT57" s="4685"/>
      <c r="AU57" s="4685"/>
      <c r="AV57" s="4685"/>
      <c r="AW57" s="4685"/>
      <c r="AX57" s="4685"/>
      <c r="AY57" s="4685"/>
      <c r="AZ57" s="4686"/>
      <c r="BA57" s="4684"/>
      <c r="BB57" s="4685"/>
      <c r="BC57" s="4685"/>
      <c r="BD57" s="4685"/>
      <c r="BE57" s="4685"/>
      <c r="BF57" s="4685"/>
      <c r="BG57" s="4685"/>
      <c r="BH57" s="4685"/>
      <c r="BI57" s="4685"/>
      <c r="BJ57" s="4686"/>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1"/>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1"/>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41"/>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75" t="s">
        <v>4675</v>
      </c>
      <c r="U60" s="4676"/>
      <c r="V60" s="4676"/>
      <c r="W60" s="4676"/>
      <c r="X60" s="4676"/>
      <c r="Y60" s="4676"/>
      <c r="Z60" s="4676"/>
      <c r="AA60" s="4676"/>
      <c r="AB60" s="4676"/>
      <c r="AC60" s="4676"/>
      <c r="AD60" s="4676"/>
      <c r="AE60" s="4676"/>
      <c r="AF60" s="4676"/>
      <c r="AG60" s="4676"/>
      <c r="AH60" s="4676"/>
      <c r="AI60" s="4676"/>
      <c r="AJ60" s="4676"/>
      <c r="AK60" s="4676"/>
      <c r="AL60" s="4676"/>
      <c r="AM60" s="4676"/>
      <c r="AN60" s="4676"/>
      <c r="AO60" s="4676"/>
      <c r="AP60" s="4676"/>
      <c r="AQ60" s="4676"/>
      <c r="AR60" s="4676"/>
      <c r="AS60" s="4676"/>
      <c r="AT60" s="4676"/>
      <c r="AU60" s="4676"/>
      <c r="AV60" s="4676"/>
      <c r="AW60" s="4676"/>
      <c r="AX60" s="4676"/>
      <c r="AY60" s="4676"/>
      <c r="AZ60" s="4676"/>
      <c r="BA60" s="4676"/>
      <c r="BB60" s="4676"/>
      <c r="BC60" s="4676"/>
      <c r="BD60" s="4676"/>
      <c r="BE60" s="4676"/>
      <c r="BF60" s="4676"/>
      <c r="BG60" s="4676"/>
      <c r="BH60" s="4676"/>
      <c r="BI60" s="4676"/>
      <c r="BJ60" s="4676"/>
      <c r="BK60" s="4677"/>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87"/>
      <c r="U61" s="4688"/>
      <c r="V61" s="2372" t="str">
        <f>IF(OR(V59=0,V59=""),"N/A",V59)</f>
        <v>N/A</v>
      </c>
      <c r="W61" s="4687" t="str">
        <f xml:space="preserve"> IF(OR(AF59=0,AF59=""),"N/A",W59)</f>
        <v>N/A</v>
      </c>
      <c r="X61" s="4689"/>
      <c r="Y61" s="4689"/>
      <c r="Z61" s="4689"/>
      <c r="AA61" s="4689"/>
      <c r="AB61" s="4689"/>
      <c r="AC61" s="4689"/>
      <c r="AD61" s="4689"/>
      <c r="AE61" s="4689"/>
      <c r="AF61" s="4688"/>
      <c r="AG61" s="4687" t="str">
        <f xml:space="preserve"> IF(OR(AP59="",AP59=0),"N/A",AG59)</f>
        <v>N/A</v>
      </c>
      <c r="AH61" s="4689"/>
      <c r="AI61" s="4689"/>
      <c r="AJ61" s="4689"/>
      <c r="AK61" s="4689"/>
      <c r="AL61" s="4689"/>
      <c r="AM61" s="4689"/>
      <c r="AN61" s="4689"/>
      <c r="AO61" s="4689"/>
      <c r="AP61" s="4688"/>
      <c r="AQ61" s="4687" t="str">
        <f xml:space="preserve"> IF(OR(AZ59="",AZ59=0),"N/A",AQ59)</f>
        <v>N/A</v>
      </c>
      <c r="AR61" s="4689"/>
      <c r="AS61" s="4689"/>
      <c r="AT61" s="4689"/>
      <c r="AU61" s="4689"/>
      <c r="AV61" s="4689"/>
      <c r="AW61" s="4689"/>
      <c r="AX61" s="4689"/>
      <c r="AY61" s="4689"/>
      <c r="AZ61" s="4688"/>
      <c r="BA61" s="4687" t="str">
        <f xml:space="preserve"> IF(OR(BJ59="",BJ59=0),"N/A",BA59)</f>
        <v>N/A</v>
      </c>
      <c r="BB61" s="4689"/>
      <c r="BC61" s="4689"/>
      <c r="BD61" s="4689"/>
      <c r="BE61" s="4689"/>
      <c r="BF61" s="4689"/>
      <c r="BG61" s="4689"/>
      <c r="BH61" s="4689"/>
      <c r="BI61" s="4689"/>
      <c r="BJ61" s="4688"/>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90" t="s">
        <v>4677</v>
      </c>
      <c r="U62" s="4691"/>
      <c r="V62" s="2373"/>
      <c r="W62" s="4692"/>
      <c r="X62" s="4693"/>
      <c r="Y62" s="4693"/>
      <c r="Z62" s="4693"/>
      <c r="AA62" s="4693"/>
      <c r="AB62" s="4693"/>
      <c r="AC62" s="4693"/>
      <c r="AD62" s="4693"/>
      <c r="AE62" s="4693"/>
      <c r="AF62" s="4694"/>
      <c r="AG62" s="4692"/>
      <c r="AH62" s="4693"/>
      <c r="AI62" s="4693"/>
      <c r="AJ62" s="4693"/>
      <c r="AK62" s="4693"/>
      <c r="AL62" s="4693"/>
      <c r="AM62" s="4693"/>
      <c r="AN62" s="4693"/>
      <c r="AO62" s="4693"/>
      <c r="AP62" s="4694"/>
      <c r="AQ62" s="4692"/>
      <c r="AR62" s="4693"/>
      <c r="AS62" s="4693"/>
      <c r="AT62" s="4693"/>
      <c r="AU62" s="4693"/>
      <c r="AV62" s="4693"/>
      <c r="AW62" s="4693"/>
      <c r="AX62" s="4693"/>
      <c r="AY62" s="4693"/>
      <c r="AZ62" s="4694"/>
      <c r="BA62" s="4692"/>
      <c r="BB62" s="4693"/>
      <c r="BC62" s="4693"/>
      <c r="BD62" s="4693"/>
      <c r="BE62" s="4693"/>
      <c r="BF62" s="4693"/>
      <c r="BG62" s="4693"/>
      <c r="BH62" s="4693"/>
      <c r="BI62" s="4693"/>
      <c r="BJ62" s="4694"/>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2" t="s">
        <v>4679</v>
      </c>
      <c r="U63" s="4683"/>
      <c r="V63" s="2371"/>
      <c r="W63" s="4684"/>
      <c r="X63" s="4685"/>
      <c r="Y63" s="4685"/>
      <c r="Z63" s="4685"/>
      <c r="AA63" s="4685"/>
      <c r="AB63" s="4685"/>
      <c r="AC63" s="4685"/>
      <c r="AD63" s="4685"/>
      <c r="AE63" s="4685"/>
      <c r="AF63" s="4686"/>
      <c r="AG63" s="4684"/>
      <c r="AH63" s="4685"/>
      <c r="AI63" s="4685"/>
      <c r="AJ63" s="4685"/>
      <c r="AK63" s="4685"/>
      <c r="AL63" s="4685"/>
      <c r="AM63" s="4685"/>
      <c r="AN63" s="4685"/>
      <c r="AO63" s="4685"/>
      <c r="AP63" s="4686"/>
      <c r="AQ63" s="4684"/>
      <c r="AR63" s="4685"/>
      <c r="AS63" s="4685"/>
      <c r="AT63" s="4685"/>
      <c r="AU63" s="4685"/>
      <c r="AV63" s="4685"/>
      <c r="AW63" s="4685"/>
      <c r="AX63" s="4685"/>
      <c r="AY63" s="4685"/>
      <c r="AZ63" s="4686"/>
      <c r="BA63" s="4684"/>
      <c r="BB63" s="4685"/>
      <c r="BC63" s="4685"/>
      <c r="BD63" s="4685"/>
      <c r="BE63" s="4685"/>
      <c r="BF63" s="4685"/>
      <c r="BG63" s="4685"/>
      <c r="BH63" s="4685"/>
      <c r="BI63" s="4685"/>
      <c r="BJ63" s="4686"/>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75" t="s">
        <v>4675</v>
      </c>
      <c r="U66" s="4676"/>
      <c r="V66" s="4676"/>
      <c r="W66" s="4676"/>
      <c r="X66" s="4676"/>
      <c r="Y66" s="4676"/>
      <c r="Z66" s="4676"/>
      <c r="AA66" s="4676"/>
      <c r="AB66" s="4676"/>
      <c r="AC66" s="4676"/>
      <c r="AD66" s="4676"/>
      <c r="AE66" s="4676"/>
      <c r="AF66" s="4676"/>
      <c r="AG66" s="4676"/>
      <c r="AH66" s="4676"/>
      <c r="AI66" s="4676"/>
      <c r="AJ66" s="4676"/>
      <c r="AK66" s="4676"/>
      <c r="AL66" s="4676"/>
      <c r="AM66" s="4676"/>
      <c r="AN66" s="4676"/>
      <c r="AO66" s="4676"/>
      <c r="AP66" s="4676"/>
      <c r="AQ66" s="4676"/>
      <c r="AR66" s="4676"/>
      <c r="AS66" s="4676"/>
      <c r="AT66" s="4676"/>
      <c r="AU66" s="4676"/>
      <c r="AV66" s="4676"/>
      <c r="AW66" s="4676"/>
      <c r="AX66" s="4676"/>
      <c r="AY66" s="4676"/>
      <c r="AZ66" s="4676"/>
      <c r="BA66" s="4676"/>
      <c r="BB66" s="4676"/>
      <c r="BC66" s="4676"/>
      <c r="BD66" s="4676"/>
      <c r="BE66" s="4676"/>
      <c r="BF66" s="4676"/>
      <c r="BG66" s="4676"/>
      <c r="BH66" s="4676"/>
      <c r="BI66" s="4676"/>
      <c r="BJ66" s="4676"/>
      <c r="BK66" s="4677"/>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87"/>
      <c r="U67" s="4688"/>
      <c r="V67" s="2372" t="str">
        <f>IF(OR(V65=0,V65=""),"N/A",V65)</f>
        <v>N/A</v>
      </c>
      <c r="W67" s="4687" t="str">
        <f xml:space="preserve"> IF(OR(AF65=0,AF65=""),"N/A",W65)</f>
        <v>N/A</v>
      </c>
      <c r="X67" s="4689"/>
      <c r="Y67" s="4689"/>
      <c r="Z67" s="4689"/>
      <c r="AA67" s="4689"/>
      <c r="AB67" s="4689"/>
      <c r="AC67" s="4689"/>
      <c r="AD67" s="4689"/>
      <c r="AE67" s="4689"/>
      <c r="AF67" s="4688"/>
      <c r="AG67" s="4687" t="str">
        <f xml:space="preserve"> IF(OR(AP65="",AP65=0),"N/A",AG65)</f>
        <v>N/A</v>
      </c>
      <c r="AH67" s="4689"/>
      <c r="AI67" s="4689"/>
      <c r="AJ67" s="4689"/>
      <c r="AK67" s="4689"/>
      <c r="AL67" s="4689"/>
      <c r="AM67" s="4689"/>
      <c r="AN67" s="4689"/>
      <c r="AO67" s="4689"/>
      <c r="AP67" s="4688"/>
      <c r="AQ67" s="4687" t="str">
        <f xml:space="preserve"> IF(OR(AZ65="",AZ65=0),"N/A",AQ65)</f>
        <v>N/A</v>
      </c>
      <c r="AR67" s="4689"/>
      <c r="AS67" s="4689"/>
      <c r="AT67" s="4689"/>
      <c r="AU67" s="4689"/>
      <c r="AV67" s="4689"/>
      <c r="AW67" s="4689"/>
      <c r="AX67" s="4689"/>
      <c r="AY67" s="4689"/>
      <c r="AZ67" s="4688"/>
      <c r="BA67" s="4687" t="str">
        <f xml:space="preserve"> IF(OR(BJ65="",BJ65=0),"N/A",BA65)</f>
        <v>N/A</v>
      </c>
      <c r="BB67" s="4689"/>
      <c r="BC67" s="4689"/>
      <c r="BD67" s="4689"/>
      <c r="BE67" s="4689"/>
      <c r="BF67" s="4689"/>
      <c r="BG67" s="4689"/>
      <c r="BH67" s="4689"/>
      <c r="BI67" s="4689"/>
      <c r="BJ67" s="4688"/>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90" t="s">
        <v>4677</v>
      </c>
      <c r="U68" s="4691"/>
      <c r="V68" s="2373"/>
      <c r="W68" s="4692"/>
      <c r="X68" s="4693"/>
      <c r="Y68" s="4693"/>
      <c r="Z68" s="4693"/>
      <c r="AA68" s="4693"/>
      <c r="AB68" s="4693"/>
      <c r="AC68" s="4693"/>
      <c r="AD68" s="4693"/>
      <c r="AE68" s="4693"/>
      <c r="AF68" s="4694"/>
      <c r="AG68" s="4692"/>
      <c r="AH68" s="4693"/>
      <c r="AI68" s="4693"/>
      <c r="AJ68" s="4693"/>
      <c r="AK68" s="4693"/>
      <c r="AL68" s="4693"/>
      <c r="AM68" s="4693"/>
      <c r="AN68" s="4693"/>
      <c r="AO68" s="4693"/>
      <c r="AP68" s="4694"/>
      <c r="AQ68" s="4692"/>
      <c r="AR68" s="4693"/>
      <c r="AS68" s="4693"/>
      <c r="AT68" s="4693"/>
      <c r="AU68" s="4693"/>
      <c r="AV68" s="4693"/>
      <c r="AW68" s="4693"/>
      <c r="AX68" s="4693"/>
      <c r="AY68" s="4693"/>
      <c r="AZ68" s="4694"/>
      <c r="BA68" s="4692"/>
      <c r="BB68" s="4693"/>
      <c r="BC68" s="4693"/>
      <c r="BD68" s="4693"/>
      <c r="BE68" s="4693"/>
      <c r="BF68" s="4693"/>
      <c r="BG68" s="4693"/>
      <c r="BH68" s="4693"/>
      <c r="BI68" s="4693"/>
      <c r="BJ68" s="4694"/>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2" t="s">
        <v>4679</v>
      </c>
      <c r="U69" s="4683"/>
      <c r="V69" s="2371"/>
      <c r="W69" s="4684"/>
      <c r="X69" s="4685"/>
      <c r="Y69" s="4685"/>
      <c r="Z69" s="4685"/>
      <c r="AA69" s="4685"/>
      <c r="AB69" s="4685"/>
      <c r="AC69" s="4685"/>
      <c r="AD69" s="4685"/>
      <c r="AE69" s="4685"/>
      <c r="AF69" s="4686"/>
      <c r="AG69" s="4684"/>
      <c r="AH69" s="4685"/>
      <c r="AI69" s="4685"/>
      <c r="AJ69" s="4685"/>
      <c r="AK69" s="4685"/>
      <c r="AL69" s="4685"/>
      <c r="AM69" s="4685"/>
      <c r="AN69" s="4685"/>
      <c r="AO69" s="4685"/>
      <c r="AP69" s="4686"/>
      <c r="AQ69" s="4684"/>
      <c r="AR69" s="4685"/>
      <c r="AS69" s="4685"/>
      <c r="AT69" s="4685"/>
      <c r="AU69" s="4685"/>
      <c r="AV69" s="4685"/>
      <c r="AW69" s="4685"/>
      <c r="AX69" s="4685"/>
      <c r="AY69" s="4685"/>
      <c r="AZ69" s="4686"/>
      <c r="BA69" s="4684"/>
      <c r="BB69" s="4685"/>
      <c r="BC69" s="4685"/>
      <c r="BD69" s="4685"/>
      <c r="BE69" s="4685"/>
      <c r="BF69" s="4685"/>
      <c r="BG69" s="4685"/>
      <c r="BH69" s="4685"/>
      <c r="BI69" s="4685"/>
      <c r="BJ69" s="4686"/>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2"/>
      <c r="BV71" s="4642"/>
      <c r="BW71" s="4642"/>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75" t="s">
        <v>4675</v>
      </c>
      <c r="U72" s="4676"/>
      <c r="V72" s="4676"/>
      <c r="W72" s="4676"/>
      <c r="X72" s="4676"/>
      <c r="Y72" s="4676"/>
      <c r="Z72" s="4676"/>
      <c r="AA72" s="4676"/>
      <c r="AB72" s="4676"/>
      <c r="AC72" s="4676"/>
      <c r="AD72" s="4676"/>
      <c r="AE72" s="4676"/>
      <c r="AF72" s="4676"/>
      <c r="AG72" s="4676"/>
      <c r="AH72" s="4676"/>
      <c r="AI72" s="4676"/>
      <c r="AJ72" s="4676"/>
      <c r="AK72" s="4676"/>
      <c r="AL72" s="4676"/>
      <c r="AM72" s="4676"/>
      <c r="AN72" s="4676"/>
      <c r="AO72" s="4676"/>
      <c r="AP72" s="4676"/>
      <c r="AQ72" s="4676"/>
      <c r="AR72" s="4676"/>
      <c r="AS72" s="4676"/>
      <c r="AT72" s="4676"/>
      <c r="AU72" s="4676"/>
      <c r="AV72" s="4676"/>
      <c r="AW72" s="4676"/>
      <c r="AX72" s="4676"/>
      <c r="AY72" s="4676"/>
      <c r="AZ72" s="4676"/>
      <c r="BA72" s="4676"/>
      <c r="BB72" s="4676"/>
      <c r="BC72" s="4676"/>
      <c r="BD72" s="4676"/>
      <c r="BE72" s="4676"/>
      <c r="BF72" s="4676"/>
      <c r="BG72" s="4676"/>
      <c r="BH72" s="4676"/>
      <c r="BI72" s="4676"/>
      <c r="BJ72" s="4676"/>
      <c r="BK72" s="4677"/>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87"/>
      <c r="U73" s="4688"/>
      <c r="V73" s="2372" t="str">
        <f>IF(OR(V71=0,V71=""),"N/A",V71)</f>
        <v>N/A</v>
      </c>
      <c r="W73" s="4687" t="str">
        <f xml:space="preserve"> IF(OR(AF71=0,AF71=""),"N/A",W71)</f>
        <v>N/A</v>
      </c>
      <c r="X73" s="4689"/>
      <c r="Y73" s="4689"/>
      <c r="Z73" s="4689"/>
      <c r="AA73" s="4689"/>
      <c r="AB73" s="4689"/>
      <c r="AC73" s="4689"/>
      <c r="AD73" s="4689"/>
      <c r="AE73" s="4689"/>
      <c r="AF73" s="4688"/>
      <c r="AG73" s="4687" t="str">
        <f xml:space="preserve"> IF(OR(AP71="",AP71=0),"N/A",AG71)</f>
        <v>N/A</v>
      </c>
      <c r="AH73" s="4689"/>
      <c r="AI73" s="4689"/>
      <c r="AJ73" s="4689"/>
      <c r="AK73" s="4689"/>
      <c r="AL73" s="4689"/>
      <c r="AM73" s="4689"/>
      <c r="AN73" s="4689"/>
      <c r="AO73" s="4689"/>
      <c r="AP73" s="4688"/>
      <c r="AQ73" s="4687" t="str">
        <f xml:space="preserve"> IF(OR(AZ71="",AZ71=0),"N/A",AQ71)</f>
        <v>N/A</v>
      </c>
      <c r="AR73" s="4689"/>
      <c r="AS73" s="4689"/>
      <c r="AT73" s="4689"/>
      <c r="AU73" s="4689"/>
      <c r="AV73" s="4689"/>
      <c r="AW73" s="4689"/>
      <c r="AX73" s="4689"/>
      <c r="AY73" s="4689"/>
      <c r="AZ73" s="4688"/>
      <c r="BA73" s="4687" t="str">
        <f xml:space="preserve"> IF(OR(BJ71="",BJ71=0),"N/A",BA71)</f>
        <v>N/A</v>
      </c>
      <c r="BB73" s="4689"/>
      <c r="BC73" s="4689"/>
      <c r="BD73" s="4689"/>
      <c r="BE73" s="4689"/>
      <c r="BF73" s="4689"/>
      <c r="BG73" s="4689"/>
      <c r="BH73" s="4689"/>
      <c r="BI73" s="4689"/>
      <c r="BJ73" s="4688"/>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3"/>
      <c r="BV73" s="4643"/>
      <c r="BW73" s="4643"/>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90" t="s">
        <v>4677</v>
      </c>
      <c r="U74" s="4691"/>
      <c r="V74" s="2373"/>
      <c r="W74" s="4692"/>
      <c r="X74" s="4693"/>
      <c r="Y74" s="4693"/>
      <c r="Z74" s="4693"/>
      <c r="AA74" s="4693"/>
      <c r="AB74" s="4693"/>
      <c r="AC74" s="4693"/>
      <c r="AD74" s="4693"/>
      <c r="AE74" s="4693"/>
      <c r="AF74" s="4694"/>
      <c r="AG74" s="4692"/>
      <c r="AH74" s="4693"/>
      <c r="AI74" s="4693"/>
      <c r="AJ74" s="4693"/>
      <c r="AK74" s="4693"/>
      <c r="AL74" s="4693"/>
      <c r="AM74" s="4693"/>
      <c r="AN74" s="4693"/>
      <c r="AO74" s="4693"/>
      <c r="AP74" s="4694"/>
      <c r="AQ74" s="4692"/>
      <c r="AR74" s="4693"/>
      <c r="AS74" s="4693"/>
      <c r="AT74" s="4693"/>
      <c r="AU74" s="4693"/>
      <c r="AV74" s="4693"/>
      <c r="AW74" s="4693"/>
      <c r="AX74" s="4693"/>
      <c r="AY74" s="4693"/>
      <c r="AZ74" s="4694"/>
      <c r="BA74" s="4692"/>
      <c r="BB74" s="4693"/>
      <c r="BC74" s="4693"/>
      <c r="BD74" s="4693"/>
      <c r="BE74" s="4693"/>
      <c r="BF74" s="4693"/>
      <c r="BG74" s="4693"/>
      <c r="BH74" s="4693"/>
      <c r="BI74" s="4693"/>
      <c r="BJ74" s="4694"/>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95" t="s">
        <v>4679</v>
      </c>
      <c r="U75" s="4696"/>
      <c r="V75" s="2376"/>
      <c r="W75" s="4697"/>
      <c r="X75" s="4698"/>
      <c r="Y75" s="4698"/>
      <c r="Z75" s="4698"/>
      <c r="AA75" s="4698"/>
      <c r="AB75" s="4698"/>
      <c r="AC75" s="4698"/>
      <c r="AD75" s="4698"/>
      <c r="AE75" s="4698"/>
      <c r="AF75" s="4699"/>
      <c r="AG75" s="4697"/>
      <c r="AH75" s="4698"/>
      <c r="AI75" s="4698"/>
      <c r="AJ75" s="4698"/>
      <c r="AK75" s="4698"/>
      <c r="AL75" s="4698"/>
      <c r="AM75" s="4698"/>
      <c r="AN75" s="4698"/>
      <c r="AO75" s="4698"/>
      <c r="AP75" s="4699"/>
      <c r="AQ75" s="4697"/>
      <c r="AR75" s="4698"/>
      <c r="AS75" s="4698"/>
      <c r="AT75" s="4698"/>
      <c r="AU75" s="4698"/>
      <c r="AV75" s="4698"/>
      <c r="AW75" s="4698"/>
      <c r="AX75" s="4698"/>
      <c r="AY75" s="4698"/>
      <c r="AZ75" s="4699"/>
      <c r="BA75" s="4697"/>
      <c r="BB75" s="4698"/>
      <c r="BC75" s="4698"/>
      <c r="BD75" s="4698"/>
      <c r="BE75" s="4698"/>
      <c r="BF75" s="4698"/>
      <c r="BG75" s="4698"/>
      <c r="BH75" s="4698"/>
      <c r="BI75" s="4698"/>
      <c r="BJ75" s="4699"/>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1"/>
      <c r="BL76" s="4681"/>
      <c r="BM76" s="4645"/>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4" t="s">
        <v>4688</v>
      </c>
      <c r="BU76" s="4645"/>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78" t="str">
        <f>IF(OR(E77='Tablas Técnicas'!A$678,E77='Tablas Técnicas'!A$679,E78='Tablas Técnicas'!A$678,E78='Tablas Técnicas'!A$679,E79='Tablas Técnicas'!A$678,E79='Tablas Técnicas'!A$679),"Selecciona la atadura elemental:","")</f>
        <v/>
      </c>
      <c r="AH77" s="4679"/>
      <c r="AI77" s="4679"/>
      <c r="AJ77" s="4679"/>
      <c r="AK77" s="4679"/>
      <c r="AL77" s="4679"/>
      <c r="AM77" s="4679"/>
      <c r="AN77" s="4679"/>
      <c r="AO77" s="4679"/>
      <c r="AP77" s="4679"/>
      <c r="AQ77" s="4679"/>
      <c r="AR77" s="4679"/>
      <c r="AS77" s="4679"/>
      <c r="AT77" s="4679"/>
      <c r="AU77" s="4679"/>
      <c r="AV77" s="4679"/>
      <c r="AW77" s="4679"/>
      <c r="AX77" s="4679"/>
      <c r="AY77" s="4679"/>
      <c r="AZ77" s="4679"/>
      <c r="BA77" s="4679"/>
      <c r="BB77" s="4679"/>
      <c r="BC77" s="4679"/>
      <c r="BD77" s="4679"/>
      <c r="BE77" s="4679"/>
      <c r="BF77" s="4679"/>
      <c r="BG77" s="4679"/>
      <c r="BH77" s="4679"/>
      <c r="BI77" s="4679"/>
      <c r="BJ77" s="4679"/>
      <c r="BK77" s="4680"/>
      <c r="BL77" s="1540"/>
      <c r="BM77" s="1540"/>
      <c r="BN77" s="1084"/>
      <c r="BO77" s="1084"/>
      <c r="BP77" s="1117"/>
      <c r="BQ77" s="1084"/>
      <c r="BR77" s="1084"/>
      <c r="BS77" s="1084"/>
      <c r="BT77" s="4646">
        <f>D45</f>
        <v>1</v>
      </c>
      <c r="BU77" s="4647"/>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73" t="s">
        <v>3471</v>
      </c>
      <c r="X82" s="4673"/>
      <c r="Y82" s="4673"/>
      <c r="Z82" s="4673"/>
      <c r="AA82" s="4673"/>
      <c r="AB82" s="4673"/>
      <c r="AC82" s="4673"/>
      <c r="AD82" s="4673"/>
      <c r="AE82" s="4673"/>
      <c r="AF82" s="4673"/>
      <c r="AG82" s="4673"/>
      <c r="AH82" s="4673"/>
      <c r="AI82" s="4673"/>
      <c r="AJ82" s="4673"/>
      <c r="AK82" s="4673"/>
      <c r="AL82" s="4673"/>
      <c r="AM82" s="4673"/>
      <c r="AN82" s="4673"/>
      <c r="AO82" s="4673"/>
      <c r="AP82" s="4673"/>
      <c r="AQ82" s="4673"/>
      <c r="AR82" s="4673"/>
      <c r="AS82" s="4673"/>
      <c r="AT82" s="4673"/>
      <c r="AU82" s="4673"/>
      <c r="AV82" s="4673"/>
      <c r="AW82" s="4673"/>
      <c r="AX82" s="4673"/>
      <c r="AY82" s="4673"/>
      <c r="AZ82" s="4673"/>
      <c r="BA82" s="4673"/>
      <c r="BB82" s="4673"/>
      <c r="BC82" s="4673"/>
      <c r="BD82" s="4673"/>
      <c r="BE82" s="4673"/>
      <c r="BF82" s="4673"/>
      <c r="BG82" s="4673"/>
      <c r="BH82" s="4673"/>
      <c r="BI82" s="4673"/>
      <c r="BJ82" s="4673"/>
      <c r="BK82" s="4673" t="s">
        <v>3472</v>
      </c>
      <c r="BL82" s="4673"/>
      <c r="BM82" s="4674"/>
      <c r="BN82" s="1047" t="s">
        <v>4667</v>
      </c>
      <c r="BO82" s="1047" t="s">
        <v>4668</v>
      </c>
      <c r="BP82" s="1047" t="s">
        <v>4669</v>
      </c>
      <c r="BQ82" s="1047" t="s">
        <v>4670</v>
      </c>
      <c r="BR82" s="1047" t="s">
        <v>4671</v>
      </c>
      <c r="BS82" s="1048" t="s">
        <v>4672</v>
      </c>
      <c r="BT82" s="4648" t="s">
        <v>4673</v>
      </c>
      <c r="BU82" s="4649"/>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48" t="s">
        <v>4674</v>
      </c>
      <c r="BU84" s="4649"/>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5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75" t="s">
        <v>4675</v>
      </c>
      <c r="U85" s="4676"/>
      <c r="V85" s="4676"/>
      <c r="W85" s="4676"/>
      <c r="X85" s="4676"/>
      <c r="Y85" s="4676"/>
      <c r="Z85" s="4676"/>
      <c r="AA85" s="4676"/>
      <c r="AB85" s="4676"/>
      <c r="AC85" s="4676"/>
      <c r="AD85" s="4676"/>
      <c r="AE85" s="4676"/>
      <c r="AF85" s="4676"/>
      <c r="AG85" s="4676"/>
      <c r="AH85" s="4676"/>
      <c r="AI85" s="4676"/>
      <c r="AJ85" s="4676"/>
      <c r="AK85" s="4676"/>
      <c r="AL85" s="4676"/>
      <c r="AM85" s="4676"/>
      <c r="AN85" s="4676"/>
      <c r="AO85" s="4676"/>
      <c r="AP85" s="4676"/>
      <c r="AQ85" s="4676"/>
      <c r="AR85" s="4676"/>
      <c r="AS85" s="4676"/>
      <c r="AT85" s="4676"/>
      <c r="AU85" s="4676"/>
      <c r="AV85" s="4676"/>
      <c r="AW85" s="4676"/>
      <c r="AX85" s="4676"/>
      <c r="AY85" s="4676"/>
      <c r="AZ85" s="4676"/>
      <c r="BA85" s="4676"/>
      <c r="BB85" s="4676"/>
      <c r="BC85" s="4676"/>
      <c r="BD85" s="4676"/>
      <c r="BE85" s="4676"/>
      <c r="BF85" s="4676"/>
      <c r="BG85" s="4676"/>
      <c r="BH85" s="4676"/>
      <c r="BI85" s="4676"/>
      <c r="BJ85" s="4676"/>
      <c r="BK85" s="4677"/>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5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1"/>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54"/>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87"/>
      <c r="U86" s="4688"/>
      <c r="V86" s="2372" t="str">
        <f>IF(OR(V84=0,V84=""),"N/A",V84)</f>
        <v>N/A</v>
      </c>
      <c r="W86" s="4687" t="str">
        <f xml:space="preserve"> IF(OR(AF84=0,AF84=""),"N/A",W84)</f>
        <v>N/A</v>
      </c>
      <c r="X86" s="4689"/>
      <c r="Y86" s="4689"/>
      <c r="Z86" s="4689"/>
      <c r="AA86" s="4689"/>
      <c r="AB86" s="4689"/>
      <c r="AC86" s="4689"/>
      <c r="AD86" s="4689"/>
      <c r="AE86" s="4689"/>
      <c r="AF86" s="4688"/>
      <c r="AG86" s="4687" t="str">
        <f xml:space="preserve"> IF(OR(AP84="",AP84=0),"N/A",AG84)</f>
        <v>N/A</v>
      </c>
      <c r="AH86" s="4689"/>
      <c r="AI86" s="4689"/>
      <c r="AJ86" s="4689"/>
      <c r="AK86" s="4689"/>
      <c r="AL86" s="4689"/>
      <c r="AM86" s="4689"/>
      <c r="AN86" s="4689"/>
      <c r="AO86" s="4689"/>
      <c r="AP86" s="4688"/>
      <c r="AQ86" s="4687" t="str">
        <f xml:space="preserve"> IF(OR(AZ84="",AZ84=0),"N/A",AQ84)</f>
        <v>N/A</v>
      </c>
      <c r="AR86" s="4689"/>
      <c r="AS86" s="4689"/>
      <c r="AT86" s="4689"/>
      <c r="AU86" s="4689"/>
      <c r="AV86" s="4689"/>
      <c r="AW86" s="4689"/>
      <c r="AX86" s="4689"/>
      <c r="AY86" s="4689"/>
      <c r="AZ86" s="4688"/>
      <c r="BA86" s="4687" t="str">
        <f xml:space="preserve"> IF(OR(BJ84="",BJ84=0),"N/A",BA84)</f>
        <v>N/A</v>
      </c>
      <c r="BB86" s="4689"/>
      <c r="BC86" s="4689"/>
      <c r="BD86" s="4689"/>
      <c r="BE86" s="4689"/>
      <c r="BF86" s="4689"/>
      <c r="BG86" s="4689"/>
      <c r="BH86" s="4689"/>
      <c r="BI86" s="4689"/>
      <c r="BJ86" s="4688"/>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54"/>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90" t="s">
        <v>4677</v>
      </c>
      <c r="U87" s="4691"/>
      <c r="V87" s="2373"/>
      <c r="W87" s="4692"/>
      <c r="X87" s="4693"/>
      <c r="Y87" s="4693"/>
      <c r="Z87" s="4693"/>
      <c r="AA87" s="4693"/>
      <c r="AB87" s="4693"/>
      <c r="AC87" s="4693"/>
      <c r="AD87" s="4693"/>
      <c r="AE87" s="4693"/>
      <c r="AF87" s="4694"/>
      <c r="AG87" s="4692"/>
      <c r="AH87" s="4693"/>
      <c r="AI87" s="4693"/>
      <c r="AJ87" s="4693"/>
      <c r="AK87" s="4693"/>
      <c r="AL87" s="4693"/>
      <c r="AM87" s="4693"/>
      <c r="AN87" s="4693"/>
      <c r="AO87" s="4693"/>
      <c r="AP87" s="4694"/>
      <c r="AQ87" s="4692"/>
      <c r="AR87" s="4693"/>
      <c r="AS87" s="4693"/>
      <c r="AT87" s="4693"/>
      <c r="AU87" s="4693"/>
      <c r="AV87" s="4693"/>
      <c r="AW87" s="4693"/>
      <c r="AX87" s="4693"/>
      <c r="AY87" s="4693"/>
      <c r="AZ87" s="4694"/>
      <c r="BA87" s="4692"/>
      <c r="BB87" s="4693"/>
      <c r="BC87" s="4693"/>
      <c r="BD87" s="4693"/>
      <c r="BE87" s="4693"/>
      <c r="BF87" s="4693"/>
      <c r="BG87" s="4693"/>
      <c r="BH87" s="4693"/>
      <c r="BI87" s="4693"/>
      <c r="BJ87" s="4694"/>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48" t="s">
        <v>4678</v>
      </c>
      <c r="BU87" s="4649"/>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54"/>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2" t="s">
        <v>4679</v>
      </c>
      <c r="U88" s="4683"/>
      <c r="V88" s="2371"/>
      <c r="W88" s="4684"/>
      <c r="X88" s="4685"/>
      <c r="Y88" s="4685"/>
      <c r="Z88" s="4685"/>
      <c r="AA88" s="4685"/>
      <c r="AB88" s="4685"/>
      <c r="AC88" s="4685"/>
      <c r="AD88" s="4685"/>
      <c r="AE88" s="4685"/>
      <c r="AF88" s="4686"/>
      <c r="AG88" s="4684"/>
      <c r="AH88" s="4685"/>
      <c r="AI88" s="4685"/>
      <c r="AJ88" s="4685"/>
      <c r="AK88" s="4685"/>
      <c r="AL88" s="4685"/>
      <c r="AM88" s="4685"/>
      <c r="AN88" s="4685"/>
      <c r="AO88" s="4685"/>
      <c r="AP88" s="4686"/>
      <c r="AQ88" s="4684"/>
      <c r="AR88" s="4685"/>
      <c r="AS88" s="4685"/>
      <c r="AT88" s="4685"/>
      <c r="AU88" s="4685"/>
      <c r="AV88" s="4685"/>
      <c r="AW88" s="4685"/>
      <c r="AX88" s="4685"/>
      <c r="AY88" s="4685"/>
      <c r="AZ88" s="4686"/>
      <c r="BA88" s="4684"/>
      <c r="BB88" s="4685"/>
      <c r="BC88" s="4685"/>
      <c r="BD88" s="4685"/>
      <c r="BE88" s="4685"/>
      <c r="BF88" s="4685"/>
      <c r="BG88" s="4685"/>
      <c r="BH88" s="4685"/>
      <c r="BI88" s="4685"/>
      <c r="BJ88" s="4686"/>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2" t="s">
        <v>1693</v>
      </c>
      <c r="BU88" s="4653"/>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54"/>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48" t="s">
        <v>4680</v>
      </c>
      <c r="BU89" s="4649"/>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2" t="s">
        <v>4660</v>
      </c>
      <c r="BU90" s="4653"/>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75" t="s">
        <v>4675</v>
      </c>
      <c r="U91" s="4676"/>
      <c r="V91" s="4676"/>
      <c r="W91" s="4676"/>
      <c r="X91" s="4676"/>
      <c r="Y91" s="4676"/>
      <c r="Z91" s="4676"/>
      <c r="AA91" s="4676"/>
      <c r="AB91" s="4676"/>
      <c r="AC91" s="4676"/>
      <c r="AD91" s="4676"/>
      <c r="AE91" s="4676"/>
      <c r="AF91" s="4676"/>
      <c r="AG91" s="4676"/>
      <c r="AH91" s="4676"/>
      <c r="AI91" s="4676"/>
      <c r="AJ91" s="4676"/>
      <c r="AK91" s="4676"/>
      <c r="AL91" s="4676"/>
      <c r="AM91" s="4676"/>
      <c r="AN91" s="4676"/>
      <c r="AO91" s="4676"/>
      <c r="AP91" s="4676"/>
      <c r="AQ91" s="4676"/>
      <c r="AR91" s="4676"/>
      <c r="AS91" s="4676"/>
      <c r="AT91" s="4676"/>
      <c r="AU91" s="4676"/>
      <c r="AV91" s="4676"/>
      <c r="AW91" s="4676"/>
      <c r="AX91" s="4676"/>
      <c r="AY91" s="4676"/>
      <c r="AZ91" s="4676"/>
      <c r="BA91" s="4676"/>
      <c r="BB91" s="4676"/>
      <c r="BC91" s="4676"/>
      <c r="BD91" s="4676"/>
      <c r="BE91" s="4676"/>
      <c r="BF91" s="4676"/>
      <c r="BG91" s="4676"/>
      <c r="BH91" s="4676"/>
      <c r="BI91" s="4676"/>
      <c r="BJ91" s="4676"/>
      <c r="BK91" s="4677"/>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48" t="s">
        <v>4681</v>
      </c>
      <c r="BU91" s="4649"/>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87"/>
      <c r="U92" s="4688"/>
      <c r="V92" s="2372" t="str">
        <f>IF(OR(V90=0,V90=""),"N/A",V90)</f>
        <v>N/A</v>
      </c>
      <c r="W92" s="4687" t="str">
        <f xml:space="preserve"> IF(OR(AF90=0,AF90=""),"N/A",W90)</f>
        <v>N/A</v>
      </c>
      <c r="X92" s="4689"/>
      <c r="Y92" s="4689"/>
      <c r="Z92" s="4689"/>
      <c r="AA92" s="4689"/>
      <c r="AB92" s="4689"/>
      <c r="AC92" s="4689"/>
      <c r="AD92" s="4689"/>
      <c r="AE92" s="4689"/>
      <c r="AF92" s="4688"/>
      <c r="AG92" s="4687" t="str">
        <f xml:space="preserve"> IF(OR(AP90="",AP90=0),"N/A",AG90)</f>
        <v>N/A</v>
      </c>
      <c r="AH92" s="4689"/>
      <c r="AI92" s="4689"/>
      <c r="AJ92" s="4689"/>
      <c r="AK92" s="4689"/>
      <c r="AL92" s="4689"/>
      <c r="AM92" s="4689"/>
      <c r="AN92" s="4689"/>
      <c r="AO92" s="4689"/>
      <c r="AP92" s="4688"/>
      <c r="AQ92" s="4687" t="str">
        <f xml:space="preserve"> IF(OR(AZ90="",AZ90=0),"N/A",AQ90)</f>
        <v>N/A</v>
      </c>
      <c r="AR92" s="4689"/>
      <c r="AS92" s="4689"/>
      <c r="AT92" s="4689"/>
      <c r="AU92" s="4689"/>
      <c r="AV92" s="4689"/>
      <c r="AW92" s="4689"/>
      <c r="AX92" s="4689"/>
      <c r="AY92" s="4689"/>
      <c r="AZ92" s="4688"/>
      <c r="BA92" s="4687" t="str">
        <f xml:space="preserve"> IF(OR(BJ90="",BJ90=0),"N/A",BA90)</f>
        <v>N/A</v>
      </c>
      <c r="BB92" s="4689"/>
      <c r="BC92" s="4689"/>
      <c r="BD92" s="4689"/>
      <c r="BE92" s="4689"/>
      <c r="BF92" s="4689"/>
      <c r="BG92" s="4689"/>
      <c r="BH92" s="4689"/>
      <c r="BI92" s="4689"/>
      <c r="BJ92" s="4688"/>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2" t="s">
        <v>4654</v>
      </c>
      <c r="BU92" s="4653"/>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90" t="s">
        <v>4677</v>
      </c>
      <c r="U93" s="4691"/>
      <c r="V93" s="2373"/>
      <c r="W93" s="4692"/>
      <c r="X93" s="4693"/>
      <c r="Y93" s="4693"/>
      <c r="Z93" s="4693"/>
      <c r="AA93" s="4693"/>
      <c r="AB93" s="4693"/>
      <c r="AC93" s="4693"/>
      <c r="AD93" s="4693"/>
      <c r="AE93" s="4693"/>
      <c r="AF93" s="4694"/>
      <c r="AG93" s="4692"/>
      <c r="AH93" s="4693"/>
      <c r="AI93" s="4693"/>
      <c r="AJ93" s="4693"/>
      <c r="AK93" s="4693"/>
      <c r="AL93" s="4693"/>
      <c r="AM93" s="4693"/>
      <c r="AN93" s="4693"/>
      <c r="AO93" s="4693"/>
      <c r="AP93" s="4694"/>
      <c r="AQ93" s="4692"/>
      <c r="AR93" s="4693"/>
      <c r="AS93" s="4693"/>
      <c r="AT93" s="4693"/>
      <c r="AU93" s="4693"/>
      <c r="AV93" s="4693"/>
      <c r="AW93" s="4693"/>
      <c r="AX93" s="4693"/>
      <c r="AY93" s="4693"/>
      <c r="AZ93" s="4694"/>
      <c r="BA93" s="4692"/>
      <c r="BB93" s="4693"/>
      <c r="BC93" s="4693"/>
      <c r="BD93" s="4693"/>
      <c r="BE93" s="4693"/>
      <c r="BF93" s="4693"/>
      <c r="BG93" s="4693"/>
      <c r="BH93" s="4693"/>
      <c r="BI93" s="4693"/>
      <c r="BJ93" s="4694"/>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4" t="s">
        <v>4682</v>
      </c>
      <c r="BU93" s="4645"/>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2" t="s">
        <v>4679</v>
      </c>
      <c r="U94" s="4683"/>
      <c r="V94" s="2371"/>
      <c r="W94" s="4684"/>
      <c r="X94" s="4685"/>
      <c r="Y94" s="4685"/>
      <c r="Z94" s="4685"/>
      <c r="AA94" s="4685"/>
      <c r="AB94" s="4685"/>
      <c r="AC94" s="4685"/>
      <c r="AD94" s="4685"/>
      <c r="AE94" s="4685"/>
      <c r="AF94" s="4686"/>
      <c r="AG94" s="4684"/>
      <c r="AH94" s="4685"/>
      <c r="AI94" s="4685"/>
      <c r="AJ94" s="4685"/>
      <c r="AK94" s="4685"/>
      <c r="AL94" s="4685"/>
      <c r="AM94" s="4685"/>
      <c r="AN94" s="4685"/>
      <c r="AO94" s="4685"/>
      <c r="AP94" s="4686"/>
      <c r="AQ94" s="4684"/>
      <c r="AR94" s="4685"/>
      <c r="AS94" s="4685"/>
      <c r="AT94" s="4685"/>
      <c r="AU94" s="4685"/>
      <c r="AV94" s="4685"/>
      <c r="AW94" s="4685"/>
      <c r="AX94" s="4685"/>
      <c r="AY94" s="4685"/>
      <c r="AZ94" s="4686"/>
      <c r="BA94" s="4684"/>
      <c r="BB94" s="4685"/>
      <c r="BC94" s="4685"/>
      <c r="BD94" s="4685"/>
      <c r="BE94" s="4685"/>
      <c r="BF94" s="4685"/>
      <c r="BG94" s="4685"/>
      <c r="BH94" s="4685"/>
      <c r="BI94" s="4685"/>
      <c r="BJ94" s="4686"/>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75" t="s">
        <v>4675</v>
      </c>
      <c r="U97" s="4676"/>
      <c r="V97" s="4676"/>
      <c r="W97" s="4676"/>
      <c r="X97" s="4676"/>
      <c r="Y97" s="4676"/>
      <c r="Z97" s="4676"/>
      <c r="AA97" s="4676"/>
      <c r="AB97" s="4676"/>
      <c r="AC97" s="4676"/>
      <c r="AD97" s="4676"/>
      <c r="AE97" s="4676"/>
      <c r="AF97" s="4676"/>
      <c r="AG97" s="4676"/>
      <c r="AH97" s="4676"/>
      <c r="AI97" s="4676"/>
      <c r="AJ97" s="4676"/>
      <c r="AK97" s="4676"/>
      <c r="AL97" s="4676"/>
      <c r="AM97" s="4676"/>
      <c r="AN97" s="4676"/>
      <c r="AO97" s="4676"/>
      <c r="AP97" s="4676"/>
      <c r="AQ97" s="4676"/>
      <c r="AR97" s="4676"/>
      <c r="AS97" s="4676"/>
      <c r="AT97" s="4676"/>
      <c r="AU97" s="4676"/>
      <c r="AV97" s="4676"/>
      <c r="AW97" s="4676"/>
      <c r="AX97" s="4676"/>
      <c r="AY97" s="4676"/>
      <c r="AZ97" s="4676"/>
      <c r="BA97" s="4676"/>
      <c r="BB97" s="4676"/>
      <c r="BC97" s="4676"/>
      <c r="BD97" s="4676"/>
      <c r="BE97" s="4676"/>
      <c r="BF97" s="4676"/>
      <c r="BG97" s="4676"/>
      <c r="BH97" s="4676"/>
      <c r="BI97" s="4676"/>
      <c r="BJ97" s="4676"/>
      <c r="BK97" s="4677"/>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87"/>
      <c r="U98" s="4688"/>
      <c r="V98" s="2372" t="str">
        <f>IF(OR(V96=0,V96=""),"N/A",V96)</f>
        <v>N/A</v>
      </c>
      <c r="W98" s="4687" t="str">
        <f xml:space="preserve"> IF(OR(AF96=0,AF96=""),"N/A",W96)</f>
        <v>N/A</v>
      </c>
      <c r="X98" s="4689"/>
      <c r="Y98" s="4689"/>
      <c r="Z98" s="4689"/>
      <c r="AA98" s="4689"/>
      <c r="AB98" s="4689"/>
      <c r="AC98" s="4689"/>
      <c r="AD98" s="4689"/>
      <c r="AE98" s="4689"/>
      <c r="AF98" s="4688"/>
      <c r="AG98" s="4687" t="str">
        <f xml:space="preserve"> IF(OR(AP96="",AP96=0),"N/A",AG96)</f>
        <v>N/A</v>
      </c>
      <c r="AH98" s="4689"/>
      <c r="AI98" s="4689"/>
      <c r="AJ98" s="4689"/>
      <c r="AK98" s="4689"/>
      <c r="AL98" s="4689"/>
      <c r="AM98" s="4689"/>
      <c r="AN98" s="4689"/>
      <c r="AO98" s="4689"/>
      <c r="AP98" s="4688"/>
      <c r="AQ98" s="4687" t="str">
        <f xml:space="preserve"> IF(OR(AZ96="",AZ96=0),"N/A",AQ96)</f>
        <v>N/A</v>
      </c>
      <c r="AR98" s="4689"/>
      <c r="AS98" s="4689"/>
      <c r="AT98" s="4689"/>
      <c r="AU98" s="4689"/>
      <c r="AV98" s="4689"/>
      <c r="AW98" s="4689"/>
      <c r="AX98" s="4689"/>
      <c r="AY98" s="4689"/>
      <c r="AZ98" s="4688"/>
      <c r="BA98" s="4687" t="str">
        <f xml:space="preserve"> IF(OR(BJ96="",BJ96=0),"N/A",BA96)</f>
        <v>N/A</v>
      </c>
      <c r="BB98" s="4689"/>
      <c r="BC98" s="4689"/>
      <c r="BD98" s="4689"/>
      <c r="BE98" s="4689"/>
      <c r="BF98" s="4689"/>
      <c r="BG98" s="4689"/>
      <c r="BH98" s="4689"/>
      <c r="BI98" s="4689"/>
      <c r="BJ98" s="4688"/>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90" t="s">
        <v>4677</v>
      </c>
      <c r="U99" s="4691"/>
      <c r="V99" s="2373"/>
      <c r="W99" s="4692"/>
      <c r="X99" s="4693"/>
      <c r="Y99" s="4693"/>
      <c r="Z99" s="4693"/>
      <c r="AA99" s="4693"/>
      <c r="AB99" s="4693"/>
      <c r="AC99" s="4693"/>
      <c r="AD99" s="4693"/>
      <c r="AE99" s="4693"/>
      <c r="AF99" s="4694"/>
      <c r="AG99" s="4692"/>
      <c r="AH99" s="4693"/>
      <c r="AI99" s="4693"/>
      <c r="AJ99" s="4693"/>
      <c r="AK99" s="4693"/>
      <c r="AL99" s="4693"/>
      <c r="AM99" s="4693"/>
      <c r="AN99" s="4693"/>
      <c r="AO99" s="4693"/>
      <c r="AP99" s="4694"/>
      <c r="AQ99" s="4692"/>
      <c r="AR99" s="4693"/>
      <c r="AS99" s="4693"/>
      <c r="AT99" s="4693"/>
      <c r="AU99" s="4693"/>
      <c r="AV99" s="4693"/>
      <c r="AW99" s="4693"/>
      <c r="AX99" s="4693"/>
      <c r="AY99" s="4693"/>
      <c r="AZ99" s="4694"/>
      <c r="BA99" s="4692"/>
      <c r="BB99" s="4693"/>
      <c r="BC99" s="4693"/>
      <c r="BD99" s="4693"/>
      <c r="BE99" s="4693"/>
      <c r="BF99" s="4693"/>
      <c r="BG99" s="4693"/>
      <c r="BH99" s="4693"/>
      <c r="BI99" s="4693"/>
      <c r="BJ99" s="4694"/>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2" t="s">
        <v>4679</v>
      </c>
      <c r="U100" s="4683"/>
      <c r="V100" s="2371"/>
      <c r="W100" s="4684"/>
      <c r="X100" s="4685"/>
      <c r="Y100" s="4685"/>
      <c r="Z100" s="4685"/>
      <c r="AA100" s="4685"/>
      <c r="AB100" s="4685"/>
      <c r="AC100" s="4685"/>
      <c r="AD100" s="4685"/>
      <c r="AE100" s="4685"/>
      <c r="AF100" s="4686"/>
      <c r="AG100" s="4684"/>
      <c r="AH100" s="4685"/>
      <c r="AI100" s="4685"/>
      <c r="AJ100" s="4685"/>
      <c r="AK100" s="4685"/>
      <c r="AL100" s="4685"/>
      <c r="AM100" s="4685"/>
      <c r="AN100" s="4685"/>
      <c r="AO100" s="4685"/>
      <c r="AP100" s="4686"/>
      <c r="AQ100" s="4684"/>
      <c r="AR100" s="4685"/>
      <c r="AS100" s="4685"/>
      <c r="AT100" s="4685"/>
      <c r="AU100" s="4685"/>
      <c r="AV100" s="4685"/>
      <c r="AW100" s="4685"/>
      <c r="AX100" s="4685"/>
      <c r="AY100" s="4685"/>
      <c r="AZ100" s="4686"/>
      <c r="BA100" s="4684"/>
      <c r="BB100" s="4685"/>
      <c r="BC100" s="4685"/>
      <c r="BD100" s="4685"/>
      <c r="BE100" s="4685"/>
      <c r="BF100" s="4685"/>
      <c r="BG100" s="4685"/>
      <c r="BH100" s="4685"/>
      <c r="BI100" s="4685"/>
      <c r="BJ100" s="4686"/>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75" t="s">
        <v>4675</v>
      </c>
      <c r="U103" s="4676"/>
      <c r="V103" s="4676"/>
      <c r="W103" s="4676"/>
      <c r="X103" s="4676"/>
      <c r="Y103" s="4676"/>
      <c r="Z103" s="4676"/>
      <c r="AA103" s="4676"/>
      <c r="AB103" s="4676"/>
      <c r="AC103" s="4676"/>
      <c r="AD103" s="4676"/>
      <c r="AE103" s="4676"/>
      <c r="AF103" s="4676"/>
      <c r="AG103" s="4676"/>
      <c r="AH103" s="4676"/>
      <c r="AI103" s="4676"/>
      <c r="AJ103" s="4676"/>
      <c r="AK103" s="4676"/>
      <c r="AL103" s="4676"/>
      <c r="AM103" s="4676"/>
      <c r="AN103" s="4676"/>
      <c r="AO103" s="4676"/>
      <c r="AP103" s="4676"/>
      <c r="AQ103" s="4676"/>
      <c r="AR103" s="4676"/>
      <c r="AS103" s="4676"/>
      <c r="AT103" s="4676"/>
      <c r="AU103" s="4676"/>
      <c r="AV103" s="4676"/>
      <c r="AW103" s="4676"/>
      <c r="AX103" s="4676"/>
      <c r="AY103" s="4676"/>
      <c r="AZ103" s="4676"/>
      <c r="BA103" s="4676"/>
      <c r="BB103" s="4676"/>
      <c r="BC103" s="4676"/>
      <c r="BD103" s="4676"/>
      <c r="BE103" s="4676"/>
      <c r="BF103" s="4676"/>
      <c r="BG103" s="4676"/>
      <c r="BH103" s="4676"/>
      <c r="BI103" s="4676"/>
      <c r="BJ103" s="4676"/>
      <c r="BK103" s="4677"/>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87"/>
      <c r="U104" s="4688"/>
      <c r="V104" s="2372" t="str">
        <f>IF(OR(V102=0,V102=""),"N/A",V102)</f>
        <v>N/A</v>
      </c>
      <c r="W104" s="4687" t="str">
        <f xml:space="preserve"> IF(OR(AF102=0,AF102=""),"N/A",W102)</f>
        <v>N/A</v>
      </c>
      <c r="X104" s="4689"/>
      <c r="Y104" s="4689"/>
      <c r="Z104" s="4689"/>
      <c r="AA104" s="4689"/>
      <c r="AB104" s="4689"/>
      <c r="AC104" s="4689"/>
      <c r="AD104" s="4689"/>
      <c r="AE104" s="4689"/>
      <c r="AF104" s="4688"/>
      <c r="AG104" s="4687" t="str">
        <f xml:space="preserve"> IF(OR(AP102="",AP102=0),"N/A",AG102)</f>
        <v>N/A</v>
      </c>
      <c r="AH104" s="4689"/>
      <c r="AI104" s="4689"/>
      <c r="AJ104" s="4689"/>
      <c r="AK104" s="4689"/>
      <c r="AL104" s="4689"/>
      <c r="AM104" s="4689"/>
      <c r="AN104" s="4689"/>
      <c r="AO104" s="4689"/>
      <c r="AP104" s="4688"/>
      <c r="AQ104" s="4687" t="str">
        <f xml:space="preserve"> IF(OR(AZ102="",AZ102=0),"N/A",AQ102)</f>
        <v>N/A</v>
      </c>
      <c r="AR104" s="4689"/>
      <c r="AS104" s="4689"/>
      <c r="AT104" s="4689"/>
      <c r="AU104" s="4689"/>
      <c r="AV104" s="4689"/>
      <c r="AW104" s="4689"/>
      <c r="AX104" s="4689"/>
      <c r="AY104" s="4689"/>
      <c r="AZ104" s="4688"/>
      <c r="BA104" s="4687" t="str">
        <f xml:space="preserve"> IF(OR(BJ102="",BJ102=0),"N/A",BA102)</f>
        <v>N/A</v>
      </c>
      <c r="BB104" s="4689"/>
      <c r="BC104" s="4689"/>
      <c r="BD104" s="4689"/>
      <c r="BE104" s="4689"/>
      <c r="BF104" s="4689"/>
      <c r="BG104" s="4689"/>
      <c r="BH104" s="4689"/>
      <c r="BI104" s="4689"/>
      <c r="BJ104" s="4688"/>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90" t="s">
        <v>4677</v>
      </c>
      <c r="U105" s="4691"/>
      <c r="V105" s="2373"/>
      <c r="W105" s="4692"/>
      <c r="X105" s="4693"/>
      <c r="Y105" s="4693"/>
      <c r="Z105" s="4693"/>
      <c r="AA105" s="4693"/>
      <c r="AB105" s="4693"/>
      <c r="AC105" s="4693"/>
      <c r="AD105" s="4693"/>
      <c r="AE105" s="4693"/>
      <c r="AF105" s="4694"/>
      <c r="AG105" s="4692"/>
      <c r="AH105" s="4693"/>
      <c r="AI105" s="4693"/>
      <c r="AJ105" s="4693"/>
      <c r="AK105" s="4693"/>
      <c r="AL105" s="4693"/>
      <c r="AM105" s="4693"/>
      <c r="AN105" s="4693"/>
      <c r="AO105" s="4693"/>
      <c r="AP105" s="4694"/>
      <c r="AQ105" s="4692"/>
      <c r="AR105" s="4693"/>
      <c r="AS105" s="4693"/>
      <c r="AT105" s="4693"/>
      <c r="AU105" s="4693"/>
      <c r="AV105" s="4693"/>
      <c r="AW105" s="4693"/>
      <c r="AX105" s="4693"/>
      <c r="AY105" s="4693"/>
      <c r="AZ105" s="4694"/>
      <c r="BA105" s="4692"/>
      <c r="BB105" s="4693"/>
      <c r="BC105" s="4693"/>
      <c r="BD105" s="4693"/>
      <c r="BE105" s="4693"/>
      <c r="BF105" s="4693"/>
      <c r="BG105" s="4693"/>
      <c r="BH105" s="4693"/>
      <c r="BI105" s="4693"/>
      <c r="BJ105" s="4694"/>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2" t="s">
        <v>4679</v>
      </c>
      <c r="U106" s="4683"/>
      <c r="V106" s="2371"/>
      <c r="W106" s="4684"/>
      <c r="X106" s="4685"/>
      <c r="Y106" s="4685"/>
      <c r="Z106" s="4685"/>
      <c r="AA106" s="4685"/>
      <c r="AB106" s="4685"/>
      <c r="AC106" s="4685"/>
      <c r="AD106" s="4685"/>
      <c r="AE106" s="4685"/>
      <c r="AF106" s="4686"/>
      <c r="AG106" s="4684"/>
      <c r="AH106" s="4685"/>
      <c r="AI106" s="4685"/>
      <c r="AJ106" s="4685"/>
      <c r="AK106" s="4685"/>
      <c r="AL106" s="4685"/>
      <c r="AM106" s="4685"/>
      <c r="AN106" s="4685"/>
      <c r="AO106" s="4685"/>
      <c r="AP106" s="4686"/>
      <c r="AQ106" s="4684"/>
      <c r="AR106" s="4685"/>
      <c r="AS106" s="4685"/>
      <c r="AT106" s="4685"/>
      <c r="AU106" s="4685"/>
      <c r="AV106" s="4685"/>
      <c r="AW106" s="4685"/>
      <c r="AX106" s="4685"/>
      <c r="AY106" s="4685"/>
      <c r="AZ106" s="4686"/>
      <c r="BA106" s="4684"/>
      <c r="BB106" s="4685"/>
      <c r="BC106" s="4685"/>
      <c r="BD106" s="4685"/>
      <c r="BE106" s="4685"/>
      <c r="BF106" s="4685"/>
      <c r="BG106" s="4685"/>
      <c r="BH106" s="4685"/>
      <c r="BI106" s="4685"/>
      <c r="BJ106" s="4686"/>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2"/>
      <c r="BV108" s="4642"/>
      <c r="BW108" s="4642"/>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75" t="s">
        <v>4675</v>
      </c>
      <c r="U109" s="4676"/>
      <c r="V109" s="4676"/>
      <c r="W109" s="4676"/>
      <c r="X109" s="4676"/>
      <c r="Y109" s="4676"/>
      <c r="Z109" s="4676"/>
      <c r="AA109" s="4676"/>
      <c r="AB109" s="4676"/>
      <c r="AC109" s="4676"/>
      <c r="AD109" s="4676"/>
      <c r="AE109" s="4676"/>
      <c r="AF109" s="4676"/>
      <c r="AG109" s="4676"/>
      <c r="AH109" s="4676"/>
      <c r="AI109" s="4676"/>
      <c r="AJ109" s="4676"/>
      <c r="AK109" s="4676"/>
      <c r="AL109" s="4676"/>
      <c r="AM109" s="4676"/>
      <c r="AN109" s="4676"/>
      <c r="AO109" s="4676"/>
      <c r="AP109" s="4676"/>
      <c r="AQ109" s="4676"/>
      <c r="AR109" s="4676"/>
      <c r="AS109" s="4676"/>
      <c r="AT109" s="4676"/>
      <c r="AU109" s="4676"/>
      <c r="AV109" s="4676"/>
      <c r="AW109" s="4676"/>
      <c r="AX109" s="4676"/>
      <c r="AY109" s="4676"/>
      <c r="AZ109" s="4676"/>
      <c r="BA109" s="4676"/>
      <c r="BB109" s="4676"/>
      <c r="BC109" s="4676"/>
      <c r="BD109" s="4676"/>
      <c r="BE109" s="4676"/>
      <c r="BF109" s="4676"/>
      <c r="BG109" s="4676"/>
      <c r="BH109" s="4676"/>
      <c r="BI109" s="4676"/>
      <c r="BJ109" s="4676"/>
      <c r="BK109" s="4677"/>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87"/>
      <c r="U110" s="4688"/>
      <c r="V110" s="2372" t="str">
        <f>IF(OR(V108=0,V108=""),"N/A",V108)</f>
        <v>N/A</v>
      </c>
      <c r="W110" s="4687" t="str">
        <f xml:space="preserve"> IF(OR(AF108=0,AF108=""),"N/A",W108)</f>
        <v>N/A</v>
      </c>
      <c r="X110" s="4689"/>
      <c r="Y110" s="4689"/>
      <c r="Z110" s="4689"/>
      <c r="AA110" s="4689"/>
      <c r="AB110" s="4689"/>
      <c r="AC110" s="4689"/>
      <c r="AD110" s="4689"/>
      <c r="AE110" s="4689"/>
      <c r="AF110" s="4688"/>
      <c r="AG110" s="4687" t="str">
        <f xml:space="preserve"> IF(OR(AP108="",AP108=0),"N/A",AG108)</f>
        <v>N/A</v>
      </c>
      <c r="AH110" s="4689"/>
      <c r="AI110" s="4689"/>
      <c r="AJ110" s="4689"/>
      <c r="AK110" s="4689"/>
      <c r="AL110" s="4689"/>
      <c r="AM110" s="4689"/>
      <c r="AN110" s="4689"/>
      <c r="AO110" s="4689"/>
      <c r="AP110" s="4688"/>
      <c r="AQ110" s="4687" t="str">
        <f xml:space="preserve"> IF(OR(AZ108="",AZ108=0),"N/A",AQ108)</f>
        <v>N/A</v>
      </c>
      <c r="AR110" s="4689"/>
      <c r="AS110" s="4689"/>
      <c r="AT110" s="4689"/>
      <c r="AU110" s="4689"/>
      <c r="AV110" s="4689"/>
      <c r="AW110" s="4689"/>
      <c r="AX110" s="4689"/>
      <c r="AY110" s="4689"/>
      <c r="AZ110" s="4688"/>
      <c r="BA110" s="4687" t="str">
        <f xml:space="preserve"> IF(OR(BJ108="",BJ108=0),"N/A",BA108)</f>
        <v>N/A</v>
      </c>
      <c r="BB110" s="4689"/>
      <c r="BC110" s="4689"/>
      <c r="BD110" s="4689"/>
      <c r="BE110" s="4689"/>
      <c r="BF110" s="4689"/>
      <c r="BG110" s="4689"/>
      <c r="BH110" s="4689"/>
      <c r="BI110" s="4689"/>
      <c r="BJ110" s="4688"/>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3"/>
      <c r="BV110" s="4643"/>
      <c r="BW110" s="4643"/>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90" t="s">
        <v>4677</v>
      </c>
      <c r="U111" s="4691"/>
      <c r="V111" s="2373"/>
      <c r="W111" s="4692"/>
      <c r="X111" s="4693"/>
      <c r="Y111" s="4693"/>
      <c r="Z111" s="4693"/>
      <c r="AA111" s="4693"/>
      <c r="AB111" s="4693"/>
      <c r="AC111" s="4693"/>
      <c r="AD111" s="4693"/>
      <c r="AE111" s="4693"/>
      <c r="AF111" s="4694"/>
      <c r="AG111" s="4692"/>
      <c r="AH111" s="4693"/>
      <c r="AI111" s="4693"/>
      <c r="AJ111" s="4693"/>
      <c r="AK111" s="4693"/>
      <c r="AL111" s="4693"/>
      <c r="AM111" s="4693"/>
      <c r="AN111" s="4693"/>
      <c r="AO111" s="4693"/>
      <c r="AP111" s="4694"/>
      <c r="AQ111" s="4692"/>
      <c r="AR111" s="4693"/>
      <c r="AS111" s="4693"/>
      <c r="AT111" s="4693"/>
      <c r="AU111" s="4693"/>
      <c r="AV111" s="4693"/>
      <c r="AW111" s="4693"/>
      <c r="AX111" s="4693"/>
      <c r="AY111" s="4693"/>
      <c r="AZ111" s="4694"/>
      <c r="BA111" s="4692"/>
      <c r="BB111" s="4693"/>
      <c r="BC111" s="4693"/>
      <c r="BD111" s="4693"/>
      <c r="BE111" s="4693"/>
      <c r="BF111" s="4693"/>
      <c r="BG111" s="4693"/>
      <c r="BH111" s="4693"/>
      <c r="BI111" s="4693"/>
      <c r="BJ111" s="4694"/>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95" t="s">
        <v>4679</v>
      </c>
      <c r="U112" s="4696"/>
      <c r="V112" s="2376"/>
      <c r="W112" s="4697"/>
      <c r="X112" s="4698"/>
      <c r="Y112" s="4698"/>
      <c r="Z112" s="4698"/>
      <c r="AA112" s="4698"/>
      <c r="AB112" s="4698"/>
      <c r="AC112" s="4698"/>
      <c r="AD112" s="4698"/>
      <c r="AE112" s="4698"/>
      <c r="AF112" s="4699"/>
      <c r="AG112" s="4697"/>
      <c r="AH112" s="4698"/>
      <c r="AI112" s="4698"/>
      <c r="AJ112" s="4698"/>
      <c r="AK112" s="4698"/>
      <c r="AL112" s="4698"/>
      <c r="AM112" s="4698"/>
      <c r="AN112" s="4698"/>
      <c r="AO112" s="4698"/>
      <c r="AP112" s="4699"/>
      <c r="AQ112" s="4697"/>
      <c r="AR112" s="4698"/>
      <c r="AS112" s="4698"/>
      <c r="AT112" s="4698"/>
      <c r="AU112" s="4698"/>
      <c r="AV112" s="4698"/>
      <c r="AW112" s="4698"/>
      <c r="AX112" s="4698"/>
      <c r="AY112" s="4698"/>
      <c r="AZ112" s="4699"/>
      <c r="BA112" s="4697"/>
      <c r="BB112" s="4698"/>
      <c r="BC112" s="4698"/>
      <c r="BD112" s="4698"/>
      <c r="BE112" s="4698"/>
      <c r="BF112" s="4698"/>
      <c r="BG112" s="4698"/>
      <c r="BH112" s="4698"/>
      <c r="BI112" s="4698"/>
      <c r="BJ112" s="4699"/>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1"/>
      <c r="BL113" s="4681"/>
      <c r="BM113" s="4645"/>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4" t="s">
        <v>4688</v>
      </c>
      <c r="BU113" s="4645"/>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78" t="str">
        <f>IF(OR(E114='Tablas Técnicas'!A$678,E114='Tablas Técnicas'!A$679,E115='Tablas Técnicas'!A$678,E115='Tablas Técnicas'!A$679,E116='Tablas Técnicas'!A$678,E116='Tablas Técnicas'!A$679),"Selecciona la atadura elemental:","")</f>
        <v/>
      </c>
      <c r="AH114" s="4679"/>
      <c r="AI114" s="4679"/>
      <c r="AJ114" s="4679"/>
      <c r="AK114" s="4679"/>
      <c r="AL114" s="4679"/>
      <c r="AM114" s="4679"/>
      <c r="AN114" s="4679"/>
      <c r="AO114" s="4679"/>
      <c r="AP114" s="4679"/>
      <c r="AQ114" s="4679"/>
      <c r="AR114" s="4679"/>
      <c r="AS114" s="4679"/>
      <c r="AT114" s="4679"/>
      <c r="AU114" s="4679"/>
      <c r="AV114" s="4679"/>
      <c r="AW114" s="4679"/>
      <c r="AX114" s="4679"/>
      <c r="AY114" s="4679"/>
      <c r="AZ114" s="4679"/>
      <c r="BA114" s="4679"/>
      <c r="BB114" s="4679"/>
      <c r="BC114" s="4679"/>
      <c r="BD114" s="4679"/>
      <c r="BE114" s="4679"/>
      <c r="BF114" s="4679"/>
      <c r="BG114" s="4679"/>
      <c r="BH114" s="4679"/>
      <c r="BI114" s="4679"/>
      <c r="BJ114" s="4679"/>
      <c r="BK114" s="4680"/>
      <c r="BL114" s="1540"/>
      <c r="BM114" s="1540"/>
      <c r="BN114" s="1084"/>
      <c r="BO114" s="1084"/>
      <c r="BP114" s="1117"/>
      <c r="BQ114" s="1084"/>
      <c r="BR114" s="1084"/>
      <c r="BS114" s="1084"/>
      <c r="BT114" s="4646">
        <f>D82</f>
        <v>1</v>
      </c>
      <c r="BU114" s="4647"/>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73" t="s">
        <v>3471</v>
      </c>
      <c r="X119" s="4673"/>
      <c r="Y119" s="4673"/>
      <c r="Z119" s="4673"/>
      <c r="AA119" s="4673"/>
      <c r="AB119" s="4673"/>
      <c r="AC119" s="4673"/>
      <c r="AD119" s="4673"/>
      <c r="AE119" s="4673"/>
      <c r="AF119" s="4673"/>
      <c r="AG119" s="4673"/>
      <c r="AH119" s="4673"/>
      <c r="AI119" s="4673"/>
      <c r="AJ119" s="4673"/>
      <c r="AK119" s="4673"/>
      <c r="AL119" s="4673"/>
      <c r="AM119" s="4673"/>
      <c r="AN119" s="4673"/>
      <c r="AO119" s="4673"/>
      <c r="AP119" s="4673"/>
      <c r="AQ119" s="4673"/>
      <c r="AR119" s="4673"/>
      <c r="AS119" s="4673"/>
      <c r="AT119" s="4673"/>
      <c r="AU119" s="4673"/>
      <c r="AV119" s="4673"/>
      <c r="AW119" s="4673"/>
      <c r="AX119" s="4673"/>
      <c r="AY119" s="4673"/>
      <c r="AZ119" s="4673"/>
      <c r="BA119" s="4673"/>
      <c r="BB119" s="4673"/>
      <c r="BC119" s="4673"/>
      <c r="BD119" s="4673"/>
      <c r="BE119" s="4673"/>
      <c r="BF119" s="4673"/>
      <c r="BG119" s="4673"/>
      <c r="BH119" s="4673"/>
      <c r="BI119" s="4673"/>
      <c r="BJ119" s="4673"/>
      <c r="BK119" s="4673" t="s">
        <v>3472</v>
      </c>
      <c r="BL119" s="4673"/>
      <c r="BM119" s="4674"/>
      <c r="BN119" s="1047" t="s">
        <v>4667</v>
      </c>
      <c r="BO119" s="1047" t="s">
        <v>4668</v>
      </c>
      <c r="BP119" s="1047" t="s">
        <v>4669</v>
      </c>
      <c r="BQ119" s="1047" t="s">
        <v>4670</v>
      </c>
      <c r="BR119" s="1047" t="s">
        <v>4671</v>
      </c>
      <c r="BS119" s="1048" t="s">
        <v>4672</v>
      </c>
      <c r="BT119" s="4648" t="s">
        <v>4673</v>
      </c>
      <c r="BU119" s="4649"/>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48" t="s">
        <v>4674</v>
      </c>
      <c r="BU121" s="4649"/>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5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75" t="s">
        <v>4675</v>
      </c>
      <c r="U122" s="4676"/>
      <c r="V122" s="4676"/>
      <c r="W122" s="4676"/>
      <c r="X122" s="4676"/>
      <c r="Y122" s="4676"/>
      <c r="Z122" s="4676"/>
      <c r="AA122" s="4676"/>
      <c r="AB122" s="4676"/>
      <c r="AC122" s="4676"/>
      <c r="AD122" s="4676"/>
      <c r="AE122" s="4676"/>
      <c r="AF122" s="4676"/>
      <c r="AG122" s="4676"/>
      <c r="AH122" s="4676"/>
      <c r="AI122" s="4676"/>
      <c r="AJ122" s="4676"/>
      <c r="AK122" s="4676"/>
      <c r="AL122" s="4676"/>
      <c r="AM122" s="4676"/>
      <c r="AN122" s="4676"/>
      <c r="AO122" s="4676"/>
      <c r="AP122" s="4676"/>
      <c r="AQ122" s="4676"/>
      <c r="AR122" s="4676"/>
      <c r="AS122" s="4676"/>
      <c r="AT122" s="4676"/>
      <c r="AU122" s="4676"/>
      <c r="AV122" s="4676"/>
      <c r="AW122" s="4676"/>
      <c r="AX122" s="4676"/>
      <c r="AY122" s="4676"/>
      <c r="AZ122" s="4676"/>
      <c r="BA122" s="4676"/>
      <c r="BB122" s="4676"/>
      <c r="BC122" s="4676"/>
      <c r="BD122" s="4676"/>
      <c r="BE122" s="4676"/>
      <c r="BF122" s="4676"/>
      <c r="BG122" s="4676"/>
      <c r="BH122" s="4676"/>
      <c r="BI122" s="4676"/>
      <c r="BJ122" s="4676"/>
      <c r="BK122" s="4677"/>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5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1"/>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54"/>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87"/>
      <c r="U123" s="4688"/>
      <c r="V123" s="2372" t="str">
        <f>IF(OR(V121=0,V121=""),"N/A",V121)</f>
        <v>N/A</v>
      </c>
      <c r="W123" s="4687" t="str">
        <f xml:space="preserve"> IF(OR(AF121=0,AF121=""),"N/A",W121)</f>
        <v>N/A</v>
      </c>
      <c r="X123" s="4689"/>
      <c r="Y123" s="4689"/>
      <c r="Z123" s="4689"/>
      <c r="AA123" s="4689"/>
      <c r="AB123" s="4689"/>
      <c r="AC123" s="4689"/>
      <c r="AD123" s="4689"/>
      <c r="AE123" s="4689"/>
      <c r="AF123" s="4688"/>
      <c r="AG123" s="4687" t="str">
        <f xml:space="preserve"> IF(OR(AP121="",AP121=0),"N/A",AG121)</f>
        <v>N/A</v>
      </c>
      <c r="AH123" s="4689"/>
      <c r="AI123" s="4689"/>
      <c r="AJ123" s="4689"/>
      <c r="AK123" s="4689"/>
      <c r="AL123" s="4689"/>
      <c r="AM123" s="4689"/>
      <c r="AN123" s="4689"/>
      <c r="AO123" s="4689"/>
      <c r="AP123" s="4688"/>
      <c r="AQ123" s="4687" t="str">
        <f xml:space="preserve"> IF(OR(AZ121="",AZ121=0),"N/A",AQ121)</f>
        <v>N/A</v>
      </c>
      <c r="AR123" s="4689"/>
      <c r="AS123" s="4689"/>
      <c r="AT123" s="4689"/>
      <c r="AU123" s="4689"/>
      <c r="AV123" s="4689"/>
      <c r="AW123" s="4689"/>
      <c r="AX123" s="4689"/>
      <c r="AY123" s="4689"/>
      <c r="AZ123" s="4688"/>
      <c r="BA123" s="4687" t="str">
        <f xml:space="preserve"> IF(OR(BJ121="",BJ121=0),"N/A",BA121)</f>
        <v>N/A</v>
      </c>
      <c r="BB123" s="4689"/>
      <c r="BC123" s="4689"/>
      <c r="BD123" s="4689"/>
      <c r="BE123" s="4689"/>
      <c r="BF123" s="4689"/>
      <c r="BG123" s="4689"/>
      <c r="BH123" s="4689"/>
      <c r="BI123" s="4689"/>
      <c r="BJ123" s="4688"/>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54"/>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90" t="s">
        <v>4677</v>
      </c>
      <c r="U124" s="4691"/>
      <c r="V124" s="2373"/>
      <c r="W124" s="4692"/>
      <c r="X124" s="4693"/>
      <c r="Y124" s="4693"/>
      <c r="Z124" s="4693"/>
      <c r="AA124" s="4693"/>
      <c r="AB124" s="4693"/>
      <c r="AC124" s="4693"/>
      <c r="AD124" s="4693"/>
      <c r="AE124" s="4693"/>
      <c r="AF124" s="4694"/>
      <c r="AG124" s="4692"/>
      <c r="AH124" s="4693"/>
      <c r="AI124" s="4693"/>
      <c r="AJ124" s="4693"/>
      <c r="AK124" s="4693"/>
      <c r="AL124" s="4693"/>
      <c r="AM124" s="4693"/>
      <c r="AN124" s="4693"/>
      <c r="AO124" s="4693"/>
      <c r="AP124" s="4694"/>
      <c r="AQ124" s="4692"/>
      <c r="AR124" s="4693"/>
      <c r="AS124" s="4693"/>
      <c r="AT124" s="4693"/>
      <c r="AU124" s="4693"/>
      <c r="AV124" s="4693"/>
      <c r="AW124" s="4693"/>
      <c r="AX124" s="4693"/>
      <c r="AY124" s="4693"/>
      <c r="AZ124" s="4694"/>
      <c r="BA124" s="4692"/>
      <c r="BB124" s="4693"/>
      <c r="BC124" s="4693"/>
      <c r="BD124" s="4693"/>
      <c r="BE124" s="4693"/>
      <c r="BF124" s="4693"/>
      <c r="BG124" s="4693"/>
      <c r="BH124" s="4693"/>
      <c r="BI124" s="4693"/>
      <c r="BJ124" s="4694"/>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48" t="s">
        <v>4678</v>
      </c>
      <c r="BU124" s="4649"/>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54"/>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2" t="s">
        <v>4679</v>
      </c>
      <c r="U125" s="4683"/>
      <c r="V125" s="2371"/>
      <c r="W125" s="4684"/>
      <c r="X125" s="4685"/>
      <c r="Y125" s="4685"/>
      <c r="Z125" s="4685"/>
      <c r="AA125" s="4685"/>
      <c r="AB125" s="4685"/>
      <c r="AC125" s="4685"/>
      <c r="AD125" s="4685"/>
      <c r="AE125" s="4685"/>
      <c r="AF125" s="4686"/>
      <c r="AG125" s="4684"/>
      <c r="AH125" s="4685"/>
      <c r="AI125" s="4685"/>
      <c r="AJ125" s="4685"/>
      <c r="AK125" s="4685"/>
      <c r="AL125" s="4685"/>
      <c r="AM125" s="4685"/>
      <c r="AN125" s="4685"/>
      <c r="AO125" s="4685"/>
      <c r="AP125" s="4686"/>
      <c r="AQ125" s="4684"/>
      <c r="AR125" s="4685"/>
      <c r="AS125" s="4685"/>
      <c r="AT125" s="4685"/>
      <c r="AU125" s="4685"/>
      <c r="AV125" s="4685"/>
      <c r="AW125" s="4685"/>
      <c r="AX125" s="4685"/>
      <c r="AY125" s="4685"/>
      <c r="AZ125" s="4686"/>
      <c r="BA125" s="4684"/>
      <c r="BB125" s="4685"/>
      <c r="BC125" s="4685"/>
      <c r="BD125" s="4685"/>
      <c r="BE125" s="4685"/>
      <c r="BF125" s="4685"/>
      <c r="BG125" s="4685"/>
      <c r="BH125" s="4685"/>
      <c r="BI125" s="4685"/>
      <c r="BJ125" s="4686"/>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2" t="s">
        <v>1693</v>
      </c>
      <c r="BU125" s="4653"/>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54"/>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48" t="s">
        <v>4680</v>
      </c>
      <c r="BU126" s="4649"/>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2" t="s">
        <v>4660</v>
      </c>
      <c r="BU127" s="4653"/>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75" t="s">
        <v>4675</v>
      </c>
      <c r="U128" s="4676"/>
      <c r="V128" s="4676"/>
      <c r="W128" s="4676"/>
      <c r="X128" s="4676"/>
      <c r="Y128" s="4676"/>
      <c r="Z128" s="4676"/>
      <c r="AA128" s="4676"/>
      <c r="AB128" s="4676"/>
      <c r="AC128" s="4676"/>
      <c r="AD128" s="4676"/>
      <c r="AE128" s="4676"/>
      <c r="AF128" s="4676"/>
      <c r="AG128" s="4676"/>
      <c r="AH128" s="4676"/>
      <c r="AI128" s="4676"/>
      <c r="AJ128" s="4676"/>
      <c r="AK128" s="4676"/>
      <c r="AL128" s="4676"/>
      <c r="AM128" s="4676"/>
      <c r="AN128" s="4676"/>
      <c r="AO128" s="4676"/>
      <c r="AP128" s="4676"/>
      <c r="AQ128" s="4676"/>
      <c r="AR128" s="4676"/>
      <c r="AS128" s="4676"/>
      <c r="AT128" s="4676"/>
      <c r="AU128" s="4676"/>
      <c r="AV128" s="4676"/>
      <c r="AW128" s="4676"/>
      <c r="AX128" s="4676"/>
      <c r="AY128" s="4676"/>
      <c r="AZ128" s="4676"/>
      <c r="BA128" s="4676"/>
      <c r="BB128" s="4676"/>
      <c r="BC128" s="4676"/>
      <c r="BD128" s="4676"/>
      <c r="BE128" s="4676"/>
      <c r="BF128" s="4676"/>
      <c r="BG128" s="4676"/>
      <c r="BH128" s="4676"/>
      <c r="BI128" s="4676"/>
      <c r="BJ128" s="4676"/>
      <c r="BK128" s="4677"/>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48" t="s">
        <v>4681</v>
      </c>
      <c r="BU128" s="4649"/>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87"/>
      <c r="U129" s="4688"/>
      <c r="V129" s="2372" t="str">
        <f>IF(OR(V127=0,V127=""),"N/A",V127)</f>
        <v>N/A</v>
      </c>
      <c r="W129" s="4687" t="str">
        <f xml:space="preserve"> IF(OR(AF127=0,AF127=""),"N/A",W127)</f>
        <v>N/A</v>
      </c>
      <c r="X129" s="4689"/>
      <c r="Y129" s="4689"/>
      <c r="Z129" s="4689"/>
      <c r="AA129" s="4689"/>
      <c r="AB129" s="4689"/>
      <c r="AC129" s="4689"/>
      <c r="AD129" s="4689"/>
      <c r="AE129" s="4689"/>
      <c r="AF129" s="4688"/>
      <c r="AG129" s="4687" t="str">
        <f xml:space="preserve"> IF(OR(AP127="",AP127=0),"N/A",AG127)</f>
        <v>N/A</v>
      </c>
      <c r="AH129" s="4689"/>
      <c r="AI129" s="4689"/>
      <c r="AJ129" s="4689"/>
      <c r="AK129" s="4689"/>
      <c r="AL129" s="4689"/>
      <c r="AM129" s="4689"/>
      <c r="AN129" s="4689"/>
      <c r="AO129" s="4689"/>
      <c r="AP129" s="4688"/>
      <c r="AQ129" s="4687" t="str">
        <f xml:space="preserve"> IF(OR(AZ127="",AZ127=0),"N/A",AQ127)</f>
        <v>N/A</v>
      </c>
      <c r="AR129" s="4689"/>
      <c r="AS129" s="4689"/>
      <c r="AT129" s="4689"/>
      <c r="AU129" s="4689"/>
      <c r="AV129" s="4689"/>
      <c r="AW129" s="4689"/>
      <c r="AX129" s="4689"/>
      <c r="AY129" s="4689"/>
      <c r="AZ129" s="4688"/>
      <c r="BA129" s="4687" t="str">
        <f xml:space="preserve"> IF(OR(BJ127="",BJ127=0),"N/A",BA127)</f>
        <v>N/A</v>
      </c>
      <c r="BB129" s="4689"/>
      <c r="BC129" s="4689"/>
      <c r="BD129" s="4689"/>
      <c r="BE129" s="4689"/>
      <c r="BF129" s="4689"/>
      <c r="BG129" s="4689"/>
      <c r="BH129" s="4689"/>
      <c r="BI129" s="4689"/>
      <c r="BJ129" s="4688"/>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2" t="s">
        <v>4654</v>
      </c>
      <c r="BU129" s="4653"/>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90" t="s">
        <v>4677</v>
      </c>
      <c r="U130" s="4691"/>
      <c r="V130" s="2373"/>
      <c r="W130" s="4692"/>
      <c r="X130" s="4693"/>
      <c r="Y130" s="4693"/>
      <c r="Z130" s="4693"/>
      <c r="AA130" s="4693"/>
      <c r="AB130" s="4693"/>
      <c r="AC130" s="4693"/>
      <c r="AD130" s="4693"/>
      <c r="AE130" s="4693"/>
      <c r="AF130" s="4694"/>
      <c r="AG130" s="4692"/>
      <c r="AH130" s="4693"/>
      <c r="AI130" s="4693"/>
      <c r="AJ130" s="4693"/>
      <c r="AK130" s="4693"/>
      <c r="AL130" s="4693"/>
      <c r="AM130" s="4693"/>
      <c r="AN130" s="4693"/>
      <c r="AO130" s="4693"/>
      <c r="AP130" s="4694"/>
      <c r="AQ130" s="4692"/>
      <c r="AR130" s="4693"/>
      <c r="AS130" s="4693"/>
      <c r="AT130" s="4693"/>
      <c r="AU130" s="4693"/>
      <c r="AV130" s="4693"/>
      <c r="AW130" s="4693"/>
      <c r="AX130" s="4693"/>
      <c r="AY130" s="4693"/>
      <c r="AZ130" s="4694"/>
      <c r="BA130" s="4692"/>
      <c r="BB130" s="4693"/>
      <c r="BC130" s="4693"/>
      <c r="BD130" s="4693"/>
      <c r="BE130" s="4693"/>
      <c r="BF130" s="4693"/>
      <c r="BG130" s="4693"/>
      <c r="BH130" s="4693"/>
      <c r="BI130" s="4693"/>
      <c r="BJ130" s="4694"/>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4" t="s">
        <v>4682</v>
      </c>
      <c r="BU130" s="4645"/>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2" t="s">
        <v>4679</v>
      </c>
      <c r="U131" s="4683"/>
      <c r="V131" s="2371"/>
      <c r="W131" s="4684"/>
      <c r="X131" s="4685"/>
      <c r="Y131" s="4685"/>
      <c r="Z131" s="4685"/>
      <c r="AA131" s="4685"/>
      <c r="AB131" s="4685"/>
      <c r="AC131" s="4685"/>
      <c r="AD131" s="4685"/>
      <c r="AE131" s="4685"/>
      <c r="AF131" s="4686"/>
      <c r="AG131" s="4684"/>
      <c r="AH131" s="4685"/>
      <c r="AI131" s="4685"/>
      <c r="AJ131" s="4685"/>
      <c r="AK131" s="4685"/>
      <c r="AL131" s="4685"/>
      <c r="AM131" s="4685"/>
      <c r="AN131" s="4685"/>
      <c r="AO131" s="4685"/>
      <c r="AP131" s="4686"/>
      <c r="AQ131" s="4684"/>
      <c r="AR131" s="4685"/>
      <c r="AS131" s="4685"/>
      <c r="AT131" s="4685"/>
      <c r="AU131" s="4685"/>
      <c r="AV131" s="4685"/>
      <c r="AW131" s="4685"/>
      <c r="AX131" s="4685"/>
      <c r="AY131" s="4685"/>
      <c r="AZ131" s="4686"/>
      <c r="BA131" s="4684"/>
      <c r="BB131" s="4685"/>
      <c r="BC131" s="4685"/>
      <c r="BD131" s="4685"/>
      <c r="BE131" s="4685"/>
      <c r="BF131" s="4685"/>
      <c r="BG131" s="4685"/>
      <c r="BH131" s="4685"/>
      <c r="BI131" s="4685"/>
      <c r="BJ131" s="4686"/>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75" t="s">
        <v>4675</v>
      </c>
      <c r="U134" s="4676"/>
      <c r="V134" s="4676"/>
      <c r="W134" s="4676"/>
      <c r="X134" s="4676"/>
      <c r="Y134" s="4676"/>
      <c r="Z134" s="4676"/>
      <c r="AA134" s="4676"/>
      <c r="AB134" s="4676"/>
      <c r="AC134" s="4676"/>
      <c r="AD134" s="4676"/>
      <c r="AE134" s="4676"/>
      <c r="AF134" s="4676"/>
      <c r="AG134" s="4676"/>
      <c r="AH134" s="4676"/>
      <c r="AI134" s="4676"/>
      <c r="AJ134" s="4676"/>
      <c r="AK134" s="4676"/>
      <c r="AL134" s="4676"/>
      <c r="AM134" s="4676"/>
      <c r="AN134" s="4676"/>
      <c r="AO134" s="4676"/>
      <c r="AP134" s="4676"/>
      <c r="AQ134" s="4676"/>
      <c r="AR134" s="4676"/>
      <c r="AS134" s="4676"/>
      <c r="AT134" s="4676"/>
      <c r="AU134" s="4676"/>
      <c r="AV134" s="4676"/>
      <c r="AW134" s="4676"/>
      <c r="AX134" s="4676"/>
      <c r="AY134" s="4676"/>
      <c r="AZ134" s="4676"/>
      <c r="BA134" s="4676"/>
      <c r="BB134" s="4676"/>
      <c r="BC134" s="4676"/>
      <c r="BD134" s="4676"/>
      <c r="BE134" s="4676"/>
      <c r="BF134" s="4676"/>
      <c r="BG134" s="4676"/>
      <c r="BH134" s="4676"/>
      <c r="BI134" s="4676"/>
      <c r="BJ134" s="4676"/>
      <c r="BK134" s="4677"/>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87"/>
      <c r="U135" s="4688"/>
      <c r="V135" s="2372" t="str">
        <f>IF(OR(V133=0,V133=""),"N/A",V133)</f>
        <v>N/A</v>
      </c>
      <c r="W135" s="4687" t="str">
        <f xml:space="preserve"> IF(OR(AF133=0,AF133=""),"N/A",W133)</f>
        <v>N/A</v>
      </c>
      <c r="X135" s="4689"/>
      <c r="Y135" s="4689"/>
      <c r="Z135" s="4689"/>
      <c r="AA135" s="4689"/>
      <c r="AB135" s="4689"/>
      <c r="AC135" s="4689"/>
      <c r="AD135" s="4689"/>
      <c r="AE135" s="4689"/>
      <c r="AF135" s="4688"/>
      <c r="AG135" s="4687" t="str">
        <f xml:space="preserve"> IF(OR(AP133="",AP133=0),"N/A",AG133)</f>
        <v>N/A</v>
      </c>
      <c r="AH135" s="4689"/>
      <c r="AI135" s="4689"/>
      <c r="AJ135" s="4689"/>
      <c r="AK135" s="4689"/>
      <c r="AL135" s="4689"/>
      <c r="AM135" s="4689"/>
      <c r="AN135" s="4689"/>
      <c r="AO135" s="4689"/>
      <c r="AP135" s="4688"/>
      <c r="AQ135" s="4687" t="str">
        <f xml:space="preserve"> IF(OR(AZ133="",AZ133=0),"N/A",AQ133)</f>
        <v>N/A</v>
      </c>
      <c r="AR135" s="4689"/>
      <c r="AS135" s="4689"/>
      <c r="AT135" s="4689"/>
      <c r="AU135" s="4689"/>
      <c r="AV135" s="4689"/>
      <c r="AW135" s="4689"/>
      <c r="AX135" s="4689"/>
      <c r="AY135" s="4689"/>
      <c r="AZ135" s="4688"/>
      <c r="BA135" s="4687" t="str">
        <f xml:space="preserve"> IF(OR(BJ133="",BJ133=0),"N/A",BA133)</f>
        <v>N/A</v>
      </c>
      <c r="BB135" s="4689"/>
      <c r="BC135" s="4689"/>
      <c r="BD135" s="4689"/>
      <c r="BE135" s="4689"/>
      <c r="BF135" s="4689"/>
      <c r="BG135" s="4689"/>
      <c r="BH135" s="4689"/>
      <c r="BI135" s="4689"/>
      <c r="BJ135" s="4688"/>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90" t="s">
        <v>4677</v>
      </c>
      <c r="U136" s="4691"/>
      <c r="V136" s="2373"/>
      <c r="W136" s="4692"/>
      <c r="X136" s="4693"/>
      <c r="Y136" s="4693"/>
      <c r="Z136" s="4693"/>
      <c r="AA136" s="4693"/>
      <c r="AB136" s="4693"/>
      <c r="AC136" s="4693"/>
      <c r="AD136" s="4693"/>
      <c r="AE136" s="4693"/>
      <c r="AF136" s="4694"/>
      <c r="AG136" s="4692"/>
      <c r="AH136" s="4693"/>
      <c r="AI136" s="4693"/>
      <c r="AJ136" s="4693"/>
      <c r="AK136" s="4693"/>
      <c r="AL136" s="4693"/>
      <c r="AM136" s="4693"/>
      <c r="AN136" s="4693"/>
      <c r="AO136" s="4693"/>
      <c r="AP136" s="4694"/>
      <c r="AQ136" s="4692"/>
      <c r="AR136" s="4693"/>
      <c r="AS136" s="4693"/>
      <c r="AT136" s="4693"/>
      <c r="AU136" s="4693"/>
      <c r="AV136" s="4693"/>
      <c r="AW136" s="4693"/>
      <c r="AX136" s="4693"/>
      <c r="AY136" s="4693"/>
      <c r="AZ136" s="4694"/>
      <c r="BA136" s="4692"/>
      <c r="BB136" s="4693"/>
      <c r="BC136" s="4693"/>
      <c r="BD136" s="4693"/>
      <c r="BE136" s="4693"/>
      <c r="BF136" s="4693"/>
      <c r="BG136" s="4693"/>
      <c r="BH136" s="4693"/>
      <c r="BI136" s="4693"/>
      <c r="BJ136" s="4694"/>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2" t="s">
        <v>4679</v>
      </c>
      <c r="U137" s="4683"/>
      <c r="V137" s="2371"/>
      <c r="W137" s="4684"/>
      <c r="X137" s="4685"/>
      <c r="Y137" s="4685"/>
      <c r="Z137" s="4685"/>
      <c r="AA137" s="4685"/>
      <c r="AB137" s="4685"/>
      <c r="AC137" s="4685"/>
      <c r="AD137" s="4685"/>
      <c r="AE137" s="4685"/>
      <c r="AF137" s="4686"/>
      <c r="AG137" s="4684"/>
      <c r="AH137" s="4685"/>
      <c r="AI137" s="4685"/>
      <c r="AJ137" s="4685"/>
      <c r="AK137" s="4685"/>
      <c r="AL137" s="4685"/>
      <c r="AM137" s="4685"/>
      <c r="AN137" s="4685"/>
      <c r="AO137" s="4685"/>
      <c r="AP137" s="4686"/>
      <c r="AQ137" s="4684"/>
      <c r="AR137" s="4685"/>
      <c r="AS137" s="4685"/>
      <c r="AT137" s="4685"/>
      <c r="AU137" s="4685"/>
      <c r="AV137" s="4685"/>
      <c r="AW137" s="4685"/>
      <c r="AX137" s="4685"/>
      <c r="AY137" s="4685"/>
      <c r="AZ137" s="4686"/>
      <c r="BA137" s="4684"/>
      <c r="BB137" s="4685"/>
      <c r="BC137" s="4685"/>
      <c r="BD137" s="4685"/>
      <c r="BE137" s="4685"/>
      <c r="BF137" s="4685"/>
      <c r="BG137" s="4685"/>
      <c r="BH137" s="4685"/>
      <c r="BI137" s="4685"/>
      <c r="BJ137" s="4686"/>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75" t="s">
        <v>4675</v>
      </c>
      <c r="U140" s="4676"/>
      <c r="V140" s="4676"/>
      <c r="W140" s="4676"/>
      <c r="X140" s="4676"/>
      <c r="Y140" s="4676"/>
      <c r="Z140" s="4676"/>
      <c r="AA140" s="4676"/>
      <c r="AB140" s="4676"/>
      <c r="AC140" s="4676"/>
      <c r="AD140" s="4676"/>
      <c r="AE140" s="4676"/>
      <c r="AF140" s="4676"/>
      <c r="AG140" s="4676"/>
      <c r="AH140" s="4676"/>
      <c r="AI140" s="4676"/>
      <c r="AJ140" s="4676"/>
      <c r="AK140" s="4676"/>
      <c r="AL140" s="4676"/>
      <c r="AM140" s="4676"/>
      <c r="AN140" s="4676"/>
      <c r="AO140" s="4676"/>
      <c r="AP140" s="4676"/>
      <c r="AQ140" s="4676"/>
      <c r="AR140" s="4676"/>
      <c r="AS140" s="4676"/>
      <c r="AT140" s="4676"/>
      <c r="AU140" s="4676"/>
      <c r="AV140" s="4676"/>
      <c r="AW140" s="4676"/>
      <c r="AX140" s="4676"/>
      <c r="AY140" s="4676"/>
      <c r="AZ140" s="4676"/>
      <c r="BA140" s="4676"/>
      <c r="BB140" s="4676"/>
      <c r="BC140" s="4676"/>
      <c r="BD140" s="4676"/>
      <c r="BE140" s="4676"/>
      <c r="BF140" s="4676"/>
      <c r="BG140" s="4676"/>
      <c r="BH140" s="4676"/>
      <c r="BI140" s="4676"/>
      <c r="BJ140" s="4676"/>
      <c r="BK140" s="4677"/>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87"/>
      <c r="U141" s="4688"/>
      <c r="V141" s="2372" t="str">
        <f>IF(OR(V139=0,V139=""),"N/A",V139)</f>
        <v>N/A</v>
      </c>
      <c r="W141" s="4687" t="str">
        <f xml:space="preserve"> IF(OR(AF139=0,AF139=""),"N/A",W139)</f>
        <v>N/A</v>
      </c>
      <c r="X141" s="4689"/>
      <c r="Y141" s="4689"/>
      <c r="Z141" s="4689"/>
      <c r="AA141" s="4689"/>
      <c r="AB141" s="4689"/>
      <c r="AC141" s="4689"/>
      <c r="AD141" s="4689"/>
      <c r="AE141" s="4689"/>
      <c r="AF141" s="4688"/>
      <c r="AG141" s="4687" t="str">
        <f xml:space="preserve"> IF(OR(AP139="",AP139=0),"N/A",AG139)</f>
        <v>N/A</v>
      </c>
      <c r="AH141" s="4689"/>
      <c r="AI141" s="4689"/>
      <c r="AJ141" s="4689"/>
      <c r="AK141" s="4689"/>
      <c r="AL141" s="4689"/>
      <c r="AM141" s="4689"/>
      <c r="AN141" s="4689"/>
      <c r="AO141" s="4689"/>
      <c r="AP141" s="4688"/>
      <c r="AQ141" s="4687" t="str">
        <f xml:space="preserve"> IF(OR(AZ139="",AZ139=0),"N/A",AQ139)</f>
        <v>N/A</v>
      </c>
      <c r="AR141" s="4689"/>
      <c r="AS141" s="4689"/>
      <c r="AT141" s="4689"/>
      <c r="AU141" s="4689"/>
      <c r="AV141" s="4689"/>
      <c r="AW141" s="4689"/>
      <c r="AX141" s="4689"/>
      <c r="AY141" s="4689"/>
      <c r="AZ141" s="4688"/>
      <c r="BA141" s="4687" t="str">
        <f xml:space="preserve"> IF(OR(BJ139="",BJ139=0),"N/A",BA139)</f>
        <v>N/A</v>
      </c>
      <c r="BB141" s="4689"/>
      <c r="BC141" s="4689"/>
      <c r="BD141" s="4689"/>
      <c r="BE141" s="4689"/>
      <c r="BF141" s="4689"/>
      <c r="BG141" s="4689"/>
      <c r="BH141" s="4689"/>
      <c r="BI141" s="4689"/>
      <c r="BJ141" s="4688"/>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90" t="s">
        <v>4677</v>
      </c>
      <c r="U142" s="4691"/>
      <c r="V142" s="2373"/>
      <c r="W142" s="4692"/>
      <c r="X142" s="4693"/>
      <c r="Y142" s="4693"/>
      <c r="Z142" s="4693"/>
      <c r="AA142" s="4693"/>
      <c r="AB142" s="4693"/>
      <c r="AC142" s="4693"/>
      <c r="AD142" s="4693"/>
      <c r="AE142" s="4693"/>
      <c r="AF142" s="4694"/>
      <c r="AG142" s="4692"/>
      <c r="AH142" s="4693"/>
      <c r="AI142" s="4693"/>
      <c r="AJ142" s="4693"/>
      <c r="AK142" s="4693"/>
      <c r="AL142" s="4693"/>
      <c r="AM142" s="4693"/>
      <c r="AN142" s="4693"/>
      <c r="AO142" s="4693"/>
      <c r="AP142" s="4694"/>
      <c r="AQ142" s="4692"/>
      <c r="AR142" s="4693"/>
      <c r="AS142" s="4693"/>
      <c r="AT142" s="4693"/>
      <c r="AU142" s="4693"/>
      <c r="AV142" s="4693"/>
      <c r="AW142" s="4693"/>
      <c r="AX142" s="4693"/>
      <c r="AY142" s="4693"/>
      <c r="AZ142" s="4694"/>
      <c r="BA142" s="4692"/>
      <c r="BB142" s="4693"/>
      <c r="BC142" s="4693"/>
      <c r="BD142" s="4693"/>
      <c r="BE142" s="4693"/>
      <c r="BF142" s="4693"/>
      <c r="BG142" s="4693"/>
      <c r="BH142" s="4693"/>
      <c r="BI142" s="4693"/>
      <c r="BJ142" s="4694"/>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2" t="s">
        <v>4679</v>
      </c>
      <c r="U143" s="4683"/>
      <c r="V143" s="2371"/>
      <c r="W143" s="4684"/>
      <c r="X143" s="4685"/>
      <c r="Y143" s="4685"/>
      <c r="Z143" s="4685"/>
      <c r="AA143" s="4685"/>
      <c r="AB143" s="4685"/>
      <c r="AC143" s="4685"/>
      <c r="AD143" s="4685"/>
      <c r="AE143" s="4685"/>
      <c r="AF143" s="4686"/>
      <c r="AG143" s="4684"/>
      <c r="AH143" s="4685"/>
      <c r="AI143" s="4685"/>
      <c r="AJ143" s="4685"/>
      <c r="AK143" s="4685"/>
      <c r="AL143" s="4685"/>
      <c r="AM143" s="4685"/>
      <c r="AN143" s="4685"/>
      <c r="AO143" s="4685"/>
      <c r="AP143" s="4686"/>
      <c r="AQ143" s="4684"/>
      <c r="AR143" s="4685"/>
      <c r="AS143" s="4685"/>
      <c r="AT143" s="4685"/>
      <c r="AU143" s="4685"/>
      <c r="AV143" s="4685"/>
      <c r="AW143" s="4685"/>
      <c r="AX143" s="4685"/>
      <c r="AY143" s="4685"/>
      <c r="AZ143" s="4686"/>
      <c r="BA143" s="4684"/>
      <c r="BB143" s="4685"/>
      <c r="BC143" s="4685"/>
      <c r="BD143" s="4685"/>
      <c r="BE143" s="4685"/>
      <c r="BF143" s="4685"/>
      <c r="BG143" s="4685"/>
      <c r="BH143" s="4685"/>
      <c r="BI143" s="4685"/>
      <c r="BJ143" s="4686"/>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2"/>
      <c r="BV145" s="4642"/>
      <c r="BW145" s="4642"/>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75" t="s">
        <v>4675</v>
      </c>
      <c r="U146" s="4676"/>
      <c r="V146" s="4676"/>
      <c r="W146" s="4676"/>
      <c r="X146" s="4676"/>
      <c r="Y146" s="4676"/>
      <c r="Z146" s="4676"/>
      <c r="AA146" s="4676"/>
      <c r="AB146" s="4676"/>
      <c r="AC146" s="4676"/>
      <c r="AD146" s="4676"/>
      <c r="AE146" s="4676"/>
      <c r="AF146" s="4676"/>
      <c r="AG146" s="4676"/>
      <c r="AH146" s="4676"/>
      <c r="AI146" s="4676"/>
      <c r="AJ146" s="4676"/>
      <c r="AK146" s="4676"/>
      <c r="AL146" s="4676"/>
      <c r="AM146" s="4676"/>
      <c r="AN146" s="4676"/>
      <c r="AO146" s="4676"/>
      <c r="AP146" s="4676"/>
      <c r="AQ146" s="4676"/>
      <c r="AR146" s="4676"/>
      <c r="AS146" s="4676"/>
      <c r="AT146" s="4676"/>
      <c r="AU146" s="4676"/>
      <c r="AV146" s="4676"/>
      <c r="AW146" s="4676"/>
      <c r="AX146" s="4676"/>
      <c r="AY146" s="4676"/>
      <c r="AZ146" s="4676"/>
      <c r="BA146" s="4676"/>
      <c r="BB146" s="4676"/>
      <c r="BC146" s="4676"/>
      <c r="BD146" s="4676"/>
      <c r="BE146" s="4676"/>
      <c r="BF146" s="4676"/>
      <c r="BG146" s="4676"/>
      <c r="BH146" s="4676"/>
      <c r="BI146" s="4676"/>
      <c r="BJ146" s="4676"/>
      <c r="BK146" s="4677"/>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87"/>
      <c r="U147" s="4688"/>
      <c r="V147" s="2372" t="str">
        <f>IF(OR(V145=0,V145=""),"N/A",V145)</f>
        <v>N/A</v>
      </c>
      <c r="W147" s="4687" t="str">
        <f xml:space="preserve"> IF(OR(AF145=0,AF145=""),"N/A",W145)</f>
        <v>N/A</v>
      </c>
      <c r="X147" s="4689"/>
      <c r="Y147" s="4689"/>
      <c r="Z147" s="4689"/>
      <c r="AA147" s="4689"/>
      <c r="AB147" s="4689"/>
      <c r="AC147" s="4689"/>
      <c r="AD147" s="4689"/>
      <c r="AE147" s="4689"/>
      <c r="AF147" s="4688"/>
      <c r="AG147" s="4687" t="str">
        <f xml:space="preserve"> IF(OR(AP145="",AP145=0),"N/A",AG145)</f>
        <v>N/A</v>
      </c>
      <c r="AH147" s="4689"/>
      <c r="AI147" s="4689"/>
      <c r="AJ147" s="4689"/>
      <c r="AK147" s="4689"/>
      <c r="AL147" s="4689"/>
      <c r="AM147" s="4689"/>
      <c r="AN147" s="4689"/>
      <c r="AO147" s="4689"/>
      <c r="AP147" s="4688"/>
      <c r="AQ147" s="4687" t="str">
        <f xml:space="preserve"> IF(OR(AZ145="",AZ145=0),"N/A",AQ145)</f>
        <v>N/A</v>
      </c>
      <c r="AR147" s="4689"/>
      <c r="AS147" s="4689"/>
      <c r="AT147" s="4689"/>
      <c r="AU147" s="4689"/>
      <c r="AV147" s="4689"/>
      <c r="AW147" s="4689"/>
      <c r="AX147" s="4689"/>
      <c r="AY147" s="4689"/>
      <c r="AZ147" s="4688"/>
      <c r="BA147" s="4687" t="str">
        <f xml:space="preserve"> IF(OR(BJ145="",BJ145=0),"N/A",BA145)</f>
        <v>N/A</v>
      </c>
      <c r="BB147" s="4689"/>
      <c r="BC147" s="4689"/>
      <c r="BD147" s="4689"/>
      <c r="BE147" s="4689"/>
      <c r="BF147" s="4689"/>
      <c r="BG147" s="4689"/>
      <c r="BH147" s="4689"/>
      <c r="BI147" s="4689"/>
      <c r="BJ147" s="4688"/>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3"/>
      <c r="BV147" s="4643"/>
      <c r="BW147" s="4643"/>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90" t="s">
        <v>4677</v>
      </c>
      <c r="U148" s="4691"/>
      <c r="V148" s="2373"/>
      <c r="W148" s="4692"/>
      <c r="X148" s="4693"/>
      <c r="Y148" s="4693"/>
      <c r="Z148" s="4693"/>
      <c r="AA148" s="4693"/>
      <c r="AB148" s="4693"/>
      <c r="AC148" s="4693"/>
      <c r="AD148" s="4693"/>
      <c r="AE148" s="4693"/>
      <c r="AF148" s="4694"/>
      <c r="AG148" s="4692"/>
      <c r="AH148" s="4693"/>
      <c r="AI148" s="4693"/>
      <c r="AJ148" s="4693"/>
      <c r="AK148" s="4693"/>
      <c r="AL148" s="4693"/>
      <c r="AM148" s="4693"/>
      <c r="AN148" s="4693"/>
      <c r="AO148" s="4693"/>
      <c r="AP148" s="4694"/>
      <c r="AQ148" s="4692"/>
      <c r="AR148" s="4693"/>
      <c r="AS148" s="4693"/>
      <c r="AT148" s="4693"/>
      <c r="AU148" s="4693"/>
      <c r="AV148" s="4693"/>
      <c r="AW148" s="4693"/>
      <c r="AX148" s="4693"/>
      <c r="AY148" s="4693"/>
      <c r="AZ148" s="4694"/>
      <c r="BA148" s="4692"/>
      <c r="BB148" s="4693"/>
      <c r="BC148" s="4693"/>
      <c r="BD148" s="4693"/>
      <c r="BE148" s="4693"/>
      <c r="BF148" s="4693"/>
      <c r="BG148" s="4693"/>
      <c r="BH148" s="4693"/>
      <c r="BI148" s="4693"/>
      <c r="BJ148" s="4694"/>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95" t="s">
        <v>4679</v>
      </c>
      <c r="U149" s="4696"/>
      <c r="V149" s="2376"/>
      <c r="W149" s="4697"/>
      <c r="X149" s="4698"/>
      <c r="Y149" s="4698"/>
      <c r="Z149" s="4698"/>
      <c r="AA149" s="4698"/>
      <c r="AB149" s="4698"/>
      <c r="AC149" s="4698"/>
      <c r="AD149" s="4698"/>
      <c r="AE149" s="4698"/>
      <c r="AF149" s="4699"/>
      <c r="AG149" s="4697"/>
      <c r="AH149" s="4698"/>
      <c r="AI149" s="4698"/>
      <c r="AJ149" s="4698"/>
      <c r="AK149" s="4698"/>
      <c r="AL149" s="4698"/>
      <c r="AM149" s="4698"/>
      <c r="AN149" s="4698"/>
      <c r="AO149" s="4698"/>
      <c r="AP149" s="4699"/>
      <c r="AQ149" s="4697"/>
      <c r="AR149" s="4698"/>
      <c r="AS149" s="4698"/>
      <c r="AT149" s="4698"/>
      <c r="AU149" s="4698"/>
      <c r="AV149" s="4698"/>
      <c r="AW149" s="4698"/>
      <c r="AX149" s="4698"/>
      <c r="AY149" s="4698"/>
      <c r="AZ149" s="4699"/>
      <c r="BA149" s="4697"/>
      <c r="BB149" s="4698"/>
      <c r="BC149" s="4698"/>
      <c r="BD149" s="4698"/>
      <c r="BE149" s="4698"/>
      <c r="BF149" s="4698"/>
      <c r="BG149" s="4698"/>
      <c r="BH149" s="4698"/>
      <c r="BI149" s="4698"/>
      <c r="BJ149" s="4699"/>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1"/>
      <c r="BL150" s="4681"/>
      <c r="BM150" s="4645"/>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4" t="s">
        <v>4688</v>
      </c>
      <c r="BU150" s="4645"/>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78" t="str">
        <f>IF(OR(E151='Tablas Técnicas'!A$678,E151='Tablas Técnicas'!A$679,E152='Tablas Técnicas'!A$678,E152='Tablas Técnicas'!A$679,E153='Tablas Técnicas'!A$678,E153='Tablas Técnicas'!A$679),"Selecciona la atadura elemental:","")</f>
        <v/>
      </c>
      <c r="AH151" s="4679"/>
      <c r="AI151" s="4679"/>
      <c r="AJ151" s="4679"/>
      <c r="AK151" s="4679"/>
      <c r="AL151" s="4679"/>
      <c r="AM151" s="4679"/>
      <c r="AN151" s="4679"/>
      <c r="AO151" s="4679"/>
      <c r="AP151" s="4679"/>
      <c r="AQ151" s="4679"/>
      <c r="AR151" s="4679"/>
      <c r="AS151" s="4679"/>
      <c r="AT151" s="4679"/>
      <c r="AU151" s="4679"/>
      <c r="AV151" s="4679"/>
      <c r="AW151" s="4679"/>
      <c r="AX151" s="4679"/>
      <c r="AY151" s="4679"/>
      <c r="AZ151" s="4679"/>
      <c r="BA151" s="4679"/>
      <c r="BB151" s="4679"/>
      <c r="BC151" s="4679"/>
      <c r="BD151" s="4679"/>
      <c r="BE151" s="4679"/>
      <c r="BF151" s="4679"/>
      <c r="BG151" s="4679"/>
      <c r="BH151" s="4679"/>
      <c r="BI151" s="4679"/>
      <c r="BJ151" s="4679"/>
      <c r="BK151" s="4680"/>
      <c r="BL151" s="1540"/>
      <c r="BM151" s="1540"/>
      <c r="BN151" s="1084"/>
      <c r="BO151" s="1084"/>
      <c r="BP151" s="1117"/>
      <c r="BQ151" s="1084"/>
      <c r="BR151" s="1084"/>
      <c r="BS151" s="1084"/>
      <c r="BT151" s="4646">
        <f>D119</f>
        <v>1</v>
      </c>
      <c r="BU151" s="4647"/>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73" t="s">
        <v>3471</v>
      </c>
      <c r="X156" s="4673"/>
      <c r="Y156" s="4673"/>
      <c r="Z156" s="4673"/>
      <c r="AA156" s="4673"/>
      <c r="AB156" s="4673"/>
      <c r="AC156" s="4673"/>
      <c r="AD156" s="4673"/>
      <c r="AE156" s="4673"/>
      <c r="AF156" s="4673"/>
      <c r="AG156" s="4673"/>
      <c r="AH156" s="4673"/>
      <c r="AI156" s="4673"/>
      <c r="AJ156" s="4673"/>
      <c r="AK156" s="4673"/>
      <c r="AL156" s="4673"/>
      <c r="AM156" s="4673"/>
      <c r="AN156" s="4673"/>
      <c r="AO156" s="4673"/>
      <c r="AP156" s="4673"/>
      <c r="AQ156" s="4673"/>
      <c r="AR156" s="4673"/>
      <c r="AS156" s="4673"/>
      <c r="AT156" s="4673"/>
      <c r="AU156" s="4673"/>
      <c r="AV156" s="4673"/>
      <c r="AW156" s="4673"/>
      <c r="AX156" s="4673"/>
      <c r="AY156" s="4673"/>
      <c r="AZ156" s="4673"/>
      <c r="BA156" s="4673"/>
      <c r="BB156" s="4673"/>
      <c r="BC156" s="4673"/>
      <c r="BD156" s="4673"/>
      <c r="BE156" s="4673"/>
      <c r="BF156" s="4673"/>
      <c r="BG156" s="4673"/>
      <c r="BH156" s="4673"/>
      <c r="BI156" s="4673"/>
      <c r="BJ156" s="4673"/>
      <c r="BK156" s="4673" t="s">
        <v>3472</v>
      </c>
      <c r="BL156" s="4673"/>
      <c r="BM156" s="4674"/>
      <c r="BN156" s="1047" t="s">
        <v>4667</v>
      </c>
      <c r="BO156" s="1047" t="s">
        <v>4668</v>
      </c>
      <c r="BP156" s="1047" t="s">
        <v>4669</v>
      </c>
      <c r="BQ156" s="1047" t="s">
        <v>4670</v>
      </c>
      <c r="BR156" s="1047" t="s">
        <v>4671</v>
      </c>
      <c r="BS156" s="1048" t="s">
        <v>4672</v>
      </c>
      <c r="BT156" s="4648" t="s">
        <v>4673</v>
      </c>
      <c r="BU156" s="4649"/>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48" t="s">
        <v>4674</v>
      </c>
      <c r="BU158" s="4649"/>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5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75" t="s">
        <v>4675</v>
      </c>
      <c r="U159" s="4676"/>
      <c r="V159" s="4676"/>
      <c r="W159" s="4676"/>
      <c r="X159" s="4676"/>
      <c r="Y159" s="4676"/>
      <c r="Z159" s="4676"/>
      <c r="AA159" s="4676"/>
      <c r="AB159" s="4676"/>
      <c r="AC159" s="4676"/>
      <c r="AD159" s="4676"/>
      <c r="AE159" s="4676"/>
      <c r="AF159" s="4676"/>
      <c r="AG159" s="4676"/>
      <c r="AH159" s="4676"/>
      <c r="AI159" s="4676"/>
      <c r="AJ159" s="4676"/>
      <c r="AK159" s="4676"/>
      <c r="AL159" s="4676"/>
      <c r="AM159" s="4676"/>
      <c r="AN159" s="4676"/>
      <c r="AO159" s="4676"/>
      <c r="AP159" s="4676"/>
      <c r="AQ159" s="4676"/>
      <c r="AR159" s="4676"/>
      <c r="AS159" s="4676"/>
      <c r="AT159" s="4676"/>
      <c r="AU159" s="4676"/>
      <c r="AV159" s="4676"/>
      <c r="AW159" s="4676"/>
      <c r="AX159" s="4676"/>
      <c r="AY159" s="4676"/>
      <c r="AZ159" s="4676"/>
      <c r="BA159" s="4676"/>
      <c r="BB159" s="4676"/>
      <c r="BC159" s="4676"/>
      <c r="BD159" s="4676"/>
      <c r="BE159" s="4676"/>
      <c r="BF159" s="4676"/>
      <c r="BG159" s="4676"/>
      <c r="BH159" s="4676"/>
      <c r="BI159" s="4676"/>
      <c r="BJ159" s="4676"/>
      <c r="BK159" s="4677"/>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5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1"/>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54"/>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87"/>
      <c r="U160" s="4688"/>
      <c r="V160" s="2372" t="str">
        <f>IF(OR(V158=0,V158=""),"N/A",V158)</f>
        <v>N/A</v>
      </c>
      <c r="W160" s="4687" t="str">
        <f xml:space="preserve"> IF(OR(AF158=0,AF158=""),"N/A",W158)</f>
        <v>N/A</v>
      </c>
      <c r="X160" s="4689"/>
      <c r="Y160" s="4689"/>
      <c r="Z160" s="4689"/>
      <c r="AA160" s="4689"/>
      <c r="AB160" s="4689"/>
      <c r="AC160" s="4689"/>
      <c r="AD160" s="4689"/>
      <c r="AE160" s="4689"/>
      <c r="AF160" s="4688"/>
      <c r="AG160" s="4687" t="str">
        <f xml:space="preserve"> IF(OR(AP158="",AP158=0),"N/A",AG158)</f>
        <v>N/A</v>
      </c>
      <c r="AH160" s="4689"/>
      <c r="AI160" s="4689"/>
      <c r="AJ160" s="4689"/>
      <c r="AK160" s="4689"/>
      <c r="AL160" s="4689"/>
      <c r="AM160" s="4689"/>
      <c r="AN160" s="4689"/>
      <c r="AO160" s="4689"/>
      <c r="AP160" s="4688"/>
      <c r="AQ160" s="4687" t="str">
        <f xml:space="preserve"> IF(OR(AZ158="",AZ158=0),"N/A",AQ158)</f>
        <v>N/A</v>
      </c>
      <c r="AR160" s="4689"/>
      <c r="AS160" s="4689"/>
      <c r="AT160" s="4689"/>
      <c r="AU160" s="4689"/>
      <c r="AV160" s="4689"/>
      <c r="AW160" s="4689"/>
      <c r="AX160" s="4689"/>
      <c r="AY160" s="4689"/>
      <c r="AZ160" s="4688"/>
      <c r="BA160" s="4687" t="str">
        <f xml:space="preserve"> IF(OR(BJ158="",BJ158=0),"N/A",BA158)</f>
        <v>N/A</v>
      </c>
      <c r="BB160" s="4689"/>
      <c r="BC160" s="4689"/>
      <c r="BD160" s="4689"/>
      <c r="BE160" s="4689"/>
      <c r="BF160" s="4689"/>
      <c r="BG160" s="4689"/>
      <c r="BH160" s="4689"/>
      <c r="BI160" s="4689"/>
      <c r="BJ160" s="4688"/>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54"/>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90" t="s">
        <v>4677</v>
      </c>
      <c r="U161" s="4691"/>
      <c r="V161" s="2373"/>
      <c r="W161" s="4692"/>
      <c r="X161" s="4693"/>
      <c r="Y161" s="4693"/>
      <c r="Z161" s="4693"/>
      <c r="AA161" s="4693"/>
      <c r="AB161" s="4693"/>
      <c r="AC161" s="4693"/>
      <c r="AD161" s="4693"/>
      <c r="AE161" s="4693"/>
      <c r="AF161" s="4694"/>
      <c r="AG161" s="4692"/>
      <c r="AH161" s="4693"/>
      <c r="AI161" s="4693"/>
      <c r="AJ161" s="4693"/>
      <c r="AK161" s="4693"/>
      <c r="AL161" s="4693"/>
      <c r="AM161" s="4693"/>
      <c r="AN161" s="4693"/>
      <c r="AO161" s="4693"/>
      <c r="AP161" s="4694"/>
      <c r="AQ161" s="4692"/>
      <c r="AR161" s="4693"/>
      <c r="AS161" s="4693"/>
      <c r="AT161" s="4693"/>
      <c r="AU161" s="4693"/>
      <c r="AV161" s="4693"/>
      <c r="AW161" s="4693"/>
      <c r="AX161" s="4693"/>
      <c r="AY161" s="4693"/>
      <c r="AZ161" s="4694"/>
      <c r="BA161" s="4692"/>
      <c r="BB161" s="4693"/>
      <c r="BC161" s="4693"/>
      <c r="BD161" s="4693"/>
      <c r="BE161" s="4693"/>
      <c r="BF161" s="4693"/>
      <c r="BG161" s="4693"/>
      <c r="BH161" s="4693"/>
      <c r="BI161" s="4693"/>
      <c r="BJ161" s="4694"/>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48" t="s">
        <v>4678</v>
      </c>
      <c r="BU161" s="4649"/>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54"/>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2" t="s">
        <v>4679</v>
      </c>
      <c r="U162" s="4683"/>
      <c r="V162" s="2371"/>
      <c r="W162" s="4684"/>
      <c r="X162" s="4685"/>
      <c r="Y162" s="4685"/>
      <c r="Z162" s="4685"/>
      <c r="AA162" s="4685"/>
      <c r="AB162" s="4685"/>
      <c r="AC162" s="4685"/>
      <c r="AD162" s="4685"/>
      <c r="AE162" s="4685"/>
      <c r="AF162" s="4686"/>
      <c r="AG162" s="4684"/>
      <c r="AH162" s="4685"/>
      <c r="AI162" s="4685"/>
      <c r="AJ162" s="4685"/>
      <c r="AK162" s="4685"/>
      <c r="AL162" s="4685"/>
      <c r="AM162" s="4685"/>
      <c r="AN162" s="4685"/>
      <c r="AO162" s="4685"/>
      <c r="AP162" s="4686"/>
      <c r="AQ162" s="4684"/>
      <c r="AR162" s="4685"/>
      <c r="AS162" s="4685"/>
      <c r="AT162" s="4685"/>
      <c r="AU162" s="4685"/>
      <c r="AV162" s="4685"/>
      <c r="AW162" s="4685"/>
      <c r="AX162" s="4685"/>
      <c r="AY162" s="4685"/>
      <c r="AZ162" s="4686"/>
      <c r="BA162" s="4684"/>
      <c r="BB162" s="4685"/>
      <c r="BC162" s="4685"/>
      <c r="BD162" s="4685"/>
      <c r="BE162" s="4685"/>
      <c r="BF162" s="4685"/>
      <c r="BG162" s="4685"/>
      <c r="BH162" s="4685"/>
      <c r="BI162" s="4685"/>
      <c r="BJ162" s="4686"/>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2" t="s">
        <v>1693</v>
      </c>
      <c r="BU162" s="4653"/>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54"/>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48" t="s">
        <v>4680</v>
      </c>
      <c r="BU163" s="4649"/>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2" t="s">
        <v>4660</v>
      </c>
      <c r="BU164" s="4653"/>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75" t="s">
        <v>4675</v>
      </c>
      <c r="U165" s="4676"/>
      <c r="V165" s="4676"/>
      <c r="W165" s="4676"/>
      <c r="X165" s="4676"/>
      <c r="Y165" s="4676"/>
      <c r="Z165" s="4676"/>
      <c r="AA165" s="4676"/>
      <c r="AB165" s="4676"/>
      <c r="AC165" s="4676"/>
      <c r="AD165" s="4676"/>
      <c r="AE165" s="4676"/>
      <c r="AF165" s="4676"/>
      <c r="AG165" s="4676"/>
      <c r="AH165" s="4676"/>
      <c r="AI165" s="4676"/>
      <c r="AJ165" s="4676"/>
      <c r="AK165" s="4676"/>
      <c r="AL165" s="4676"/>
      <c r="AM165" s="4676"/>
      <c r="AN165" s="4676"/>
      <c r="AO165" s="4676"/>
      <c r="AP165" s="4676"/>
      <c r="AQ165" s="4676"/>
      <c r="AR165" s="4676"/>
      <c r="AS165" s="4676"/>
      <c r="AT165" s="4676"/>
      <c r="AU165" s="4676"/>
      <c r="AV165" s="4676"/>
      <c r="AW165" s="4676"/>
      <c r="AX165" s="4676"/>
      <c r="AY165" s="4676"/>
      <c r="AZ165" s="4676"/>
      <c r="BA165" s="4676"/>
      <c r="BB165" s="4676"/>
      <c r="BC165" s="4676"/>
      <c r="BD165" s="4676"/>
      <c r="BE165" s="4676"/>
      <c r="BF165" s="4676"/>
      <c r="BG165" s="4676"/>
      <c r="BH165" s="4676"/>
      <c r="BI165" s="4676"/>
      <c r="BJ165" s="4676"/>
      <c r="BK165" s="4677"/>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48" t="s">
        <v>4681</v>
      </c>
      <c r="BU165" s="4649"/>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87"/>
      <c r="U166" s="4688"/>
      <c r="V166" s="2372" t="str">
        <f>IF(OR(V164=0,V164=""),"N/A",V164)</f>
        <v>N/A</v>
      </c>
      <c r="W166" s="4687" t="str">
        <f xml:space="preserve"> IF(OR(AF164=0,AF164=""),"N/A",W164)</f>
        <v>N/A</v>
      </c>
      <c r="X166" s="4689"/>
      <c r="Y166" s="4689"/>
      <c r="Z166" s="4689"/>
      <c r="AA166" s="4689"/>
      <c r="AB166" s="4689"/>
      <c r="AC166" s="4689"/>
      <c r="AD166" s="4689"/>
      <c r="AE166" s="4689"/>
      <c r="AF166" s="4688"/>
      <c r="AG166" s="4687" t="str">
        <f xml:space="preserve"> IF(OR(AP164="",AP164=0),"N/A",AG164)</f>
        <v>N/A</v>
      </c>
      <c r="AH166" s="4689"/>
      <c r="AI166" s="4689"/>
      <c r="AJ166" s="4689"/>
      <c r="AK166" s="4689"/>
      <c r="AL166" s="4689"/>
      <c r="AM166" s="4689"/>
      <c r="AN166" s="4689"/>
      <c r="AO166" s="4689"/>
      <c r="AP166" s="4688"/>
      <c r="AQ166" s="4687" t="str">
        <f xml:space="preserve"> IF(OR(AZ164="",AZ164=0),"N/A",AQ164)</f>
        <v>N/A</v>
      </c>
      <c r="AR166" s="4689"/>
      <c r="AS166" s="4689"/>
      <c r="AT166" s="4689"/>
      <c r="AU166" s="4689"/>
      <c r="AV166" s="4689"/>
      <c r="AW166" s="4689"/>
      <c r="AX166" s="4689"/>
      <c r="AY166" s="4689"/>
      <c r="AZ166" s="4688"/>
      <c r="BA166" s="4687" t="str">
        <f xml:space="preserve"> IF(OR(BJ164="",BJ164=0),"N/A",BA164)</f>
        <v>N/A</v>
      </c>
      <c r="BB166" s="4689"/>
      <c r="BC166" s="4689"/>
      <c r="BD166" s="4689"/>
      <c r="BE166" s="4689"/>
      <c r="BF166" s="4689"/>
      <c r="BG166" s="4689"/>
      <c r="BH166" s="4689"/>
      <c r="BI166" s="4689"/>
      <c r="BJ166" s="4688"/>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2" t="s">
        <v>4654</v>
      </c>
      <c r="BU166" s="4653"/>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90" t="s">
        <v>4677</v>
      </c>
      <c r="U167" s="4691"/>
      <c r="V167" s="2373"/>
      <c r="W167" s="4692"/>
      <c r="X167" s="4693"/>
      <c r="Y167" s="4693"/>
      <c r="Z167" s="4693"/>
      <c r="AA167" s="4693"/>
      <c r="AB167" s="4693"/>
      <c r="AC167" s="4693"/>
      <c r="AD167" s="4693"/>
      <c r="AE167" s="4693"/>
      <c r="AF167" s="4694"/>
      <c r="AG167" s="4692"/>
      <c r="AH167" s="4693"/>
      <c r="AI167" s="4693"/>
      <c r="AJ167" s="4693"/>
      <c r="AK167" s="4693"/>
      <c r="AL167" s="4693"/>
      <c r="AM167" s="4693"/>
      <c r="AN167" s="4693"/>
      <c r="AO167" s="4693"/>
      <c r="AP167" s="4694"/>
      <c r="AQ167" s="4692"/>
      <c r="AR167" s="4693"/>
      <c r="AS167" s="4693"/>
      <c r="AT167" s="4693"/>
      <c r="AU167" s="4693"/>
      <c r="AV167" s="4693"/>
      <c r="AW167" s="4693"/>
      <c r="AX167" s="4693"/>
      <c r="AY167" s="4693"/>
      <c r="AZ167" s="4694"/>
      <c r="BA167" s="4692"/>
      <c r="BB167" s="4693"/>
      <c r="BC167" s="4693"/>
      <c r="BD167" s="4693"/>
      <c r="BE167" s="4693"/>
      <c r="BF167" s="4693"/>
      <c r="BG167" s="4693"/>
      <c r="BH167" s="4693"/>
      <c r="BI167" s="4693"/>
      <c r="BJ167" s="4694"/>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4" t="s">
        <v>4682</v>
      </c>
      <c r="BU167" s="4645"/>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2" t="s">
        <v>4679</v>
      </c>
      <c r="U168" s="4683"/>
      <c r="V168" s="2371"/>
      <c r="W168" s="4684"/>
      <c r="X168" s="4685"/>
      <c r="Y168" s="4685"/>
      <c r="Z168" s="4685"/>
      <c r="AA168" s="4685"/>
      <c r="AB168" s="4685"/>
      <c r="AC168" s="4685"/>
      <c r="AD168" s="4685"/>
      <c r="AE168" s="4685"/>
      <c r="AF168" s="4686"/>
      <c r="AG168" s="4684"/>
      <c r="AH168" s="4685"/>
      <c r="AI168" s="4685"/>
      <c r="AJ168" s="4685"/>
      <c r="AK168" s="4685"/>
      <c r="AL168" s="4685"/>
      <c r="AM168" s="4685"/>
      <c r="AN168" s="4685"/>
      <c r="AO168" s="4685"/>
      <c r="AP168" s="4686"/>
      <c r="AQ168" s="4684"/>
      <c r="AR168" s="4685"/>
      <c r="AS168" s="4685"/>
      <c r="AT168" s="4685"/>
      <c r="AU168" s="4685"/>
      <c r="AV168" s="4685"/>
      <c r="AW168" s="4685"/>
      <c r="AX168" s="4685"/>
      <c r="AY168" s="4685"/>
      <c r="AZ168" s="4686"/>
      <c r="BA168" s="4684"/>
      <c r="BB168" s="4685"/>
      <c r="BC168" s="4685"/>
      <c r="BD168" s="4685"/>
      <c r="BE168" s="4685"/>
      <c r="BF168" s="4685"/>
      <c r="BG168" s="4685"/>
      <c r="BH168" s="4685"/>
      <c r="BI168" s="4685"/>
      <c r="BJ168" s="4686"/>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75" t="s">
        <v>4675</v>
      </c>
      <c r="U171" s="4676"/>
      <c r="V171" s="4676"/>
      <c r="W171" s="4676"/>
      <c r="X171" s="4676"/>
      <c r="Y171" s="4676"/>
      <c r="Z171" s="4676"/>
      <c r="AA171" s="4676"/>
      <c r="AB171" s="4676"/>
      <c r="AC171" s="4676"/>
      <c r="AD171" s="4676"/>
      <c r="AE171" s="4676"/>
      <c r="AF171" s="4676"/>
      <c r="AG171" s="4676"/>
      <c r="AH171" s="4676"/>
      <c r="AI171" s="4676"/>
      <c r="AJ171" s="4676"/>
      <c r="AK171" s="4676"/>
      <c r="AL171" s="4676"/>
      <c r="AM171" s="4676"/>
      <c r="AN171" s="4676"/>
      <c r="AO171" s="4676"/>
      <c r="AP171" s="4676"/>
      <c r="AQ171" s="4676"/>
      <c r="AR171" s="4676"/>
      <c r="AS171" s="4676"/>
      <c r="AT171" s="4676"/>
      <c r="AU171" s="4676"/>
      <c r="AV171" s="4676"/>
      <c r="AW171" s="4676"/>
      <c r="AX171" s="4676"/>
      <c r="AY171" s="4676"/>
      <c r="AZ171" s="4676"/>
      <c r="BA171" s="4676"/>
      <c r="BB171" s="4676"/>
      <c r="BC171" s="4676"/>
      <c r="BD171" s="4676"/>
      <c r="BE171" s="4676"/>
      <c r="BF171" s="4676"/>
      <c r="BG171" s="4676"/>
      <c r="BH171" s="4676"/>
      <c r="BI171" s="4676"/>
      <c r="BJ171" s="4676"/>
      <c r="BK171" s="4677"/>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87"/>
      <c r="U172" s="4688"/>
      <c r="V172" s="2372" t="str">
        <f>IF(OR(V170=0,V170=""),"N/A",V170)</f>
        <v>N/A</v>
      </c>
      <c r="W172" s="4687" t="str">
        <f xml:space="preserve"> IF(OR(AF170=0,AF170=""),"N/A",W170)</f>
        <v>N/A</v>
      </c>
      <c r="X172" s="4689"/>
      <c r="Y172" s="4689"/>
      <c r="Z172" s="4689"/>
      <c r="AA172" s="4689"/>
      <c r="AB172" s="4689"/>
      <c r="AC172" s="4689"/>
      <c r="AD172" s="4689"/>
      <c r="AE172" s="4689"/>
      <c r="AF172" s="4688"/>
      <c r="AG172" s="4687" t="str">
        <f xml:space="preserve"> IF(OR(AP170="",AP170=0),"N/A",AG170)</f>
        <v>N/A</v>
      </c>
      <c r="AH172" s="4689"/>
      <c r="AI172" s="4689"/>
      <c r="AJ172" s="4689"/>
      <c r="AK172" s="4689"/>
      <c r="AL172" s="4689"/>
      <c r="AM172" s="4689"/>
      <c r="AN172" s="4689"/>
      <c r="AO172" s="4689"/>
      <c r="AP172" s="4688"/>
      <c r="AQ172" s="4687" t="str">
        <f xml:space="preserve"> IF(OR(AZ170="",AZ170=0),"N/A",AQ170)</f>
        <v>N/A</v>
      </c>
      <c r="AR172" s="4689"/>
      <c r="AS172" s="4689"/>
      <c r="AT172" s="4689"/>
      <c r="AU172" s="4689"/>
      <c r="AV172" s="4689"/>
      <c r="AW172" s="4689"/>
      <c r="AX172" s="4689"/>
      <c r="AY172" s="4689"/>
      <c r="AZ172" s="4688"/>
      <c r="BA172" s="4687" t="str">
        <f xml:space="preserve"> IF(OR(BJ170="",BJ170=0),"N/A",BA170)</f>
        <v>N/A</v>
      </c>
      <c r="BB172" s="4689"/>
      <c r="BC172" s="4689"/>
      <c r="BD172" s="4689"/>
      <c r="BE172" s="4689"/>
      <c r="BF172" s="4689"/>
      <c r="BG172" s="4689"/>
      <c r="BH172" s="4689"/>
      <c r="BI172" s="4689"/>
      <c r="BJ172" s="4688"/>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90" t="s">
        <v>4677</v>
      </c>
      <c r="U173" s="4691"/>
      <c r="V173" s="2373"/>
      <c r="W173" s="4692"/>
      <c r="X173" s="4693"/>
      <c r="Y173" s="4693"/>
      <c r="Z173" s="4693"/>
      <c r="AA173" s="4693"/>
      <c r="AB173" s="4693"/>
      <c r="AC173" s="4693"/>
      <c r="AD173" s="4693"/>
      <c r="AE173" s="4693"/>
      <c r="AF173" s="4694"/>
      <c r="AG173" s="4692"/>
      <c r="AH173" s="4693"/>
      <c r="AI173" s="4693"/>
      <c r="AJ173" s="4693"/>
      <c r="AK173" s="4693"/>
      <c r="AL173" s="4693"/>
      <c r="AM173" s="4693"/>
      <c r="AN173" s="4693"/>
      <c r="AO173" s="4693"/>
      <c r="AP173" s="4694"/>
      <c r="AQ173" s="4692"/>
      <c r="AR173" s="4693"/>
      <c r="AS173" s="4693"/>
      <c r="AT173" s="4693"/>
      <c r="AU173" s="4693"/>
      <c r="AV173" s="4693"/>
      <c r="AW173" s="4693"/>
      <c r="AX173" s="4693"/>
      <c r="AY173" s="4693"/>
      <c r="AZ173" s="4694"/>
      <c r="BA173" s="4692"/>
      <c r="BB173" s="4693"/>
      <c r="BC173" s="4693"/>
      <c r="BD173" s="4693"/>
      <c r="BE173" s="4693"/>
      <c r="BF173" s="4693"/>
      <c r="BG173" s="4693"/>
      <c r="BH173" s="4693"/>
      <c r="BI173" s="4693"/>
      <c r="BJ173" s="4694"/>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2" t="s">
        <v>4679</v>
      </c>
      <c r="U174" s="4683"/>
      <c r="V174" s="2371"/>
      <c r="W174" s="4684"/>
      <c r="X174" s="4685"/>
      <c r="Y174" s="4685"/>
      <c r="Z174" s="4685"/>
      <c r="AA174" s="4685"/>
      <c r="AB174" s="4685"/>
      <c r="AC174" s="4685"/>
      <c r="AD174" s="4685"/>
      <c r="AE174" s="4685"/>
      <c r="AF174" s="4686"/>
      <c r="AG174" s="4684"/>
      <c r="AH174" s="4685"/>
      <c r="AI174" s="4685"/>
      <c r="AJ174" s="4685"/>
      <c r="AK174" s="4685"/>
      <c r="AL174" s="4685"/>
      <c r="AM174" s="4685"/>
      <c r="AN174" s="4685"/>
      <c r="AO174" s="4685"/>
      <c r="AP174" s="4686"/>
      <c r="AQ174" s="4684"/>
      <c r="AR174" s="4685"/>
      <c r="AS174" s="4685"/>
      <c r="AT174" s="4685"/>
      <c r="AU174" s="4685"/>
      <c r="AV174" s="4685"/>
      <c r="AW174" s="4685"/>
      <c r="AX174" s="4685"/>
      <c r="AY174" s="4685"/>
      <c r="AZ174" s="4686"/>
      <c r="BA174" s="4684"/>
      <c r="BB174" s="4685"/>
      <c r="BC174" s="4685"/>
      <c r="BD174" s="4685"/>
      <c r="BE174" s="4685"/>
      <c r="BF174" s="4685"/>
      <c r="BG174" s="4685"/>
      <c r="BH174" s="4685"/>
      <c r="BI174" s="4685"/>
      <c r="BJ174" s="4686"/>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75" t="s">
        <v>4675</v>
      </c>
      <c r="U177" s="4676"/>
      <c r="V177" s="4676"/>
      <c r="W177" s="4676"/>
      <c r="X177" s="4676"/>
      <c r="Y177" s="4676"/>
      <c r="Z177" s="4676"/>
      <c r="AA177" s="4676"/>
      <c r="AB177" s="4676"/>
      <c r="AC177" s="4676"/>
      <c r="AD177" s="4676"/>
      <c r="AE177" s="4676"/>
      <c r="AF177" s="4676"/>
      <c r="AG177" s="4676"/>
      <c r="AH177" s="4676"/>
      <c r="AI177" s="4676"/>
      <c r="AJ177" s="4676"/>
      <c r="AK177" s="4676"/>
      <c r="AL177" s="4676"/>
      <c r="AM177" s="4676"/>
      <c r="AN177" s="4676"/>
      <c r="AO177" s="4676"/>
      <c r="AP177" s="4676"/>
      <c r="AQ177" s="4676"/>
      <c r="AR177" s="4676"/>
      <c r="AS177" s="4676"/>
      <c r="AT177" s="4676"/>
      <c r="AU177" s="4676"/>
      <c r="AV177" s="4676"/>
      <c r="AW177" s="4676"/>
      <c r="AX177" s="4676"/>
      <c r="AY177" s="4676"/>
      <c r="AZ177" s="4676"/>
      <c r="BA177" s="4676"/>
      <c r="BB177" s="4676"/>
      <c r="BC177" s="4676"/>
      <c r="BD177" s="4676"/>
      <c r="BE177" s="4676"/>
      <c r="BF177" s="4676"/>
      <c r="BG177" s="4676"/>
      <c r="BH177" s="4676"/>
      <c r="BI177" s="4676"/>
      <c r="BJ177" s="4676"/>
      <c r="BK177" s="4677"/>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87"/>
      <c r="U178" s="4688"/>
      <c r="V178" s="2372" t="str">
        <f>IF(OR(V176=0,V176=""),"N/A",V176)</f>
        <v>N/A</v>
      </c>
      <c r="W178" s="4687" t="str">
        <f xml:space="preserve"> IF(OR(AF176=0,AF176=""),"N/A",W176)</f>
        <v>N/A</v>
      </c>
      <c r="X178" s="4689"/>
      <c r="Y178" s="4689"/>
      <c r="Z178" s="4689"/>
      <c r="AA178" s="4689"/>
      <c r="AB178" s="4689"/>
      <c r="AC178" s="4689"/>
      <c r="AD178" s="4689"/>
      <c r="AE178" s="4689"/>
      <c r="AF178" s="4688"/>
      <c r="AG178" s="4687" t="str">
        <f xml:space="preserve"> IF(OR(AP176="",AP176=0),"N/A",AG176)</f>
        <v>N/A</v>
      </c>
      <c r="AH178" s="4689"/>
      <c r="AI178" s="4689"/>
      <c r="AJ178" s="4689"/>
      <c r="AK178" s="4689"/>
      <c r="AL178" s="4689"/>
      <c r="AM178" s="4689"/>
      <c r="AN178" s="4689"/>
      <c r="AO178" s="4689"/>
      <c r="AP178" s="4688"/>
      <c r="AQ178" s="4687" t="str">
        <f xml:space="preserve"> IF(OR(AZ176="",AZ176=0),"N/A",AQ176)</f>
        <v>N/A</v>
      </c>
      <c r="AR178" s="4689"/>
      <c r="AS178" s="4689"/>
      <c r="AT178" s="4689"/>
      <c r="AU178" s="4689"/>
      <c r="AV178" s="4689"/>
      <c r="AW178" s="4689"/>
      <c r="AX178" s="4689"/>
      <c r="AY178" s="4689"/>
      <c r="AZ178" s="4688"/>
      <c r="BA178" s="4687" t="str">
        <f xml:space="preserve"> IF(OR(BJ176="",BJ176=0),"N/A",BA176)</f>
        <v>N/A</v>
      </c>
      <c r="BB178" s="4689"/>
      <c r="BC178" s="4689"/>
      <c r="BD178" s="4689"/>
      <c r="BE178" s="4689"/>
      <c r="BF178" s="4689"/>
      <c r="BG178" s="4689"/>
      <c r="BH178" s="4689"/>
      <c r="BI178" s="4689"/>
      <c r="BJ178" s="4688"/>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90" t="s">
        <v>4677</v>
      </c>
      <c r="U179" s="4691"/>
      <c r="V179" s="2373"/>
      <c r="W179" s="4692"/>
      <c r="X179" s="4693"/>
      <c r="Y179" s="4693"/>
      <c r="Z179" s="4693"/>
      <c r="AA179" s="4693"/>
      <c r="AB179" s="4693"/>
      <c r="AC179" s="4693"/>
      <c r="AD179" s="4693"/>
      <c r="AE179" s="4693"/>
      <c r="AF179" s="4694"/>
      <c r="AG179" s="4692"/>
      <c r="AH179" s="4693"/>
      <c r="AI179" s="4693"/>
      <c r="AJ179" s="4693"/>
      <c r="AK179" s="4693"/>
      <c r="AL179" s="4693"/>
      <c r="AM179" s="4693"/>
      <c r="AN179" s="4693"/>
      <c r="AO179" s="4693"/>
      <c r="AP179" s="4694"/>
      <c r="AQ179" s="4692"/>
      <c r="AR179" s="4693"/>
      <c r="AS179" s="4693"/>
      <c r="AT179" s="4693"/>
      <c r="AU179" s="4693"/>
      <c r="AV179" s="4693"/>
      <c r="AW179" s="4693"/>
      <c r="AX179" s="4693"/>
      <c r="AY179" s="4693"/>
      <c r="AZ179" s="4694"/>
      <c r="BA179" s="4692"/>
      <c r="BB179" s="4693"/>
      <c r="BC179" s="4693"/>
      <c r="BD179" s="4693"/>
      <c r="BE179" s="4693"/>
      <c r="BF179" s="4693"/>
      <c r="BG179" s="4693"/>
      <c r="BH179" s="4693"/>
      <c r="BI179" s="4693"/>
      <c r="BJ179" s="4694"/>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2" t="s">
        <v>4679</v>
      </c>
      <c r="U180" s="4683"/>
      <c r="V180" s="2371"/>
      <c r="W180" s="4684"/>
      <c r="X180" s="4685"/>
      <c r="Y180" s="4685"/>
      <c r="Z180" s="4685"/>
      <c r="AA180" s="4685"/>
      <c r="AB180" s="4685"/>
      <c r="AC180" s="4685"/>
      <c r="AD180" s="4685"/>
      <c r="AE180" s="4685"/>
      <c r="AF180" s="4686"/>
      <c r="AG180" s="4684"/>
      <c r="AH180" s="4685"/>
      <c r="AI180" s="4685"/>
      <c r="AJ180" s="4685"/>
      <c r="AK180" s="4685"/>
      <c r="AL180" s="4685"/>
      <c r="AM180" s="4685"/>
      <c r="AN180" s="4685"/>
      <c r="AO180" s="4685"/>
      <c r="AP180" s="4686"/>
      <c r="AQ180" s="4684"/>
      <c r="AR180" s="4685"/>
      <c r="AS180" s="4685"/>
      <c r="AT180" s="4685"/>
      <c r="AU180" s="4685"/>
      <c r="AV180" s="4685"/>
      <c r="AW180" s="4685"/>
      <c r="AX180" s="4685"/>
      <c r="AY180" s="4685"/>
      <c r="AZ180" s="4686"/>
      <c r="BA180" s="4684"/>
      <c r="BB180" s="4685"/>
      <c r="BC180" s="4685"/>
      <c r="BD180" s="4685"/>
      <c r="BE180" s="4685"/>
      <c r="BF180" s="4685"/>
      <c r="BG180" s="4685"/>
      <c r="BH180" s="4685"/>
      <c r="BI180" s="4685"/>
      <c r="BJ180" s="4686"/>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2"/>
      <c r="BV182" s="4642"/>
      <c r="BW182" s="4642"/>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75" t="s">
        <v>4675</v>
      </c>
      <c r="U183" s="4676"/>
      <c r="V183" s="4676"/>
      <c r="W183" s="4676"/>
      <c r="X183" s="4676"/>
      <c r="Y183" s="4676"/>
      <c r="Z183" s="4676"/>
      <c r="AA183" s="4676"/>
      <c r="AB183" s="4676"/>
      <c r="AC183" s="4676"/>
      <c r="AD183" s="4676"/>
      <c r="AE183" s="4676"/>
      <c r="AF183" s="4676"/>
      <c r="AG183" s="4676"/>
      <c r="AH183" s="4676"/>
      <c r="AI183" s="4676"/>
      <c r="AJ183" s="4676"/>
      <c r="AK183" s="4676"/>
      <c r="AL183" s="4676"/>
      <c r="AM183" s="4676"/>
      <c r="AN183" s="4676"/>
      <c r="AO183" s="4676"/>
      <c r="AP183" s="4676"/>
      <c r="AQ183" s="4676"/>
      <c r="AR183" s="4676"/>
      <c r="AS183" s="4676"/>
      <c r="AT183" s="4676"/>
      <c r="AU183" s="4676"/>
      <c r="AV183" s="4676"/>
      <c r="AW183" s="4676"/>
      <c r="AX183" s="4676"/>
      <c r="AY183" s="4676"/>
      <c r="AZ183" s="4676"/>
      <c r="BA183" s="4676"/>
      <c r="BB183" s="4676"/>
      <c r="BC183" s="4676"/>
      <c r="BD183" s="4676"/>
      <c r="BE183" s="4676"/>
      <c r="BF183" s="4676"/>
      <c r="BG183" s="4676"/>
      <c r="BH183" s="4676"/>
      <c r="BI183" s="4676"/>
      <c r="BJ183" s="4676"/>
      <c r="BK183" s="4677"/>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87"/>
      <c r="U184" s="4688"/>
      <c r="V184" s="2372" t="str">
        <f>IF(OR(V182=0,V182=""),"N/A",V182)</f>
        <v>N/A</v>
      </c>
      <c r="W184" s="4687" t="str">
        <f xml:space="preserve"> IF(OR(AF182=0,AF182=""),"N/A",W182)</f>
        <v>N/A</v>
      </c>
      <c r="X184" s="4689"/>
      <c r="Y184" s="4689"/>
      <c r="Z184" s="4689"/>
      <c r="AA184" s="4689"/>
      <c r="AB184" s="4689"/>
      <c r="AC184" s="4689"/>
      <c r="AD184" s="4689"/>
      <c r="AE184" s="4689"/>
      <c r="AF184" s="4688"/>
      <c r="AG184" s="4687" t="str">
        <f xml:space="preserve"> IF(OR(AP182="",AP182=0),"N/A",AG182)</f>
        <v>N/A</v>
      </c>
      <c r="AH184" s="4689"/>
      <c r="AI184" s="4689"/>
      <c r="AJ184" s="4689"/>
      <c r="AK184" s="4689"/>
      <c r="AL184" s="4689"/>
      <c r="AM184" s="4689"/>
      <c r="AN184" s="4689"/>
      <c r="AO184" s="4689"/>
      <c r="AP184" s="4688"/>
      <c r="AQ184" s="4687" t="str">
        <f xml:space="preserve"> IF(OR(AZ182="",AZ182=0),"N/A",AQ182)</f>
        <v>N/A</v>
      </c>
      <c r="AR184" s="4689"/>
      <c r="AS184" s="4689"/>
      <c r="AT184" s="4689"/>
      <c r="AU184" s="4689"/>
      <c r="AV184" s="4689"/>
      <c r="AW184" s="4689"/>
      <c r="AX184" s="4689"/>
      <c r="AY184" s="4689"/>
      <c r="AZ184" s="4688"/>
      <c r="BA184" s="4687" t="str">
        <f xml:space="preserve"> IF(OR(BJ182="",BJ182=0),"N/A",BA182)</f>
        <v>N/A</v>
      </c>
      <c r="BB184" s="4689"/>
      <c r="BC184" s="4689"/>
      <c r="BD184" s="4689"/>
      <c r="BE184" s="4689"/>
      <c r="BF184" s="4689"/>
      <c r="BG184" s="4689"/>
      <c r="BH184" s="4689"/>
      <c r="BI184" s="4689"/>
      <c r="BJ184" s="4688"/>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3"/>
      <c r="BV184" s="4643"/>
      <c r="BW184" s="4643"/>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90" t="s">
        <v>4677</v>
      </c>
      <c r="U185" s="4691"/>
      <c r="V185" s="2373"/>
      <c r="W185" s="4692"/>
      <c r="X185" s="4693"/>
      <c r="Y185" s="4693"/>
      <c r="Z185" s="4693"/>
      <c r="AA185" s="4693"/>
      <c r="AB185" s="4693"/>
      <c r="AC185" s="4693"/>
      <c r="AD185" s="4693"/>
      <c r="AE185" s="4693"/>
      <c r="AF185" s="4694"/>
      <c r="AG185" s="4692"/>
      <c r="AH185" s="4693"/>
      <c r="AI185" s="4693"/>
      <c r="AJ185" s="4693"/>
      <c r="AK185" s="4693"/>
      <c r="AL185" s="4693"/>
      <c r="AM185" s="4693"/>
      <c r="AN185" s="4693"/>
      <c r="AO185" s="4693"/>
      <c r="AP185" s="4694"/>
      <c r="AQ185" s="4692"/>
      <c r="AR185" s="4693"/>
      <c r="AS185" s="4693"/>
      <c r="AT185" s="4693"/>
      <c r="AU185" s="4693"/>
      <c r="AV185" s="4693"/>
      <c r="AW185" s="4693"/>
      <c r="AX185" s="4693"/>
      <c r="AY185" s="4693"/>
      <c r="AZ185" s="4694"/>
      <c r="BA185" s="4692"/>
      <c r="BB185" s="4693"/>
      <c r="BC185" s="4693"/>
      <c r="BD185" s="4693"/>
      <c r="BE185" s="4693"/>
      <c r="BF185" s="4693"/>
      <c r="BG185" s="4693"/>
      <c r="BH185" s="4693"/>
      <c r="BI185" s="4693"/>
      <c r="BJ185" s="4694"/>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95" t="s">
        <v>4679</v>
      </c>
      <c r="U186" s="4696"/>
      <c r="V186" s="2376"/>
      <c r="W186" s="4697"/>
      <c r="X186" s="4698"/>
      <c r="Y186" s="4698"/>
      <c r="Z186" s="4698"/>
      <c r="AA186" s="4698"/>
      <c r="AB186" s="4698"/>
      <c r="AC186" s="4698"/>
      <c r="AD186" s="4698"/>
      <c r="AE186" s="4698"/>
      <c r="AF186" s="4699"/>
      <c r="AG186" s="4697"/>
      <c r="AH186" s="4698"/>
      <c r="AI186" s="4698"/>
      <c r="AJ186" s="4698"/>
      <c r="AK186" s="4698"/>
      <c r="AL186" s="4698"/>
      <c r="AM186" s="4698"/>
      <c r="AN186" s="4698"/>
      <c r="AO186" s="4698"/>
      <c r="AP186" s="4699"/>
      <c r="AQ186" s="4697"/>
      <c r="AR186" s="4698"/>
      <c r="AS186" s="4698"/>
      <c r="AT186" s="4698"/>
      <c r="AU186" s="4698"/>
      <c r="AV186" s="4698"/>
      <c r="AW186" s="4698"/>
      <c r="AX186" s="4698"/>
      <c r="AY186" s="4698"/>
      <c r="AZ186" s="4699"/>
      <c r="BA186" s="4697"/>
      <c r="BB186" s="4698"/>
      <c r="BC186" s="4698"/>
      <c r="BD186" s="4698"/>
      <c r="BE186" s="4698"/>
      <c r="BF186" s="4698"/>
      <c r="BG186" s="4698"/>
      <c r="BH186" s="4698"/>
      <c r="BI186" s="4698"/>
      <c r="BJ186" s="4699"/>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1"/>
      <c r="BL187" s="4681"/>
      <c r="BM187" s="4645"/>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4" t="s">
        <v>4688</v>
      </c>
      <c r="BU187" s="4645"/>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78" t="str">
        <f>IF(OR(E188='Tablas Técnicas'!A$678,E188='Tablas Técnicas'!A$679,E189='Tablas Técnicas'!A$678,E189='Tablas Técnicas'!A$679,E190='Tablas Técnicas'!A$678,E190='Tablas Técnicas'!A$679),"Selecciona la atadura elemental:","")</f>
        <v/>
      </c>
      <c r="AH188" s="4679"/>
      <c r="AI188" s="4679"/>
      <c r="AJ188" s="4679"/>
      <c r="AK188" s="4679"/>
      <c r="AL188" s="4679"/>
      <c r="AM188" s="4679"/>
      <c r="AN188" s="4679"/>
      <c r="AO188" s="4679"/>
      <c r="AP188" s="4679"/>
      <c r="AQ188" s="4679"/>
      <c r="AR188" s="4679"/>
      <c r="AS188" s="4679"/>
      <c r="AT188" s="4679"/>
      <c r="AU188" s="4679"/>
      <c r="AV188" s="4679"/>
      <c r="AW188" s="4679"/>
      <c r="AX188" s="4679"/>
      <c r="AY188" s="4679"/>
      <c r="AZ188" s="4679"/>
      <c r="BA188" s="4679"/>
      <c r="BB188" s="4679"/>
      <c r="BC188" s="4679"/>
      <c r="BD188" s="4679"/>
      <c r="BE188" s="4679"/>
      <c r="BF188" s="4679"/>
      <c r="BG188" s="4679"/>
      <c r="BH188" s="4679"/>
      <c r="BI188" s="4679"/>
      <c r="BJ188" s="4679"/>
      <c r="BK188" s="4680"/>
      <c r="BL188" s="1540"/>
      <c r="BM188" s="1540"/>
      <c r="BN188" s="1084"/>
      <c r="BO188" s="1084"/>
      <c r="BP188" s="1117"/>
      <c r="BQ188" s="1084"/>
      <c r="BR188" s="1084"/>
      <c r="BS188" s="1084"/>
      <c r="BT188" s="4646">
        <f>D156</f>
        <v>1</v>
      </c>
      <c r="BU188" s="4647"/>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703" t="s">
        <v>3471</v>
      </c>
      <c r="X193" s="4703"/>
      <c r="Y193" s="4703"/>
      <c r="Z193" s="4703"/>
      <c r="AA193" s="4703"/>
      <c r="AB193" s="4703"/>
      <c r="AC193" s="4703"/>
      <c r="AD193" s="4703"/>
      <c r="AE193" s="4703"/>
      <c r="AF193" s="4703"/>
      <c r="AG193" s="4703"/>
      <c r="AH193" s="4703"/>
      <c r="AI193" s="4703"/>
      <c r="AJ193" s="4703"/>
      <c r="AK193" s="4703"/>
      <c r="AL193" s="4703"/>
      <c r="AM193" s="4703"/>
      <c r="AN193" s="4703"/>
      <c r="AO193" s="4703"/>
      <c r="AP193" s="4703"/>
      <c r="AQ193" s="4703"/>
      <c r="AR193" s="4703"/>
      <c r="AS193" s="4703"/>
      <c r="AT193" s="4703"/>
      <c r="AU193" s="4703"/>
      <c r="AV193" s="4703"/>
      <c r="AW193" s="4703"/>
      <c r="AX193" s="4703"/>
      <c r="AY193" s="4703"/>
      <c r="AZ193" s="4703"/>
      <c r="BA193" s="4703"/>
      <c r="BB193" s="4703"/>
      <c r="BC193" s="4703"/>
      <c r="BD193" s="4703"/>
      <c r="BE193" s="4703"/>
      <c r="BF193" s="4703"/>
      <c r="BG193" s="4703"/>
      <c r="BH193" s="4703"/>
      <c r="BI193" s="4703"/>
      <c r="BJ193" s="4703"/>
      <c r="BK193" s="4703" t="s">
        <v>3472</v>
      </c>
      <c r="BL193" s="4703"/>
      <c r="BM193" s="4674"/>
      <c r="BN193" s="1047" t="s">
        <v>4667</v>
      </c>
      <c r="BO193" s="1047" t="s">
        <v>4668</v>
      </c>
      <c r="BP193" s="1047" t="s">
        <v>4669</v>
      </c>
      <c r="BQ193" s="1047" t="s">
        <v>4670</v>
      </c>
      <c r="BR193" s="1047" t="s">
        <v>4671</v>
      </c>
      <c r="BS193" s="1048" t="s">
        <v>4672</v>
      </c>
      <c r="BT193" s="4648" t="s">
        <v>4673</v>
      </c>
      <c r="BU193" s="4656"/>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48" t="s">
        <v>4674</v>
      </c>
      <c r="BU195" s="4656"/>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5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75" t="s">
        <v>4675</v>
      </c>
      <c r="U196" s="4676"/>
      <c r="V196" s="4676"/>
      <c r="W196" s="4676"/>
      <c r="X196" s="4676"/>
      <c r="Y196" s="4676"/>
      <c r="Z196" s="4676"/>
      <c r="AA196" s="4676"/>
      <c r="AB196" s="4676"/>
      <c r="AC196" s="4676"/>
      <c r="AD196" s="4676"/>
      <c r="AE196" s="4676"/>
      <c r="AF196" s="4676"/>
      <c r="AG196" s="4676"/>
      <c r="AH196" s="4676"/>
      <c r="AI196" s="4676"/>
      <c r="AJ196" s="4676"/>
      <c r="AK196" s="4676"/>
      <c r="AL196" s="4676"/>
      <c r="AM196" s="4676"/>
      <c r="AN196" s="4676"/>
      <c r="AO196" s="4676"/>
      <c r="AP196" s="4676"/>
      <c r="AQ196" s="4676"/>
      <c r="AR196" s="4676"/>
      <c r="AS196" s="4676"/>
      <c r="AT196" s="4676"/>
      <c r="AU196" s="4676"/>
      <c r="AV196" s="4676"/>
      <c r="AW196" s="4676"/>
      <c r="AX196" s="4676"/>
      <c r="AY196" s="4676"/>
      <c r="AZ196" s="4676"/>
      <c r="BA196" s="4676"/>
      <c r="BB196" s="4676"/>
      <c r="BC196" s="4676"/>
      <c r="BD196" s="4676"/>
      <c r="BE196" s="4676"/>
      <c r="BF196" s="4676"/>
      <c r="BG196" s="4676"/>
      <c r="BH196" s="4676"/>
      <c r="BI196" s="4676"/>
      <c r="BJ196" s="4676"/>
      <c r="BK196" s="4700"/>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5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1"/>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54"/>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87"/>
      <c r="U197" s="4702"/>
      <c r="V197" s="2372" t="str">
        <f>IF(OR(V195=0,V195=""),"N/A",V195)</f>
        <v>N/A</v>
      </c>
      <c r="W197" s="4687" t="str">
        <f xml:space="preserve"> IF(OR(AF195=0,AF195=""),"N/A",W195)</f>
        <v>N/A</v>
      </c>
      <c r="X197" s="4689"/>
      <c r="Y197" s="4689"/>
      <c r="Z197" s="4689"/>
      <c r="AA197" s="4689"/>
      <c r="AB197" s="4689"/>
      <c r="AC197" s="4689"/>
      <c r="AD197" s="4689"/>
      <c r="AE197" s="4689"/>
      <c r="AF197" s="4702"/>
      <c r="AG197" s="4687" t="str">
        <f xml:space="preserve"> IF(OR(AP195="",AP195=0),"N/A",AG195)</f>
        <v>N/A</v>
      </c>
      <c r="AH197" s="4689"/>
      <c r="AI197" s="4689"/>
      <c r="AJ197" s="4689"/>
      <c r="AK197" s="4689"/>
      <c r="AL197" s="4689"/>
      <c r="AM197" s="4689"/>
      <c r="AN197" s="4689"/>
      <c r="AO197" s="4689"/>
      <c r="AP197" s="4702"/>
      <c r="AQ197" s="4687" t="str">
        <f xml:space="preserve"> IF(OR(AZ195="",AZ195=0),"N/A",AQ195)</f>
        <v>N/A</v>
      </c>
      <c r="AR197" s="4689"/>
      <c r="AS197" s="4689"/>
      <c r="AT197" s="4689"/>
      <c r="AU197" s="4689"/>
      <c r="AV197" s="4689"/>
      <c r="AW197" s="4689"/>
      <c r="AX197" s="4689"/>
      <c r="AY197" s="4689"/>
      <c r="AZ197" s="4702"/>
      <c r="BA197" s="4687" t="str">
        <f xml:space="preserve"> IF(OR(BJ195="",BJ195=0),"N/A",BA195)</f>
        <v>N/A</v>
      </c>
      <c r="BB197" s="4689"/>
      <c r="BC197" s="4689"/>
      <c r="BD197" s="4689"/>
      <c r="BE197" s="4689"/>
      <c r="BF197" s="4689"/>
      <c r="BG197" s="4689"/>
      <c r="BH197" s="4689"/>
      <c r="BI197" s="4689"/>
      <c r="BJ197" s="4702"/>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54"/>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04" t="s">
        <v>4677</v>
      </c>
      <c r="U198" s="4691"/>
      <c r="V198" s="2373"/>
      <c r="W198" s="4705"/>
      <c r="X198" s="4706"/>
      <c r="Y198" s="4706"/>
      <c r="Z198" s="4706"/>
      <c r="AA198" s="4706"/>
      <c r="AB198" s="4706"/>
      <c r="AC198" s="4706"/>
      <c r="AD198" s="4706"/>
      <c r="AE198" s="4706"/>
      <c r="AF198" s="4694"/>
      <c r="AG198" s="4705"/>
      <c r="AH198" s="4706"/>
      <c r="AI198" s="4706"/>
      <c r="AJ198" s="4706"/>
      <c r="AK198" s="4706"/>
      <c r="AL198" s="4706"/>
      <c r="AM198" s="4706"/>
      <c r="AN198" s="4706"/>
      <c r="AO198" s="4706"/>
      <c r="AP198" s="4694"/>
      <c r="AQ198" s="4705"/>
      <c r="AR198" s="4706"/>
      <c r="AS198" s="4706"/>
      <c r="AT198" s="4706"/>
      <c r="AU198" s="4706"/>
      <c r="AV198" s="4706"/>
      <c r="AW198" s="4706"/>
      <c r="AX198" s="4706"/>
      <c r="AY198" s="4706"/>
      <c r="AZ198" s="4694"/>
      <c r="BA198" s="4705"/>
      <c r="BB198" s="4706"/>
      <c r="BC198" s="4706"/>
      <c r="BD198" s="4706"/>
      <c r="BE198" s="4706"/>
      <c r="BF198" s="4706"/>
      <c r="BG198" s="4706"/>
      <c r="BH198" s="4706"/>
      <c r="BI198" s="4706"/>
      <c r="BJ198" s="4694"/>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48" t="s">
        <v>4678</v>
      </c>
      <c r="BU198" s="4656"/>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54"/>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2" t="s">
        <v>4679</v>
      </c>
      <c r="U199" s="4683"/>
      <c r="V199" s="2371"/>
      <c r="W199" s="4684"/>
      <c r="X199" s="4685"/>
      <c r="Y199" s="4685"/>
      <c r="Z199" s="4685"/>
      <c r="AA199" s="4685"/>
      <c r="AB199" s="4685"/>
      <c r="AC199" s="4685"/>
      <c r="AD199" s="4685"/>
      <c r="AE199" s="4685"/>
      <c r="AF199" s="4686"/>
      <c r="AG199" s="4684"/>
      <c r="AH199" s="4685"/>
      <c r="AI199" s="4685"/>
      <c r="AJ199" s="4685"/>
      <c r="AK199" s="4685"/>
      <c r="AL199" s="4685"/>
      <c r="AM199" s="4685"/>
      <c r="AN199" s="4685"/>
      <c r="AO199" s="4685"/>
      <c r="AP199" s="4686"/>
      <c r="AQ199" s="4684"/>
      <c r="AR199" s="4685"/>
      <c r="AS199" s="4685"/>
      <c r="AT199" s="4685"/>
      <c r="AU199" s="4685"/>
      <c r="AV199" s="4685"/>
      <c r="AW199" s="4685"/>
      <c r="AX199" s="4685"/>
      <c r="AY199" s="4685"/>
      <c r="AZ199" s="4686"/>
      <c r="BA199" s="4684"/>
      <c r="BB199" s="4685"/>
      <c r="BC199" s="4685"/>
      <c r="BD199" s="4685"/>
      <c r="BE199" s="4685"/>
      <c r="BF199" s="4685"/>
      <c r="BG199" s="4685"/>
      <c r="BH199" s="4685"/>
      <c r="BI199" s="4685"/>
      <c r="BJ199" s="4686"/>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2" t="s">
        <v>1693</v>
      </c>
      <c r="BU199" s="4657"/>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54"/>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48" t="s">
        <v>4680</v>
      </c>
      <c r="BU200" s="4656"/>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2" t="s">
        <v>4660</v>
      </c>
      <c r="BU201" s="4657"/>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75" t="s">
        <v>4675</v>
      </c>
      <c r="U202" s="4676"/>
      <c r="V202" s="4676"/>
      <c r="W202" s="4676"/>
      <c r="X202" s="4676"/>
      <c r="Y202" s="4676"/>
      <c r="Z202" s="4676"/>
      <c r="AA202" s="4676"/>
      <c r="AB202" s="4676"/>
      <c r="AC202" s="4676"/>
      <c r="AD202" s="4676"/>
      <c r="AE202" s="4676"/>
      <c r="AF202" s="4676"/>
      <c r="AG202" s="4676"/>
      <c r="AH202" s="4676"/>
      <c r="AI202" s="4676"/>
      <c r="AJ202" s="4676"/>
      <c r="AK202" s="4676"/>
      <c r="AL202" s="4676"/>
      <c r="AM202" s="4676"/>
      <c r="AN202" s="4676"/>
      <c r="AO202" s="4676"/>
      <c r="AP202" s="4676"/>
      <c r="AQ202" s="4676"/>
      <c r="AR202" s="4676"/>
      <c r="AS202" s="4676"/>
      <c r="AT202" s="4676"/>
      <c r="AU202" s="4676"/>
      <c r="AV202" s="4676"/>
      <c r="AW202" s="4676"/>
      <c r="AX202" s="4676"/>
      <c r="AY202" s="4676"/>
      <c r="AZ202" s="4676"/>
      <c r="BA202" s="4676"/>
      <c r="BB202" s="4676"/>
      <c r="BC202" s="4676"/>
      <c r="BD202" s="4676"/>
      <c r="BE202" s="4676"/>
      <c r="BF202" s="4676"/>
      <c r="BG202" s="4676"/>
      <c r="BH202" s="4676"/>
      <c r="BI202" s="4676"/>
      <c r="BJ202" s="4676"/>
      <c r="BK202" s="4700"/>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48" t="s">
        <v>4681</v>
      </c>
      <c r="BU202" s="4656"/>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87"/>
      <c r="U203" s="4702"/>
      <c r="V203" s="2372" t="str">
        <f>IF(OR(V201=0,V201=""),"N/A",V201)</f>
        <v>N/A</v>
      </c>
      <c r="W203" s="4687" t="str">
        <f xml:space="preserve"> IF(OR(AF201=0,AF201=""),"N/A",W201)</f>
        <v>N/A</v>
      </c>
      <c r="X203" s="4689"/>
      <c r="Y203" s="4689"/>
      <c r="Z203" s="4689"/>
      <c r="AA203" s="4689"/>
      <c r="AB203" s="4689"/>
      <c r="AC203" s="4689"/>
      <c r="AD203" s="4689"/>
      <c r="AE203" s="4689"/>
      <c r="AF203" s="4702"/>
      <c r="AG203" s="4687" t="str">
        <f xml:space="preserve"> IF(OR(AP201="",AP201=0),"N/A",AG201)</f>
        <v>N/A</v>
      </c>
      <c r="AH203" s="4689"/>
      <c r="AI203" s="4689"/>
      <c r="AJ203" s="4689"/>
      <c r="AK203" s="4689"/>
      <c r="AL203" s="4689"/>
      <c r="AM203" s="4689"/>
      <c r="AN203" s="4689"/>
      <c r="AO203" s="4689"/>
      <c r="AP203" s="4702"/>
      <c r="AQ203" s="4687" t="str">
        <f xml:space="preserve"> IF(OR(AZ201="",AZ201=0),"N/A",AQ201)</f>
        <v>N/A</v>
      </c>
      <c r="AR203" s="4689"/>
      <c r="AS203" s="4689"/>
      <c r="AT203" s="4689"/>
      <c r="AU203" s="4689"/>
      <c r="AV203" s="4689"/>
      <c r="AW203" s="4689"/>
      <c r="AX203" s="4689"/>
      <c r="AY203" s="4689"/>
      <c r="AZ203" s="4702"/>
      <c r="BA203" s="4687" t="str">
        <f xml:space="preserve"> IF(OR(BJ201="",BJ201=0),"N/A",BA201)</f>
        <v>N/A</v>
      </c>
      <c r="BB203" s="4689"/>
      <c r="BC203" s="4689"/>
      <c r="BD203" s="4689"/>
      <c r="BE203" s="4689"/>
      <c r="BF203" s="4689"/>
      <c r="BG203" s="4689"/>
      <c r="BH203" s="4689"/>
      <c r="BI203" s="4689"/>
      <c r="BJ203" s="4702"/>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2" t="s">
        <v>4654</v>
      </c>
      <c r="BU203" s="4657"/>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04" t="s">
        <v>4677</v>
      </c>
      <c r="U204" s="4691"/>
      <c r="V204" s="2373"/>
      <c r="W204" s="4705"/>
      <c r="X204" s="4706"/>
      <c r="Y204" s="4706"/>
      <c r="Z204" s="4706"/>
      <c r="AA204" s="4706"/>
      <c r="AB204" s="4706"/>
      <c r="AC204" s="4706"/>
      <c r="AD204" s="4706"/>
      <c r="AE204" s="4706"/>
      <c r="AF204" s="4694"/>
      <c r="AG204" s="4705"/>
      <c r="AH204" s="4706"/>
      <c r="AI204" s="4706"/>
      <c r="AJ204" s="4706"/>
      <c r="AK204" s="4706"/>
      <c r="AL204" s="4706"/>
      <c r="AM204" s="4706"/>
      <c r="AN204" s="4706"/>
      <c r="AO204" s="4706"/>
      <c r="AP204" s="4694"/>
      <c r="AQ204" s="4705"/>
      <c r="AR204" s="4706"/>
      <c r="AS204" s="4706"/>
      <c r="AT204" s="4706"/>
      <c r="AU204" s="4706"/>
      <c r="AV204" s="4706"/>
      <c r="AW204" s="4706"/>
      <c r="AX204" s="4706"/>
      <c r="AY204" s="4706"/>
      <c r="AZ204" s="4694"/>
      <c r="BA204" s="4705"/>
      <c r="BB204" s="4706"/>
      <c r="BC204" s="4706"/>
      <c r="BD204" s="4706"/>
      <c r="BE204" s="4706"/>
      <c r="BF204" s="4706"/>
      <c r="BG204" s="4706"/>
      <c r="BH204" s="4706"/>
      <c r="BI204" s="4706"/>
      <c r="BJ204" s="4694"/>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4" t="s">
        <v>4682</v>
      </c>
      <c r="BU204" s="4655"/>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2" t="s">
        <v>4679</v>
      </c>
      <c r="U205" s="4683"/>
      <c r="V205" s="2371"/>
      <c r="W205" s="4684"/>
      <c r="X205" s="4685"/>
      <c r="Y205" s="4685"/>
      <c r="Z205" s="4685"/>
      <c r="AA205" s="4685"/>
      <c r="AB205" s="4685"/>
      <c r="AC205" s="4685"/>
      <c r="AD205" s="4685"/>
      <c r="AE205" s="4685"/>
      <c r="AF205" s="4686"/>
      <c r="AG205" s="4684"/>
      <c r="AH205" s="4685"/>
      <c r="AI205" s="4685"/>
      <c r="AJ205" s="4685"/>
      <c r="AK205" s="4685"/>
      <c r="AL205" s="4685"/>
      <c r="AM205" s="4685"/>
      <c r="AN205" s="4685"/>
      <c r="AO205" s="4685"/>
      <c r="AP205" s="4686"/>
      <c r="AQ205" s="4684"/>
      <c r="AR205" s="4685"/>
      <c r="AS205" s="4685"/>
      <c r="AT205" s="4685"/>
      <c r="AU205" s="4685"/>
      <c r="AV205" s="4685"/>
      <c r="AW205" s="4685"/>
      <c r="AX205" s="4685"/>
      <c r="AY205" s="4685"/>
      <c r="AZ205" s="4686"/>
      <c r="BA205" s="4684"/>
      <c r="BB205" s="4685"/>
      <c r="BC205" s="4685"/>
      <c r="BD205" s="4685"/>
      <c r="BE205" s="4685"/>
      <c r="BF205" s="4685"/>
      <c r="BG205" s="4685"/>
      <c r="BH205" s="4685"/>
      <c r="BI205" s="4685"/>
      <c r="BJ205" s="4686"/>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75" t="s">
        <v>4675</v>
      </c>
      <c r="U208" s="4676"/>
      <c r="V208" s="4676"/>
      <c r="W208" s="4676"/>
      <c r="X208" s="4676"/>
      <c r="Y208" s="4676"/>
      <c r="Z208" s="4676"/>
      <c r="AA208" s="4676"/>
      <c r="AB208" s="4676"/>
      <c r="AC208" s="4676"/>
      <c r="AD208" s="4676"/>
      <c r="AE208" s="4676"/>
      <c r="AF208" s="4676"/>
      <c r="AG208" s="4676"/>
      <c r="AH208" s="4676"/>
      <c r="AI208" s="4676"/>
      <c r="AJ208" s="4676"/>
      <c r="AK208" s="4676"/>
      <c r="AL208" s="4676"/>
      <c r="AM208" s="4676"/>
      <c r="AN208" s="4676"/>
      <c r="AO208" s="4676"/>
      <c r="AP208" s="4676"/>
      <c r="AQ208" s="4676"/>
      <c r="AR208" s="4676"/>
      <c r="AS208" s="4676"/>
      <c r="AT208" s="4676"/>
      <c r="AU208" s="4676"/>
      <c r="AV208" s="4676"/>
      <c r="AW208" s="4676"/>
      <c r="AX208" s="4676"/>
      <c r="AY208" s="4676"/>
      <c r="AZ208" s="4676"/>
      <c r="BA208" s="4676"/>
      <c r="BB208" s="4676"/>
      <c r="BC208" s="4676"/>
      <c r="BD208" s="4676"/>
      <c r="BE208" s="4676"/>
      <c r="BF208" s="4676"/>
      <c r="BG208" s="4676"/>
      <c r="BH208" s="4676"/>
      <c r="BI208" s="4676"/>
      <c r="BJ208" s="4676"/>
      <c r="BK208" s="4700"/>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87"/>
      <c r="U209" s="4702"/>
      <c r="V209" s="2372" t="str">
        <f>IF(OR(V207=0,V207=""),"N/A",V207)</f>
        <v>N/A</v>
      </c>
      <c r="W209" s="4687" t="str">
        <f xml:space="preserve"> IF(OR(AF207=0,AF207=""),"N/A",W207)</f>
        <v>N/A</v>
      </c>
      <c r="X209" s="4689"/>
      <c r="Y209" s="4689"/>
      <c r="Z209" s="4689"/>
      <c r="AA209" s="4689"/>
      <c r="AB209" s="4689"/>
      <c r="AC209" s="4689"/>
      <c r="AD209" s="4689"/>
      <c r="AE209" s="4689"/>
      <c r="AF209" s="4702"/>
      <c r="AG209" s="4687" t="str">
        <f xml:space="preserve"> IF(OR(AP207="",AP207=0),"N/A",AG207)</f>
        <v>N/A</v>
      </c>
      <c r="AH209" s="4689"/>
      <c r="AI209" s="4689"/>
      <c r="AJ209" s="4689"/>
      <c r="AK209" s="4689"/>
      <c r="AL209" s="4689"/>
      <c r="AM209" s="4689"/>
      <c r="AN209" s="4689"/>
      <c r="AO209" s="4689"/>
      <c r="AP209" s="4702"/>
      <c r="AQ209" s="4687" t="str">
        <f xml:space="preserve"> IF(OR(AZ207="",AZ207=0),"N/A",AQ207)</f>
        <v>N/A</v>
      </c>
      <c r="AR209" s="4689"/>
      <c r="AS209" s="4689"/>
      <c r="AT209" s="4689"/>
      <c r="AU209" s="4689"/>
      <c r="AV209" s="4689"/>
      <c r="AW209" s="4689"/>
      <c r="AX209" s="4689"/>
      <c r="AY209" s="4689"/>
      <c r="AZ209" s="4702"/>
      <c r="BA209" s="4687" t="str">
        <f xml:space="preserve"> IF(OR(BJ207="",BJ207=0),"N/A",BA207)</f>
        <v>N/A</v>
      </c>
      <c r="BB209" s="4689"/>
      <c r="BC209" s="4689"/>
      <c r="BD209" s="4689"/>
      <c r="BE209" s="4689"/>
      <c r="BF209" s="4689"/>
      <c r="BG209" s="4689"/>
      <c r="BH209" s="4689"/>
      <c r="BI209" s="4689"/>
      <c r="BJ209" s="4702"/>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04" t="s">
        <v>4677</v>
      </c>
      <c r="U210" s="4691"/>
      <c r="V210" s="2373"/>
      <c r="W210" s="4705"/>
      <c r="X210" s="4706"/>
      <c r="Y210" s="4706"/>
      <c r="Z210" s="4706"/>
      <c r="AA210" s="4706"/>
      <c r="AB210" s="4706"/>
      <c r="AC210" s="4706"/>
      <c r="AD210" s="4706"/>
      <c r="AE210" s="4706"/>
      <c r="AF210" s="4694"/>
      <c r="AG210" s="4705"/>
      <c r="AH210" s="4706"/>
      <c r="AI210" s="4706"/>
      <c r="AJ210" s="4706"/>
      <c r="AK210" s="4706"/>
      <c r="AL210" s="4706"/>
      <c r="AM210" s="4706"/>
      <c r="AN210" s="4706"/>
      <c r="AO210" s="4706"/>
      <c r="AP210" s="4694"/>
      <c r="AQ210" s="4705"/>
      <c r="AR210" s="4706"/>
      <c r="AS210" s="4706"/>
      <c r="AT210" s="4706"/>
      <c r="AU210" s="4706"/>
      <c r="AV210" s="4706"/>
      <c r="AW210" s="4706"/>
      <c r="AX210" s="4706"/>
      <c r="AY210" s="4706"/>
      <c r="AZ210" s="4694"/>
      <c r="BA210" s="4705"/>
      <c r="BB210" s="4706"/>
      <c r="BC210" s="4706"/>
      <c r="BD210" s="4706"/>
      <c r="BE210" s="4706"/>
      <c r="BF210" s="4706"/>
      <c r="BG210" s="4706"/>
      <c r="BH210" s="4706"/>
      <c r="BI210" s="4706"/>
      <c r="BJ210" s="4694"/>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2" t="s">
        <v>4679</v>
      </c>
      <c r="U211" s="4683"/>
      <c r="V211" s="2371"/>
      <c r="W211" s="4684"/>
      <c r="X211" s="4685"/>
      <c r="Y211" s="4685"/>
      <c r="Z211" s="4685"/>
      <c r="AA211" s="4685"/>
      <c r="AB211" s="4685"/>
      <c r="AC211" s="4685"/>
      <c r="AD211" s="4685"/>
      <c r="AE211" s="4685"/>
      <c r="AF211" s="4686"/>
      <c r="AG211" s="4684"/>
      <c r="AH211" s="4685"/>
      <c r="AI211" s="4685"/>
      <c r="AJ211" s="4685"/>
      <c r="AK211" s="4685"/>
      <c r="AL211" s="4685"/>
      <c r="AM211" s="4685"/>
      <c r="AN211" s="4685"/>
      <c r="AO211" s="4685"/>
      <c r="AP211" s="4686"/>
      <c r="AQ211" s="4684"/>
      <c r="AR211" s="4685"/>
      <c r="AS211" s="4685"/>
      <c r="AT211" s="4685"/>
      <c r="AU211" s="4685"/>
      <c r="AV211" s="4685"/>
      <c r="AW211" s="4685"/>
      <c r="AX211" s="4685"/>
      <c r="AY211" s="4685"/>
      <c r="AZ211" s="4686"/>
      <c r="BA211" s="4684"/>
      <c r="BB211" s="4685"/>
      <c r="BC211" s="4685"/>
      <c r="BD211" s="4685"/>
      <c r="BE211" s="4685"/>
      <c r="BF211" s="4685"/>
      <c r="BG211" s="4685"/>
      <c r="BH211" s="4685"/>
      <c r="BI211" s="4685"/>
      <c r="BJ211" s="4686"/>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75" t="s">
        <v>4675</v>
      </c>
      <c r="U214" s="4676"/>
      <c r="V214" s="4676"/>
      <c r="W214" s="4676"/>
      <c r="X214" s="4676"/>
      <c r="Y214" s="4676"/>
      <c r="Z214" s="4676"/>
      <c r="AA214" s="4676"/>
      <c r="AB214" s="4676"/>
      <c r="AC214" s="4676"/>
      <c r="AD214" s="4676"/>
      <c r="AE214" s="4676"/>
      <c r="AF214" s="4676"/>
      <c r="AG214" s="4676"/>
      <c r="AH214" s="4676"/>
      <c r="AI214" s="4676"/>
      <c r="AJ214" s="4676"/>
      <c r="AK214" s="4676"/>
      <c r="AL214" s="4676"/>
      <c r="AM214" s="4676"/>
      <c r="AN214" s="4676"/>
      <c r="AO214" s="4676"/>
      <c r="AP214" s="4676"/>
      <c r="AQ214" s="4676"/>
      <c r="AR214" s="4676"/>
      <c r="AS214" s="4676"/>
      <c r="AT214" s="4676"/>
      <c r="AU214" s="4676"/>
      <c r="AV214" s="4676"/>
      <c r="AW214" s="4676"/>
      <c r="AX214" s="4676"/>
      <c r="AY214" s="4676"/>
      <c r="AZ214" s="4676"/>
      <c r="BA214" s="4676"/>
      <c r="BB214" s="4676"/>
      <c r="BC214" s="4676"/>
      <c r="BD214" s="4676"/>
      <c r="BE214" s="4676"/>
      <c r="BF214" s="4676"/>
      <c r="BG214" s="4676"/>
      <c r="BH214" s="4676"/>
      <c r="BI214" s="4676"/>
      <c r="BJ214" s="4676"/>
      <c r="BK214" s="4700"/>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87"/>
      <c r="U215" s="4702"/>
      <c r="V215" s="2372" t="str">
        <f>IF(OR(V213=0,V213=""),"N/A",V213)</f>
        <v>N/A</v>
      </c>
      <c r="W215" s="4687" t="str">
        <f xml:space="preserve"> IF(OR(AF213=0,AF213=""),"N/A",W213)</f>
        <v>N/A</v>
      </c>
      <c r="X215" s="4689"/>
      <c r="Y215" s="4689"/>
      <c r="Z215" s="4689"/>
      <c r="AA215" s="4689"/>
      <c r="AB215" s="4689"/>
      <c r="AC215" s="4689"/>
      <c r="AD215" s="4689"/>
      <c r="AE215" s="4689"/>
      <c r="AF215" s="4702"/>
      <c r="AG215" s="4687" t="str">
        <f xml:space="preserve"> IF(OR(AP213="",AP213=0),"N/A",AG213)</f>
        <v>N/A</v>
      </c>
      <c r="AH215" s="4689"/>
      <c r="AI215" s="4689"/>
      <c r="AJ215" s="4689"/>
      <c r="AK215" s="4689"/>
      <c r="AL215" s="4689"/>
      <c r="AM215" s="4689"/>
      <c r="AN215" s="4689"/>
      <c r="AO215" s="4689"/>
      <c r="AP215" s="4702"/>
      <c r="AQ215" s="4687" t="str">
        <f xml:space="preserve"> IF(OR(AZ213="",AZ213=0),"N/A",AQ213)</f>
        <v>N/A</v>
      </c>
      <c r="AR215" s="4689"/>
      <c r="AS215" s="4689"/>
      <c r="AT215" s="4689"/>
      <c r="AU215" s="4689"/>
      <c r="AV215" s="4689"/>
      <c r="AW215" s="4689"/>
      <c r="AX215" s="4689"/>
      <c r="AY215" s="4689"/>
      <c r="AZ215" s="4702"/>
      <c r="BA215" s="4687" t="str">
        <f xml:space="preserve"> IF(OR(BJ213="",BJ213=0),"N/A",BA213)</f>
        <v>N/A</v>
      </c>
      <c r="BB215" s="4689"/>
      <c r="BC215" s="4689"/>
      <c r="BD215" s="4689"/>
      <c r="BE215" s="4689"/>
      <c r="BF215" s="4689"/>
      <c r="BG215" s="4689"/>
      <c r="BH215" s="4689"/>
      <c r="BI215" s="4689"/>
      <c r="BJ215" s="4702"/>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04" t="s">
        <v>4677</v>
      </c>
      <c r="U216" s="4691"/>
      <c r="V216" s="2373"/>
      <c r="W216" s="4705"/>
      <c r="X216" s="4706"/>
      <c r="Y216" s="4706"/>
      <c r="Z216" s="4706"/>
      <c r="AA216" s="4706"/>
      <c r="AB216" s="4706"/>
      <c r="AC216" s="4706"/>
      <c r="AD216" s="4706"/>
      <c r="AE216" s="4706"/>
      <c r="AF216" s="4694"/>
      <c r="AG216" s="4705"/>
      <c r="AH216" s="4706"/>
      <c r="AI216" s="4706"/>
      <c r="AJ216" s="4706"/>
      <c r="AK216" s="4706"/>
      <c r="AL216" s="4706"/>
      <c r="AM216" s="4706"/>
      <c r="AN216" s="4706"/>
      <c r="AO216" s="4706"/>
      <c r="AP216" s="4694"/>
      <c r="AQ216" s="4705"/>
      <c r="AR216" s="4706"/>
      <c r="AS216" s="4706"/>
      <c r="AT216" s="4706"/>
      <c r="AU216" s="4706"/>
      <c r="AV216" s="4706"/>
      <c r="AW216" s="4706"/>
      <c r="AX216" s="4706"/>
      <c r="AY216" s="4706"/>
      <c r="AZ216" s="4694"/>
      <c r="BA216" s="4705"/>
      <c r="BB216" s="4706"/>
      <c r="BC216" s="4706"/>
      <c r="BD216" s="4706"/>
      <c r="BE216" s="4706"/>
      <c r="BF216" s="4706"/>
      <c r="BG216" s="4706"/>
      <c r="BH216" s="4706"/>
      <c r="BI216" s="4706"/>
      <c r="BJ216" s="4694"/>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2" t="s">
        <v>4679</v>
      </c>
      <c r="U217" s="4683"/>
      <c r="V217" s="2371"/>
      <c r="W217" s="4684"/>
      <c r="X217" s="4685"/>
      <c r="Y217" s="4685"/>
      <c r="Z217" s="4685"/>
      <c r="AA217" s="4685"/>
      <c r="AB217" s="4685"/>
      <c r="AC217" s="4685"/>
      <c r="AD217" s="4685"/>
      <c r="AE217" s="4685"/>
      <c r="AF217" s="4686"/>
      <c r="AG217" s="4684"/>
      <c r="AH217" s="4685"/>
      <c r="AI217" s="4685"/>
      <c r="AJ217" s="4685"/>
      <c r="AK217" s="4685"/>
      <c r="AL217" s="4685"/>
      <c r="AM217" s="4685"/>
      <c r="AN217" s="4685"/>
      <c r="AO217" s="4685"/>
      <c r="AP217" s="4686"/>
      <c r="AQ217" s="4684"/>
      <c r="AR217" s="4685"/>
      <c r="AS217" s="4685"/>
      <c r="AT217" s="4685"/>
      <c r="AU217" s="4685"/>
      <c r="AV217" s="4685"/>
      <c r="AW217" s="4685"/>
      <c r="AX217" s="4685"/>
      <c r="AY217" s="4685"/>
      <c r="AZ217" s="4686"/>
      <c r="BA217" s="4684"/>
      <c r="BB217" s="4685"/>
      <c r="BC217" s="4685"/>
      <c r="BD217" s="4685"/>
      <c r="BE217" s="4685"/>
      <c r="BF217" s="4685"/>
      <c r="BG217" s="4685"/>
      <c r="BH217" s="4685"/>
      <c r="BI217" s="4685"/>
      <c r="BJ217" s="4686"/>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2"/>
      <c r="BV219" s="4642"/>
      <c r="BW219" s="4642"/>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75" t="s">
        <v>4675</v>
      </c>
      <c r="U220" s="4676"/>
      <c r="V220" s="4676"/>
      <c r="W220" s="4676"/>
      <c r="X220" s="4676"/>
      <c r="Y220" s="4676"/>
      <c r="Z220" s="4676"/>
      <c r="AA220" s="4676"/>
      <c r="AB220" s="4676"/>
      <c r="AC220" s="4676"/>
      <c r="AD220" s="4676"/>
      <c r="AE220" s="4676"/>
      <c r="AF220" s="4676"/>
      <c r="AG220" s="4676"/>
      <c r="AH220" s="4676"/>
      <c r="AI220" s="4676"/>
      <c r="AJ220" s="4676"/>
      <c r="AK220" s="4676"/>
      <c r="AL220" s="4676"/>
      <c r="AM220" s="4676"/>
      <c r="AN220" s="4676"/>
      <c r="AO220" s="4676"/>
      <c r="AP220" s="4676"/>
      <c r="AQ220" s="4676"/>
      <c r="AR220" s="4676"/>
      <c r="AS220" s="4676"/>
      <c r="AT220" s="4676"/>
      <c r="AU220" s="4676"/>
      <c r="AV220" s="4676"/>
      <c r="AW220" s="4676"/>
      <c r="AX220" s="4676"/>
      <c r="AY220" s="4676"/>
      <c r="AZ220" s="4676"/>
      <c r="BA220" s="4676"/>
      <c r="BB220" s="4676"/>
      <c r="BC220" s="4676"/>
      <c r="BD220" s="4676"/>
      <c r="BE220" s="4676"/>
      <c r="BF220" s="4676"/>
      <c r="BG220" s="4676"/>
      <c r="BH220" s="4676"/>
      <c r="BI220" s="4676"/>
      <c r="BJ220" s="4676"/>
      <c r="BK220" s="4700"/>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87"/>
      <c r="U221" s="4702"/>
      <c r="V221" s="2372" t="str">
        <f>IF(OR(V219=0,V219=""),"N/A",V219)</f>
        <v>N/A</v>
      </c>
      <c r="W221" s="4687" t="str">
        <f xml:space="preserve"> IF(OR(AF219=0,AF219=""),"N/A",W219)</f>
        <v>N/A</v>
      </c>
      <c r="X221" s="4689"/>
      <c r="Y221" s="4689"/>
      <c r="Z221" s="4689"/>
      <c r="AA221" s="4689"/>
      <c r="AB221" s="4689"/>
      <c r="AC221" s="4689"/>
      <c r="AD221" s="4689"/>
      <c r="AE221" s="4689"/>
      <c r="AF221" s="4702"/>
      <c r="AG221" s="4687" t="str">
        <f xml:space="preserve"> IF(OR(AP219="",AP219=0),"N/A",AG219)</f>
        <v>N/A</v>
      </c>
      <c r="AH221" s="4689"/>
      <c r="AI221" s="4689"/>
      <c r="AJ221" s="4689"/>
      <c r="AK221" s="4689"/>
      <c r="AL221" s="4689"/>
      <c r="AM221" s="4689"/>
      <c r="AN221" s="4689"/>
      <c r="AO221" s="4689"/>
      <c r="AP221" s="4702"/>
      <c r="AQ221" s="4687" t="str">
        <f xml:space="preserve"> IF(OR(AZ219="",AZ219=0),"N/A",AQ219)</f>
        <v>N/A</v>
      </c>
      <c r="AR221" s="4689"/>
      <c r="AS221" s="4689"/>
      <c r="AT221" s="4689"/>
      <c r="AU221" s="4689"/>
      <c r="AV221" s="4689"/>
      <c r="AW221" s="4689"/>
      <c r="AX221" s="4689"/>
      <c r="AY221" s="4689"/>
      <c r="AZ221" s="4702"/>
      <c r="BA221" s="4687" t="str">
        <f xml:space="preserve"> IF(OR(BJ219="",BJ219=0),"N/A",BA219)</f>
        <v>N/A</v>
      </c>
      <c r="BB221" s="4689"/>
      <c r="BC221" s="4689"/>
      <c r="BD221" s="4689"/>
      <c r="BE221" s="4689"/>
      <c r="BF221" s="4689"/>
      <c r="BG221" s="4689"/>
      <c r="BH221" s="4689"/>
      <c r="BI221" s="4689"/>
      <c r="BJ221" s="4702"/>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3"/>
      <c r="BV221" s="4643"/>
      <c r="BW221" s="4643"/>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04" t="s">
        <v>4677</v>
      </c>
      <c r="U222" s="4691"/>
      <c r="V222" s="2373"/>
      <c r="W222" s="4705"/>
      <c r="X222" s="4706"/>
      <c r="Y222" s="4706"/>
      <c r="Z222" s="4706"/>
      <c r="AA222" s="4706"/>
      <c r="AB222" s="4706"/>
      <c r="AC222" s="4706"/>
      <c r="AD222" s="4706"/>
      <c r="AE222" s="4706"/>
      <c r="AF222" s="4694"/>
      <c r="AG222" s="4705"/>
      <c r="AH222" s="4706"/>
      <c r="AI222" s="4706"/>
      <c r="AJ222" s="4706"/>
      <c r="AK222" s="4706"/>
      <c r="AL222" s="4706"/>
      <c r="AM222" s="4706"/>
      <c r="AN222" s="4706"/>
      <c r="AO222" s="4706"/>
      <c r="AP222" s="4694"/>
      <c r="AQ222" s="4705"/>
      <c r="AR222" s="4706"/>
      <c r="AS222" s="4706"/>
      <c r="AT222" s="4706"/>
      <c r="AU222" s="4706"/>
      <c r="AV222" s="4706"/>
      <c r="AW222" s="4706"/>
      <c r="AX222" s="4706"/>
      <c r="AY222" s="4706"/>
      <c r="AZ222" s="4694"/>
      <c r="BA222" s="4705"/>
      <c r="BB222" s="4706"/>
      <c r="BC222" s="4706"/>
      <c r="BD222" s="4706"/>
      <c r="BE222" s="4706"/>
      <c r="BF222" s="4706"/>
      <c r="BG222" s="4706"/>
      <c r="BH222" s="4706"/>
      <c r="BI222" s="4706"/>
      <c r="BJ222" s="4694"/>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2" t="s">
        <v>4679</v>
      </c>
      <c r="U223" s="4683"/>
      <c r="V223" s="2376"/>
      <c r="W223" s="4684"/>
      <c r="X223" s="4685"/>
      <c r="Y223" s="4685"/>
      <c r="Z223" s="4685"/>
      <c r="AA223" s="4685"/>
      <c r="AB223" s="4685"/>
      <c r="AC223" s="4685"/>
      <c r="AD223" s="4685"/>
      <c r="AE223" s="4685"/>
      <c r="AF223" s="4686"/>
      <c r="AG223" s="4684"/>
      <c r="AH223" s="4685"/>
      <c r="AI223" s="4685"/>
      <c r="AJ223" s="4685"/>
      <c r="AK223" s="4685"/>
      <c r="AL223" s="4685"/>
      <c r="AM223" s="4685"/>
      <c r="AN223" s="4685"/>
      <c r="AO223" s="4685"/>
      <c r="AP223" s="4686"/>
      <c r="AQ223" s="4684"/>
      <c r="AR223" s="4685"/>
      <c r="AS223" s="4685"/>
      <c r="AT223" s="4685"/>
      <c r="AU223" s="4685"/>
      <c r="AV223" s="4685"/>
      <c r="AW223" s="4685"/>
      <c r="AX223" s="4685"/>
      <c r="AY223" s="4685"/>
      <c r="AZ223" s="4686"/>
      <c r="BA223" s="4684"/>
      <c r="BB223" s="4685"/>
      <c r="BC223" s="4685"/>
      <c r="BD223" s="4685"/>
      <c r="BE223" s="4685"/>
      <c r="BF223" s="4685"/>
      <c r="BG223" s="4685"/>
      <c r="BH223" s="4685"/>
      <c r="BI223" s="4685"/>
      <c r="BJ223" s="4686"/>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1"/>
      <c r="BL224" s="4681"/>
      <c r="BM224" s="4655"/>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4" t="s">
        <v>4688</v>
      </c>
      <c r="BU224" s="4655"/>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78" t="str">
        <f>IF(OR(E225='Tablas Técnicas'!A$678,E225='Tablas Técnicas'!A$679,E226='Tablas Técnicas'!A$678,E226='Tablas Técnicas'!A$679,E227='Tablas Técnicas'!A$678,E227='Tablas Técnicas'!A$679),"Selecciona la atadura elemental:","")</f>
        <v/>
      </c>
      <c r="AH225" s="4679"/>
      <c r="AI225" s="4679"/>
      <c r="AJ225" s="4679"/>
      <c r="AK225" s="4679"/>
      <c r="AL225" s="4679"/>
      <c r="AM225" s="4679"/>
      <c r="AN225" s="4679"/>
      <c r="AO225" s="4679"/>
      <c r="AP225" s="4679"/>
      <c r="AQ225" s="4679"/>
      <c r="AR225" s="4679"/>
      <c r="AS225" s="4679"/>
      <c r="AT225" s="4679"/>
      <c r="AU225" s="4679"/>
      <c r="AV225" s="4679"/>
      <c r="AW225" s="4679"/>
      <c r="AX225" s="4679"/>
      <c r="AY225" s="4679"/>
      <c r="AZ225" s="4679"/>
      <c r="BA225" s="4679"/>
      <c r="BB225" s="4679"/>
      <c r="BC225" s="4679"/>
      <c r="BD225" s="4679"/>
      <c r="BE225" s="4679"/>
      <c r="BF225" s="4679"/>
      <c r="BG225" s="4679"/>
      <c r="BH225" s="4679"/>
      <c r="BI225" s="4679"/>
      <c r="BJ225" s="4679"/>
      <c r="BK225" s="4707"/>
      <c r="BL225" s="1540"/>
      <c r="BM225" s="1540"/>
      <c r="BN225" s="1084"/>
      <c r="BO225" s="1084"/>
      <c r="BP225" s="1117"/>
      <c r="BQ225" s="1084"/>
      <c r="BR225" s="1084"/>
      <c r="BS225" s="1084"/>
      <c r="BT225" s="4646">
        <f>D193</f>
        <v>1</v>
      </c>
      <c r="BU225" s="4708"/>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73" t="s">
        <v>3471</v>
      </c>
      <c r="X230" s="4673"/>
      <c r="Y230" s="4673"/>
      <c r="Z230" s="4673"/>
      <c r="AA230" s="4673"/>
      <c r="AB230" s="4673"/>
      <c r="AC230" s="4673"/>
      <c r="AD230" s="4673"/>
      <c r="AE230" s="4673"/>
      <c r="AF230" s="4673"/>
      <c r="AG230" s="4673"/>
      <c r="AH230" s="4673"/>
      <c r="AI230" s="4673"/>
      <c r="AJ230" s="4673"/>
      <c r="AK230" s="4673"/>
      <c r="AL230" s="4673"/>
      <c r="AM230" s="4673"/>
      <c r="AN230" s="4673"/>
      <c r="AO230" s="4673"/>
      <c r="AP230" s="4673"/>
      <c r="AQ230" s="4673"/>
      <c r="AR230" s="4673"/>
      <c r="AS230" s="4673"/>
      <c r="AT230" s="4673"/>
      <c r="AU230" s="4673"/>
      <c r="AV230" s="4673"/>
      <c r="AW230" s="4673"/>
      <c r="AX230" s="4673"/>
      <c r="AY230" s="4673"/>
      <c r="AZ230" s="4673"/>
      <c r="BA230" s="4673"/>
      <c r="BB230" s="4673"/>
      <c r="BC230" s="4673"/>
      <c r="BD230" s="4673"/>
      <c r="BE230" s="4673"/>
      <c r="BF230" s="4673"/>
      <c r="BG230" s="4673"/>
      <c r="BH230" s="4673"/>
      <c r="BI230" s="4673"/>
      <c r="BJ230" s="4673"/>
      <c r="BK230" s="4673" t="s">
        <v>3472</v>
      </c>
      <c r="BL230" s="4673"/>
      <c r="BM230" s="4674"/>
      <c r="BN230" s="1047" t="s">
        <v>4667</v>
      </c>
      <c r="BO230" s="1047" t="s">
        <v>4668</v>
      </c>
      <c r="BP230" s="1047" t="s">
        <v>4669</v>
      </c>
      <c r="BQ230" s="1047" t="s">
        <v>4670</v>
      </c>
      <c r="BR230" s="1047" t="s">
        <v>4671</v>
      </c>
      <c r="BS230" s="1048" t="s">
        <v>4672</v>
      </c>
      <c r="BT230" s="4648" t="s">
        <v>4673</v>
      </c>
      <c r="BU230" s="4649"/>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48" t="s">
        <v>4674</v>
      </c>
      <c r="BU232" s="4649"/>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5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75" t="s">
        <v>4675</v>
      </c>
      <c r="U233" s="4676"/>
      <c r="V233" s="4676"/>
      <c r="W233" s="4676"/>
      <c r="X233" s="4676"/>
      <c r="Y233" s="4676"/>
      <c r="Z233" s="4676"/>
      <c r="AA233" s="4676"/>
      <c r="AB233" s="4676"/>
      <c r="AC233" s="4676"/>
      <c r="AD233" s="4676"/>
      <c r="AE233" s="4676"/>
      <c r="AF233" s="4676"/>
      <c r="AG233" s="4676"/>
      <c r="AH233" s="4676"/>
      <c r="AI233" s="4676"/>
      <c r="AJ233" s="4676"/>
      <c r="AK233" s="4676"/>
      <c r="AL233" s="4676"/>
      <c r="AM233" s="4676"/>
      <c r="AN233" s="4676"/>
      <c r="AO233" s="4676"/>
      <c r="AP233" s="4676"/>
      <c r="AQ233" s="4676"/>
      <c r="AR233" s="4676"/>
      <c r="AS233" s="4676"/>
      <c r="AT233" s="4676"/>
      <c r="AU233" s="4676"/>
      <c r="AV233" s="4676"/>
      <c r="AW233" s="4676"/>
      <c r="AX233" s="4676"/>
      <c r="AY233" s="4676"/>
      <c r="AZ233" s="4676"/>
      <c r="BA233" s="4676"/>
      <c r="BB233" s="4676"/>
      <c r="BC233" s="4676"/>
      <c r="BD233" s="4676"/>
      <c r="BE233" s="4676"/>
      <c r="BF233" s="4676"/>
      <c r="BG233" s="4676"/>
      <c r="BH233" s="4676"/>
      <c r="BI233" s="4676"/>
      <c r="BJ233" s="4676"/>
      <c r="BK233" s="4677"/>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5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1"/>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54"/>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87"/>
      <c r="U234" s="4688"/>
      <c r="V234" s="2372" t="str">
        <f>IF(OR(V232=0,V232=""),"N/A",V232)</f>
        <v>N/A</v>
      </c>
      <c r="W234" s="4687" t="str">
        <f xml:space="preserve"> IF(OR(AF232=0,AF232=""),"N/A",W232)</f>
        <v>N/A</v>
      </c>
      <c r="X234" s="4689"/>
      <c r="Y234" s="4689"/>
      <c r="Z234" s="4689"/>
      <c r="AA234" s="4689"/>
      <c r="AB234" s="4689"/>
      <c r="AC234" s="4689"/>
      <c r="AD234" s="4689"/>
      <c r="AE234" s="4689"/>
      <c r="AF234" s="4688"/>
      <c r="AG234" s="4687" t="str">
        <f xml:space="preserve"> IF(OR(AP232="",AP232=0),"N/A",AG232)</f>
        <v>N/A</v>
      </c>
      <c r="AH234" s="4689"/>
      <c r="AI234" s="4689"/>
      <c r="AJ234" s="4689"/>
      <c r="AK234" s="4689"/>
      <c r="AL234" s="4689"/>
      <c r="AM234" s="4689"/>
      <c r="AN234" s="4689"/>
      <c r="AO234" s="4689"/>
      <c r="AP234" s="4688"/>
      <c r="AQ234" s="4687" t="str">
        <f xml:space="preserve"> IF(OR(AZ232="",AZ232=0),"N/A",AQ232)</f>
        <v>N/A</v>
      </c>
      <c r="AR234" s="4689"/>
      <c r="AS234" s="4689"/>
      <c r="AT234" s="4689"/>
      <c r="AU234" s="4689"/>
      <c r="AV234" s="4689"/>
      <c r="AW234" s="4689"/>
      <c r="AX234" s="4689"/>
      <c r="AY234" s="4689"/>
      <c r="AZ234" s="4688"/>
      <c r="BA234" s="4687" t="str">
        <f xml:space="preserve"> IF(OR(BJ232="",BJ232=0),"N/A",BA232)</f>
        <v>N/A</v>
      </c>
      <c r="BB234" s="4689"/>
      <c r="BC234" s="4689"/>
      <c r="BD234" s="4689"/>
      <c r="BE234" s="4689"/>
      <c r="BF234" s="4689"/>
      <c r="BG234" s="4689"/>
      <c r="BH234" s="4689"/>
      <c r="BI234" s="4689"/>
      <c r="BJ234" s="4688"/>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54"/>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90" t="s">
        <v>4677</v>
      </c>
      <c r="U235" s="4691"/>
      <c r="V235" s="2373"/>
      <c r="W235" s="4692"/>
      <c r="X235" s="4693"/>
      <c r="Y235" s="4693"/>
      <c r="Z235" s="4693"/>
      <c r="AA235" s="4693"/>
      <c r="AB235" s="4693"/>
      <c r="AC235" s="4693"/>
      <c r="AD235" s="4693"/>
      <c r="AE235" s="4693"/>
      <c r="AF235" s="4694"/>
      <c r="AG235" s="4692"/>
      <c r="AH235" s="4693"/>
      <c r="AI235" s="4693"/>
      <c r="AJ235" s="4693"/>
      <c r="AK235" s="4693"/>
      <c r="AL235" s="4693"/>
      <c r="AM235" s="4693"/>
      <c r="AN235" s="4693"/>
      <c r="AO235" s="4693"/>
      <c r="AP235" s="4694"/>
      <c r="AQ235" s="4692"/>
      <c r="AR235" s="4693"/>
      <c r="AS235" s="4693"/>
      <c r="AT235" s="4693"/>
      <c r="AU235" s="4693"/>
      <c r="AV235" s="4693"/>
      <c r="AW235" s="4693"/>
      <c r="AX235" s="4693"/>
      <c r="AY235" s="4693"/>
      <c r="AZ235" s="4694"/>
      <c r="BA235" s="4692"/>
      <c r="BB235" s="4693"/>
      <c r="BC235" s="4693"/>
      <c r="BD235" s="4693"/>
      <c r="BE235" s="4693"/>
      <c r="BF235" s="4693"/>
      <c r="BG235" s="4693"/>
      <c r="BH235" s="4693"/>
      <c r="BI235" s="4693"/>
      <c r="BJ235" s="4694"/>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48" t="s">
        <v>4678</v>
      </c>
      <c r="BU235" s="4649"/>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54"/>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2" t="s">
        <v>4679</v>
      </c>
      <c r="U236" s="4683"/>
      <c r="V236" s="2371"/>
      <c r="W236" s="4684"/>
      <c r="X236" s="4685"/>
      <c r="Y236" s="4685"/>
      <c r="Z236" s="4685"/>
      <c r="AA236" s="4685"/>
      <c r="AB236" s="4685"/>
      <c r="AC236" s="4685"/>
      <c r="AD236" s="4685"/>
      <c r="AE236" s="4685"/>
      <c r="AF236" s="4686"/>
      <c r="AG236" s="4684"/>
      <c r="AH236" s="4685"/>
      <c r="AI236" s="4685"/>
      <c r="AJ236" s="4685"/>
      <c r="AK236" s="4685"/>
      <c r="AL236" s="4685"/>
      <c r="AM236" s="4685"/>
      <c r="AN236" s="4685"/>
      <c r="AO236" s="4685"/>
      <c r="AP236" s="4686"/>
      <c r="AQ236" s="4684"/>
      <c r="AR236" s="4685"/>
      <c r="AS236" s="4685"/>
      <c r="AT236" s="4685"/>
      <c r="AU236" s="4685"/>
      <c r="AV236" s="4685"/>
      <c r="AW236" s="4685"/>
      <c r="AX236" s="4685"/>
      <c r="AY236" s="4685"/>
      <c r="AZ236" s="4686"/>
      <c r="BA236" s="4684"/>
      <c r="BB236" s="4685"/>
      <c r="BC236" s="4685"/>
      <c r="BD236" s="4685"/>
      <c r="BE236" s="4685"/>
      <c r="BF236" s="4685"/>
      <c r="BG236" s="4685"/>
      <c r="BH236" s="4685"/>
      <c r="BI236" s="4685"/>
      <c r="BJ236" s="4686"/>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2" t="s">
        <v>1693</v>
      </c>
      <c r="BU236" s="4653"/>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54"/>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48" t="s">
        <v>4680</v>
      </c>
      <c r="BU237" s="4649"/>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2" t="s">
        <v>4660</v>
      </c>
      <c r="BU238" s="4653"/>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75" t="s">
        <v>4675</v>
      </c>
      <c r="U239" s="4676"/>
      <c r="V239" s="4676"/>
      <c r="W239" s="4676"/>
      <c r="X239" s="4676"/>
      <c r="Y239" s="4676"/>
      <c r="Z239" s="4676"/>
      <c r="AA239" s="4676"/>
      <c r="AB239" s="4676"/>
      <c r="AC239" s="4676"/>
      <c r="AD239" s="4676"/>
      <c r="AE239" s="4676"/>
      <c r="AF239" s="4676"/>
      <c r="AG239" s="4676"/>
      <c r="AH239" s="4676"/>
      <c r="AI239" s="4676"/>
      <c r="AJ239" s="4676"/>
      <c r="AK239" s="4676"/>
      <c r="AL239" s="4676"/>
      <c r="AM239" s="4676"/>
      <c r="AN239" s="4676"/>
      <c r="AO239" s="4676"/>
      <c r="AP239" s="4676"/>
      <c r="AQ239" s="4676"/>
      <c r="AR239" s="4676"/>
      <c r="AS239" s="4676"/>
      <c r="AT239" s="4676"/>
      <c r="AU239" s="4676"/>
      <c r="AV239" s="4676"/>
      <c r="AW239" s="4676"/>
      <c r="AX239" s="4676"/>
      <c r="AY239" s="4676"/>
      <c r="AZ239" s="4676"/>
      <c r="BA239" s="4676"/>
      <c r="BB239" s="4676"/>
      <c r="BC239" s="4676"/>
      <c r="BD239" s="4676"/>
      <c r="BE239" s="4676"/>
      <c r="BF239" s="4676"/>
      <c r="BG239" s="4676"/>
      <c r="BH239" s="4676"/>
      <c r="BI239" s="4676"/>
      <c r="BJ239" s="4676"/>
      <c r="BK239" s="4677"/>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48" t="s">
        <v>4681</v>
      </c>
      <c r="BU239" s="4649"/>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87"/>
      <c r="U240" s="4688"/>
      <c r="V240" s="2372" t="str">
        <f>IF(OR(V238=0,V238=""),"N/A",V238)</f>
        <v>N/A</v>
      </c>
      <c r="W240" s="4687" t="str">
        <f xml:space="preserve"> IF(OR(AF238=0,AF238=""),"N/A",W238)</f>
        <v>N/A</v>
      </c>
      <c r="X240" s="4689"/>
      <c r="Y240" s="4689"/>
      <c r="Z240" s="4689"/>
      <c r="AA240" s="4689"/>
      <c r="AB240" s="4689"/>
      <c r="AC240" s="4689"/>
      <c r="AD240" s="4689"/>
      <c r="AE240" s="4689"/>
      <c r="AF240" s="4688"/>
      <c r="AG240" s="4687" t="str">
        <f xml:space="preserve"> IF(OR(AP238="",AP238=0),"N/A",AG238)</f>
        <v>N/A</v>
      </c>
      <c r="AH240" s="4689"/>
      <c r="AI240" s="4689"/>
      <c r="AJ240" s="4689"/>
      <c r="AK240" s="4689"/>
      <c r="AL240" s="4689"/>
      <c r="AM240" s="4689"/>
      <c r="AN240" s="4689"/>
      <c r="AO240" s="4689"/>
      <c r="AP240" s="4688"/>
      <c r="AQ240" s="4687" t="str">
        <f xml:space="preserve"> IF(OR(AZ238="",AZ238=0),"N/A",AQ238)</f>
        <v>N/A</v>
      </c>
      <c r="AR240" s="4689"/>
      <c r="AS240" s="4689"/>
      <c r="AT240" s="4689"/>
      <c r="AU240" s="4689"/>
      <c r="AV240" s="4689"/>
      <c r="AW240" s="4689"/>
      <c r="AX240" s="4689"/>
      <c r="AY240" s="4689"/>
      <c r="AZ240" s="4688"/>
      <c r="BA240" s="4687" t="str">
        <f xml:space="preserve"> IF(OR(BJ238="",BJ238=0),"N/A",BA238)</f>
        <v>N/A</v>
      </c>
      <c r="BB240" s="4689"/>
      <c r="BC240" s="4689"/>
      <c r="BD240" s="4689"/>
      <c r="BE240" s="4689"/>
      <c r="BF240" s="4689"/>
      <c r="BG240" s="4689"/>
      <c r="BH240" s="4689"/>
      <c r="BI240" s="4689"/>
      <c r="BJ240" s="4688"/>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2" t="s">
        <v>4654</v>
      </c>
      <c r="BU240" s="4653"/>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90" t="s">
        <v>4677</v>
      </c>
      <c r="U241" s="4691"/>
      <c r="V241" s="2373"/>
      <c r="W241" s="4692"/>
      <c r="X241" s="4693"/>
      <c r="Y241" s="4693"/>
      <c r="Z241" s="4693"/>
      <c r="AA241" s="4693"/>
      <c r="AB241" s="4693"/>
      <c r="AC241" s="4693"/>
      <c r="AD241" s="4693"/>
      <c r="AE241" s="4693"/>
      <c r="AF241" s="4694"/>
      <c r="AG241" s="4692"/>
      <c r="AH241" s="4693"/>
      <c r="AI241" s="4693"/>
      <c r="AJ241" s="4693"/>
      <c r="AK241" s="4693"/>
      <c r="AL241" s="4693"/>
      <c r="AM241" s="4693"/>
      <c r="AN241" s="4693"/>
      <c r="AO241" s="4693"/>
      <c r="AP241" s="4694"/>
      <c r="AQ241" s="4692"/>
      <c r="AR241" s="4693"/>
      <c r="AS241" s="4693"/>
      <c r="AT241" s="4693"/>
      <c r="AU241" s="4693"/>
      <c r="AV241" s="4693"/>
      <c r="AW241" s="4693"/>
      <c r="AX241" s="4693"/>
      <c r="AY241" s="4693"/>
      <c r="AZ241" s="4694"/>
      <c r="BA241" s="4692"/>
      <c r="BB241" s="4693"/>
      <c r="BC241" s="4693"/>
      <c r="BD241" s="4693"/>
      <c r="BE241" s="4693"/>
      <c r="BF241" s="4693"/>
      <c r="BG241" s="4693"/>
      <c r="BH241" s="4693"/>
      <c r="BI241" s="4693"/>
      <c r="BJ241" s="4694"/>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4" t="s">
        <v>4682</v>
      </c>
      <c r="BU241" s="4645"/>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2" t="s">
        <v>4679</v>
      </c>
      <c r="U242" s="4683"/>
      <c r="V242" s="2371"/>
      <c r="W242" s="4684"/>
      <c r="X242" s="4685"/>
      <c r="Y242" s="4685"/>
      <c r="Z242" s="4685"/>
      <c r="AA242" s="4685"/>
      <c r="AB242" s="4685"/>
      <c r="AC242" s="4685"/>
      <c r="AD242" s="4685"/>
      <c r="AE242" s="4685"/>
      <c r="AF242" s="4686"/>
      <c r="AG242" s="4684"/>
      <c r="AH242" s="4685"/>
      <c r="AI242" s="4685"/>
      <c r="AJ242" s="4685"/>
      <c r="AK242" s="4685"/>
      <c r="AL242" s="4685"/>
      <c r="AM242" s="4685"/>
      <c r="AN242" s="4685"/>
      <c r="AO242" s="4685"/>
      <c r="AP242" s="4686"/>
      <c r="AQ242" s="4684"/>
      <c r="AR242" s="4685"/>
      <c r="AS242" s="4685"/>
      <c r="AT242" s="4685"/>
      <c r="AU242" s="4685"/>
      <c r="AV242" s="4685"/>
      <c r="AW242" s="4685"/>
      <c r="AX242" s="4685"/>
      <c r="AY242" s="4685"/>
      <c r="AZ242" s="4686"/>
      <c r="BA242" s="4684"/>
      <c r="BB242" s="4685"/>
      <c r="BC242" s="4685"/>
      <c r="BD242" s="4685"/>
      <c r="BE242" s="4685"/>
      <c r="BF242" s="4685"/>
      <c r="BG242" s="4685"/>
      <c r="BH242" s="4685"/>
      <c r="BI242" s="4685"/>
      <c r="BJ242" s="4686"/>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75" t="s">
        <v>4675</v>
      </c>
      <c r="U245" s="4676"/>
      <c r="V245" s="4676"/>
      <c r="W245" s="4676"/>
      <c r="X245" s="4676"/>
      <c r="Y245" s="4676"/>
      <c r="Z245" s="4676"/>
      <c r="AA245" s="4676"/>
      <c r="AB245" s="4676"/>
      <c r="AC245" s="4676"/>
      <c r="AD245" s="4676"/>
      <c r="AE245" s="4676"/>
      <c r="AF245" s="4676"/>
      <c r="AG245" s="4676"/>
      <c r="AH245" s="4676"/>
      <c r="AI245" s="4676"/>
      <c r="AJ245" s="4676"/>
      <c r="AK245" s="4676"/>
      <c r="AL245" s="4676"/>
      <c r="AM245" s="4676"/>
      <c r="AN245" s="4676"/>
      <c r="AO245" s="4676"/>
      <c r="AP245" s="4676"/>
      <c r="AQ245" s="4676"/>
      <c r="AR245" s="4676"/>
      <c r="AS245" s="4676"/>
      <c r="AT245" s="4676"/>
      <c r="AU245" s="4676"/>
      <c r="AV245" s="4676"/>
      <c r="AW245" s="4676"/>
      <c r="AX245" s="4676"/>
      <c r="AY245" s="4676"/>
      <c r="AZ245" s="4676"/>
      <c r="BA245" s="4676"/>
      <c r="BB245" s="4676"/>
      <c r="BC245" s="4676"/>
      <c r="BD245" s="4676"/>
      <c r="BE245" s="4676"/>
      <c r="BF245" s="4676"/>
      <c r="BG245" s="4676"/>
      <c r="BH245" s="4676"/>
      <c r="BI245" s="4676"/>
      <c r="BJ245" s="4676"/>
      <c r="BK245" s="4677"/>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87"/>
      <c r="U246" s="4688"/>
      <c r="V246" s="2372" t="str">
        <f>IF(OR(V244=0,V244=""),"N/A",V244)</f>
        <v>N/A</v>
      </c>
      <c r="W246" s="4687" t="str">
        <f xml:space="preserve"> IF(OR(AF244=0,AF244=""),"N/A",W244)</f>
        <v>N/A</v>
      </c>
      <c r="X246" s="4689"/>
      <c r="Y246" s="4689"/>
      <c r="Z246" s="4689"/>
      <c r="AA246" s="4689"/>
      <c r="AB246" s="4689"/>
      <c r="AC246" s="4689"/>
      <c r="AD246" s="4689"/>
      <c r="AE246" s="4689"/>
      <c r="AF246" s="4688"/>
      <c r="AG246" s="4687" t="str">
        <f xml:space="preserve"> IF(OR(AP244="",AP244=0),"N/A",AG244)</f>
        <v>N/A</v>
      </c>
      <c r="AH246" s="4689"/>
      <c r="AI246" s="4689"/>
      <c r="AJ246" s="4689"/>
      <c r="AK246" s="4689"/>
      <c r="AL246" s="4689"/>
      <c r="AM246" s="4689"/>
      <c r="AN246" s="4689"/>
      <c r="AO246" s="4689"/>
      <c r="AP246" s="4688"/>
      <c r="AQ246" s="4687" t="str">
        <f xml:space="preserve"> IF(OR(AZ244="",AZ244=0),"N/A",AQ244)</f>
        <v>N/A</v>
      </c>
      <c r="AR246" s="4689"/>
      <c r="AS246" s="4689"/>
      <c r="AT246" s="4689"/>
      <c r="AU246" s="4689"/>
      <c r="AV246" s="4689"/>
      <c r="AW246" s="4689"/>
      <c r="AX246" s="4689"/>
      <c r="AY246" s="4689"/>
      <c r="AZ246" s="4688"/>
      <c r="BA246" s="4687" t="str">
        <f xml:space="preserve"> IF(OR(BJ244="",BJ244=0),"N/A",BA244)</f>
        <v>N/A</v>
      </c>
      <c r="BB246" s="4689"/>
      <c r="BC246" s="4689"/>
      <c r="BD246" s="4689"/>
      <c r="BE246" s="4689"/>
      <c r="BF246" s="4689"/>
      <c r="BG246" s="4689"/>
      <c r="BH246" s="4689"/>
      <c r="BI246" s="4689"/>
      <c r="BJ246" s="4688"/>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90" t="s">
        <v>4677</v>
      </c>
      <c r="U247" s="4691"/>
      <c r="V247" s="2373"/>
      <c r="W247" s="4692"/>
      <c r="X247" s="4693"/>
      <c r="Y247" s="4693"/>
      <c r="Z247" s="4693"/>
      <c r="AA247" s="4693"/>
      <c r="AB247" s="4693"/>
      <c r="AC247" s="4693"/>
      <c r="AD247" s="4693"/>
      <c r="AE247" s="4693"/>
      <c r="AF247" s="4694"/>
      <c r="AG247" s="4692"/>
      <c r="AH247" s="4693"/>
      <c r="AI247" s="4693"/>
      <c r="AJ247" s="4693"/>
      <c r="AK247" s="4693"/>
      <c r="AL247" s="4693"/>
      <c r="AM247" s="4693"/>
      <c r="AN247" s="4693"/>
      <c r="AO247" s="4693"/>
      <c r="AP247" s="4694"/>
      <c r="AQ247" s="4692"/>
      <c r="AR247" s="4693"/>
      <c r="AS247" s="4693"/>
      <c r="AT247" s="4693"/>
      <c r="AU247" s="4693"/>
      <c r="AV247" s="4693"/>
      <c r="AW247" s="4693"/>
      <c r="AX247" s="4693"/>
      <c r="AY247" s="4693"/>
      <c r="AZ247" s="4694"/>
      <c r="BA247" s="4692"/>
      <c r="BB247" s="4693"/>
      <c r="BC247" s="4693"/>
      <c r="BD247" s="4693"/>
      <c r="BE247" s="4693"/>
      <c r="BF247" s="4693"/>
      <c r="BG247" s="4693"/>
      <c r="BH247" s="4693"/>
      <c r="BI247" s="4693"/>
      <c r="BJ247" s="4694"/>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2" t="s">
        <v>4679</v>
      </c>
      <c r="U248" s="4683"/>
      <c r="V248" s="2371"/>
      <c r="W248" s="4684"/>
      <c r="X248" s="4685"/>
      <c r="Y248" s="4685"/>
      <c r="Z248" s="4685"/>
      <c r="AA248" s="4685"/>
      <c r="AB248" s="4685"/>
      <c r="AC248" s="4685"/>
      <c r="AD248" s="4685"/>
      <c r="AE248" s="4685"/>
      <c r="AF248" s="4686"/>
      <c r="AG248" s="4684"/>
      <c r="AH248" s="4685"/>
      <c r="AI248" s="4685"/>
      <c r="AJ248" s="4685"/>
      <c r="AK248" s="4685"/>
      <c r="AL248" s="4685"/>
      <c r="AM248" s="4685"/>
      <c r="AN248" s="4685"/>
      <c r="AO248" s="4685"/>
      <c r="AP248" s="4686"/>
      <c r="AQ248" s="4684"/>
      <c r="AR248" s="4685"/>
      <c r="AS248" s="4685"/>
      <c r="AT248" s="4685"/>
      <c r="AU248" s="4685"/>
      <c r="AV248" s="4685"/>
      <c r="AW248" s="4685"/>
      <c r="AX248" s="4685"/>
      <c r="AY248" s="4685"/>
      <c r="AZ248" s="4686"/>
      <c r="BA248" s="4684"/>
      <c r="BB248" s="4685"/>
      <c r="BC248" s="4685"/>
      <c r="BD248" s="4685"/>
      <c r="BE248" s="4685"/>
      <c r="BF248" s="4685"/>
      <c r="BG248" s="4685"/>
      <c r="BH248" s="4685"/>
      <c r="BI248" s="4685"/>
      <c r="BJ248" s="4686"/>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75" t="s">
        <v>4675</v>
      </c>
      <c r="U251" s="4676"/>
      <c r="V251" s="4676"/>
      <c r="W251" s="4676"/>
      <c r="X251" s="4676"/>
      <c r="Y251" s="4676"/>
      <c r="Z251" s="4676"/>
      <c r="AA251" s="4676"/>
      <c r="AB251" s="4676"/>
      <c r="AC251" s="4676"/>
      <c r="AD251" s="4676"/>
      <c r="AE251" s="4676"/>
      <c r="AF251" s="4676"/>
      <c r="AG251" s="4676"/>
      <c r="AH251" s="4676"/>
      <c r="AI251" s="4676"/>
      <c r="AJ251" s="4676"/>
      <c r="AK251" s="4676"/>
      <c r="AL251" s="4676"/>
      <c r="AM251" s="4676"/>
      <c r="AN251" s="4676"/>
      <c r="AO251" s="4676"/>
      <c r="AP251" s="4676"/>
      <c r="AQ251" s="4676"/>
      <c r="AR251" s="4676"/>
      <c r="AS251" s="4676"/>
      <c r="AT251" s="4676"/>
      <c r="AU251" s="4676"/>
      <c r="AV251" s="4676"/>
      <c r="AW251" s="4676"/>
      <c r="AX251" s="4676"/>
      <c r="AY251" s="4676"/>
      <c r="AZ251" s="4676"/>
      <c r="BA251" s="4676"/>
      <c r="BB251" s="4676"/>
      <c r="BC251" s="4676"/>
      <c r="BD251" s="4676"/>
      <c r="BE251" s="4676"/>
      <c r="BF251" s="4676"/>
      <c r="BG251" s="4676"/>
      <c r="BH251" s="4676"/>
      <c r="BI251" s="4676"/>
      <c r="BJ251" s="4676"/>
      <c r="BK251" s="4677"/>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87"/>
      <c r="U252" s="4688"/>
      <c r="V252" s="2372" t="str">
        <f>IF(OR(V250=0,V250=""),"N/A",V250)</f>
        <v>N/A</v>
      </c>
      <c r="W252" s="4687" t="str">
        <f xml:space="preserve"> IF(OR(AF250=0,AF250=""),"N/A",W250)</f>
        <v>N/A</v>
      </c>
      <c r="X252" s="4689"/>
      <c r="Y252" s="4689"/>
      <c r="Z252" s="4689"/>
      <c r="AA252" s="4689"/>
      <c r="AB252" s="4689"/>
      <c r="AC252" s="4689"/>
      <c r="AD252" s="4689"/>
      <c r="AE252" s="4689"/>
      <c r="AF252" s="4688"/>
      <c r="AG252" s="4687" t="str">
        <f xml:space="preserve"> IF(OR(AP250="",AP250=0),"N/A",AG250)</f>
        <v>N/A</v>
      </c>
      <c r="AH252" s="4689"/>
      <c r="AI252" s="4689"/>
      <c r="AJ252" s="4689"/>
      <c r="AK252" s="4689"/>
      <c r="AL252" s="4689"/>
      <c r="AM252" s="4689"/>
      <c r="AN252" s="4689"/>
      <c r="AO252" s="4689"/>
      <c r="AP252" s="4688"/>
      <c r="AQ252" s="4687" t="str">
        <f xml:space="preserve"> IF(OR(AZ250="",AZ250=0),"N/A",AQ250)</f>
        <v>N/A</v>
      </c>
      <c r="AR252" s="4689"/>
      <c r="AS252" s="4689"/>
      <c r="AT252" s="4689"/>
      <c r="AU252" s="4689"/>
      <c r="AV252" s="4689"/>
      <c r="AW252" s="4689"/>
      <c r="AX252" s="4689"/>
      <c r="AY252" s="4689"/>
      <c r="AZ252" s="4688"/>
      <c r="BA252" s="4687" t="str">
        <f xml:space="preserve"> IF(OR(BJ250="",BJ250=0),"N/A",BA250)</f>
        <v>N/A</v>
      </c>
      <c r="BB252" s="4689"/>
      <c r="BC252" s="4689"/>
      <c r="BD252" s="4689"/>
      <c r="BE252" s="4689"/>
      <c r="BF252" s="4689"/>
      <c r="BG252" s="4689"/>
      <c r="BH252" s="4689"/>
      <c r="BI252" s="4689"/>
      <c r="BJ252" s="4688"/>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90" t="s">
        <v>4677</v>
      </c>
      <c r="U253" s="4691"/>
      <c r="V253" s="2373"/>
      <c r="W253" s="4692"/>
      <c r="X253" s="4693"/>
      <c r="Y253" s="4693"/>
      <c r="Z253" s="4693"/>
      <c r="AA253" s="4693"/>
      <c r="AB253" s="4693"/>
      <c r="AC253" s="4693"/>
      <c r="AD253" s="4693"/>
      <c r="AE253" s="4693"/>
      <c r="AF253" s="4694"/>
      <c r="AG253" s="4692"/>
      <c r="AH253" s="4693"/>
      <c r="AI253" s="4693"/>
      <c r="AJ253" s="4693"/>
      <c r="AK253" s="4693"/>
      <c r="AL253" s="4693"/>
      <c r="AM253" s="4693"/>
      <c r="AN253" s="4693"/>
      <c r="AO253" s="4693"/>
      <c r="AP253" s="4694"/>
      <c r="AQ253" s="4692"/>
      <c r="AR253" s="4693"/>
      <c r="AS253" s="4693"/>
      <c r="AT253" s="4693"/>
      <c r="AU253" s="4693"/>
      <c r="AV253" s="4693"/>
      <c r="AW253" s="4693"/>
      <c r="AX253" s="4693"/>
      <c r="AY253" s="4693"/>
      <c r="AZ253" s="4694"/>
      <c r="BA253" s="4692"/>
      <c r="BB253" s="4693"/>
      <c r="BC253" s="4693"/>
      <c r="BD253" s="4693"/>
      <c r="BE253" s="4693"/>
      <c r="BF253" s="4693"/>
      <c r="BG253" s="4693"/>
      <c r="BH253" s="4693"/>
      <c r="BI253" s="4693"/>
      <c r="BJ253" s="4694"/>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2" t="s">
        <v>4679</v>
      </c>
      <c r="U254" s="4683"/>
      <c r="V254" s="2371"/>
      <c r="W254" s="4684"/>
      <c r="X254" s="4685"/>
      <c r="Y254" s="4685"/>
      <c r="Z254" s="4685"/>
      <c r="AA254" s="4685"/>
      <c r="AB254" s="4685"/>
      <c r="AC254" s="4685"/>
      <c r="AD254" s="4685"/>
      <c r="AE254" s="4685"/>
      <c r="AF254" s="4686"/>
      <c r="AG254" s="4684"/>
      <c r="AH254" s="4685"/>
      <c r="AI254" s="4685"/>
      <c r="AJ254" s="4685"/>
      <c r="AK254" s="4685"/>
      <c r="AL254" s="4685"/>
      <c r="AM254" s="4685"/>
      <c r="AN254" s="4685"/>
      <c r="AO254" s="4685"/>
      <c r="AP254" s="4686"/>
      <c r="AQ254" s="4684"/>
      <c r="AR254" s="4685"/>
      <c r="AS254" s="4685"/>
      <c r="AT254" s="4685"/>
      <c r="AU254" s="4685"/>
      <c r="AV254" s="4685"/>
      <c r="AW254" s="4685"/>
      <c r="AX254" s="4685"/>
      <c r="AY254" s="4685"/>
      <c r="AZ254" s="4686"/>
      <c r="BA254" s="4684"/>
      <c r="BB254" s="4685"/>
      <c r="BC254" s="4685"/>
      <c r="BD254" s="4685"/>
      <c r="BE254" s="4685"/>
      <c r="BF254" s="4685"/>
      <c r="BG254" s="4685"/>
      <c r="BH254" s="4685"/>
      <c r="BI254" s="4685"/>
      <c r="BJ254" s="4686"/>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2"/>
      <c r="BV256" s="4642"/>
      <c r="BW256" s="4642"/>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75" t="s">
        <v>4675</v>
      </c>
      <c r="U257" s="4676"/>
      <c r="V257" s="4676"/>
      <c r="W257" s="4676"/>
      <c r="X257" s="4676"/>
      <c r="Y257" s="4676"/>
      <c r="Z257" s="4676"/>
      <c r="AA257" s="4676"/>
      <c r="AB257" s="4676"/>
      <c r="AC257" s="4676"/>
      <c r="AD257" s="4676"/>
      <c r="AE257" s="4676"/>
      <c r="AF257" s="4676"/>
      <c r="AG257" s="4676"/>
      <c r="AH257" s="4676"/>
      <c r="AI257" s="4676"/>
      <c r="AJ257" s="4676"/>
      <c r="AK257" s="4676"/>
      <c r="AL257" s="4676"/>
      <c r="AM257" s="4676"/>
      <c r="AN257" s="4676"/>
      <c r="AO257" s="4676"/>
      <c r="AP257" s="4676"/>
      <c r="AQ257" s="4676"/>
      <c r="AR257" s="4676"/>
      <c r="AS257" s="4676"/>
      <c r="AT257" s="4676"/>
      <c r="AU257" s="4676"/>
      <c r="AV257" s="4676"/>
      <c r="AW257" s="4676"/>
      <c r="AX257" s="4676"/>
      <c r="AY257" s="4676"/>
      <c r="AZ257" s="4676"/>
      <c r="BA257" s="4676"/>
      <c r="BB257" s="4676"/>
      <c r="BC257" s="4676"/>
      <c r="BD257" s="4676"/>
      <c r="BE257" s="4676"/>
      <c r="BF257" s="4676"/>
      <c r="BG257" s="4676"/>
      <c r="BH257" s="4676"/>
      <c r="BI257" s="4676"/>
      <c r="BJ257" s="4676"/>
      <c r="BK257" s="4677"/>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87"/>
      <c r="U258" s="4688"/>
      <c r="V258" s="2372" t="str">
        <f>IF(OR(V256=0,V256=""),"N/A",V256)</f>
        <v>N/A</v>
      </c>
      <c r="W258" s="4687" t="str">
        <f xml:space="preserve"> IF(OR(AF256=0,AF256=""),"N/A",W256)</f>
        <v>N/A</v>
      </c>
      <c r="X258" s="4689"/>
      <c r="Y258" s="4689"/>
      <c r="Z258" s="4689"/>
      <c r="AA258" s="4689"/>
      <c r="AB258" s="4689"/>
      <c r="AC258" s="4689"/>
      <c r="AD258" s="4689"/>
      <c r="AE258" s="4689"/>
      <c r="AF258" s="4688"/>
      <c r="AG258" s="4687" t="str">
        <f xml:space="preserve"> IF(OR(AP256="",AP256=0),"N/A",AG256)</f>
        <v>N/A</v>
      </c>
      <c r="AH258" s="4689"/>
      <c r="AI258" s="4689"/>
      <c r="AJ258" s="4689"/>
      <c r="AK258" s="4689"/>
      <c r="AL258" s="4689"/>
      <c r="AM258" s="4689"/>
      <c r="AN258" s="4689"/>
      <c r="AO258" s="4689"/>
      <c r="AP258" s="4688"/>
      <c r="AQ258" s="4687" t="str">
        <f xml:space="preserve"> IF(OR(AZ256="",AZ256=0),"N/A",AQ256)</f>
        <v>N/A</v>
      </c>
      <c r="AR258" s="4689"/>
      <c r="AS258" s="4689"/>
      <c r="AT258" s="4689"/>
      <c r="AU258" s="4689"/>
      <c r="AV258" s="4689"/>
      <c r="AW258" s="4689"/>
      <c r="AX258" s="4689"/>
      <c r="AY258" s="4689"/>
      <c r="AZ258" s="4688"/>
      <c r="BA258" s="4687" t="str">
        <f xml:space="preserve"> IF(OR(BJ256="",BJ256=0),"N/A",BA256)</f>
        <v>N/A</v>
      </c>
      <c r="BB258" s="4689"/>
      <c r="BC258" s="4689"/>
      <c r="BD258" s="4689"/>
      <c r="BE258" s="4689"/>
      <c r="BF258" s="4689"/>
      <c r="BG258" s="4689"/>
      <c r="BH258" s="4689"/>
      <c r="BI258" s="4689"/>
      <c r="BJ258" s="4688"/>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3"/>
      <c r="BV258" s="4643"/>
      <c r="BW258" s="4643"/>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90" t="s">
        <v>4677</v>
      </c>
      <c r="U259" s="4691"/>
      <c r="V259" s="2373"/>
      <c r="W259" s="4692"/>
      <c r="X259" s="4693"/>
      <c r="Y259" s="4693"/>
      <c r="Z259" s="4693"/>
      <c r="AA259" s="4693"/>
      <c r="AB259" s="4693"/>
      <c r="AC259" s="4693"/>
      <c r="AD259" s="4693"/>
      <c r="AE259" s="4693"/>
      <c r="AF259" s="4694"/>
      <c r="AG259" s="4692"/>
      <c r="AH259" s="4693"/>
      <c r="AI259" s="4693"/>
      <c r="AJ259" s="4693"/>
      <c r="AK259" s="4693"/>
      <c r="AL259" s="4693"/>
      <c r="AM259" s="4693"/>
      <c r="AN259" s="4693"/>
      <c r="AO259" s="4693"/>
      <c r="AP259" s="4694"/>
      <c r="AQ259" s="4692"/>
      <c r="AR259" s="4693"/>
      <c r="AS259" s="4693"/>
      <c r="AT259" s="4693"/>
      <c r="AU259" s="4693"/>
      <c r="AV259" s="4693"/>
      <c r="AW259" s="4693"/>
      <c r="AX259" s="4693"/>
      <c r="AY259" s="4693"/>
      <c r="AZ259" s="4694"/>
      <c r="BA259" s="4692"/>
      <c r="BB259" s="4693"/>
      <c r="BC259" s="4693"/>
      <c r="BD259" s="4693"/>
      <c r="BE259" s="4693"/>
      <c r="BF259" s="4693"/>
      <c r="BG259" s="4693"/>
      <c r="BH259" s="4693"/>
      <c r="BI259" s="4693"/>
      <c r="BJ259" s="4694"/>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95" t="s">
        <v>4679</v>
      </c>
      <c r="U260" s="4696"/>
      <c r="V260" s="2376"/>
      <c r="W260" s="4697"/>
      <c r="X260" s="4698"/>
      <c r="Y260" s="4698"/>
      <c r="Z260" s="4698"/>
      <c r="AA260" s="4698"/>
      <c r="AB260" s="4698"/>
      <c r="AC260" s="4698"/>
      <c r="AD260" s="4698"/>
      <c r="AE260" s="4698"/>
      <c r="AF260" s="4699"/>
      <c r="AG260" s="4697"/>
      <c r="AH260" s="4698"/>
      <c r="AI260" s="4698"/>
      <c r="AJ260" s="4698"/>
      <c r="AK260" s="4698"/>
      <c r="AL260" s="4698"/>
      <c r="AM260" s="4698"/>
      <c r="AN260" s="4698"/>
      <c r="AO260" s="4698"/>
      <c r="AP260" s="4699"/>
      <c r="AQ260" s="4697"/>
      <c r="AR260" s="4698"/>
      <c r="AS260" s="4698"/>
      <c r="AT260" s="4698"/>
      <c r="AU260" s="4698"/>
      <c r="AV260" s="4698"/>
      <c r="AW260" s="4698"/>
      <c r="AX260" s="4698"/>
      <c r="AY260" s="4698"/>
      <c r="AZ260" s="4699"/>
      <c r="BA260" s="4697"/>
      <c r="BB260" s="4698"/>
      <c r="BC260" s="4698"/>
      <c r="BD260" s="4698"/>
      <c r="BE260" s="4698"/>
      <c r="BF260" s="4698"/>
      <c r="BG260" s="4698"/>
      <c r="BH260" s="4698"/>
      <c r="BI260" s="4698"/>
      <c r="BJ260" s="4699"/>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1"/>
      <c r="BL261" s="4681"/>
      <c r="BM261" s="4645"/>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4" t="s">
        <v>4688</v>
      </c>
      <c r="BU261" s="4645"/>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78" t="str">
        <f>IF(OR(E262='Tablas Técnicas'!A$678,E262='Tablas Técnicas'!A$679,E263='Tablas Técnicas'!A$678,E263='Tablas Técnicas'!A$679,E264='Tablas Técnicas'!A$678,E264='Tablas Técnicas'!A$679),"Selecciona la atadura elemental:","")</f>
        <v/>
      </c>
      <c r="AH262" s="4679"/>
      <c r="AI262" s="4679"/>
      <c r="AJ262" s="4679"/>
      <c r="AK262" s="4679"/>
      <c r="AL262" s="4679"/>
      <c r="AM262" s="4679"/>
      <c r="AN262" s="4679"/>
      <c r="AO262" s="4679"/>
      <c r="AP262" s="4679"/>
      <c r="AQ262" s="4679"/>
      <c r="AR262" s="4679"/>
      <c r="AS262" s="4679"/>
      <c r="AT262" s="4679"/>
      <c r="AU262" s="4679"/>
      <c r="AV262" s="4679"/>
      <c r="AW262" s="4679"/>
      <c r="AX262" s="4679"/>
      <c r="AY262" s="4679"/>
      <c r="AZ262" s="4679"/>
      <c r="BA262" s="4679"/>
      <c r="BB262" s="4679"/>
      <c r="BC262" s="4679"/>
      <c r="BD262" s="4679"/>
      <c r="BE262" s="4679"/>
      <c r="BF262" s="4679"/>
      <c r="BG262" s="4679"/>
      <c r="BH262" s="4679"/>
      <c r="BI262" s="4679"/>
      <c r="BJ262" s="4679"/>
      <c r="BK262" s="4680"/>
      <c r="BL262" s="1540"/>
      <c r="BM262" s="1540"/>
      <c r="BN262" s="1084"/>
      <c r="BO262" s="1084"/>
      <c r="BP262" s="1117"/>
      <c r="BQ262" s="1084"/>
      <c r="BR262" s="1084"/>
      <c r="BS262" s="1084"/>
      <c r="BT262" s="4646">
        <f>D230</f>
        <v>1</v>
      </c>
      <c r="BU262" s="4647"/>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73" t="s">
        <v>3471</v>
      </c>
      <c r="X267" s="4673"/>
      <c r="Y267" s="4673"/>
      <c r="Z267" s="4673"/>
      <c r="AA267" s="4673"/>
      <c r="AB267" s="4673"/>
      <c r="AC267" s="4673"/>
      <c r="AD267" s="4673"/>
      <c r="AE267" s="4673"/>
      <c r="AF267" s="4673"/>
      <c r="AG267" s="4673"/>
      <c r="AH267" s="4673"/>
      <c r="AI267" s="4673"/>
      <c r="AJ267" s="4673"/>
      <c r="AK267" s="4673"/>
      <c r="AL267" s="4673"/>
      <c r="AM267" s="4673"/>
      <c r="AN267" s="4673"/>
      <c r="AO267" s="4673"/>
      <c r="AP267" s="4673"/>
      <c r="AQ267" s="4673"/>
      <c r="AR267" s="4673"/>
      <c r="AS267" s="4673"/>
      <c r="AT267" s="4673"/>
      <c r="AU267" s="4673"/>
      <c r="AV267" s="4673"/>
      <c r="AW267" s="4673"/>
      <c r="AX267" s="4673"/>
      <c r="AY267" s="4673"/>
      <c r="AZ267" s="4673"/>
      <c r="BA267" s="4673"/>
      <c r="BB267" s="4673"/>
      <c r="BC267" s="4673"/>
      <c r="BD267" s="4673"/>
      <c r="BE267" s="4673"/>
      <c r="BF267" s="4673"/>
      <c r="BG267" s="4673"/>
      <c r="BH267" s="4673"/>
      <c r="BI267" s="4673"/>
      <c r="BJ267" s="4673"/>
      <c r="BK267" s="4673" t="s">
        <v>3472</v>
      </c>
      <c r="BL267" s="4673"/>
      <c r="BM267" s="4674"/>
      <c r="BN267" s="1047" t="s">
        <v>4667</v>
      </c>
      <c r="BO267" s="1047" t="s">
        <v>4668</v>
      </c>
      <c r="BP267" s="1047" t="s">
        <v>4669</v>
      </c>
      <c r="BQ267" s="1047" t="s">
        <v>4670</v>
      </c>
      <c r="BR267" s="1047" t="s">
        <v>4671</v>
      </c>
      <c r="BS267" s="1048" t="s">
        <v>4672</v>
      </c>
      <c r="BT267" s="4648" t="s">
        <v>4673</v>
      </c>
      <c r="BU267" s="4649"/>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48" t="s">
        <v>4674</v>
      </c>
      <c r="BU269" s="4649"/>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5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75" t="s">
        <v>4675</v>
      </c>
      <c r="U270" s="4676"/>
      <c r="V270" s="4676"/>
      <c r="W270" s="4676"/>
      <c r="X270" s="4676"/>
      <c r="Y270" s="4676"/>
      <c r="Z270" s="4676"/>
      <c r="AA270" s="4676"/>
      <c r="AB270" s="4676"/>
      <c r="AC270" s="4676"/>
      <c r="AD270" s="4676"/>
      <c r="AE270" s="4676"/>
      <c r="AF270" s="4676"/>
      <c r="AG270" s="4676"/>
      <c r="AH270" s="4676"/>
      <c r="AI270" s="4676"/>
      <c r="AJ270" s="4676"/>
      <c r="AK270" s="4676"/>
      <c r="AL270" s="4676"/>
      <c r="AM270" s="4676"/>
      <c r="AN270" s="4676"/>
      <c r="AO270" s="4676"/>
      <c r="AP270" s="4676"/>
      <c r="AQ270" s="4676"/>
      <c r="AR270" s="4676"/>
      <c r="AS270" s="4676"/>
      <c r="AT270" s="4676"/>
      <c r="AU270" s="4676"/>
      <c r="AV270" s="4676"/>
      <c r="AW270" s="4676"/>
      <c r="AX270" s="4676"/>
      <c r="AY270" s="4676"/>
      <c r="AZ270" s="4676"/>
      <c r="BA270" s="4676"/>
      <c r="BB270" s="4676"/>
      <c r="BC270" s="4676"/>
      <c r="BD270" s="4676"/>
      <c r="BE270" s="4676"/>
      <c r="BF270" s="4676"/>
      <c r="BG270" s="4676"/>
      <c r="BH270" s="4676"/>
      <c r="BI270" s="4676"/>
      <c r="BJ270" s="4676"/>
      <c r="BK270" s="4677"/>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5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1"/>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54"/>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87"/>
      <c r="U271" s="4688"/>
      <c r="V271" s="2372" t="str">
        <f>IF(OR(V269=0,V269=""),"N/A",V269)</f>
        <v>N/A</v>
      </c>
      <c r="W271" s="4687" t="str">
        <f xml:space="preserve"> IF(OR(AF269=0,AF269=""),"N/A",W269)</f>
        <v>N/A</v>
      </c>
      <c r="X271" s="4689"/>
      <c r="Y271" s="4689"/>
      <c r="Z271" s="4689"/>
      <c r="AA271" s="4689"/>
      <c r="AB271" s="4689"/>
      <c r="AC271" s="4689"/>
      <c r="AD271" s="4689"/>
      <c r="AE271" s="4689"/>
      <c r="AF271" s="4688"/>
      <c r="AG271" s="4687" t="str">
        <f xml:space="preserve"> IF(OR(AP269="",AP269=0),"N/A",AG269)</f>
        <v>N/A</v>
      </c>
      <c r="AH271" s="4689"/>
      <c r="AI271" s="4689"/>
      <c r="AJ271" s="4689"/>
      <c r="AK271" s="4689"/>
      <c r="AL271" s="4689"/>
      <c r="AM271" s="4689"/>
      <c r="AN271" s="4689"/>
      <c r="AO271" s="4689"/>
      <c r="AP271" s="4688"/>
      <c r="AQ271" s="4687" t="str">
        <f xml:space="preserve"> IF(OR(AZ269="",AZ269=0),"N/A",AQ269)</f>
        <v>N/A</v>
      </c>
      <c r="AR271" s="4689"/>
      <c r="AS271" s="4689"/>
      <c r="AT271" s="4689"/>
      <c r="AU271" s="4689"/>
      <c r="AV271" s="4689"/>
      <c r="AW271" s="4689"/>
      <c r="AX271" s="4689"/>
      <c r="AY271" s="4689"/>
      <c r="AZ271" s="4688"/>
      <c r="BA271" s="4687" t="str">
        <f xml:space="preserve"> IF(OR(BJ269="",BJ269=0),"N/A",BA269)</f>
        <v>N/A</v>
      </c>
      <c r="BB271" s="4689"/>
      <c r="BC271" s="4689"/>
      <c r="BD271" s="4689"/>
      <c r="BE271" s="4689"/>
      <c r="BF271" s="4689"/>
      <c r="BG271" s="4689"/>
      <c r="BH271" s="4689"/>
      <c r="BI271" s="4689"/>
      <c r="BJ271" s="4688"/>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54"/>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90" t="s">
        <v>4677</v>
      </c>
      <c r="U272" s="4691"/>
      <c r="V272" s="2373"/>
      <c r="W272" s="4692"/>
      <c r="X272" s="4693"/>
      <c r="Y272" s="4693"/>
      <c r="Z272" s="4693"/>
      <c r="AA272" s="4693"/>
      <c r="AB272" s="4693"/>
      <c r="AC272" s="4693"/>
      <c r="AD272" s="4693"/>
      <c r="AE272" s="4693"/>
      <c r="AF272" s="4694"/>
      <c r="AG272" s="4692"/>
      <c r="AH272" s="4693"/>
      <c r="AI272" s="4693"/>
      <c r="AJ272" s="4693"/>
      <c r="AK272" s="4693"/>
      <c r="AL272" s="4693"/>
      <c r="AM272" s="4693"/>
      <c r="AN272" s="4693"/>
      <c r="AO272" s="4693"/>
      <c r="AP272" s="4694"/>
      <c r="AQ272" s="4692"/>
      <c r="AR272" s="4693"/>
      <c r="AS272" s="4693"/>
      <c r="AT272" s="4693"/>
      <c r="AU272" s="4693"/>
      <c r="AV272" s="4693"/>
      <c r="AW272" s="4693"/>
      <c r="AX272" s="4693"/>
      <c r="AY272" s="4693"/>
      <c r="AZ272" s="4694"/>
      <c r="BA272" s="4692"/>
      <c r="BB272" s="4693"/>
      <c r="BC272" s="4693"/>
      <c r="BD272" s="4693"/>
      <c r="BE272" s="4693"/>
      <c r="BF272" s="4693"/>
      <c r="BG272" s="4693"/>
      <c r="BH272" s="4693"/>
      <c r="BI272" s="4693"/>
      <c r="BJ272" s="4694"/>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48" t="s">
        <v>4678</v>
      </c>
      <c r="BU272" s="4649"/>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54"/>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2" t="s">
        <v>4679</v>
      </c>
      <c r="U273" s="4683"/>
      <c r="V273" s="2371"/>
      <c r="W273" s="4684"/>
      <c r="X273" s="4685"/>
      <c r="Y273" s="4685"/>
      <c r="Z273" s="4685"/>
      <c r="AA273" s="4685"/>
      <c r="AB273" s="4685"/>
      <c r="AC273" s="4685"/>
      <c r="AD273" s="4685"/>
      <c r="AE273" s="4685"/>
      <c r="AF273" s="4686"/>
      <c r="AG273" s="4684"/>
      <c r="AH273" s="4685"/>
      <c r="AI273" s="4685"/>
      <c r="AJ273" s="4685"/>
      <c r="AK273" s="4685"/>
      <c r="AL273" s="4685"/>
      <c r="AM273" s="4685"/>
      <c r="AN273" s="4685"/>
      <c r="AO273" s="4685"/>
      <c r="AP273" s="4686"/>
      <c r="AQ273" s="4684"/>
      <c r="AR273" s="4685"/>
      <c r="AS273" s="4685"/>
      <c r="AT273" s="4685"/>
      <c r="AU273" s="4685"/>
      <c r="AV273" s="4685"/>
      <c r="AW273" s="4685"/>
      <c r="AX273" s="4685"/>
      <c r="AY273" s="4685"/>
      <c r="AZ273" s="4686"/>
      <c r="BA273" s="4684"/>
      <c r="BB273" s="4685"/>
      <c r="BC273" s="4685"/>
      <c r="BD273" s="4685"/>
      <c r="BE273" s="4685"/>
      <c r="BF273" s="4685"/>
      <c r="BG273" s="4685"/>
      <c r="BH273" s="4685"/>
      <c r="BI273" s="4685"/>
      <c r="BJ273" s="4686"/>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2" t="s">
        <v>1693</v>
      </c>
      <c r="BU273" s="4653"/>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54"/>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48" t="s">
        <v>4680</v>
      </c>
      <c r="BU274" s="4649"/>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2" t="s">
        <v>4660</v>
      </c>
      <c r="BU275" s="4653"/>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75" t="s">
        <v>4675</v>
      </c>
      <c r="U276" s="4676"/>
      <c r="V276" s="4676"/>
      <c r="W276" s="4676"/>
      <c r="X276" s="4676"/>
      <c r="Y276" s="4676"/>
      <c r="Z276" s="4676"/>
      <c r="AA276" s="4676"/>
      <c r="AB276" s="4676"/>
      <c r="AC276" s="4676"/>
      <c r="AD276" s="4676"/>
      <c r="AE276" s="4676"/>
      <c r="AF276" s="4676"/>
      <c r="AG276" s="4676"/>
      <c r="AH276" s="4676"/>
      <c r="AI276" s="4676"/>
      <c r="AJ276" s="4676"/>
      <c r="AK276" s="4676"/>
      <c r="AL276" s="4676"/>
      <c r="AM276" s="4676"/>
      <c r="AN276" s="4676"/>
      <c r="AO276" s="4676"/>
      <c r="AP276" s="4676"/>
      <c r="AQ276" s="4676"/>
      <c r="AR276" s="4676"/>
      <c r="AS276" s="4676"/>
      <c r="AT276" s="4676"/>
      <c r="AU276" s="4676"/>
      <c r="AV276" s="4676"/>
      <c r="AW276" s="4676"/>
      <c r="AX276" s="4676"/>
      <c r="AY276" s="4676"/>
      <c r="AZ276" s="4676"/>
      <c r="BA276" s="4676"/>
      <c r="BB276" s="4676"/>
      <c r="BC276" s="4676"/>
      <c r="BD276" s="4676"/>
      <c r="BE276" s="4676"/>
      <c r="BF276" s="4676"/>
      <c r="BG276" s="4676"/>
      <c r="BH276" s="4676"/>
      <c r="BI276" s="4676"/>
      <c r="BJ276" s="4676"/>
      <c r="BK276" s="4677"/>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48" t="s">
        <v>4681</v>
      </c>
      <c r="BU276" s="4649"/>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87"/>
      <c r="U277" s="4688"/>
      <c r="V277" s="2372" t="str">
        <f>IF(OR(V275=0,V275=""),"N/A",V275)</f>
        <v>N/A</v>
      </c>
      <c r="W277" s="4687" t="str">
        <f xml:space="preserve"> IF(OR(AF275=0,AF275=""),"N/A",W275)</f>
        <v>N/A</v>
      </c>
      <c r="X277" s="4689"/>
      <c r="Y277" s="4689"/>
      <c r="Z277" s="4689"/>
      <c r="AA277" s="4689"/>
      <c r="AB277" s="4689"/>
      <c r="AC277" s="4689"/>
      <c r="AD277" s="4689"/>
      <c r="AE277" s="4689"/>
      <c r="AF277" s="4688"/>
      <c r="AG277" s="4687" t="str">
        <f xml:space="preserve"> IF(OR(AP275="",AP275=0),"N/A",AG275)</f>
        <v>N/A</v>
      </c>
      <c r="AH277" s="4689"/>
      <c r="AI277" s="4689"/>
      <c r="AJ277" s="4689"/>
      <c r="AK277" s="4689"/>
      <c r="AL277" s="4689"/>
      <c r="AM277" s="4689"/>
      <c r="AN277" s="4689"/>
      <c r="AO277" s="4689"/>
      <c r="AP277" s="4688"/>
      <c r="AQ277" s="4687" t="str">
        <f xml:space="preserve"> IF(OR(AZ275="",AZ275=0),"N/A",AQ275)</f>
        <v>N/A</v>
      </c>
      <c r="AR277" s="4689"/>
      <c r="AS277" s="4689"/>
      <c r="AT277" s="4689"/>
      <c r="AU277" s="4689"/>
      <c r="AV277" s="4689"/>
      <c r="AW277" s="4689"/>
      <c r="AX277" s="4689"/>
      <c r="AY277" s="4689"/>
      <c r="AZ277" s="4688"/>
      <c r="BA277" s="4687" t="str">
        <f xml:space="preserve"> IF(OR(BJ275="",BJ275=0),"N/A",BA275)</f>
        <v>N/A</v>
      </c>
      <c r="BB277" s="4689"/>
      <c r="BC277" s="4689"/>
      <c r="BD277" s="4689"/>
      <c r="BE277" s="4689"/>
      <c r="BF277" s="4689"/>
      <c r="BG277" s="4689"/>
      <c r="BH277" s="4689"/>
      <c r="BI277" s="4689"/>
      <c r="BJ277" s="4688"/>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2" t="s">
        <v>4654</v>
      </c>
      <c r="BU277" s="4653"/>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90" t="s">
        <v>4677</v>
      </c>
      <c r="U278" s="4691"/>
      <c r="V278" s="2373"/>
      <c r="W278" s="4692"/>
      <c r="X278" s="4693"/>
      <c r="Y278" s="4693"/>
      <c r="Z278" s="4693"/>
      <c r="AA278" s="4693"/>
      <c r="AB278" s="4693"/>
      <c r="AC278" s="4693"/>
      <c r="AD278" s="4693"/>
      <c r="AE278" s="4693"/>
      <c r="AF278" s="4694"/>
      <c r="AG278" s="4692"/>
      <c r="AH278" s="4693"/>
      <c r="AI278" s="4693"/>
      <c r="AJ278" s="4693"/>
      <c r="AK278" s="4693"/>
      <c r="AL278" s="4693"/>
      <c r="AM278" s="4693"/>
      <c r="AN278" s="4693"/>
      <c r="AO278" s="4693"/>
      <c r="AP278" s="4694"/>
      <c r="AQ278" s="4692"/>
      <c r="AR278" s="4693"/>
      <c r="AS278" s="4693"/>
      <c r="AT278" s="4693"/>
      <c r="AU278" s="4693"/>
      <c r="AV278" s="4693"/>
      <c r="AW278" s="4693"/>
      <c r="AX278" s="4693"/>
      <c r="AY278" s="4693"/>
      <c r="AZ278" s="4694"/>
      <c r="BA278" s="4692"/>
      <c r="BB278" s="4693"/>
      <c r="BC278" s="4693"/>
      <c r="BD278" s="4693"/>
      <c r="BE278" s="4693"/>
      <c r="BF278" s="4693"/>
      <c r="BG278" s="4693"/>
      <c r="BH278" s="4693"/>
      <c r="BI278" s="4693"/>
      <c r="BJ278" s="4694"/>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4" t="s">
        <v>4682</v>
      </c>
      <c r="BU278" s="4645"/>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2" t="s">
        <v>4679</v>
      </c>
      <c r="U279" s="4683"/>
      <c r="V279" s="2371"/>
      <c r="W279" s="4684"/>
      <c r="X279" s="4685"/>
      <c r="Y279" s="4685"/>
      <c r="Z279" s="4685"/>
      <c r="AA279" s="4685"/>
      <c r="AB279" s="4685"/>
      <c r="AC279" s="4685"/>
      <c r="AD279" s="4685"/>
      <c r="AE279" s="4685"/>
      <c r="AF279" s="4686"/>
      <c r="AG279" s="4684"/>
      <c r="AH279" s="4685"/>
      <c r="AI279" s="4685"/>
      <c r="AJ279" s="4685"/>
      <c r="AK279" s="4685"/>
      <c r="AL279" s="4685"/>
      <c r="AM279" s="4685"/>
      <c r="AN279" s="4685"/>
      <c r="AO279" s="4685"/>
      <c r="AP279" s="4686"/>
      <c r="AQ279" s="4684"/>
      <c r="AR279" s="4685"/>
      <c r="AS279" s="4685"/>
      <c r="AT279" s="4685"/>
      <c r="AU279" s="4685"/>
      <c r="AV279" s="4685"/>
      <c r="AW279" s="4685"/>
      <c r="AX279" s="4685"/>
      <c r="AY279" s="4685"/>
      <c r="AZ279" s="4686"/>
      <c r="BA279" s="4684"/>
      <c r="BB279" s="4685"/>
      <c r="BC279" s="4685"/>
      <c r="BD279" s="4685"/>
      <c r="BE279" s="4685"/>
      <c r="BF279" s="4685"/>
      <c r="BG279" s="4685"/>
      <c r="BH279" s="4685"/>
      <c r="BI279" s="4685"/>
      <c r="BJ279" s="4686"/>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75" t="s">
        <v>4675</v>
      </c>
      <c r="U282" s="4676"/>
      <c r="V282" s="4676"/>
      <c r="W282" s="4676"/>
      <c r="X282" s="4676"/>
      <c r="Y282" s="4676"/>
      <c r="Z282" s="4676"/>
      <c r="AA282" s="4676"/>
      <c r="AB282" s="4676"/>
      <c r="AC282" s="4676"/>
      <c r="AD282" s="4676"/>
      <c r="AE282" s="4676"/>
      <c r="AF282" s="4676"/>
      <c r="AG282" s="4676"/>
      <c r="AH282" s="4676"/>
      <c r="AI282" s="4676"/>
      <c r="AJ282" s="4676"/>
      <c r="AK282" s="4676"/>
      <c r="AL282" s="4676"/>
      <c r="AM282" s="4676"/>
      <c r="AN282" s="4676"/>
      <c r="AO282" s="4676"/>
      <c r="AP282" s="4676"/>
      <c r="AQ282" s="4676"/>
      <c r="AR282" s="4676"/>
      <c r="AS282" s="4676"/>
      <c r="AT282" s="4676"/>
      <c r="AU282" s="4676"/>
      <c r="AV282" s="4676"/>
      <c r="AW282" s="4676"/>
      <c r="AX282" s="4676"/>
      <c r="AY282" s="4676"/>
      <c r="AZ282" s="4676"/>
      <c r="BA282" s="4676"/>
      <c r="BB282" s="4676"/>
      <c r="BC282" s="4676"/>
      <c r="BD282" s="4676"/>
      <c r="BE282" s="4676"/>
      <c r="BF282" s="4676"/>
      <c r="BG282" s="4676"/>
      <c r="BH282" s="4676"/>
      <c r="BI282" s="4676"/>
      <c r="BJ282" s="4676"/>
      <c r="BK282" s="4677"/>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87"/>
      <c r="U283" s="4688"/>
      <c r="V283" s="2372" t="str">
        <f>IF(OR(V281=0,V281=""),"N/A",V281)</f>
        <v>N/A</v>
      </c>
      <c r="W283" s="4687" t="str">
        <f xml:space="preserve"> IF(OR(AF281=0,AF281=""),"N/A",W281)</f>
        <v>N/A</v>
      </c>
      <c r="X283" s="4689"/>
      <c r="Y283" s="4689"/>
      <c r="Z283" s="4689"/>
      <c r="AA283" s="4689"/>
      <c r="AB283" s="4689"/>
      <c r="AC283" s="4689"/>
      <c r="AD283" s="4689"/>
      <c r="AE283" s="4689"/>
      <c r="AF283" s="4688"/>
      <c r="AG283" s="4687" t="str">
        <f xml:space="preserve"> IF(OR(AP281="",AP281=0),"N/A",AG281)</f>
        <v>N/A</v>
      </c>
      <c r="AH283" s="4689"/>
      <c r="AI283" s="4689"/>
      <c r="AJ283" s="4689"/>
      <c r="AK283" s="4689"/>
      <c r="AL283" s="4689"/>
      <c r="AM283" s="4689"/>
      <c r="AN283" s="4689"/>
      <c r="AO283" s="4689"/>
      <c r="AP283" s="4688"/>
      <c r="AQ283" s="4687" t="str">
        <f xml:space="preserve"> IF(OR(AZ281="",AZ281=0),"N/A",AQ281)</f>
        <v>N/A</v>
      </c>
      <c r="AR283" s="4689"/>
      <c r="AS283" s="4689"/>
      <c r="AT283" s="4689"/>
      <c r="AU283" s="4689"/>
      <c r="AV283" s="4689"/>
      <c r="AW283" s="4689"/>
      <c r="AX283" s="4689"/>
      <c r="AY283" s="4689"/>
      <c r="AZ283" s="4688"/>
      <c r="BA283" s="4687" t="str">
        <f xml:space="preserve"> IF(OR(BJ281="",BJ281=0),"N/A",BA281)</f>
        <v>N/A</v>
      </c>
      <c r="BB283" s="4689"/>
      <c r="BC283" s="4689"/>
      <c r="BD283" s="4689"/>
      <c r="BE283" s="4689"/>
      <c r="BF283" s="4689"/>
      <c r="BG283" s="4689"/>
      <c r="BH283" s="4689"/>
      <c r="BI283" s="4689"/>
      <c r="BJ283" s="4688"/>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90" t="s">
        <v>4677</v>
      </c>
      <c r="U284" s="4691"/>
      <c r="V284" s="2373"/>
      <c r="W284" s="4692"/>
      <c r="X284" s="4693"/>
      <c r="Y284" s="4693"/>
      <c r="Z284" s="4693"/>
      <c r="AA284" s="4693"/>
      <c r="AB284" s="4693"/>
      <c r="AC284" s="4693"/>
      <c r="AD284" s="4693"/>
      <c r="AE284" s="4693"/>
      <c r="AF284" s="4694"/>
      <c r="AG284" s="4692"/>
      <c r="AH284" s="4693"/>
      <c r="AI284" s="4693"/>
      <c r="AJ284" s="4693"/>
      <c r="AK284" s="4693"/>
      <c r="AL284" s="4693"/>
      <c r="AM284" s="4693"/>
      <c r="AN284" s="4693"/>
      <c r="AO284" s="4693"/>
      <c r="AP284" s="4694"/>
      <c r="AQ284" s="4692"/>
      <c r="AR284" s="4693"/>
      <c r="AS284" s="4693"/>
      <c r="AT284" s="4693"/>
      <c r="AU284" s="4693"/>
      <c r="AV284" s="4693"/>
      <c r="AW284" s="4693"/>
      <c r="AX284" s="4693"/>
      <c r="AY284" s="4693"/>
      <c r="AZ284" s="4694"/>
      <c r="BA284" s="4692"/>
      <c r="BB284" s="4693"/>
      <c r="BC284" s="4693"/>
      <c r="BD284" s="4693"/>
      <c r="BE284" s="4693"/>
      <c r="BF284" s="4693"/>
      <c r="BG284" s="4693"/>
      <c r="BH284" s="4693"/>
      <c r="BI284" s="4693"/>
      <c r="BJ284" s="4694"/>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2" t="s">
        <v>4679</v>
      </c>
      <c r="U285" s="4683"/>
      <c r="V285" s="2371"/>
      <c r="W285" s="4684"/>
      <c r="X285" s="4685"/>
      <c r="Y285" s="4685"/>
      <c r="Z285" s="4685"/>
      <c r="AA285" s="4685"/>
      <c r="AB285" s="4685"/>
      <c r="AC285" s="4685"/>
      <c r="AD285" s="4685"/>
      <c r="AE285" s="4685"/>
      <c r="AF285" s="4686"/>
      <c r="AG285" s="4684"/>
      <c r="AH285" s="4685"/>
      <c r="AI285" s="4685"/>
      <c r="AJ285" s="4685"/>
      <c r="AK285" s="4685"/>
      <c r="AL285" s="4685"/>
      <c r="AM285" s="4685"/>
      <c r="AN285" s="4685"/>
      <c r="AO285" s="4685"/>
      <c r="AP285" s="4686"/>
      <c r="AQ285" s="4684"/>
      <c r="AR285" s="4685"/>
      <c r="AS285" s="4685"/>
      <c r="AT285" s="4685"/>
      <c r="AU285" s="4685"/>
      <c r="AV285" s="4685"/>
      <c r="AW285" s="4685"/>
      <c r="AX285" s="4685"/>
      <c r="AY285" s="4685"/>
      <c r="AZ285" s="4686"/>
      <c r="BA285" s="4684"/>
      <c r="BB285" s="4685"/>
      <c r="BC285" s="4685"/>
      <c r="BD285" s="4685"/>
      <c r="BE285" s="4685"/>
      <c r="BF285" s="4685"/>
      <c r="BG285" s="4685"/>
      <c r="BH285" s="4685"/>
      <c r="BI285" s="4685"/>
      <c r="BJ285" s="4686"/>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75" t="s">
        <v>4675</v>
      </c>
      <c r="U288" s="4676"/>
      <c r="V288" s="4676"/>
      <c r="W288" s="4676"/>
      <c r="X288" s="4676"/>
      <c r="Y288" s="4676"/>
      <c r="Z288" s="4676"/>
      <c r="AA288" s="4676"/>
      <c r="AB288" s="4676"/>
      <c r="AC288" s="4676"/>
      <c r="AD288" s="4676"/>
      <c r="AE288" s="4676"/>
      <c r="AF288" s="4676"/>
      <c r="AG288" s="4676"/>
      <c r="AH288" s="4676"/>
      <c r="AI288" s="4676"/>
      <c r="AJ288" s="4676"/>
      <c r="AK288" s="4676"/>
      <c r="AL288" s="4676"/>
      <c r="AM288" s="4676"/>
      <c r="AN288" s="4676"/>
      <c r="AO288" s="4676"/>
      <c r="AP288" s="4676"/>
      <c r="AQ288" s="4676"/>
      <c r="AR288" s="4676"/>
      <c r="AS288" s="4676"/>
      <c r="AT288" s="4676"/>
      <c r="AU288" s="4676"/>
      <c r="AV288" s="4676"/>
      <c r="AW288" s="4676"/>
      <c r="AX288" s="4676"/>
      <c r="AY288" s="4676"/>
      <c r="AZ288" s="4676"/>
      <c r="BA288" s="4676"/>
      <c r="BB288" s="4676"/>
      <c r="BC288" s="4676"/>
      <c r="BD288" s="4676"/>
      <c r="BE288" s="4676"/>
      <c r="BF288" s="4676"/>
      <c r="BG288" s="4676"/>
      <c r="BH288" s="4676"/>
      <c r="BI288" s="4676"/>
      <c r="BJ288" s="4676"/>
      <c r="BK288" s="4677"/>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87"/>
      <c r="U289" s="4688"/>
      <c r="V289" s="2372" t="str">
        <f>IF(OR(V287=0,V287=""),"N/A",V287)</f>
        <v>N/A</v>
      </c>
      <c r="W289" s="4687" t="str">
        <f xml:space="preserve"> IF(OR(AF287=0,AF287=""),"N/A",W287)</f>
        <v>N/A</v>
      </c>
      <c r="X289" s="4689"/>
      <c r="Y289" s="4689"/>
      <c r="Z289" s="4689"/>
      <c r="AA289" s="4689"/>
      <c r="AB289" s="4689"/>
      <c r="AC289" s="4689"/>
      <c r="AD289" s="4689"/>
      <c r="AE289" s="4689"/>
      <c r="AF289" s="4688"/>
      <c r="AG289" s="4687" t="str">
        <f xml:space="preserve"> IF(OR(AP287="",AP287=0),"N/A",AG287)</f>
        <v>N/A</v>
      </c>
      <c r="AH289" s="4689"/>
      <c r="AI289" s="4689"/>
      <c r="AJ289" s="4689"/>
      <c r="AK289" s="4689"/>
      <c r="AL289" s="4689"/>
      <c r="AM289" s="4689"/>
      <c r="AN289" s="4689"/>
      <c r="AO289" s="4689"/>
      <c r="AP289" s="4688"/>
      <c r="AQ289" s="4687" t="str">
        <f xml:space="preserve"> IF(OR(AZ287="",AZ287=0),"N/A",AQ287)</f>
        <v>N/A</v>
      </c>
      <c r="AR289" s="4689"/>
      <c r="AS289" s="4689"/>
      <c r="AT289" s="4689"/>
      <c r="AU289" s="4689"/>
      <c r="AV289" s="4689"/>
      <c r="AW289" s="4689"/>
      <c r="AX289" s="4689"/>
      <c r="AY289" s="4689"/>
      <c r="AZ289" s="4688"/>
      <c r="BA289" s="4687" t="str">
        <f xml:space="preserve"> IF(OR(BJ287="",BJ287=0),"N/A",BA287)</f>
        <v>N/A</v>
      </c>
      <c r="BB289" s="4689"/>
      <c r="BC289" s="4689"/>
      <c r="BD289" s="4689"/>
      <c r="BE289" s="4689"/>
      <c r="BF289" s="4689"/>
      <c r="BG289" s="4689"/>
      <c r="BH289" s="4689"/>
      <c r="BI289" s="4689"/>
      <c r="BJ289" s="4688"/>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90" t="s">
        <v>4677</v>
      </c>
      <c r="U290" s="4691"/>
      <c r="V290" s="2373"/>
      <c r="W290" s="4692"/>
      <c r="X290" s="4693"/>
      <c r="Y290" s="4693"/>
      <c r="Z290" s="4693"/>
      <c r="AA290" s="4693"/>
      <c r="AB290" s="4693"/>
      <c r="AC290" s="4693"/>
      <c r="AD290" s="4693"/>
      <c r="AE290" s="4693"/>
      <c r="AF290" s="4694"/>
      <c r="AG290" s="4692"/>
      <c r="AH290" s="4693"/>
      <c r="AI290" s="4693"/>
      <c r="AJ290" s="4693"/>
      <c r="AK290" s="4693"/>
      <c r="AL290" s="4693"/>
      <c r="AM290" s="4693"/>
      <c r="AN290" s="4693"/>
      <c r="AO290" s="4693"/>
      <c r="AP290" s="4694"/>
      <c r="AQ290" s="4692"/>
      <c r="AR290" s="4693"/>
      <c r="AS290" s="4693"/>
      <c r="AT290" s="4693"/>
      <c r="AU290" s="4693"/>
      <c r="AV290" s="4693"/>
      <c r="AW290" s="4693"/>
      <c r="AX290" s="4693"/>
      <c r="AY290" s="4693"/>
      <c r="AZ290" s="4694"/>
      <c r="BA290" s="4692"/>
      <c r="BB290" s="4693"/>
      <c r="BC290" s="4693"/>
      <c r="BD290" s="4693"/>
      <c r="BE290" s="4693"/>
      <c r="BF290" s="4693"/>
      <c r="BG290" s="4693"/>
      <c r="BH290" s="4693"/>
      <c r="BI290" s="4693"/>
      <c r="BJ290" s="4694"/>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2" t="s">
        <v>4679</v>
      </c>
      <c r="U291" s="4683"/>
      <c r="V291" s="2371"/>
      <c r="W291" s="4684"/>
      <c r="X291" s="4685"/>
      <c r="Y291" s="4685"/>
      <c r="Z291" s="4685"/>
      <c r="AA291" s="4685"/>
      <c r="AB291" s="4685"/>
      <c r="AC291" s="4685"/>
      <c r="AD291" s="4685"/>
      <c r="AE291" s="4685"/>
      <c r="AF291" s="4686"/>
      <c r="AG291" s="4684"/>
      <c r="AH291" s="4685"/>
      <c r="AI291" s="4685"/>
      <c r="AJ291" s="4685"/>
      <c r="AK291" s="4685"/>
      <c r="AL291" s="4685"/>
      <c r="AM291" s="4685"/>
      <c r="AN291" s="4685"/>
      <c r="AO291" s="4685"/>
      <c r="AP291" s="4686"/>
      <c r="AQ291" s="4684"/>
      <c r="AR291" s="4685"/>
      <c r="AS291" s="4685"/>
      <c r="AT291" s="4685"/>
      <c r="AU291" s="4685"/>
      <c r="AV291" s="4685"/>
      <c r="AW291" s="4685"/>
      <c r="AX291" s="4685"/>
      <c r="AY291" s="4685"/>
      <c r="AZ291" s="4686"/>
      <c r="BA291" s="4684"/>
      <c r="BB291" s="4685"/>
      <c r="BC291" s="4685"/>
      <c r="BD291" s="4685"/>
      <c r="BE291" s="4685"/>
      <c r="BF291" s="4685"/>
      <c r="BG291" s="4685"/>
      <c r="BH291" s="4685"/>
      <c r="BI291" s="4685"/>
      <c r="BJ291" s="4686"/>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2"/>
      <c r="BV293" s="4642"/>
      <c r="BW293" s="4642"/>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75" t="s">
        <v>4675</v>
      </c>
      <c r="U294" s="4676"/>
      <c r="V294" s="4676"/>
      <c r="W294" s="4676"/>
      <c r="X294" s="4676"/>
      <c r="Y294" s="4676"/>
      <c r="Z294" s="4676"/>
      <c r="AA294" s="4676"/>
      <c r="AB294" s="4676"/>
      <c r="AC294" s="4676"/>
      <c r="AD294" s="4676"/>
      <c r="AE294" s="4676"/>
      <c r="AF294" s="4676"/>
      <c r="AG294" s="4676"/>
      <c r="AH294" s="4676"/>
      <c r="AI294" s="4676"/>
      <c r="AJ294" s="4676"/>
      <c r="AK294" s="4676"/>
      <c r="AL294" s="4676"/>
      <c r="AM294" s="4676"/>
      <c r="AN294" s="4676"/>
      <c r="AO294" s="4676"/>
      <c r="AP294" s="4676"/>
      <c r="AQ294" s="4676"/>
      <c r="AR294" s="4676"/>
      <c r="AS294" s="4676"/>
      <c r="AT294" s="4676"/>
      <c r="AU294" s="4676"/>
      <c r="AV294" s="4676"/>
      <c r="AW294" s="4676"/>
      <c r="AX294" s="4676"/>
      <c r="AY294" s="4676"/>
      <c r="AZ294" s="4676"/>
      <c r="BA294" s="4676"/>
      <c r="BB294" s="4676"/>
      <c r="BC294" s="4676"/>
      <c r="BD294" s="4676"/>
      <c r="BE294" s="4676"/>
      <c r="BF294" s="4676"/>
      <c r="BG294" s="4676"/>
      <c r="BH294" s="4676"/>
      <c r="BI294" s="4676"/>
      <c r="BJ294" s="4676"/>
      <c r="BK294" s="4677"/>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87"/>
      <c r="U295" s="4688"/>
      <c r="V295" s="2372" t="str">
        <f>IF(OR(V293=0,V293=""),"N/A",V293)</f>
        <v>N/A</v>
      </c>
      <c r="W295" s="4687" t="str">
        <f xml:space="preserve"> IF(OR(AF293=0,AF293=""),"N/A",W293)</f>
        <v>N/A</v>
      </c>
      <c r="X295" s="4689"/>
      <c r="Y295" s="4689"/>
      <c r="Z295" s="4689"/>
      <c r="AA295" s="4689"/>
      <c r="AB295" s="4689"/>
      <c r="AC295" s="4689"/>
      <c r="AD295" s="4689"/>
      <c r="AE295" s="4689"/>
      <c r="AF295" s="4688"/>
      <c r="AG295" s="4687" t="str">
        <f xml:space="preserve"> IF(OR(AP293="",AP293=0),"N/A",AG293)</f>
        <v>N/A</v>
      </c>
      <c r="AH295" s="4689"/>
      <c r="AI295" s="4689"/>
      <c r="AJ295" s="4689"/>
      <c r="AK295" s="4689"/>
      <c r="AL295" s="4689"/>
      <c r="AM295" s="4689"/>
      <c r="AN295" s="4689"/>
      <c r="AO295" s="4689"/>
      <c r="AP295" s="4688"/>
      <c r="AQ295" s="4687" t="str">
        <f xml:space="preserve"> IF(OR(AZ293="",AZ293=0),"N/A",AQ293)</f>
        <v>N/A</v>
      </c>
      <c r="AR295" s="4689"/>
      <c r="AS295" s="4689"/>
      <c r="AT295" s="4689"/>
      <c r="AU295" s="4689"/>
      <c r="AV295" s="4689"/>
      <c r="AW295" s="4689"/>
      <c r="AX295" s="4689"/>
      <c r="AY295" s="4689"/>
      <c r="AZ295" s="4688"/>
      <c r="BA295" s="4687" t="str">
        <f xml:space="preserve"> IF(OR(BJ293="",BJ293=0),"N/A",BA293)</f>
        <v>N/A</v>
      </c>
      <c r="BB295" s="4689"/>
      <c r="BC295" s="4689"/>
      <c r="BD295" s="4689"/>
      <c r="BE295" s="4689"/>
      <c r="BF295" s="4689"/>
      <c r="BG295" s="4689"/>
      <c r="BH295" s="4689"/>
      <c r="BI295" s="4689"/>
      <c r="BJ295" s="4688"/>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3"/>
      <c r="BV295" s="4643"/>
      <c r="BW295" s="4643"/>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90" t="s">
        <v>4677</v>
      </c>
      <c r="U296" s="4691"/>
      <c r="V296" s="2373"/>
      <c r="W296" s="4692"/>
      <c r="X296" s="4693"/>
      <c r="Y296" s="4693"/>
      <c r="Z296" s="4693"/>
      <c r="AA296" s="4693"/>
      <c r="AB296" s="4693"/>
      <c r="AC296" s="4693"/>
      <c r="AD296" s="4693"/>
      <c r="AE296" s="4693"/>
      <c r="AF296" s="4694"/>
      <c r="AG296" s="4692"/>
      <c r="AH296" s="4693"/>
      <c r="AI296" s="4693"/>
      <c r="AJ296" s="4693"/>
      <c r="AK296" s="4693"/>
      <c r="AL296" s="4693"/>
      <c r="AM296" s="4693"/>
      <c r="AN296" s="4693"/>
      <c r="AO296" s="4693"/>
      <c r="AP296" s="4694"/>
      <c r="AQ296" s="4692"/>
      <c r="AR296" s="4693"/>
      <c r="AS296" s="4693"/>
      <c r="AT296" s="4693"/>
      <c r="AU296" s="4693"/>
      <c r="AV296" s="4693"/>
      <c r="AW296" s="4693"/>
      <c r="AX296" s="4693"/>
      <c r="AY296" s="4693"/>
      <c r="AZ296" s="4694"/>
      <c r="BA296" s="4692"/>
      <c r="BB296" s="4693"/>
      <c r="BC296" s="4693"/>
      <c r="BD296" s="4693"/>
      <c r="BE296" s="4693"/>
      <c r="BF296" s="4693"/>
      <c r="BG296" s="4693"/>
      <c r="BH296" s="4693"/>
      <c r="BI296" s="4693"/>
      <c r="BJ296" s="4694"/>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95" t="s">
        <v>4679</v>
      </c>
      <c r="U297" s="4696"/>
      <c r="V297" s="2376"/>
      <c r="W297" s="4697"/>
      <c r="X297" s="4698"/>
      <c r="Y297" s="4698"/>
      <c r="Z297" s="4698"/>
      <c r="AA297" s="4698"/>
      <c r="AB297" s="4698"/>
      <c r="AC297" s="4698"/>
      <c r="AD297" s="4698"/>
      <c r="AE297" s="4698"/>
      <c r="AF297" s="4699"/>
      <c r="AG297" s="4697"/>
      <c r="AH297" s="4698"/>
      <c r="AI297" s="4698"/>
      <c r="AJ297" s="4698"/>
      <c r="AK297" s="4698"/>
      <c r="AL297" s="4698"/>
      <c r="AM297" s="4698"/>
      <c r="AN297" s="4698"/>
      <c r="AO297" s="4698"/>
      <c r="AP297" s="4699"/>
      <c r="AQ297" s="4697"/>
      <c r="AR297" s="4698"/>
      <c r="AS297" s="4698"/>
      <c r="AT297" s="4698"/>
      <c r="AU297" s="4698"/>
      <c r="AV297" s="4698"/>
      <c r="AW297" s="4698"/>
      <c r="AX297" s="4698"/>
      <c r="AY297" s="4698"/>
      <c r="AZ297" s="4699"/>
      <c r="BA297" s="4697"/>
      <c r="BB297" s="4698"/>
      <c r="BC297" s="4698"/>
      <c r="BD297" s="4698"/>
      <c r="BE297" s="4698"/>
      <c r="BF297" s="4698"/>
      <c r="BG297" s="4698"/>
      <c r="BH297" s="4698"/>
      <c r="BI297" s="4698"/>
      <c r="BJ297" s="4699"/>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1"/>
      <c r="BL298" s="4681"/>
      <c r="BM298" s="4645"/>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4" t="s">
        <v>4688</v>
      </c>
      <c r="BU298" s="4645"/>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78" t="str">
        <f>IF(OR(E299='Tablas Técnicas'!A$678,E299='Tablas Técnicas'!A$679,E300='Tablas Técnicas'!A$678,E300='Tablas Técnicas'!A$679,E301='Tablas Técnicas'!A$678,E301='Tablas Técnicas'!A$679),"Selecciona la atadura elemental:","")</f>
        <v/>
      </c>
      <c r="AH299" s="4679"/>
      <c r="AI299" s="4679"/>
      <c r="AJ299" s="4679"/>
      <c r="AK299" s="4679"/>
      <c r="AL299" s="4679"/>
      <c r="AM299" s="4679"/>
      <c r="AN299" s="4679"/>
      <c r="AO299" s="4679"/>
      <c r="AP299" s="4679"/>
      <c r="AQ299" s="4679"/>
      <c r="AR299" s="4679"/>
      <c r="AS299" s="4679"/>
      <c r="AT299" s="4679"/>
      <c r="AU299" s="4679"/>
      <c r="AV299" s="4679"/>
      <c r="AW299" s="4679"/>
      <c r="AX299" s="4679"/>
      <c r="AY299" s="4679"/>
      <c r="AZ299" s="4679"/>
      <c r="BA299" s="4679"/>
      <c r="BB299" s="4679"/>
      <c r="BC299" s="4679"/>
      <c r="BD299" s="4679"/>
      <c r="BE299" s="4679"/>
      <c r="BF299" s="4679"/>
      <c r="BG299" s="4679"/>
      <c r="BH299" s="4679"/>
      <c r="BI299" s="4679"/>
      <c r="BJ299" s="4679"/>
      <c r="BK299" s="4680"/>
      <c r="BL299" s="1540"/>
      <c r="BM299" s="1540"/>
      <c r="BN299" s="1084"/>
      <c r="BO299" s="1084"/>
      <c r="BP299" s="1117"/>
      <c r="BQ299" s="1084"/>
      <c r="BR299" s="1084"/>
      <c r="BS299" s="1084"/>
      <c r="BT299" s="4646">
        <f>D267</f>
        <v>1</v>
      </c>
      <c r="BU299" s="4647"/>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73" t="s">
        <v>3471</v>
      </c>
      <c r="X304" s="4673"/>
      <c r="Y304" s="4673"/>
      <c r="Z304" s="4673"/>
      <c r="AA304" s="4673"/>
      <c r="AB304" s="4673"/>
      <c r="AC304" s="4673"/>
      <c r="AD304" s="4673"/>
      <c r="AE304" s="4673"/>
      <c r="AF304" s="4673"/>
      <c r="AG304" s="4673"/>
      <c r="AH304" s="4673"/>
      <c r="AI304" s="4673"/>
      <c r="AJ304" s="4673"/>
      <c r="AK304" s="4673"/>
      <c r="AL304" s="4673"/>
      <c r="AM304" s="4673"/>
      <c r="AN304" s="4673"/>
      <c r="AO304" s="4673"/>
      <c r="AP304" s="4673"/>
      <c r="AQ304" s="4673"/>
      <c r="AR304" s="4673"/>
      <c r="AS304" s="4673"/>
      <c r="AT304" s="4673"/>
      <c r="AU304" s="4673"/>
      <c r="AV304" s="4673"/>
      <c r="AW304" s="4673"/>
      <c r="AX304" s="4673"/>
      <c r="AY304" s="4673"/>
      <c r="AZ304" s="4673"/>
      <c r="BA304" s="4673"/>
      <c r="BB304" s="4673"/>
      <c r="BC304" s="4673"/>
      <c r="BD304" s="4673"/>
      <c r="BE304" s="4673"/>
      <c r="BF304" s="4673"/>
      <c r="BG304" s="4673"/>
      <c r="BH304" s="4673"/>
      <c r="BI304" s="4673"/>
      <c r="BJ304" s="4673"/>
      <c r="BK304" s="4673" t="s">
        <v>3472</v>
      </c>
      <c r="BL304" s="4673"/>
      <c r="BM304" s="4674"/>
      <c r="BN304" s="1047" t="s">
        <v>4667</v>
      </c>
      <c r="BO304" s="1047" t="s">
        <v>4668</v>
      </c>
      <c r="BP304" s="1047" t="s">
        <v>4669</v>
      </c>
      <c r="BQ304" s="1047" t="s">
        <v>4670</v>
      </c>
      <c r="BR304" s="1047" t="s">
        <v>4671</v>
      </c>
      <c r="BS304" s="1048" t="s">
        <v>4672</v>
      </c>
      <c r="BT304" s="4648" t="s">
        <v>4673</v>
      </c>
      <c r="BU304" s="4649"/>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48" t="s">
        <v>4674</v>
      </c>
      <c r="BU306" s="4649"/>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5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75" t="s">
        <v>4675</v>
      </c>
      <c r="U307" s="4676"/>
      <c r="V307" s="4676"/>
      <c r="W307" s="4676"/>
      <c r="X307" s="4676"/>
      <c r="Y307" s="4676"/>
      <c r="Z307" s="4676"/>
      <c r="AA307" s="4676"/>
      <c r="AB307" s="4676"/>
      <c r="AC307" s="4676"/>
      <c r="AD307" s="4676"/>
      <c r="AE307" s="4676"/>
      <c r="AF307" s="4676"/>
      <c r="AG307" s="4676"/>
      <c r="AH307" s="4676"/>
      <c r="AI307" s="4676"/>
      <c r="AJ307" s="4676"/>
      <c r="AK307" s="4676"/>
      <c r="AL307" s="4676"/>
      <c r="AM307" s="4676"/>
      <c r="AN307" s="4676"/>
      <c r="AO307" s="4676"/>
      <c r="AP307" s="4676"/>
      <c r="AQ307" s="4676"/>
      <c r="AR307" s="4676"/>
      <c r="AS307" s="4676"/>
      <c r="AT307" s="4676"/>
      <c r="AU307" s="4676"/>
      <c r="AV307" s="4676"/>
      <c r="AW307" s="4676"/>
      <c r="AX307" s="4676"/>
      <c r="AY307" s="4676"/>
      <c r="AZ307" s="4676"/>
      <c r="BA307" s="4676"/>
      <c r="BB307" s="4676"/>
      <c r="BC307" s="4676"/>
      <c r="BD307" s="4676"/>
      <c r="BE307" s="4676"/>
      <c r="BF307" s="4676"/>
      <c r="BG307" s="4676"/>
      <c r="BH307" s="4676"/>
      <c r="BI307" s="4676"/>
      <c r="BJ307" s="4676"/>
      <c r="BK307" s="4677"/>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5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1"/>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54"/>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87"/>
      <c r="U308" s="4688"/>
      <c r="V308" s="2372" t="str">
        <f>IF(OR(V306=0,V306=""),"N/A",V306)</f>
        <v>N/A</v>
      </c>
      <c r="W308" s="4687" t="str">
        <f xml:space="preserve"> IF(OR(AF306=0,AF306=""),"N/A",W306)</f>
        <v>N/A</v>
      </c>
      <c r="X308" s="4689"/>
      <c r="Y308" s="4689"/>
      <c r="Z308" s="4689"/>
      <c r="AA308" s="4689"/>
      <c r="AB308" s="4689"/>
      <c r="AC308" s="4689"/>
      <c r="AD308" s="4689"/>
      <c r="AE308" s="4689"/>
      <c r="AF308" s="4688"/>
      <c r="AG308" s="4687" t="str">
        <f xml:space="preserve"> IF(OR(AP306="",AP306=0),"N/A",AG306)</f>
        <v>N/A</v>
      </c>
      <c r="AH308" s="4689"/>
      <c r="AI308" s="4689"/>
      <c r="AJ308" s="4689"/>
      <c r="AK308" s="4689"/>
      <c r="AL308" s="4689"/>
      <c r="AM308" s="4689"/>
      <c r="AN308" s="4689"/>
      <c r="AO308" s="4689"/>
      <c r="AP308" s="4688"/>
      <c r="AQ308" s="4687" t="str">
        <f xml:space="preserve"> IF(OR(AZ306="",AZ306=0),"N/A",AQ306)</f>
        <v>N/A</v>
      </c>
      <c r="AR308" s="4689"/>
      <c r="AS308" s="4689"/>
      <c r="AT308" s="4689"/>
      <c r="AU308" s="4689"/>
      <c r="AV308" s="4689"/>
      <c r="AW308" s="4689"/>
      <c r="AX308" s="4689"/>
      <c r="AY308" s="4689"/>
      <c r="AZ308" s="4688"/>
      <c r="BA308" s="4687" t="str">
        <f xml:space="preserve"> IF(OR(BJ306="",BJ306=0),"N/A",BA306)</f>
        <v>N/A</v>
      </c>
      <c r="BB308" s="4689"/>
      <c r="BC308" s="4689"/>
      <c r="BD308" s="4689"/>
      <c r="BE308" s="4689"/>
      <c r="BF308" s="4689"/>
      <c r="BG308" s="4689"/>
      <c r="BH308" s="4689"/>
      <c r="BI308" s="4689"/>
      <c r="BJ308" s="4688"/>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54"/>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90" t="s">
        <v>4677</v>
      </c>
      <c r="U309" s="4691"/>
      <c r="V309" s="2373"/>
      <c r="W309" s="4692"/>
      <c r="X309" s="4693"/>
      <c r="Y309" s="4693"/>
      <c r="Z309" s="4693"/>
      <c r="AA309" s="4693"/>
      <c r="AB309" s="4693"/>
      <c r="AC309" s="4693"/>
      <c r="AD309" s="4693"/>
      <c r="AE309" s="4693"/>
      <c r="AF309" s="4694"/>
      <c r="AG309" s="4692"/>
      <c r="AH309" s="4693"/>
      <c r="AI309" s="4693"/>
      <c r="AJ309" s="4693"/>
      <c r="AK309" s="4693"/>
      <c r="AL309" s="4693"/>
      <c r="AM309" s="4693"/>
      <c r="AN309" s="4693"/>
      <c r="AO309" s="4693"/>
      <c r="AP309" s="4694"/>
      <c r="AQ309" s="4692"/>
      <c r="AR309" s="4693"/>
      <c r="AS309" s="4693"/>
      <c r="AT309" s="4693"/>
      <c r="AU309" s="4693"/>
      <c r="AV309" s="4693"/>
      <c r="AW309" s="4693"/>
      <c r="AX309" s="4693"/>
      <c r="AY309" s="4693"/>
      <c r="AZ309" s="4694"/>
      <c r="BA309" s="4692"/>
      <c r="BB309" s="4693"/>
      <c r="BC309" s="4693"/>
      <c r="BD309" s="4693"/>
      <c r="BE309" s="4693"/>
      <c r="BF309" s="4693"/>
      <c r="BG309" s="4693"/>
      <c r="BH309" s="4693"/>
      <c r="BI309" s="4693"/>
      <c r="BJ309" s="4694"/>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48" t="s">
        <v>4678</v>
      </c>
      <c r="BU309" s="4649"/>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54"/>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2" t="s">
        <v>4679</v>
      </c>
      <c r="U310" s="4683"/>
      <c r="V310" s="2371"/>
      <c r="W310" s="4684"/>
      <c r="X310" s="4685"/>
      <c r="Y310" s="4685"/>
      <c r="Z310" s="4685"/>
      <c r="AA310" s="4685"/>
      <c r="AB310" s="4685"/>
      <c r="AC310" s="4685"/>
      <c r="AD310" s="4685"/>
      <c r="AE310" s="4685"/>
      <c r="AF310" s="4686"/>
      <c r="AG310" s="4684"/>
      <c r="AH310" s="4685"/>
      <c r="AI310" s="4685"/>
      <c r="AJ310" s="4685"/>
      <c r="AK310" s="4685"/>
      <c r="AL310" s="4685"/>
      <c r="AM310" s="4685"/>
      <c r="AN310" s="4685"/>
      <c r="AO310" s="4685"/>
      <c r="AP310" s="4686"/>
      <c r="AQ310" s="4684"/>
      <c r="AR310" s="4685"/>
      <c r="AS310" s="4685"/>
      <c r="AT310" s="4685"/>
      <c r="AU310" s="4685"/>
      <c r="AV310" s="4685"/>
      <c r="AW310" s="4685"/>
      <c r="AX310" s="4685"/>
      <c r="AY310" s="4685"/>
      <c r="AZ310" s="4686"/>
      <c r="BA310" s="4684"/>
      <c r="BB310" s="4685"/>
      <c r="BC310" s="4685"/>
      <c r="BD310" s="4685"/>
      <c r="BE310" s="4685"/>
      <c r="BF310" s="4685"/>
      <c r="BG310" s="4685"/>
      <c r="BH310" s="4685"/>
      <c r="BI310" s="4685"/>
      <c r="BJ310" s="4686"/>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2" t="s">
        <v>1693</v>
      </c>
      <c r="BU310" s="4653"/>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54"/>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48" t="s">
        <v>4680</v>
      </c>
      <c r="BU311" s="4649"/>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2" t="s">
        <v>4660</v>
      </c>
      <c r="BU312" s="4653"/>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75" t="s">
        <v>4675</v>
      </c>
      <c r="U313" s="4676"/>
      <c r="V313" s="4676"/>
      <c r="W313" s="4676"/>
      <c r="X313" s="4676"/>
      <c r="Y313" s="4676"/>
      <c r="Z313" s="4676"/>
      <c r="AA313" s="4676"/>
      <c r="AB313" s="4676"/>
      <c r="AC313" s="4676"/>
      <c r="AD313" s="4676"/>
      <c r="AE313" s="4676"/>
      <c r="AF313" s="4676"/>
      <c r="AG313" s="4676"/>
      <c r="AH313" s="4676"/>
      <c r="AI313" s="4676"/>
      <c r="AJ313" s="4676"/>
      <c r="AK313" s="4676"/>
      <c r="AL313" s="4676"/>
      <c r="AM313" s="4676"/>
      <c r="AN313" s="4676"/>
      <c r="AO313" s="4676"/>
      <c r="AP313" s="4676"/>
      <c r="AQ313" s="4676"/>
      <c r="AR313" s="4676"/>
      <c r="AS313" s="4676"/>
      <c r="AT313" s="4676"/>
      <c r="AU313" s="4676"/>
      <c r="AV313" s="4676"/>
      <c r="AW313" s="4676"/>
      <c r="AX313" s="4676"/>
      <c r="AY313" s="4676"/>
      <c r="AZ313" s="4676"/>
      <c r="BA313" s="4676"/>
      <c r="BB313" s="4676"/>
      <c r="BC313" s="4676"/>
      <c r="BD313" s="4676"/>
      <c r="BE313" s="4676"/>
      <c r="BF313" s="4676"/>
      <c r="BG313" s="4676"/>
      <c r="BH313" s="4676"/>
      <c r="BI313" s="4676"/>
      <c r="BJ313" s="4676"/>
      <c r="BK313" s="4677"/>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48" t="s">
        <v>4681</v>
      </c>
      <c r="BU313" s="4649"/>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87"/>
      <c r="U314" s="4688"/>
      <c r="V314" s="2372" t="str">
        <f>IF(OR(V312=0,V312=""),"N/A",V312)</f>
        <v>N/A</v>
      </c>
      <c r="W314" s="4687" t="str">
        <f xml:space="preserve"> IF(OR(AF312=0,AF312=""),"N/A",W312)</f>
        <v>N/A</v>
      </c>
      <c r="X314" s="4689"/>
      <c r="Y314" s="4689"/>
      <c r="Z314" s="4689"/>
      <c r="AA314" s="4689"/>
      <c r="AB314" s="4689"/>
      <c r="AC314" s="4689"/>
      <c r="AD314" s="4689"/>
      <c r="AE314" s="4689"/>
      <c r="AF314" s="4688"/>
      <c r="AG314" s="4687" t="str">
        <f xml:space="preserve"> IF(OR(AP312="",AP312=0),"N/A",AG312)</f>
        <v>N/A</v>
      </c>
      <c r="AH314" s="4689"/>
      <c r="AI314" s="4689"/>
      <c r="AJ314" s="4689"/>
      <c r="AK314" s="4689"/>
      <c r="AL314" s="4689"/>
      <c r="AM314" s="4689"/>
      <c r="AN314" s="4689"/>
      <c r="AO314" s="4689"/>
      <c r="AP314" s="4688"/>
      <c r="AQ314" s="4687" t="str">
        <f xml:space="preserve"> IF(OR(AZ312="",AZ312=0),"N/A",AQ312)</f>
        <v>N/A</v>
      </c>
      <c r="AR314" s="4689"/>
      <c r="AS314" s="4689"/>
      <c r="AT314" s="4689"/>
      <c r="AU314" s="4689"/>
      <c r="AV314" s="4689"/>
      <c r="AW314" s="4689"/>
      <c r="AX314" s="4689"/>
      <c r="AY314" s="4689"/>
      <c r="AZ314" s="4688"/>
      <c r="BA314" s="4687" t="str">
        <f xml:space="preserve"> IF(OR(BJ312="",BJ312=0),"N/A",BA312)</f>
        <v>N/A</v>
      </c>
      <c r="BB314" s="4689"/>
      <c r="BC314" s="4689"/>
      <c r="BD314" s="4689"/>
      <c r="BE314" s="4689"/>
      <c r="BF314" s="4689"/>
      <c r="BG314" s="4689"/>
      <c r="BH314" s="4689"/>
      <c r="BI314" s="4689"/>
      <c r="BJ314" s="4688"/>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2" t="s">
        <v>4654</v>
      </c>
      <c r="BU314" s="4653"/>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90" t="s">
        <v>4677</v>
      </c>
      <c r="U315" s="4691"/>
      <c r="V315" s="2373"/>
      <c r="W315" s="4692"/>
      <c r="X315" s="4693"/>
      <c r="Y315" s="4693"/>
      <c r="Z315" s="4693"/>
      <c r="AA315" s="4693"/>
      <c r="AB315" s="4693"/>
      <c r="AC315" s="4693"/>
      <c r="AD315" s="4693"/>
      <c r="AE315" s="4693"/>
      <c r="AF315" s="4694"/>
      <c r="AG315" s="4692"/>
      <c r="AH315" s="4693"/>
      <c r="AI315" s="4693"/>
      <c r="AJ315" s="4693"/>
      <c r="AK315" s="4693"/>
      <c r="AL315" s="4693"/>
      <c r="AM315" s="4693"/>
      <c r="AN315" s="4693"/>
      <c r="AO315" s="4693"/>
      <c r="AP315" s="4694"/>
      <c r="AQ315" s="4692"/>
      <c r="AR315" s="4693"/>
      <c r="AS315" s="4693"/>
      <c r="AT315" s="4693"/>
      <c r="AU315" s="4693"/>
      <c r="AV315" s="4693"/>
      <c r="AW315" s="4693"/>
      <c r="AX315" s="4693"/>
      <c r="AY315" s="4693"/>
      <c r="AZ315" s="4694"/>
      <c r="BA315" s="4692"/>
      <c r="BB315" s="4693"/>
      <c r="BC315" s="4693"/>
      <c r="BD315" s="4693"/>
      <c r="BE315" s="4693"/>
      <c r="BF315" s="4693"/>
      <c r="BG315" s="4693"/>
      <c r="BH315" s="4693"/>
      <c r="BI315" s="4693"/>
      <c r="BJ315" s="4694"/>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4" t="s">
        <v>4682</v>
      </c>
      <c r="BU315" s="4645"/>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2" t="s">
        <v>4679</v>
      </c>
      <c r="U316" s="4683"/>
      <c r="V316" s="2371"/>
      <c r="W316" s="4684"/>
      <c r="X316" s="4685"/>
      <c r="Y316" s="4685"/>
      <c r="Z316" s="4685"/>
      <c r="AA316" s="4685"/>
      <c r="AB316" s="4685"/>
      <c r="AC316" s="4685"/>
      <c r="AD316" s="4685"/>
      <c r="AE316" s="4685"/>
      <c r="AF316" s="4686"/>
      <c r="AG316" s="4684"/>
      <c r="AH316" s="4685"/>
      <c r="AI316" s="4685"/>
      <c r="AJ316" s="4685"/>
      <c r="AK316" s="4685"/>
      <c r="AL316" s="4685"/>
      <c r="AM316" s="4685"/>
      <c r="AN316" s="4685"/>
      <c r="AO316" s="4685"/>
      <c r="AP316" s="4686"/>
      <c r="AQ316" s="4684"/>
      <c r="AR316" s="4685"/>
      <c r="AS316" s="4685"/>
      <c r="AT316" s="4685"/>
      <c r="AU316" s="4685"/>
      <c r="AV316" s="4685"/>
      <c r="AW316" s="4685"/>
      <c r="AX316" s="4685"/>
      <c r="AY316" s="4685"/>
      <c r="AZ316" s="4686"/>
      <c r="BA316" s="4684"/>
      <c r="BB316" s="4685"/>
      <c r="BC316" s="4685"/>
      <c r="BD316" s="4685"/>
      <c r="BE316" s="4685"/>
      <c r="BF316" s="4685"/>
      <c r="BG316" s="4685"/>
      <c r="BH316" s="4685"/>
      <c r="BI316" s="4685"/>
      <c r="BJ316" s="4686"/>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75" t="s">
        <v>4675</v>
      </c>
      <c r="U319" s="4676"/>
      <c r="V319" s="4676"/>
      <c r="W319" s="4676"/>
      <c r="X319" s="4676"/>
      <c r="Y319" s="4676"/>
      <c r="Z319" s="4676"/>
      <c r="AA319" s="4676"/>
      <c r="AB319" s="4676"/>
      <c r="AC319" s="4676"/>
      <c r="AD319" s="4676"/>
      <c r="AE319" s="4676"/>
      <c r="AF319" s="4676"/>
      <c r="AG319" s="4676"/>
      <c r="AH319" s="4676"/>
      <c r="AI319" s="4676"/>
      <c r="AJ319" s="4676"/>
      <c r="AK319" s="4676"/>
      <c r="AL319" s="4676"/>
      <c r="AM319" s="4676"/>
      <c r="AN319" s="4676"/>
      <c r="AO319" s="4676"/>
      <c r="AP319" s="4676"/>
      <c r="AQ319" s="4676"/>
      <c r="AR319" s="4676"/>
      <c r="AS319" s="4676"/>
      <c r="AT319" s="4676"/>
      <c r="AU319" s="4676"/>
      <c r="AV319" s="4676"/>
      <c r="AW319" s="4676"/>
      <c r="AX319" s="4676"/>
      <c r="AY319" s="4676"/>
      <c r="AZ319" s="4676"/>
      <c r="BA319" s="4676"/>
      <c r="BB319" s="4676"/>
      <c r="BC319" s="4676"/>
      <c r="BD319" s="4676"/>
      <c r="BE319" s="4676"/>
      <c r="BF319" s="4676"/>
      <c r="BG319" s="4676"/>
      <c r="BH319" s="4676"/>
      <c r="BI319" s="4676"/>
      <c r="BJ319" s="4676"/>
      <c r="BK319" s="4677"/>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87"/>
      <c r="U320" s="4688"/>
      <c r="V320" s="2372" t="str">
        <f>IF(OR(V318=0,V318=""),"N/A",V318)</f>
        <v>N/A</v>
      </c>
      <c r="W320" s="4687" t="str">
        <f xml:space="preserve"> IF(OR(AF318=0,AF318=""),"N/A",W318)</f>
        <v>N/A</v>
      </c>
      <c r="X320" s="4689"/>
      <c r="Y320" s="4689"/>
      <c r="Z320" s="4689"/>
      <c r="AA320" s="4689"/>
      <c r="AB320" s="4689"/>
      <c r="AC320" s="4689"/>
      <c r="AD320" s="4689"/>
      <c r="AE320" s="4689"/>
      <c r="AF320" s="4688"/>
      <c r="AG320" s="4687" t="str">
        <f xml:space="preserve"> IF(OR(AP318="",AP318=0),"N/A",AG318)</f>
        <v>N/A</v>
      </c>
      <c r="AH320" s="4689"/>
      <c r="AI320" s="4689"/>
      <c r="AJ320" s="4689"/>
      <c r="AK320" s="4689"/>
      <c r="AL320" s="4689"/>
      <c r="AM320" s="4689"/>
      <c r="AN320" s="4689"/>
      <c r="AO320" s="4689"/>
      <c r="AP320" s="4688"/>
      <c r="AQ320" s="4687" t="str">
        <f xml:space="preserve"> IF(OR(AZ318="",AZ318=0),"N/A",AQ318)</f>
        <v>N/A</v>
      </c>
      <c r="AR320" s="4689"/>
      <c r="AS320" s="4689"/>
      <c r="AT320" s="4689"/>
      <c r="AU320" s="4689"/>
      <c r="AV320" s="4689"/>
      <c r="AW320" s="4689"/>
      <c r="AX320" s="4689"/>
      <c r="AY320" s="4689"/>
      <c r="AZ320" s="4688"/>
      <c r="BA320" s="4687" t="str">
        <f xml:space="preserve"> IF(OR(BJ318="",BJ318=0),"N/A",BA318)</f>
        <v>N/A</v>
      </c>
      <c r="BB320" s="4689"/>
      <c r="BC320" s="4689"/>
      <c r="BD320" s="4689"/>
      <c r="BE320" s="4689"/>
      <c r="BF320" s="4689"/>
      <c r="BG320" s="4689"/>
      <c r="BH320" s="4689"/>
      <c r="BI320" s="4689"/>
      <c r="BJ320" s="4688"/>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90" t="s">
        <v>4677</v>
      </c>
      <c r="U321" s="4691"/>
      <c r="V321" s="2373"/>
      <c r="W321" s="4692"/>
      <c r="X321" s="4693"/>
      <c r="Y321" s="4693"/>
      <c r="Z321" s="4693"/>
      <c r="AA321" s="4693"/>
      <c r="AB321" s="4693"/>
      <c r="AC321" s="4693"/>
      <c r="AD321" s="4693"/>
      <c r="AE321" s="4693"/>
      <c r="AF321" s="4694"/>
      <c r="AG321" s="4692"/>
      <c r="AH321" s="4693"/>
      <c r="AI321" s="4693"/>
      <c r="AJ321" s="4693"/>
      <c r="AK321" s="4693"/>
      <c r="AL321" s="4693"/>
      <c r="AM321" s="4693"/>
      <c r="AN321" s="4693"/>
      <c r="AO321" s="4693"/>
      <c r="AP321" s="4694"/>
      <c r="AQ321" s="4692"/>
      <c r="AR321" s="4693"/>
      <c r="AS321" s="4693"/>
      <c r="AT321" s="4693"/>
      <c r="AU321" s="4693"/>
      <c r="AV321" s="4693"/>
      <c r="AW321" s="4693"/>
      <c r="AX321" s="4693"/>
      <c r="AY321" s="4693"/>
      <c r="AZ321" s="4694"/>
      <c r="BA321" s="4692"/>
      <c r="BB321" s="4693"/>
      <c r="BC321" s="4693"/>
      <c r="BD321" s="4693"/>
      <c r="BE321" s="4693"/>
      <c r="BF321" s="4693"/>
      <c r="BG321" s="4693"/>
      <c r="BH321" s="4693"/>
      <c r="BI321" s="4693"/>
      <c r="BJ321" s="4694"/>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2" t="s">
        <v>4679</v>
      </c>
      <c r="U322" s="4683"/>
      <c r="V322" s="2371"/>
      <c r="W322" s="4684"/>
      <c r="X322" s="4685"/>
      <c r="Y322" s="4685"/>
      <c r="Z322" s="4685"/>
      <c r="AA322" s="4685"/>
      <c r="AB322" s="4685"/>
      <c r="AC322" s="4685"/>
      <c r="AD322" s="4685"/>
      <c r="AE322" s="4685"/>
      <c r="AF322" s="4686"/>
      <c r="AG322" s="4684"/>
      <c r="AH322" s="4685"/>
      <c r="AI322" s="4685"/>
      <c r="AJ322" s="4685"/>
      <c r="AK322" s="4685"/>
      <c r="AL322" s="4685"/>
      <c r="AM322" s="4685"/>
      <c r="AN322" s="4685"/>
      <c r="AO322" s="4685"/>
      <c r="AP322" s="4686"/>
      <c r="AQ322" s="4684"/>
      <c r="AR322" s="4685"/>
      <c r="AS322" s="4685"/>
      <c r="AT322" s="4685"/>
      <c r="AU322" s="4685"/>
      <c r="AV322" s="4685"/>
      <c r="AW322" s="4685"/>
      <c r="AX322" s="4685"/>
      <c r="AY322" s="4685"/>
      <c r="AZ322" s="4686"/>
      <c r="BA322" s="4684"/>
      <c r="BB322" s="4685"/>
      <c r="BC322" s="4685"/>
      <c r="BD322" s="4685"/>
      <c r="BE322" s="4685"/>
      <c r="BF322" s="4685"/>
      <c r="BG322" s="4685"/>
      <c r="BH322" s="4685"/>
      <c r="BI322" s="4685"/>
      <c r="BJ322" s="4686"/>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75" t="s">
        <v>4675</v>
      </c>
      <c r="U325" s="4676"/>
      <c r="V325" s="4676"/>
      <c r="W325" s="4676"/>
      <c r="X325" s="4676"/>
      <c r="Y325" s="4676"/>
      <c r="Z325" s="4676"/>
      <c r="AA325" s="4676"/>
      <c r="AB325" s="4676"/>
      <c r="AC325" s="4676"/>
      <c r="AD325" s="4676"/>
      <c r="AE325" s="4676"/>
      <c r="AF325" s="4676"/>
      <c r="AG325" s="4676"/>
      <c r="AH325" s="4676"/>
      <c r="AI325" s="4676"/>
      <c r="AJ325" s="4676"/>
      <c r="AK325" s="4676"/>
      <c r="AL325" s="4676"/>
      <c r="AM325" s="4676"/>
      <c r="AN325" s="4676"/>
      <c r="AO325" s="4676"/>
      <c r="AP325" s="4676"/>
      <c r="AQ325" s="4676"/>
      <c r="AR325" s="4676"/>
      <c r="AS325" s="4676"/>
      <c r="AT325" s="4676"/>
      <c r="AU325" s="4676"/>
      <c r="AV325" s="4676"/>
      <c r="AW325" s="4676"/>
      <c r="AX325" s="4676"/>
      <c r="AY325" s="4676"/>
      <c r="AZ325" s="4676"/>
      <c r="BA325" s="4676"/>
      <c r="BB325" s="4676"/>
      <c r="BC325" s="4676"/>
      <c r="BD325" s="4676"/>
      <c r="BE325" s="4676"/>
      <c r="BF325" s="4676"/>
      <c r="BG325" s="4676"/>
      <c r="BH325" s="4676"/>
      <c r="BI325" s="4676"/>
      <c r="BJ325" s="4676"/>
      <c r="BK325" s="4677"/>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87"/>
      <c r="U326" s="4688"/>
      <c r="V326" s="2372" t="str">
        <f>IF(OR(V324=0,V324=""),"N/A",V324)</f>
        <v>N/A</v>
      </c>
      <c r="W326" s="4687" t="str">
        <f xml:space="preserve"> IF(OR(AF324=0,AF324=""),"N/A",W324)</f>
        <v>N/A</v>
      </c>
      <c r="X326" s="4689"/>
      <c r="Y326" s="4689"/>
      <c r="Z326" s="4689"/>
      <c r="AA326" s="4689"/>
      <c r="AB326" s="4689"/>
      <c r="AC326" s="4689"/>
      <c r="AD326" s="4689"/>
      <c r="AE326" s="4689"/>
      <c r="AF326" s="4688"/>
      <c r="AG326" s="4687" t="str">
        <f xml:space="preserve"> IF(OR(AP324="",AP324=0),"N/A",AG324)</f>
        <v>N/A</v>
      </c>
      <c r="AH326" s="4689"/>
      <c r="AI326" s="4689"/>
      <c r="AJ326" s="4689"/>
      <c r="AK326" s="4689"/>
      <c r="AL326" s="4689"/>
      <c r="AM326" s="4689"/>
      <c r="AN326" s="4689"/>
      <c r="AO326" s="4689"/>
      <c r="AP326" s="4688"/>
      <c r="AQ326" s="4687" t="str">
        <f xml:space="preserve"> IF(OR(AZ324="",AZ324=0),"N/A",AQ324)</f>
        <v>N/A</v>
      </c>
      <c r="AR326" s="4689"/>
      <c r="AS326" s="4689"/>
      <c r="AT326" s="4689"/>
      <c r="AU326" s="4689"/>
      <c r="AV326" s="4689"/>
      <c r="AW326" s="4689"/>
      <c r="AX326" s="4689"/>
      <c r="AY326" s="4689"/>
      <c r="AZ326" s="4688"/>
      <c r="BA326" s="4687" t="str">
        <f xml:space="preserve"> IF(OR(BJ324="",BJ324=0),"N/A",BA324)</f>
        <v>N/A</v>
      </c>
      <c r="BB326" s="4689"/>
      <c r="BC326" s="4689"/>
      <c r="BD326" s="4689"/>
      <c r="BE326" s="4689"/>
      <c r="BF326" s="4689"/>
      <c r="BG326" s="4689"/>
      <c r="BH326" s="4689"/>
      <c r="BI326" s="4689"/>
      <c r="BJ326" s="4688"/>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90" t="s">
        <v>4677</v>
      </c>
      <c r="U327" s="4691"/>
      <c r="V327" s="2373"/>
      <c r="W327" s="4692"/>
      <c r="X327" s="4693"/>
      <c r="Y327" s="4693"/>
      <c r="Z327" s="4693"/>
      <c r="AA327" s="4693"/>
      <c r="AB327" s="4693"/>
      <c r="AC327" s="4693"/>
      <c r="AD327" s="4693"/>
      <c r="AE327" s="4693"/>
      <c r="AF327" s="4694"/>
      <c r="AG327" s="4692"/>
      <c r="AH327" s="4693"/>
      <c r="AI327" s="4693"/>
      <c r="AJ327" s="4693"/>
      <c r="AK327" s="4693"/>
      <c r="AL327" s="4693"/>
      <c r="AM327" s="4693"/>
      <c r="AN327" s="4693"/>
      <c r="AO327" s="4693"/>
      <c r="AP327" s="4694"/>
      <c r="AQ327" s="4692"/>
      <c r="AR327" s="4693"/>
      <c r="AS327" s="4693"/>
      <c r="AT327" s="4693"/>
      <c r="AU327" s="4693"/>
      <c r="AV327" s="4693"/>
      <c r="AW327" s="4693"/>
      <c r="AX327" s="4693"/>
      <c r="AY327" s="4693"/>
      <c r="AZ327" s="4694"/>
      <c r="BA327" s="4692"/>
      <c r="BB327" s="4693"/>
      <c r="BC327" s="4693"/>
      <c r="BD327" s="4693"/>
      <c r="BE327" s="4693"/>
      <c r="BF327" s="4693"/>
      <c r="BG327" s="4693"/>
      <c r="BH327" s="4693"/>
      <c r="BI327" s="4693"/>
      <c r="BJ327" s="4694"/>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2" t="s">
        <v>4679</v>
      </c>
      <c r="U328" s="4683"/>
      <c r="V328" s="2371"/>
      <c r="W328" s="4684"/>
      <c r="X328" s="4685"/>
      <c r="Y328" s="4685"/>
      <c r="Z328" s="4685"/>
      <c r="AA328" s="4685"/>
      <c r="AB328" s="4685"/>
      <c r="AC328" s="4685"/>
      <c r="AD328" s="4685"/>
      <c r="AE328" s="4685"/>
      <c r="AF328" s="4686"/>
      <c r="AG328" s="4684"/>
      <c r="AH328" s="4685"/>
      <c r="AI328" s="4685"/>
      <c r="AJ328" s="4685"/>
      <c r="AK328" s="4685"/>
      <c r="AL328" s="4685"/>
      <c r="AM328" s="4685"/>
      <c r="AN328" s="4685"/>
      <c r="AO328" s="4685"/>
      <c r="AP328" s="4686"/>
      <c r="AQ328" s="4684"/>
      <c r="AR328" s="4685"/>
      <c r="AS328" s="4685"/>
      <c r="AT328" s="4685"/>
      <c r="AU328" s="4685"/>
      <c r="AV328" s="4685"/>
      <c r="AW328" s="4685"/>
      <c r="AX328" s="4685"/>
      <c r="AY328" s="4685"/>
      <c r="AZ328" s="4686"/>
      <c r="BA328" s="4684"/>
      <c r="BB328" s="4685"/>
      <c r="BC328" s="4685"/>
      <c r="BD328" s="4685"/>
      <c r="BE328" s="4685"/>
      <c r="BF328" s="4685"/>
      <c r="BG328" s="4685"/>
      <c r="BH328" s="4685"/>
      <c r="BI328" s="4685"/>
      <c r="BJ328" s="4686"/>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2"/>
      <c r="BV330" s="4642"/>
      <c r="BW330" s="4642"/>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75" t="s">
        <v>4675</v>
      </c>
      <c r="U331" s="4676"/>
      <c r="V331" s="4676"/>
      <c r="W331" s="4676"/>
      <c r="X331" s="4676"/>
      <c r="Y331" s="4676"/>
      <c r="Z331" s="4676"/>
      <c r="AA331" s="4676"/>
      <c r="AB331" s="4676"/>
      <c r="AC331" s="4676"/>
      <c r="AD331" s="4676"/>
      <c r="AE331" s="4676"/>
      <c r="AF331" s="4676"/>
      <c r="AG331" s="4676"/>
      <c r="AH331" s="4676"/>
      <c r="AI331" s="4676"/>
      <c r="AJ331" s="4676"/>
      <c r="AK331" s="4676"/>
      <c r="AL331" s="4676"/>
      <c r="AM331" s="4676"/>
      <c r="AN331" s="4676"/>
      <c r="AO331" s="4676"/>
      <c r="AP331" s="4676"/>
      <c r="AQ331" s="4676"/>
      <c r="AR331" s="4676"/>
      <c r="AS331" s="4676"/>
      <c r="AT331" s="4676"/>
      <c r="AU331" s="4676"/>
      <c r="AV331" s="4676"/>
      <c r="AW331" s="4676"/>
      <c r="AX331" s="4676"/>
      <c r="AY331" s="4676"/>
      <c r="AZ331" s="4676"/>
      <c r="BA331" s="4676"/>
      <c r="BB331" s="4676"/>
      <c r="BC331" s="4676"/>
      <c r="BD331" s="4676"/>
      <c r="BE331" s="4676"/>
      <c r="BF331" s="4676"/>
      <c r="BG331" s="4676"/>
      <c r="BH331" s="4676"/>
      <c r="BI331" s="4676"/>
      <c r="BJ331" s="4676"/>
      <c r="BK331" s="4677"/>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87"/>
      <c r="U332" s="4688"/>
      <c r="V332" s="2372" t="str">
        <f>IF(OR(V330=0,V330=""),"N/A",V330)</f>
        <v>N/A</v>
      </c>
      <c r="W332" s="4687" t="str">
        <f xml:space="preserve"> IF(OR(AF330=0,AF330=""),"N/A",W330)</f>
        <v>N/A</v>
      </c>
      <c r="X332" s="4689"/>
      <c r="Y332" s="4689"/>
      <c r="Z332" s="4689"/>
      <c r="AA332" s="4689"/>
      <c r="AB332" s="4689"/>
      <c r="AC332" s="4689"/>
      <c r="AD332" s="4689"/>
      <c r="AE332" s="4689"/>
      <c r="AF332" s="4688"/>
      <c r="AG332" s="4687" t="str">
        <f xml:space="preserve"> IF(OR(AP330="",AP330=0),"N/A",AG330)</f>
        <v>N/A</v>
      </c>
      <c r="AH332" s="4689"/>
      <c r="AI332" s="4689"/>
      <c r="AJ332" s="4689"/>
      <c r="AK332" s="4689"/>
      <c r="AL332" s="4689"/>
      <c r="AM332" s="4689"/>
      <c r="AN332" s="4689"/>
      <c r="AO332" s="4689"/>
      <c r="AP332" s="4688"/>
      <c r="AQ332" s="4687" t="str">
        <f xml:space="preserve"> IF(OR(AZ330="",AZ330=0),"N/A",AQ330)</f>
        <v>N/A</v>
      </c>
      <c r="AR332" s="4689"/>
      <c r="AS332" s="4689"/>
      <c r="AT332" s="4689"/>
      <c r="AU332" s="4689"/>
      <c r="AV332" s="4689"/>
      <c r="AW332" s="4689"/>
      <c r="AX332" s="4689"/>
      <c r="AY332" s="4689"/>
      <c r="AZ332" s="4688"/>
      <c r="BA332" s="4687" t="str">
        <f xml:space="preserve"> IF(OR(BJ330="",BJ330=0),"N/A",BA330)</f>
        <v>N/A</v>
      </c>
      <c r="BB332" s="4689"/>
      <c r="BC332" s="4689"/>
      <c r="BD332" s="4689"/>
      <c r="BE332" s="4689"/>
      <c r="BF332" s="4689"/>
      <c r="BG332" s="4689"/>
      <c r="BH332" s="4689"/>
      <c r="BI332" s="4689"/>
      <c r="BJ332" s="4688"/>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3"/>
      <c r="BV332" s="4643"/>
      <c r="BW332" s="4643"/>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90" t="s">
        <v>4677</v>
      </c>
      <c r="U333" s="4691"/>
      <c r="V333" s="2373"/>
      <c r="W333" s="4692"/>
      <c r="X333" s="4693"/>
      <c r="Y333" s="4693"/>
      <c r="Z333" s="4693"/>
      <c r="AA333" s="4693"/>
      <c r="AB333" s="4693"/>
      <c r="AC333" s="4693"/>
      <c r="AD333" s="4693"/>
      <c r="AE333" s="4693"/>
      <c r="AF333" s="4694"/>
      <c r="AG333" s="4692"/>
      <c r="AH333" s="4693"/>
      <c r="AI333" s="4693"/>
      <c r="AJ333" s="4693"/>
      <c r="AK333" s="4693"/>
      <c r="AL333" s="4693"/>
      <c r="AM333" s="4693"/>
      <c r="AN333" s="4693"/>
      <c r="AO333" s="4693"/>
      <c r="AP333" s="4694"/>
      <c r="AQ333" s="4692"/>
      <c r="AR333" s="4693"/>
      <c r="AS333" s="4693"/>
      <c r="AT333" s="4693"/>
      <c r="AU333" s="4693"/>
      <c r="AV333" s="4693"/>
      <c r="AW333" s="4693"/>
      <c r="AX333" s="4693"/>
      <c r="AY333" s="4693"/>
      <c r="AZ333" s="4694"/>
      <c r="BA333" s="4692"/>
      <c r="BB333" s="4693"/>
      <c r="BC333" s="4693"/>
      <c r="BD333" s="4693"/>
      <c r="BE333" s="4693"/>
      <c r="BF333" s="4693"/>
      <c r="BG333" s="4693"/>
      <c r="BH333" s="4693"/>
      <c r="BI333" s="4693"/>
      <c r="BJ333" s="4694"/>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95" t="s">
        <v>4679</v>
      </c>
      <c r="U334" s="4696"/>
      <c r="V334" s="2376"/>
      <c r="W334" s="4697"/>
      <c r="X334" s="4698"/>
      <c r="Y334" s="4698"/>
      <c r="Z334" s="4698"/>
      <c r="AA334" s="4698"/>
      <c r="AB334" s="4698"/>
      <c r="AC334" s="4698"/>
      <c r="AD334" s="4698"/>
      <c r="AE334" s="4698"/>
      <c r="AF334" s="4699"/>
      <c r="AG334" s="4697"/>
      <c r="AH334" s="4698"/>
      <c r="AI334" s="4698"/>
      <c r="AJ334" s="4698"/>
      <c r="AK334" s="4698"/>
      <c r="AL334" s="4698"/>
      <c r="AM334" s="4698"/>
      <c r="AN334" s="4698"/>
      <c r="AO334" s="4698"/>
      <c r="AP334" s="4699"/>
      <c r="AQ334" s="4697"/>
      <c r="AR334" s="4698"/>
      <c r="AS334" s="4698"/>
      <c r="AT334" s="4698"/>
      <c r="AU334" s="4698"/>
      <c r="AV334" s="4698"/>
      <c r="AW334" s="4698"/>
      <c r="AX334" s="4698"/>
      <c r="AY334" s="4698"/>
      <c r="AZ334" s="4699"/>
      <c r="BA334" s="4697"/>
      <c r="BB334" s="4698"/>
      <c r="BC334" s="4698"/>
      <c r="BD334" s="4698"/>
      <c r="BE334" s="4698"/>
      <c r="BF334" s="4698"/>
      <c r="BG334" s="4698"/>
      <c r="BH334" s="4698"/>
      <c r="BI334" s="4698"/>
      <c r="BJ334" s="4699"/>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1"/>
      <c r="BL335" s="4681"/>
      <c r="BM335" s="4645"/>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4" t="s">
        <v>4688</v>
      </c>
      <c r="BU335" s="4645"/>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78" t="str">
        <f>IF(OR(E336='Tablas Técnicas'!A$678,E336='Tablas Técnicas'!A$679,E337='Tablas Técnicas'!A$678,E337='Tablas Técnicas'!A$679,E338='Tablas Técnicas'!A$678,E338='Tablas Técnicas'!A$679),"Selecciona la atadura elemental:","")</f>
        <v/>
      </c>
      <c r="AH336" s="4679"/>
      <c r="AI336" s="4679"/>
      <c r="AJ336" s="4679"/>
      <c r="AK336" s="4679"/>
      <c r="AL336" s="4679"/>
      <c r="AM336" s="4679"/>
      <c r="AN336" s="4679"/>
      <c r="AO336" s="4679"/>
      <c r="AP336" s="4679"/>
      <c r="AQ336" s="4679"/>
      <c r="AR336" s="4679"/>
      <c r="AS336" s="4679"/>
      <c r="AT336" s="4679"/>
      <c r="AU336" s="4679"/>
      <c r="AV336" s="4679"/>
      <c r="AW336" s="4679"/>
      <c r="AX336" s="4679"/>
      <c r="AY336" s="4679"/>
      <c r="AZ336" s="4679"/>
      <c r="BA336" s="4679"/>
      <c r="BB336" s="4679"/>
      <c r="BC336" s="4679"/>
      <c r="BD336" s="4679"/>
      <c r="BE336" s="4679"/>
      <c r="BF336" s="4679"/>
      <c r="BG336" s="4679"/>
      <c r="BH336" s="4679"/>
      <c r="BI336" s="4679"/>
      <c r="BJ336" s="4679"/>
      <c r="BK336" s="4680"/>
      <c r="BL336" s="1540"/>
      <c r="BM336" s="1540"/>
      <c r="BN336" s="1084"/>
      <c r="BO336" s="1084"/>
      <c r="BP336" s="1117"/>
      <c r="BQ336" s="1084"/>
      <c r="BR336" s="1084"/>
      <c r="BS336" s="1084"/>
      <c r="BT336" s="4646">
        <f>D304</f>
        <v>1</v>
      </c>
      <c r="BU336" s="4647"/>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73" t="s">
        <v>3471</v>
      </c>
      <c r="X341" s="4673"/>
      <c r="Y341" s="4673"/>
      <c r="Z341" s="4673"/>
      <c r="AA341" s="4673"/>
      <c r="AB341" s="4673"/>
      <c r="AC341" s="4673"/>
      <c r="AD341" s="4673"/>
      <c r="AE341" s="4673"/>
      <c r="AF341" s="4673"/>
      <c r="AG341" s="4673"/>
      <c r="AH341" s="4673"/>
      <c r="AI341" s="4673"/>
      <c r="AJ341" s="4673"/>
      <c r="AK341" s="4673"/>
      <c r="AL341" s="4673"/>
      <c r="AM341" s="4673"/>
      <c r="AN341" s="4673"/>
      <c r="AO341" s="4673"/>
      <c r="AP341" s="4673"/>
      <c r="AQ341" s="4673"/>
      <c r="AR341" s="4673"/>
      <c r="AS341" s="4673"/>
      <c r="AT341" s="4673"/>
      <c r="AU341" s="4673"/>
      <c r="AV341" s="4673"/>
      <c r="AW341" s="4673"/>
      <c r="AX341" s="4673"/>
      <c r="AY341" s="4673"/>
      <c r="AZ341" s="4673"/>
      <c r="BA341" s="4673"/>
      <c r="BB341" s="4673"/>
      <c r="BC341" s="4673"/>
      <c r="BD341" s="4673"/>
      <c r="BE341" s="4673"/>
      <c r="BF341" s="4673"/>
      <c r="BG341" s="4673"/>
      <c r="BH341" s="4673"/>
      <c r="BI341" s="4673"/>
      <c r="BJ341" s="4673"/>
      <c r="BK341" s="4673" t="s">
        <v>3472</v>
      </c>
      <c r="BL341" s="4673"/>
      <c r="BM341" s="4674"/>
      <c r="BN341" s="1047" t="s">
        <v>4667</v>
      </c>
      <c r="BO341" s="1047" t="s">
        <v>4668</v>
      </c>
      <c r="BP341" s="1047" t="s">
        <v>4669</v>
      </c>
      <c r="BQ341" s="1047" t="s">
        <v>4670</v>
      </c>
      <c r="BR341" s="1047" t="s">
        <v>4671</v>
      </c>
      <c r="BS341" s="1048" t="s">
        <v>4672</v>
      </c>
      <c r="BT341" s="4648" t="s">
        <v>4673</v>
      </c>
      <c r="BU341" s="4649"/>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48" t="s">
        <v>4674</v>
      </c>
      <c r="BU343" s="4649"/>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5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75" t="s">
        <v>4675</v>
      </c>
      <c r="U344" s="4676"/>
      <c r="V344" s="4676"/>
      <c r="W344" s="4676"/>
      <c r="X344" s="4676"/>
      <c r="Y344" s="4676"/>
      <c r="Z344" s="4676"/>
      <c r="AA344" s="4676"/>
      <c r="AB344" s="4676"/>
      <c r="AC344" s="4676"/>
      <c r="AD344" s="4676"/>
      <c r="AE344" s="4676"/>
      <c r="AF344" s="4676"/>
      <c r="AG344" s="4676"/>
      <c r="AH344" s="4676"/>
      <c r="AI344" s="4676"/>
      <c r="AJ344" s="4676"/>
      <c r="AK344" s="4676"/>
      <c r="AL344" s="4676"/>
      <c r="AM344" s="4676"/>
      <c r="AN344" s="4676"/>
      <c r="AO344" s="4676"/>
      <c r="AP344" s="4676"/>
      <c r="AQ344" s="4676"/>
      <c r="AR344" s="4676"/>
      <c r="AS344" s="4676"/>
      <c r="AT344" s="4676"/>
      <c r="AU344" s="4676"/>
      <c r="AV344" s="4676"/>
      <c r="AW344" s="4676"/>
      <c r="AX344" s="4676"/>
      <c r="AY344" s="4676"/>
      <c r="AZ344" s="4676"/>
      <c r="BA344" s="4676"/>
      <c r="BB344" s="4676"/>
      <c r="BC344" s="4676"/>
      <c r="BD344" s="4676"/>
      <c r="BE344" s="4676"/>
      <c r="BF344" s="4676"/>
      <c r="BG344" s="4676"/>
      <c r="BH344" s="4676"/>
      <c r="BI344" s="4676"/>
      <c r="BJ344" s="4676"/>
      <c r="BK344" s="4677"/>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5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1"/>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54"/>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87"/>
      <c r="U345" s="4688"/>
      <c r="V345" s="2372" t="str">
        <f>IF(OR(V343=0,V343=""),"N/A",V343)</f>
        <v>N/A</v>
      </c>
      <c r="W345" s="4687" t="str">
        <f xml:space="preserve"> IF(OR(AF343=0,AF343=""),"N/A",W343)</f>
        <v>N/A</v>
      </c>
      <c r="X345" s="4689"/>
      <c r="Y345" s="4689"/>
      <c r="Z345" s="4689"/>
      <c r="AA345" s="4689"/>
      <c r="AB345" s="4689"/>
      <c r="AC345" s="4689"/>
      <c r="AD345" s="4689"/>
      <c r="AE345" s="4689"/>
      <c r="AF345" s="4688"/>
      <c r="AG345" s="4687" t="str">
        <f xml:space="preserve"> IF(OR(AP343="",AP343=0),"N/A",AG343)</f>
        <v>N/A</v>
      </c>
      <c r="AH345" s="4689"/>
      <c r="AI345" s="4689"/>
      <c r="AJ345" s="4689"/>
      <c r="AK345" s="4689"/>
      <c r="AL345" s="4689"/>
      <c r="AM345" s="4689"/>
      <c r="AN345" s="4689"/>
      <c r="AO345" s="4689"/>
      <c r="AP345" s="4688"/>
      <c r="AQ345" s="4687" t="str">
        <f xml:space="preserve"> IF(OR(AZ343="",AZ343=0),"N/A",AQ343)</f>
        <v>N/A</v>
      </c>
      <c r="AR345" s="4689"/>
      <c r="AS345" s="4689"/>
      <c r="AT345" s="4689"/>
      <c r="AU345" s="4689"/>
      <c r="AV345" s="4689"/>
      <c r="AW345" s="4689"/>
      <c r="AX345" s="4689"/>
      <c r="AY345" s="4689"/>
      <c r="AZ345" s="4688"/>
      <c r="BA345" s="4687" t="str">
        <f xml:space="preserve"> IF(OR(BJ343="",BJ343=0),"N/A",BA343)</f>
        <v>N/A</v>
      </c>
      <c r="BB345" s="4689"/>
      <c r="BC345" s="4689"/>
      <c r="BD345" s="4689"/>
      <c r="BE345" s="4689"/>
      <c r="BF345" s="4689"/>
      <c r="BG345" s="4689"/>
      <c r="BH345" s="4689"/>
      <c r="BI345" s="4689"/>
      <c r="BJ345" s="4688"/>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54"/>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90" t="s">
        <v>4677</v>
      </c>
      <c r="U346" s="4691"/>
      <c r="V346" s="2373"/>
      <c r="W346" s="4692"/>
      <c r="X346" s="4693"/>
      <c r="Y346" s="4693"/>
      <c r="Z346" s="4693"/>
      <c r="AA346" s="4693"/>
      <c r="AB346" s="4693"/>
      <c r="AC346" s="4693"/>
      <c r="AD346" s="4693"/>
      <c r="AE346" s="4693"/>
      <c r="AF346" s="4694"/>
      <c r="AG346" s="4692"/>
      <c r="AH346" s="4693"/>
      <c r="AI346" s="4693"/>
      <c r="AJ346" s="4693"/>
      <c r="AK346" s="4693"/>
      <c r="AL346" s="4693"/>
      <c r="AM346" s="4693"/>
      <c r="AN346" s="4693"/>
      <c r="AO346" s="4693"/>
      <c r="AP346" s="4694"/>
      <c r="AQ346" s="4692"/>
      <c r="AR346" s="4693"/>
      <c r="AS346" s="4693"/>
      <c r="AT346" s="4693"/>
      <c r="AU346" s="4693"/>
      <c r="AV346" s="4693"/>
      <c r="AW346" s="4693"/>
      <c r="AX346" s="4693"/>
      <c r="AY346" s="4693"/>
      <c r="AZ346" s="4694"/>
      <c r="BA346" s="4692"/>
      <c r="BB346" s="4693"/>
      <c r="BC346" s="4693"/>
      <c r="BD346" s="4693"/>
      <c r="BE346" s="4693"/>
      <c r="BF346" s="4693"/>
      <c r="BG346" s="4693"/>
      <c r="BH346" s="4693"/>
      <c r="BI346" s="4693"/>
      <c r="BJ346" s="4694"/>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48" t="s">
        <v>4678</v>
      </c>
      <c r="BU346" s="4649"/>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54"/>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2" t="s">
        <v>4679</v>
      </c>
      <c r="U347" s="4683"/>
      <c r="V347" s="2371"/>
      <c r="W347" s="4684"/>
      <c r="X347" s="4685"/>
      <c r="Y347" s="4685"/>
      <c r="Z347" s="4685"/>
      <c r="AA347" s="4685"/>
      <c r="AB347" s="4685"/>
      <c r="AC347" s="4685"/>
      <c r="AD347" s="4685"/>
      <c r="AE347" s="4685"/>
      <c r="AF347" s="4686"/>
      <c r="AG347" s="4684"/>
      <c r="AH347" s="4685"/>
      <c r="AI347" s="4685"/>
      <c r="AJ347" s="4685"/>
      <c r="AK347" s="4685"/>
      <c r="AL347" s="4685"/>
      <c r="AM347" s="4685"/>
      <c r="AN347" s="4685"/>
      <c r="AO347" s="4685"/>
      <c r="AP347" s="4686"/>
      <c r="AQ347" s="4684"/>
      <c r="AR347" s="4685"/>
      <c r="AS347" s="4685"/>
      <c r="AT347" s="4685"/>
      <c r="AU347" s="4685"/>
      <c r="AV347" s="4685"/>
      <c r="AW347" s="4685"/>
      <c r="AX347" s="4685"/>
      <c r="AY347" s="4685"/>
      <c r="AZ347" s="4686"/>
      <c r="BA347" s="4684"/>
      <c r="BB347" s="4685"/>
      <c r="BC347" s="4685"/>
      <c r="BD347" s="4685"/>
      <c r="BE347" s="4685"/>
      <c r="BF347" s="4685"/>
      <c r="BG347" s="4685"/>
      <c r="BH347" s="4685"/>
      <c r="BI347" s="4685"/>
      <c r="BJ347" s="4686"/>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2" t="s">
        <v>1693</v>
      </c>
      <c r="BU347" s="4653"/>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54"/>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48" t="s">
        <v>4680</v>
      </c>
      <c r="BU348" s="4649"/>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2" t="s">
        <v>4660</v>
      </c>
      <c r="BU349" s="4653"/>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75" t="s">
        <v>4675</v>
      </c>
      <c r="U350" s="4676"/>
      <c r="V350" s="4676"/>
      <c r="W350" s="4676"/>
      <c r="X350" s="4676"/>
      <c r="Y350" s="4676"/>
      <c r="Z350" s="4676"/>
      <c r="AA350" s="4676"/>
      <c r="AB350" s="4676"/>
      <c r="AC350" s="4676"/>
      <c r="AD350" s="4676"/>
      <c r="AE350" s="4676"/>
      <c r="AF350" s="4676"/>
      <c r="AG350" s="4676"/>
      <c r="AH350" s="4676"/>
      <c r="AI350" s="4676"/>
      <c r="AJ350" s="4676"/>
      <c r="AK350" s="4676"/>
      <c r="AL350" s="4676"/>
      <c r="AM350" s="4676"/>
      <c r="AN350" s="4676"/>
      <c r="AO350" s="4676"/>
      <c r="AP350" s="4676"/>
      <c r="AQ350" s="4676"/>
      <c r="AR350" s="4676"/>
      <c r="AS350" s="4676"/>
      <c r="AT350" s="4676"/>
      <c r="AU350" s="4676"/>
      <c r="AV350" s="4676"/>
      <c r="AW350" s="4676"/>
      <c r="AX350" s="4676"/>
      <c r="AY350" s="4676"/>
      <c r="AZ350" s="4676"/>
      <c r="BA350" s="4676"/>
      <c r="BB350" s="4676"/>
      <c r="BC350" s="4676"/>
      <c r="BD350" s="4676"/>
      <c r="BE350" s="4676"/>
      <c r="BF350" s="4676"/>
      <c r="BG350" s="4676"/>
      <c r="BH350" s="4676"/>
      <c r="BI350" s="4676"/>
      <c r="BJ350" s="4676"/>
      <c r="BK350" s="4677"/>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48" t="s">
        <v>4681</v>
      </c>
      <c r="BU350" s="4649"/>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87"/>
      <c r="U351" s="4688"/>
      <c r="V351" s="2372" t="str">
        <f>IF(OR(V349=0,V349=""),"N/A",V349)</f>
        <v>N/A</v>
      </c>
      <c r="W351" s="4687" t="str">
        <f xml:space="preserve"> IF(OR(AF349=0,AF349=""),"N/A",W349)</f>
        <v>N/A</v>
      </c>
      <c r="X351" s="4689"/>
      <c r="Y351" s="4689"/>
      <c r="Z351" s="4689"/>
      <c r="AA351" s="4689"/>
      <c r="AB351" s="4689"/>
      <c r="AC351" s="4689"/>
      <c r="AD351" s="4689"/>
      <c r="AE351" s="4689"/>
      <c r="AF351" s="4688"/>
      <c r="AG351" s="4687" t="str">
        <f xml:space="preserve"> IF(OR(AP349="",AP349=0),"N/A",AG349)</f>
        <v>N/A</v>
      </c>
      <c r="AH351" s="4689"/>
      <c r="AI351" s="4689"/>
      <c r="AJ351" s="4689"/>
      <c r="AK351" s="4689"/>
      <c r="AL351" s="4689"/>
      <c r="AM351" s="4689"/>
      <c r="AN351" s="4689"/>
      <c r="AO351" s="4689"/>
      <c r="AP351" s="4688"/>
      <c r="AQ351" s="4687" t="str">
        <f xml:space="preserve"> IF(OR(AZ349="",AZ349=0),"N/A",AQ349)</f>
        <v>N/A</v>
      </c>
      <c r="AR351" s="4689"/>
      <c r="AS351" s="4689"/>
      <c r="AT351" s="4689"/>
      <c r="AU351" s="4689"/>
      <c r="AV351" s="4689"/>
      <c r="AW351" s="4689"/>
      <c r="AX351" s="4689"/>
      <c r="AY351" s="4689"/>
      <c r="AZ351" s="4688"/>
      <c r="BA351" s="4687" t="str">
        <f xml:space="preserve"> IF(OR(BJ349="",BJ349=0),"N/A",BA349)</f>
        <v>N/A</v>
      </c>
      <c r="BB351" s="4689"/>
      <c r="BC351" s="4689"/>
      <c r="BD351" s="4689"/>
      <c r="BE351" s="4689"/>
      <c r="BF351" s="4689"/>
      <c r="BG351" s="4689"/>
      <c r="BH351" s="4689"/>
      <c r="BI351" s="4689"/>
      <c r="BJ351" s="4688"/>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2" t="s">
        <v>4654</v>
      </c>
      <c r="BU351" s="4653"/>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90" t="s">
        <v>4677</v>
      </c>
      <c r="U352" s="4691"/>
      <c r="V352" s="2373"/>
      <c r="W352" s="4692"/>
      <c r="X352" s="4693"/>
      <c r="Y352" s="4693"/>
      <c r="Z352" s="4693"/>
      <c r="AA352" s="4693"/>
      <c r="AB352" s="4693"/>
      <c r="AC352" s="4693"/>
      <c r="AD352" s="4693"/>
      <c r="AE352" s="4693"/>
      <c r="AF352" s="4694"/>
      <c r="AG352" s="4692"/>
      <c r="AH352" s="4693"/>
      <c r="AI352" s="4693"/>
      <c r="AJ352" s="4693"/>
      <c r="AK352" s="4693"/>
      <c r="AL352" s="4693"/>
      <c r="AM352" s="4693"/>
      <c r="AN352" s="4693"/>
      <c r="AO352" s="4693"/>
      <c r="AP352" s="4694"/>
      <c r="AQ352" s="4692"/>
      <c r="AR352" s="4693"/>
      <c r="AS352" s="4693"/>
      <c r="AT352" s="4693"/>
      <c r="AU352" s="4693"/>
      <c r="AV352" s="4693"/>
      <c r="AW352" s="4693"/>
      <c r="AX352" s="4693"/>
      <c r="AY352" s="4693"/>
      <c r="AZ352" s="4694"/>
      <c r="BA352" s="4692"/>
      <c r="BB352" s="4693"/>
      <c r="BC352" s="4693"/>
      <c r="BD352" s="4693"/>
      <c r="BE352" s="4693"/>
      <c r="BF352" s="4693"/>
      <c r="BG352" s="4693"/>
      <c r="BH352" s="4693"/>
      <c r="BI352" s="4693"/>
      <c r="BJ352" s="4694"/>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4" t="s">
        <v>4682</v>
      </c>
      <c r="BU352" s="4645"/>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2" t="s">
        <v>4679</v>
      </c>
      <c r="U353" s="4683"/>
      <c r="V353" s="2371"/>
      <c r="W353" s="4684"/>
      <c r="X353" s="4685"/>
      <c r="Y353" s="4685"/>
      <c r="Z353" s="4685"/>
      <c r="AA353" s="4685"/>
      <c r="AB353" s="4685"/>
      <c r="AC353" s="4685"/>
      <c r="AD353" s="4685"/>
      <c r="AE353" s="4685"/>
      <c r="AF353" s="4686"/>
      <c r="AG353" s="4684"/>
      <c r="AH353" s="4685"/>
      <c r="AI353" s="4685"/>
      <c r="AJ353" s="4685"/>
      <c r="AK353" s="4685"/>
      <c r="AL353" s="4685"/>
      <c r="AM353" s="4685"/>
      <c r="AN353" s="4685"/>
      <c r="AO353" s="4685"/>
      <c r="AP353" s="4686"/>
      <c r="AQ353" s="4684"/>
      <c r="AR353" s="4685"/>
      <c r="AS353" s="4685"/>
      <c r="AT353" s="4685"/>
      <c r="AU353" s="4685"/>
      <c r="AV353" s="4685"/>
      <c r="AW353" s="4685"/>
      <c r="AX353" s="4685"/>
      <c r="AY353" s="4685"/>
      <c r="AZ353" s="4686"/>
      <c r="BA353" s="4684"/>
      <c r="BB353" s="4685"/>
      <c r="BC353" s="4685"/>
      <c r="BD353" s="4685"/>
      <c r="BE353" s="4685"/>
      <c r="BF353" s="4685"/>
      <c r="BG353" s="4685"/>
      <c r="BH353" s="4685"/>
      <c r="BI353" s="4685"/>
      <c r="BJ353" s="4686"/>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75" t="s">
        <v>4675</v>
      </c>
      <c r="U356" s="4676"/>
      <c r="V356" s="4676"/>
      <c r="W356" s="4676"/>
      <c r="X356" s="4676"/>
      <c r="Y356" s="4676"/>
      <c r="Z356" s="4676"/>
      <c r="AA356" s="4676"/>
      <c r="AB356" s="4676"/>
      <c r="AC356" s="4676"/>
      <c r="AD356" s="4676"/>
      <c r="AE356" s="4676"/>
      <c r="AF356" s="4676"/>
      <c r="AG356" s="4676"/>
      <c r="AH356" s="4676"/>
      <c r="AI356" s="4676"/>
      <c r="AJ356" s="4676"/>
      <c r="AK356" s="4676"/>
      <c r="AL356" s="4676"/>
      <c r="AM356" s="4676"/>
      <c r="AN356" s="4676"/>
      <c r="AO356" s="4676"/>
      <c r="AP356" s="4676"/>
      <c r="AQ356" s="4676"/>
      <c r="AR356" s="4676"/>
      <c r="AS356" s="4676"/>
      <c r="AT356" s="4676"/>
      <c r="AU356" s="4676"/>
      <c r="AV356" s="4676"/>
      <c r="AW356" s="4676"/>
      <c r="AX356" s="4676"/>
      <c r="AY356" s="4676"/>
      <c r="AZ356" s="4676"/>
      <c r="BA356" s="4676"/>
      <c r="BB356" s="4676"/>
      <c r="BC356" s="4676"/>
      <c r="BD356" s="4676"/>
      <c r="BE356" s="4676"/>
      <c r="BF356" s="4676"/>
      <c r="BG356" s="4676"/>
      <c r="BH356" s="4676"/>
      <c r="BI356" s="4676"/>
      <c r="BJ356" s="4676"/>
      <c r="BK356" s="4677"/>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87"/>
      <c r="U357" s="4688"/>
      <c r="V357" s="2372" t="str">
        <f>IF(OR(V355=0,V355=""),"N/A",V355)</f>
        <v>N/A</v>
      </c>
      <c r="W357" s="4687" t="str">
        <f xml:space="preserve"> IF(OR(AF355=0,AF355=""),"N/A",W355)</f>
        <v>N/A</v>
      </c>
      <c r="X357" s="4689"/>
      <c r="Y357" s="4689"/>
      <c r="Z357" s="4689"/>
      <c r="AA357" s="4689"/>
      <c r="AB357" s="4689"/>
      <c r="AC357" s="4689"/>
      <c r="AD357" s="4689"/>
      <c r="AE357" s="4689"/>
      <c r="AF357" s="4688"/>
      <c r="AG357" s="4687" t="str">
        <f xml:space="preserve"> IF(OR(AP355="",AP355=0),"N/A",AG355)</f>
        <v>N/A</v>
      </c>
      <c r="AH357" s="4689"/>
      <c r="AI357" s="4689"/>
      <c r="AJ357" s="4689"/>
      <c r="AK357" s="4689"/>
      <c r="AL357" s="4689"/>
      <c r="AM357" s="4689"/>
      <c r="AN357" s="4689"/>
      <c r="AO357" s="4689"/>
      <c r="AP357" s="4688"/>
      <c r="AQ357" s="4687" t="str">
        <f xml:space="preserve"> IF(OR(AZ355="",AZ355=0),"N/A",AQ355)</f>
        <v>N/A</v>
      </c>
      <c r="AR357" s="4689"/>
      <c r="AS357" s="4689"/>
      <c r="AT357" s="4689"/>
      <c r="AU357" s="4689"/>
      <c r="AV357" s="4689"/>
      <c r="AW357" s="4689"/>
      <c r="AX357" s="4689"/>
      <c r="AY357" s="4689"/>
      <c r="AZ357" s="4688"/>
      <c r="BA357" s="4687" t="str">
        <f xml:space="preserve"> IF(OR(BJ355="",BJ355=0),"N/A",BA355)</f>
        <v>N/A</v>
      </c>
      <c r="BB357" s="4689"/>
      <c r="BC357" s="4689"/>
      <c r="BD357" s="4689"/>
      <c r="BE357" s="4689"/>
      <c r="BF357" s="4689"/>
      <c r="BG357" s="4689"/>
      <c r="BH357" s="4689"/>
      <c r="BI357" s="4689"/>
      <c r="BJ357" s="4688"/>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90" t="s">
        <v>4677</v>
      </c>
      <c r="U358" s="4691"/>
      <c r="V358" s="2373"/>
      <c r="W358" s="4692"/>
      <c r="X358" s="4693"/>
      <c r="Y358" s="4693"/>
      <c r="Z358" s="4693"/>
      <c r="AA358" s="4693"/>
      <c r="AB358" s="4693"/>
      <c r="AC358" s="4693"/>
      <c r="AD358" s="4693"/>
      <c r="AE358" s="4693"/>
      <c r="AF358" s="4694"/>
      <c r="AG358" s="4692"/>
      <c r="AH358" s="4693"/>
      <c r="AI358" s="4693"/>
      <c r="AJ358" s="4693"/>
      <c r="AK358" s="4693"/>
      <c r="AL358" s="4693"/>
      <c r="AM358" s="4693"/>
      <c r="AN358" s="4693"/>
      <c r="AO358" s="4693"/>
      <c r="AP358" s="4694"/>
      <c r="AQ358" s="4692"/>
      <c r="AR358" s="4693"/>
      <c r="AS358" s="4693"/>
      <c r="AT358" s="4693"/>
      <c r="AU358" s="4693"/>
      <c r="AV358" s="4693"/>
      <c r="AW358" s="4693"/>
      <c r="AX358" s="4693"/>
      <c r="AY358" s="4693"/>
      <c r="AZ358" s="4694"/>
      <c r="BA358" s="4692"/>
      <c r="BB358" s="4693"/>
      <c r="BC358" s="4693"/>
      <c r="BD358" s="4693"/>
      <c r="BE358" s="4693"/>
      <c r="BF358" s="4693"/>
      <c r="BG358" s="4693"/>
      <c r="BH358" s="4693"/>
      <c r="BI358" s="4693"/>
      <c r="BJ358" s="4694"/>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2" t="s">
        <v>4679</v>
      </c>
      <c r="U359" s="4683"/>
      <c r="V359" s="2371"/>
      <c r="W359" s="4684"/>
      <c r="X359" s="4685"/>
      <c r="Y359" s="4685"/>
      <c r="Z359" s="4685"/>
      <c r="AA359" s="4685"/>
      <c r="AB359" s="4685"/>
      <c r="AC359" s="4685"/>
      <c r="AD359" s="4685"/>
      <c r="AE359" s="4685"/>
      <c r="AF359" s="4686"/>
      <c r="AG359" s="4684"/>
      <c r="AH359" s="4685"/>
      <c r="AI359" s="4685"/>
      <c r="AJ359" s="4685"/>
      <c r="AK359" s="4685"/>
      <c r="AL359" s="4685"/>
      <c r="AM359" s="4685"/>
      <c r="AN359" s="4685"/>
      <c r="AO359" s="4685"/>
      <c r="AP359" s="4686"/>
      <c r="AQ359" s="4684"/>
      <c r="AR359" s="4685"/>
      <c r="AS359" s="4685"/>
      <c r="AT359" s="4685"/>
      <c r="AU359" s="4685"/>
      <c r="AV359" s="4685"/>
      <c r="AW359" s="4685"/>
      <c r="AX359" s="4685"/>
      <c r="AY359" s="4685"/>
      <c r="AZ359" s="4686"/>
      <c r="BA359" s="4684"/>
      <c r="BB359" s="4685"/>
      <c r="BC359" s="4685"/>
      <c r="BD359" s="4685"/>
      <c r="BE359" s="4685"/>
      <c r="BF359" s="4685"/>
      <c r="BG359" s="4685"/>
      <c r="BH359" s="4685"/>
      <c r="BI359" s="4685"/>
      <c r="BJ359" s="4686"/>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75" t="s">
        <v>4675</v>
      </c>
      <c r="U362" s="4676"/>
      <c r="V362" s="4676"/>
      <c r="W362" s="4676"/>
      <c r="X362" s="4676"/>
      <c r="Y362" s="4676"/>
      <c r="Z362" s="4676"/>
      <c r="AA362" s="4676"/>
      <c r="AB362" s="4676"/>
      <c r="AC362" s="4676"/>
      <c r="AD362" s="4676"/>
      <c r="AE362" s="4676"/>
      <c r="AF362" s="4676"/>
      <c r="AG362" s="4676"/>
      <c r="AH362" s="4676"/>
      <c r="AI362" s="4676"/>
      <c r="AJ362" s="4676"/>
      <c r="AK362" s="4676"/>
      <c r="AL362" s="4676"/>
      <c r="AM362" s="4676"/>
      <c r="AN362" s="4676"/>
      <c r="AO362" s="4676"/>
      <c r="AP362" s="4676"/>
      <c r="AQ362" s="4676"/>
      <c r="AR362" s="4676"/>
      <c r="AS362" s="4676"/>
      <c r="AT362" s="4676"/>
      <c r="AU362" s="4676"/>
      <c r="AV362" s="4676"/>
      <c r="AW362" s="4676"/>
      <c r="AX362" s="4676"/>
      <c r="AY362" s="4676"/>
      <c r="AZ362" s="4676"/>
      <c r="BA362" s="4676"/>
      <c r="BB362" s="4676"/>
      <c r="BC362" s="4676"/>
      <c r="BD362" s="4676"/>
      <c r="BE362" s="4676"/>
      <c r="BF362" s="4676"/>
      <c r="BG362" s="4676"/>
      <c r="BH362" s="4676"/>
      <c r="BI362" s="4676"/>
      <c r="BJ362" s="4676"/>
      <c r="BK362" s="4677"/>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87"/>
      <c r="U363" s="4688"/>
      <c r="V363" s="2372" t="str">
        <f>IF(OR(V361=0,V361=""),"N/A",V361)</f>
        <v>N/A</v>
      </c>
      <c r="W363" s="4687" t="str">
        <f xml:space="preserve"> IF(OR(AF361=0,AF361=""),"N/A",W361)</f>
        <v>N/A</v>
      </c>
      <c r="X363" s="4689"/>
      <c r="Y363" s="4689"/>
      <c r="Z363" s="4689"/>
      <c r="AA363" s="4689"/>
      <c r="AB363" s="4689"/>
      <c r="AC363" s="4689"/>
      <c r="AD363" s="4689"/>
      <c r="AE363" s="4689"/>
      <c r="AF363" s="4688"/>
      <c r="AG363" s="4687" t="str">
        <f xml:space="preserve"> IF(OR(AP361="",AP361=0),"N/A",AG361)</f>
        <v>N/A</v>
      </c>
      <c r="AH363" s="4689"/>
      <c r="AI363" s="4689"/>
      <c r="AJ363" s="4689"/>
      <c r="AK363" s="4689"/>
      <c r="AL363" s="4689"/>
      <c r="AM363" s="4689"/>
      <c r="AN363" s="4689"/>
      <c r="AO363" s="4689"/>
      <c r="AP363" s="4688"/>
      <c r="AQ363" s="4687" t="str">
        <f xml:space="preserve"> IF(OR(AZ361="",AZ361=0),"N/A",AQ361)</f>
        <v>N/A</v>
      </c>
      <c r="AR363" s="4689"/>
      <c r="AS363" s="4689"/>
      <c r="AT363" s="4689"/>
      <c r="AU363" s="4689"/>
      <c r="AV363" s="4689"/>
      <c r="AW363" s="4689"/>
      <c r="AX363" s="4689"/>
      <c r="AY363" s="4689"/>
      <c r="AZ363" s="4688"/>
      <c r="BA363" s="4687" t="str">
        <f xml:space="preserve"> IF(OR(BJ361="",BJ361=0),"N/A",BA361)</f>
        <v>N/A</v>
      </c>
      <c r="BB363" s="4689"/>
      <c r="BC363" s="4689"/>
      <c r="BD363" s="4689"/>
      <c r="BE363" s="4689"/>
      <c r="BF363" s="4689"/>
      <c r="BG363" s="4689"/>
      <c r="BH363" s="4689"/>
      <c r="BI363" s="4689"/>
      <c r="BJ363" s="4688"/>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90" t="s">
        <v>4677</v>
      </c>
      <c r="U364" s="4691"/>
      <c r="V364" s="2373"/>
      <c r="W364" s="4692"/>
      <c r="X364" s="4693"/>
      <c r="Y364" s="4693"/>
      <c r="Z364" s="4693"/>
      <c r="AA364" s="4693"/>
      <c r="AB364" s="4693"/>
      <c r="AC364" s="4693"/>
      <c r="AD364" s="4693"/>
      <c r="AE364" s="4693"/>
      <c r="AF364" s="4694"/>
      <c r="AG364" s="4692"/>
      <c r="AH364" s="4693"/>
      <c r="AI364" s="4693"/>
      <c r="AJ364" s="4693"/>
      <c r="AK364" s="4693"/>
      <c r="AL364" s="4693"/>
      <c r="AM364" s="4693"/>
      <c r="AN364" s="4693"/>
      <c r="AO364" s="4693"/>
      <c r="AP364" s="4694"/>
      <c r="AQ364" s="4692"/>
      <c r="AR364" s="4693"/>
      <c r="AS364" s="4693"/>
      <c r="AT364" s="4693"/>
      <c r="AU364" s="4693"/>
      <c r="AV364" s="4693"/>
      <c r="AW364" s="4693"/>
      <c r="AX364" s="4693"/>
      <c r="AY364" s="4693"/>
      <c r="AZ364" s="4694"/>
      <c r="BA364" s="4692"/>
      <c r="BB364" s="4693"/>
      <c r="BC364" s="4693"/>
      <c r="BD364" s="4693"/>
      <c r="BE364" s="4693"/>
      <c r="BF364" s="4693"/>
      <c r="BG364" s="4693"/>
      <c r="BH364" s="4693"/>
      <c r="BI364" s="4693"/>
      <c r="BJ364" s="4694"/>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2" t="s">
        <v>4679</v>
      </c>
      <c r="U365" s="4683"/>
      <c r="V365" s="2371"/>
      <c r="W365" s="4684"/>
      <c r="X365" s="4685"/>
      <c r="Y365" s="4685"/>
      <c r="Z365" s="4685"/>
      <c r="AA365" s="4685"/>
      <c r="AB365" s="4685"/>
      <c r="AC365" s="4685"/>
      <c r="AD365" s="4685"/>
      <c r="AE365" s="4685"/>
      <c r="AF365" s="4686"/>
      <c r="AG365" s="4684"/>
      <c r="AH365" s="4685"/>
      <c r="AI365" s="4685"/>
      <c r="AJ365" s="4685"/>
      <c r="AK365" s="4685"/>
      <c r="AL365" s="4685"/>
      <c r="AM365" s="4685"/>
      <c r="AN365" s="4685"/>
      <c r="AO365" s="4685"/>
      <c r="AP365" s="4686"/>
      <c r="AQ365" s="4684"/>
      <c r="AR365" s="4685"/>
      <c r="AS365" s="4685"/>
      <c r="AT365" s="4685"/>
      <c r="AU365" s="4685"/>
      <c r="AV365" s="4685"/>
      <c r="AW365" s="4685"/>
      <c r="AX365" s="4685"/>
      <c r="AY365" s="4685"/>
      <c r="AZ365" s="4686"/>
      <c r="BA365" s="4684"/>
      <c r="BB365" s="4685"/>
      <c r="BC365" s="4685"/>
      <c r="BD365" s="4685"/>
      <c r="BE365" s="4685"/>
      <c r="BF365" s="4685"/>
      <c r="BG365" s="4685"/>
      <c r="BH365" s="4685"/>
      <c r="BI365" s="4685"/>
      <c r="BJ365" s="4686"/>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2"/>
      <c r="BV367" s="4642"/>
      <c r="BW367" s="4642"/>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75" t="s">
        <v>4675</v>
      </c>
      <c r="U368" s="4676"/>
      <c r="V368" s="4676"/>
      <c r="W368" s="4676"/>
      <c r="X368" s="4676"/>
      <c r="Y368" s="4676"/>
      <c r="Z368" s="4676"/>
      <c r="AA368" s="4676"/>
      <c r="AB368" s="4676"/>
      <c r="AC368" s="4676"/>
      <c r="AD368" s="4676"/>
      <c r="AE368" s="4676"/>
      <c r="AF368" s="4676"/>
      <c r="AG368" s="4676"/>
      <c r="AH368" s="4676"/>
      <c r="AI368" s="4676"/>
      <c r="AJ368" s="4676"/>
      <c r="AK368" s="4676"/>
      <c r="AL368" s="4676"/>
      <c r="AM368" s="4676"/>
      <c r="AN368" s="4676"/>
      <c r="AO368" s="4676"/>
      <c r="AP368" s="4676"/>
      <c r="AQ368" s="4676"/>
      <c r="AR368" s="4676"/>
      <c r="AS368" s="4676"/>
      <c r="AT368" s="4676"/>
      <c r="AU368" s="4676"/>
      <c r="AV368" s="4676"/>
      <c r="AW368" s="4676"/>
      <c r="AX368" s="4676"/>
      <c r="AY368" s="4676"/>
      <c r="AZ368" s="4676"/>
      <c r="BA368" s="4676"/>
      <c r="BB368" s="4676"/>
      <c r="BC368" s="4676"/>
      <c r="BD368" s="4676"/>
      <c r="BE368" s="4676"/>
      <c r="BF368" s="4676"/>
      <c r="BG368" s="4676"/>
      <c r="BH368" s="4676"/>
      <c r="BI368" s="4676"/>
      <c r="BJ368" s="4676"/>
      <c r="BK368" s="4677"/>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87"/>
      <c r="U369" s="4688"/>
      <c r="V369" s="2372" t="str">
        <f>IF(OR(V367=0,V367=""),"N/A",V367)</f>
        <v>N/A</v>
      </c>
      <c r="W369" s="4687" t="str">
        <f xml:space="preserve"> IF(OR(AF367=0,AF367=""),"N/A",W367)</f>
        <v>N/A</v>
      </c>
      <c r="X369" s="4689"/>
      <c r="Y369" s="4689"/>
      <c r="Z369" s="4689"/>
      <c r="AA369" s="4689"/>
      <c r="AB369" s="4689"/>
      <c r="AC369" s="4689"/>
      <c r="AD369" s="4689"/>
      <c r="AE369" s="4689"/>
      <c r="AF369" s="4688"/>
      <c r="AG369" s="4687" t="str">
        <f xml:space="preserve"> IF(OR(AP367="",AP367=0),"N/A",AG367)</f>
        <v>N/A</v>
      </c>
      <c r="AH369" s="4689"/>
      <c r="AI369" s="4689"/>
      <c r="AJ369" s="4689"/>
      <c r="AK369" s="4689"/>
      <c r="AL369" s="4689"/>
      <c r="AM369" s="4689"/>
      <c r="AN369" s="4689"/>
      <c r="AO369" s="4689"/>
      <c r="AP369" s="4688"/>
      <c r="AQ369" s="4687" t="str">
        <f xml:space="preserve"> IF(OR(AZ367="",AZ367=0),"N/A",AQ367)</f>
        <v>N/A</v>
      </c>
      <c r="AR369" s="4689"/>
      <c r="AS369" s="4689"/>
      <c r="AT369" s="4689"/>
      <c r="AU369" s="4689"/>
      <c r="AV369" s="4689"/>
      <c r="AW369" s="4689"/>
      <c r="AX369" s="4689"/>
      <c r="AY369" s="4689"/>
      <c r="AZ369" s="4688"/>
      <c r="BA369" s="4687" t="str">
        <f xml:space="preserve"> IF(OR(BJ367="",BJ367=0),"N/A",BA367)</f>
        <v>N/A</v>
      </c>
      <c r="BB369" s="4689"/>
      <c r="BC369" s="4689"/>
      <c r="BD369" s="4689"/>
      <c r="BE369" s="4689"/>
      <c r="BF369" s="4689"/>
      <c r="BG369" s="4689"/>
      <c r="BH369" s="4689"/>
      <c r="BI369" s="4689"/>
      <c r="BJ369" s="4688"/>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3"/>
      <c r="BV369" s="4643"/>
      <c r="BW369" s="4643"/>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90" t="s">
        <v>4677</v>
      </c>
      <c r="U370" s="4691"/>
      <c r="V370" s="2373"/>
      <c r="W370" s="4692"/>
      <c r="X370" s="4693"/>
      <c r="Y370" s="4693"/>
      <c r="Z370" s="4693"/>
      <c r="AA370" s="4693"/>
      <c r="AB370" s="4693"/>
      <c r="AC370" s="4693"/>
      <c r="AD370" s="4693"/>
      <c r="AE370" s="4693"/>
      <c r="AF370" s="4694"/>
      <c r="AG370" s="4692"/>
      <c r="AH370" s="4693"/>
      <c r="AI370" s="4693"/>
      <c r="AJ370" s="4693"/>
      <c r="AK370" s="4693"/>
      <c r="AL370" s="4693"/>
      <c r="AM370" s="4693"/>
      <c r="AN370" s="4693"/>
      <c r="AO370" s="4693"/>
      <c r="AP370" s="4694"/>
      <c r="AQ370" s="4692"/>
      <c r="AR370" s="4693"/>
      <c r="AS370" s="4693"/>
      <c r="AT370" s="4693"/>
      <c r="AU370" s="4693"/>
      <c r="AV370" s="4693"/>
      <c r="AW370" s="4693"/>
      <c r="AX370" s="4693"/>
      <c r="AY370" s="4693"/>
      <c r="AZ370" s="4694"/>
      <c r="BA370" s="4692"/>
      <c r="BB370" s="4693"/>
      <c r="BC370" s="4693"/>
      <c r="BD370" s="4693"/>
      <c r="BE370" s="4693"/>
      <c r="BF370" s="4693"/>
      <c r="BG370" s="4693"/>
      <c r="BH370" s="4693"/>
      <c r="BI370" s="4693"/>
      <c r="BJ370" s="4694"/>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95" t="s">
        <v>4679</v>
      </c>
      <c r="U371" s="4696"/>
      <c r="V371" s="2376"/>
      <c r="W371" s="4697"/>
      <c r="X371" s="4698"/>
      <c r="Y371" s="4698"/>
      <c r="Z371" s="4698"/>
      <c r="AA371" s="4698"/>
      <c r="AB371" s="4698"/>
      <c r="AC371" s="4698"/>
      <c r="AD371" s="4698"/>
      <c r="AE371" s="4698"/>
      <c r="AF371" s="4699"/>
      <c r="AG371" s="4697"/>
      <c r="AH371" s="4698"/>
      <c r="AI371" s="4698"/>
      <c r="AJ371" s="4698"/>
      <c r="AK371" s="4698"/>
      <c r="AL371" s="4698"/>
      <c r="AM371" s="4698"/>
      <c r="AN371" s="4698"/>
      <c r="AO371" s="4698"/>
      <c r="AP371" s="4699"/>
      <c r="AQ371" s="4697"/>
      <c r="AR371" s="4698"/>
      <c r="AS371" s="4698"/>
      <c r="AT371" s="4698"/>
      <c r="AU371" s="4698"/>
      <c r="AV371" s="4698"/>
      <c r="AW371" s="4698"/>
      <c r="AX371" s="4698"/>
      <c r="AY371" s="4698"/>
      <c r="AZ371" s="4699"/>
      <c r="BA371" s="4697"/>
      <c r="BB371" s="4698"/>
      <c r="BC371" s="4698"/>
      <c r="BD371" s="4698"/>
      <c r="BE371" s="4698"/>
      <c r="BF371" s="4698"/>
      <c r="BG371" s="4698"/>
      <c r="BH371" s="4698"/>
      <c r="BI371" s="4698"/>
      <c r="BJ371" s="4699"/>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1"/>
      <c r="BL372" s="4681"/>
      <c r="BM372" s="4645"/>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4" t="s">
        <v>4688</v>
      </c>
      <c r="BU372" s="4645"/>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78" t="str">
        <f>IF(OR(E373='Tablas Técnicas'!A$678,E373='Tablas Técnicas'!A$679,E374='Tablas Técnicas'!A$678,E374='Tablas Técnicas'!A$679,E375='Tablas Técnicas'!A$678,E375='Tablas Técnicas'!A$679),"Selecciona la atadura elemental:","")</f>
        <v/>
      </c>
      <c r="AH373" s="4679"/>
      <c r="AI373" s="4679"/>
      <c r="AJ373" s="4679"/>
      <c r="AK373" s="4679"/>
      <c r="AL373" s="4679"/>
      <c r="AM373" s="4679"/>
      <c r="AN373" s="4679"/>
      <c r="AO373" s="4679"/>
      <c r="AP373" s="4679"/>
      <c r="AQ373" s="4679"/>
      <c r="AR373" s="4679"/>
      <c r="AS373" s="4679"/>
      <c r="AT373" s="4679"/>
      <c r="AU373" s="4679"/>
      <c r="AV373" s="4679"/>
      <c r="AW373" s="4679"/>
      <c r="AX373" s="4679"/>
      <c r="AY373" s="4679"/>
      <c r="AZ373" s="4679"/>
      <c r="BA373" s="4679"/>
      <c r="BB373" s="4679"/>
      <c r="BC373" s="4679"/>
      <c r="BD373" s="4679"/>
      <c r="BE373" s="4679"/>
      <c r="BF373" s="4679"/>
      <c r="BG373" s="4679"/>
      <c r="BH373" s="4679"/>
      <c r="BI373" s="4679"/>
      <c r="BJ373" s="4679"/>
      <c r="BK373" s="4680"/>
      <c r="BL373" s="1540"/>
      <c r="BM373" s="1540"/>
      <c r="BN373" s="1084"/>
      <c r="BO373" s="1084"/>
      <c r="BP373" s="1117"/>
      <c r="BQ373" s="1084"/>
      <c r="BR373" s="1084"/>
      <c r="BS373" s="1084"/>
      <c r="BT373" s="4646">
        <f>D341</f>
        <v>1</v>
      </c>
      <c r="BU373" s="4647"/>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77" priority="1311" stopIfTrue="1">
      <formula>$BT40&lt;2</formula>
    </cfRule>
  </conditionalFormatting>
  <conditionalFormatting sqref="E42">
    <cfRule type="expression" dxfId="376" priority="1321" stopIfTrue="1">
      <formula>$BT40&lt;3</formula>
    </cfRule>
  </conditionalFormatting>
  <conditionalFormatting sqref="BT11:BU11">
    <cfRule type="cellIs" dxfId="375" priority="903" operator="greaterThan">
      <formula>$BT9</formula>
    </cfRule>
  </conditionalFormatting>
  <conditionalFormatting sqref="AG40:AV40">
    <cfRule type="expression" dxfId="374"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73" priority="637">
      <formula>OR($D8&lt;1,$D8&gt;3)</formula>
    </cfRule>
  </conditionalFormatting>
  <conditionalFormatting sqref="S10:S43 S117 S191 S265 S339">
    <cfRule type="cellIs" dxfId="372" priority="2142" stopIfTrue="1" operator="greaterThan">
      <formula>$EA10</formula>
    </cfRule>
  </conditionalFormatting>
  <conditionalFormatting sqref="BC40:BK40 AY40">
    <cfRule type="expression" dxfId="371"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70"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9"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8"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7"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6"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5" priority="240">
      <formula>NOT(ISNUMBER(SEARCH(BL40,BK10&amp;BL10&amp;BM10&amp;BM16&amp;BL16&amp;BK16&amp;BK22&amp;BL22&amp;BM22&amp;BK28&amp;BL28&amp;BM28&amp;BK34&amp;BL34&amp;BM34)))</formula>
    </cfRule>
  </conditionalFormatting>
  <conditionalFormatting sqref="BM40">
    <cfRule type="expression" dxfId="364" priority="239">
      <formula>NOT(ISNUMBER(SEARCH(BM40,BK10&amp;BL10&amp;BM10&amp;BM16&amp;BL16&amp;BK16&amp;BK22&amp;BL22&amp;BM22&amp;BK28&amp;BL28&amp;BM28&amp;BK34&amp;BL34&amp;BM34)))</formula>
    </cfRule>
  </conditionalFormatting>
  <conditionalFormatting sqref="E226">
    <cfRule type="expression" dxfId="363" priority="174" stopIfTrue="1">
      <formula>$BT225&lt;2</formula>
    </cfRule>
  </conditionalFormatting>
  <conditionalFormatting sqref="E227">
    <cfRule type="expression" dxfId="362" priority="175" stopIfTrue="1">
      <formula>$BT225&lt;3</formula>
    </cfRule>
  </conditionalFormatting>
  <conditionalFormatting sqref="BT196:BU196">
    <cfRule type="cellIs" dxfId="361" priority="173" operator="greaterThan">
      <formula>$BT194</formula>
    </cfRule>
  </conditionalFormatting>
  <conditionalFormatting sqref="AG225:AV225">
    <cfRule type="expression" dxfId="360"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9" priority="171">
      <formula>OR($D193&lt;1,$D193&gt;3)</formula>
    </cfRule>
  </conditionalFormatting>
  <conditionalFormatting sqref="S195:S227">
    <cfRule type="cellIs" dxfId="358" priority="176" stopIfTrue="1" operator="greaterThan">
      <formula>$EA195</formula>
    </cfRule>
  </conditionalFormatting>
  <conditionalFormatting sqref="BC225:BK225 AY225">
    <cfRule type="expression" dxfId="357"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6"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5"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54"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170">
      <formula>NOT(ISNUMBER(SEARCH(BL225,_xlfn.CONCAT(BK195:BM195,BK201:BM201,BK207:BM207,BK213:BM213,BK219:BM219))))</formula>
    </cfRule>
  </conditionalFormatting>
  <conditionalFormatting sqref="BM225">
    <cfRule type="expression" dxfId="350" priority="169">
      <formula>NOT(ISNUMBER(SEARCH(BM225,_xlfn.CONCAT(BK195:BM195,BK201:BM201,BK207:BM207,BK213:BM213,BK219:BM219))))</formula>
    </cfRule>
  </conditionalFormatting>
  <conditionalFormatting sqref="E78">
    <cfRule type="expression" dxfId="349" priority="104" stopIfTrue="1">
      <formula>$BT77&lt;2</formula>
    </cfRule>
  </conditionalFormatting>
  <conditionalFormatting sqref="E79">
    <cfRule type="expression" dxfId="348" priority="105" stopIfTrue="1">
      <formula>$BT77&lt;3</formula>
    </cfRule>
  </conditionalFormatting>
  <conditionalFormatting sqref="BT48:BU48">
    <cfRule type="cellIs" dxfId="347" priority="103" operator="greaterThan">
      <formula>$BT46</formula>
    </cfRule>
  </conditionalFormatting>
  <conditionalFormatting sqref="AG77:AV77">
    <cfRule type="expression" dxfId="346"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5" priority="101">
      <formula>OR($D45&lt;1,$D45&gt;3)</formula>
    </cfRule>
  </conditionalFormatting>
  <conditionalFormatting sqref="S47:S79">
    <cfRule type="cellIs" dxfId="344" priority="106" stopIfTrue="1" operator="greaterThan">
      <formula>$EA47</formula>
    </cfRule>
  </conditionalFormatting>
  <conditionalFormatting sqref="BC77:BK77 AY77">
    <cfRule type="expression" dxfId="343"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42"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1"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0"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9"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8"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7" priority="100">
      <formula>NOT(ISNUMBER(SEARCH(BL77,BK47&amp;BL47&amp;BM47&amp;BM53&amp;BL53&amp;BK53&amp;BK59&amp;BL59&amp;BM59&amp;BK65&amp;BL65&amp;BM65&amp;BK71&amp;BL71&amp;BM71)))</formula>
    </cfRule>
  </conditionalFormatting>
  <conditionalFormatting sqref="BM77">
    <cfRule type="expression" dxfId="336" priority="99">
      <formula>NOT(ISNUMBER(SEARCH(BM77,BK47&amp;BL47&amp;BM47&amp;BM53&amp;BL53&amp;BK53&amp;BK59&amp;BL59&amp;BM59&amp;BK65&amp;BL65&amp;BM65&amp;BK71&amp;BL71&amp;BM71)))</formula>
    </cfRule>
  </conditionalFormatting>
  <conditionalFormatting sqref="E115">
    <cfRule type="expression" dxfId="335" priority="90" stopIfTrue="1">
      <formula>$BT114&lt;2</formula>
    </cfRule>
  </conditionalFormatting>
  <conditionalFormatting sqref="E116">
    <cfRule type="expression" dxfId="334" priority="91" stopIfTrue="1">
      <formula>$BT114&lt;3</formula>
    </cfRule>
  </conditionalFormatting>
  <conditionalFormatting sqref="BT85:BU85">
    <cfRule type="cellIs" dxfId="333" priority="89" operator="greaterThan">
      <formula>$BT83</formula>
    </cfRule>
  </conditionalFormatting>
  <conditionalFormatting sqref="AG114:AV114">
    <cfRule type="expression" dxfId="332"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31" priority="87">
      <formula>OR($D82&lt;1,$D82&gt;3)</formula>
    </cfRule>
  </conditionalFormatting>
  <conditionalFormatting sqref="S84:S116">
    <cfRule type="cellIs" dxfId="330" priority="92" stopIfTrue="1" operator="greaterThan">
      <formula>$EA84</formula>
    </cfRule>
  </conditionalFormatting>
  <conditionalFormatting sqref="BC114:BK114 AY114">
    <cfRule type="expression" dxfId="329"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8"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7"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6"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5"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24"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23" priority="86">
      <formula>NOT(ISNUMBER(SEARCH(BL114,BK84&amp;BL84&amp;BM84&amp;BM90&amp;BL90&amp;BK90&amp;BK96&amp;BL96&amp;BM96&amp;BK102&amp;BL102&amp;BM102&amp;BK108&amp;BL108&amp;BM108)))</formula>
    </cfRule>
  </conditionalFormatting>
  <conditionalFormatting sqref="BM114">
    <cfRule type="expression" dxfId="322" priority="85">
      <formula>NOT(ISNUMBER(SEARCH(BM114,BK84&amp;BL84&amp;BM84&amp;BM90&amp;BL90&amp;BK90&amp;BK96&amp;BL96&amp;BM96&amp;BK102&amp;BL102&amp;BM102&amp;BK108&amp;BL108&amp;BM108)))</formula>
    </cfRule>
  </conditionalFormatting>
  <conditionalFormatting sqref="E152">
    <cfRule type="expression" dxfId="321" priority="76" stopIfTrue="1">
      <formula>$BT151&lt;2</formula>
    </cfRule>
  </conditionalFormatting>
  <conditionalFormatting sqref="E153">
    <cfRule type="expression" dxfId="320" priority="77" stopIfTrue="1">
      <formula>$BT151&lt;3</formula>
    </cfRule>
  </conditionalFormatting>
  <conditionalFormatting sqref="BT122:BU122">
    <cfRule type="cellIs" dxfId="319" priority="75" operator="greaterThan">
      <formula>$BT120</formula>
    </cfRule>
  </conditionalFormatting>
  <conditionalFormatting sqref="AG151:AV151">
    <cfRule type="expression" dxfId="318"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7" priority="73">
      <formula>OR($D119&lt;1,$D119&gt;3)</formula>
    </cfRule>
  </conditionalFormatting>
  <conditionalFormatting sqref="S121:S153">
    <cfRule type="cellIs" dxfId="316" priority="78" stopIfTrue="1" operator="greaterThan">
      <formula>$EA121</formula>
    </cfRule>
  </conditionalFormatting>
  <conditionalFormatting sqref="BC151:BK151 AY151">
    <cfRule type="expression" dxfId="315"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14"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12"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1"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0"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9" priority="72">
      <formula>NOT(ISNUMBER(SEARCH(BL151,BK121&amp;BL121&amp;BM121&amp;BM127&amp;BL127&amp;BK127&amp;BK133&amp;BL133&amp;BM133&amp;BK139&amp;BL139&amp;BM139&amp;BK145&amp;BL145&amp;BM145)))</formula>
    </cfRule>
  </conditionalFormatting>
  <conditionalFormatting sqref="BM151">
    <cfRule type="expression" dxfId="308" priority="71">
      <formula>NOT(ISNUMBER(SEARCH(BM151,BK121&amp;BL121&amp;BM121&amp;BM127&amp;BL127&amp;BK127&amp;BK133&amp;BL133&amp;BM133&amp;BK139&amp;BL139&amp;BM139&amp;BK145&amp;BL145&amp;BM145)))</formula>
    </cfRule>
  </conditionalFormatting>
  <conditionalFormatting sqref="E189">
    <cfRule type="expression" dxfId="307" priority="62" stopIfTrue="1">
      <formula>$BT188&lt;2</formula>
    </cfRule>
  </conditionalFormatting>
  <conditionalFormatting sqref="E190">
    <cfRule type="expression" dxfId="306" priority="63" stopIfTrue="1">
      <formula>$BT188&lt;3</formula>
    </cfRule>
  </conditionalFormatting>
  <conditionalFormatting sqref="BT159:BU159">
    <cfRule type="cellIs" dxfId="305" priority="61" operator="greaterThan">
      <formula>$BT157</formula>
    </cfRule>
  </conditionalFormatting>
  <conditionalFormatting sqref="AG188:AV188">
    <cfRule type="expression" dxfId="304"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03" priority="59">
      <formula>OR($D156&lt;1,$D156&gt;3)</formula>
    </cfRule>
  </conditionalFormatting>
  <conditionalFormatting sqref="S158:S190">
    <cfRule type="cellIs" dxfId="302" priority="64" stopIfTrue="1" operator="greaterThan">
      <formula>$EA158</formula>
    </cfRule>
  </conditionalFormatting>
  <conditionalFormatting sqref="BC188:BK188 AY188">
    <cfRule type="expression" dxfId="301"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0"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9"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8"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7"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6"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5" priority="58">
      <formula>NOT(ISNUMBER(SEARCH(BL188,BK158&amp;BL158&amp;BM158&amp;BM164&amp;BL164&amp;BK164&amp;BK170&amp;BL170&amp;BM170&amp;BK176&amp;BL176&amp;BM176&amp;BK182&amp;BL182&amp;BM182)))</formula>
    </cfRule>
  </conditionalFormatting>
  <conditionalFormatting sqref="BM188">
    <cfRule type="expression" dxfId="294" priority="57">
      <formula>NOT(ISNUMBER(SEARCH(BM188,BK158&amp;BL158&amp;BM158&amp;BM164&amp;BL164&amp;BK164&amp;BK170&amp;BL170&amp;BM170&amp;BK176&amp;BL176&amp;BM176&amp;BK182&amp;BL182&amp;BM182)))</formula>
    </cfRule>
  </conditionalFormatting>
  <conditionalFormatting sqref="E263">
    <cfRule type="expression" dxfId="293" priority="48" stopIfTrue="1">
      <formula>$BT262&lt;2</formula>
    </cfRule>
  </conditionalFormatting>
  <conditionalFormatting sqref="E264">
    <cfRule type="expression" dxfId="292" priority="49" stopIfTrue="1">
      <formula>$BT262&lt;3</formula>
    </cfRule>
  </conditionalFormatting>
  <conditionalFormatting sqref="BT233:BU233">
    <cfRule type="cellIs" dxfId="291" priority="47" operator="greaterThan">
      <formula>$BT231</formula>
    </cfRule>
  </conditionalFormatting>
  <conditionalFormatting sqref="AG262:AV262">
    <cfRule type="expression" dxfId="290"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9" priority="45">
      <formula>OR($D230&lt;1,$D230&gt;3)</formula>
    </cfRule>
  </conditionalFormatting>
  <conditionalFormatting sqref="S232:S264">
    <cfRule type="cellIs" dxfId="288" priority="50" stopIfTrue="1" operator="greaterThan">
      <formula>$EA232</formula>
    </cfRule>
  </conditionalFormatting>
  <conditionalFormatting sqref="BC262:BK262 AY262">
    <cfRule type="expression" dxfId="287"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6"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5"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84"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83"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82"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81" priority="44">
      <formula>NOT(ISNUMBER(SEARCH(BL262,BK232&amp;BL232&amp;BM232&amp;BM238&amp;BL238&amp;BK238&amp;BK244&amp;BL244&amp;BM244&amp;BK250&amp;BL250&amp;BM250&amp;BK256&amp;BL256&amp;BM256)))</formula>
    </cfRule>
  </conditionalFormatting>
  <conditionalFormatting sqref="BM262">
    <cfRule type="expression" dxfId="280" priority="43">
      <formula>NOT(ISNUMBER(SEARCH(BM262,BK232&amp;BL232&amp;BM232&amp;BM238&amp;BL238&amp;BK238&amp;BK244&amp;BL244&amp;BM244&amp;BK250&amp;BL250&amp;BM250&amp;BK256&amp;BL256&amp;BM256)))</formula>
    </cfRule>
  </conditionalFormatting>
  <conditionalFormatting sqref="E300">
    <cfRule type="expression" dxfId="279" priority="34" stopIfTrue="1">
      <formula>$BT299&lt;2</formula>
    </cfRule>
  </conditionalFormatting>
  <conditionalFormatting sqref="E301">
    <cfRule type="expression" dxfId="278" priority="35" stopIfTrue="1">
      <formula>$BT299&lt;3</formula>
    </cfRule>
  </conditionalFormatting>
  <conditionalFormatting sqref="BT270:BU270">
    <cfRule type="cellIs" dxfId="277" priority="33" operator="greaterThan">
      <formula>$BT268</formula>
    </cfRule>
  </conditionalFormatting>
  <conditionalFormatting sqref="AG299:AV299">
    <cfRule type="expression" dxfId="276"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5" priority="31">
      <formula>OR($D267&lt;1,$D267&gt;3)</formula>
    </cfRule>
  </conditionalFormatting>
  <conditionalFormatting sqref="S269:S301">
    <cfRule type="cellIs" dxfId="274" priority="36" stopIfTrue="1" operator="greaterThan">
      <formula>$EA269</formula>
    </cfRule>
  </conditionalFormatting>
  <conditionalFormatting sqref="BC299:BK299 AY299">
    <cfRule type="expression" dxfId="273"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72"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71"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0"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9"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8"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7" priority="30">
      <formula>NOT(ISNUMBER(SEARCH(BL299,BK269&amp;BL269&amp;BM269&amp;BM275&amp;BL275&amp;BK275&amp;BK281&amp;BL281&amp;BM281&amp;BK287&amp;BL287&amp;BM287&amp;BK293&amp;BL293&amp;BM293)))</formula>
    </cfRule>
  </conditionalFormatting>
  <conditionalFormatting sqref="BM299">
    <cfRule type="expression" dxfId="266" priority="29">
      <formula>NOT(ISNUMBER(SEARCH(BM299,BK269&amp;BL269&amp;BM269&amp;BM275&amp;BL275&amp;BK275&amp;BK281&amp;BL281&amp;BM281&amp;BK287&amp;BL287&amp;BM287&amp;BK293&amp;BL293&amp;BM293)))</formula>
    </cfRule>
  </conditionalFormatting>
  <conditionalFormatting sqref="E337">
    <cfRule type="expression" dxfId="265" priority="20" stopIfTrue="1">
      <formula>$BT336&lt;2</formula>
    </cfRule>
  </conditionalFormatting>
  <conditionalFormatting sqref="E338">
    <cfRule type="expression" dxfId="264" priority="21" stopIfTrue="1">
      <formula>$BT336&lt;3</formula>
    </cfRule>
  </conditionalFormatting>
  <conditionalFormatting sqref="BT307:BU307">
    <cfRule type="cellIs" dxfId="263" priority="19" operator="greaterThan">
      <formula>$BT305</formula>
    </cfRule>
  </conditionalFormatting>
  <conditionalFormatting sqref="AG336:AV336">
    <cfRule type="expression" dxfId="262"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61" priority="17">
      <formula>OR($D304&lt;1,$D304&gt;3)</formula>
    </cfRule>
  </conditionalFormatting>
  <conditionalFormatting sqref="S306:S338">
    <cfRule type="cellIs" dxfId="260" priority="22" stopIfTrue="1" operator="greaterThan">
      <formula>$EA306</formula>
    </cfRule>
  </conditionalFormatting>
  <conditionalFormatting sqref="BC336:BK336 AY336">
    <cfRule type="expression" dxfId="259"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8"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7"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6"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5"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54"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53" priority="16">
      <formula>NOT(ISNUMBER(SEARCH(BL336,BK306&amp;BL306&amp;BM306&amp;BM312&amp;BL312&amp;BK312&amp;BK318&amp;BL318&amp;BM318&amp;BK324&amp;BL324&amp;BM324&amp;BK330&amp;BL330&amp;BM330)))</formula>
    </cfRule>
  </conditionalFormatting>
  <conditionalFormatting sqref="BM336">
    <cfRule type="expression" dxfId="252" priority="15">
      <formula>NOT(ISNUMBER(SEARCH(BM336,BK306&amp;BL306&amp;BM306&amp;BM312&amp;BL312&amp;BK312&amp;BK318&amp;BL318&amp;BM318&amp;BK324&amp;BL324&amp;BM324&amp;BK330&amp;BL330&amp;BM330)))</formula>
    </cfRule>
  </conditionalFormatting>
  <conditionalFormatting sqref="E374">
    <cfRule type="expression" dxfId="251" priority="6" stopIfTrue="1">
      <formula>$BT373&lt;2</formula>
    </cfRule>
  </conditionalFormatting>
  <conditionalFormatting sqref="E375">
    <cfRule type="expression" dxfId="250" priority="7" stopIfTrue="1">
      <formula>$BT373&lt;3</formula>
    </cfRule>
  </conditionalFormatting>
  <conditionalFormatting sqref="BT344:BU344">
    <cfRule type="cellIs" dxfId="249" priority="5" operator="greaterThan">
      <formula>$BT342</formula>
    </cfRule>
  </conditionalFormatting>
  <conditionalFormatting sqref="AG373:AV373">
    <cfRule type="expression" dxfId="248"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7" priority="3">
      <formula>OR($D341&lt;1,$D341&gt;3)</formula>
    </cfRule>
  </conditionalFormatting>
  <conditionalFormatting sqref="S343:S375">
    <cfRule type="cellIs" dxfId="246" priority="8" stopIfTrue="1" operator="greaterThan">
      <formula>$EA343</formula>
    </cfRule>
  </conditionalFormatting>
  <conditionalFormatting sqref="BC373:BK373 AY373">
    <cfRule type="expression" dxfId="245"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44"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42"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1"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0"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9" priority="2">
      <formula>NOT(ISNUMBER(SEARCH(BL373,BK343&amp;BL343&amp;BM343&amp;BM349&amp;BL349&amp;BK349&amp;BK355&amp;BL355&amp;BM355&amp;BK361&amp;BL361&amp;BM361&amp;BK367&amp;BL367&amp;BM367)))</formula>
    </cfRule>
  </conditionalFormatting>
  <conditionalFormatting sqref="BM373">
    <cfRule type="expression" dxfId="238"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101"/>
      <c r="S1" s="3101"/>
      <c r="T1" s="3101"/>
      <c r="U1" s="310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102"/>
      <c r="S2" s="3102"/>
      <c r="T2" s="3102"/>
      <c r="U2" s="3102"/>
      <c r="V2" s="3102"/>
      <c r="W2" s="3102"/>
      <c r="X2" s="3102"/>
      <c r="Y2" s="3102"/>
      <c r="Z2" s="3102"/>
      <c r="AA2" s="3102"/>
      <c r="AB2" s="3102"/>
      <c r="AC2" s="3102"/>
      <c r="AD2" s="3102"/>
      <c r="AE2" s="3102"/>
      <c r="AF2" s="3102"/>
      <c r="AG2" s="3102"/>
      <c r="AH2" s="3102"/>
      <c r="AI2" s="3102"/>
      <c r="AJ2" s="3103"/>
      <c r="AK2" s="190"/>
      <c r="AQ2" s="2479"/>
      <c r="AR2" s="43"/>
      <c r="AS2" s="43"/>
      <c r="AT2" s="43"/>
    </row>
    <row r="3" spans="1:46" ht="12" customHeight="1" thickBot="1" x14ac:dyDescent="0.25">
      <c r="A3" s="190"/>
      <c r="B3" s="1799"/>
      <c r="C3" s="4423"/>
      <c r="D3" s="4424"/>
      <c r="E3" s="4424"/>
      <c r="F3" s="4424"/>
      <c r="G3" s="4424"/>
      <c r="H3" s="4424"/>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25"/>
      <c r="D4" s="3201"/>
      <c r="E4" s="3201"/>
      <c r="F4" s="3201"/>
      <c r="G4" s="3201"/>
      <c r="H4" s="3201"/>
      <c r="I4" s="12"/>
      <c r="J4" s="3118" t="s">
        <v>1628</v>
      </c>
      <c r="K4" s="3118"/>
      <c r="L4" s="3119" t="str">
        <f>IF(OR(General!$G$22="",General!$G$22=0),"",General!$G$22)</f>
        <v/>
      </c>
      <c r="M4" s="3119"/>
      <c r="N4" s="3119"/>
      <c r="O4" s="3119"/>
      <c r="P4" s="3119"/>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25"/>
      <c r="D5" s="3201"/>
      <c r="E5" s="3201"/>
      <c r="F5" s="3201"/>
      <c r="G5" s="3201"/>
      <c r="H5" s="3201"/>
      <c r="I5" s="12"/>
      <c r="J5" s="3197" t="s">
        <v>1629</v>
      </c>
      <c r="K5" s="3197"/>
      <c r="L5" s="3198" t="str">
        <f>Principal!$L$5</f>
        <v>Hechicero</v>
      </c>
      <c r="M5" s="3198"/>
      <c r="N5" s="3198"/>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25"/>
      <c r="D6" s="3201"/>
      <c r="E6" s="3201"/>
      <c r="F6" s="3201"/>
      <c r="G6" s="3201"/>
      <c r="H6" s="3201"/>
      <c r="I6" s="12"/>
      <c r="J6" s="3199" t="s">
        <v>2159</v>
      </c>
      <c r="K6" s="3199"/>
      <c r="L6" s="3199"/>
      <c r="M6" s="3199"/>
      <c r="N6" s="3199"/>
      <c r="O6" s="3199"/>
      <c r="P6" s="3199"/>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25"/>
      <c r="D7" s="3201"/>
      <c r="E7" s="3201"/>
      <c r="F7" s="3201"/>
      <c r="G7" s="3201"/>
      <c r="H7" s="3201"/>
      <c r="I7" s="12"/>
      <c r="J7" s="3199"/>
      <c r="K7" s="3199"/>
      <c r="L7" s="3199"/>
      <c r="M7" s="3199"/>
      <c r="N7" s="3199"/>
      <c r="O7" s="3199"/>
      <c r="P7" s="3199"/>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26"/>
      <c r="D8" s="4427"/>
      <c r="E8" s="4427"/>
      <c r="F8" s="4427"/>
      <c r="G8" s="4427"/>
      <c r="H8" s="4427"/>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09" t="s">
        <v>2159</v>
      </c>
      <c r="D10" s="4710"/>
      <c r="E10" s="4710"/>
      <c r="F10" s="4710"/>
      <c r="G10" s="4711"/>
      <c r="H10" s="68"/>
      <c r="I10" s="3288" t="str">
        <f>"Modificadores Elan: "&amp;C11</f>
        <v xml:space="preserve">Modificadores Elan: </v>
      </c>
      <c r="J10" s="3289"/>
      <c r="K10" s="3289"/>
      <c r="L10" s="3289"/>
      <c r="M10" s="3289"/>
      <c r="N10" s="3289"/>
      <c r="O10" s="3289"/>
      <c r="P10" s="3289"/>
      <c r="Q10" s="3291"/>
      <c r="R10" s="173"/>
      <c r="S10" s="3104"/>
      <c r="T10" s="2159"/>
      <c r="U10" s="4709" t="s">
        <v>2159</v>
      </c>
      <c r="V10" s="4710"/>
      <c r="W10" s="4710"/>
      <c r="X10" s="4710"/>
      <c r="Y10" s="4711"/>
      <c r="Z10" s="68"/>
      <c r="AA10" s="3359" t="str">
        <f>"Modificadores Elan: "&amp;U11</f>
        <v xml:space="preserve">Modificadores Elan: </v>
      </c>
      <c r="AB10" s="3360"/>
      <c r="AC10" s="3360"/>
      <c r="AD10" s="3360"/>
      <c r="AE10" s="3360"/>
      <c r="AF10" s="3360"/>
      <c r="AG10" s="3360"/>
      <c r="AH10" s="3360"/>
      <c r="AI10" s="4712"/>
      <c r="AJ10" s="1807"/>
      <c r="AK10" s="190"/>
      <c r="AQ10" s="43"/>
      <c r="AR10" s="43"/>
      <c r="AS10" s="43"/>
      <c r="AT10" s="43"/>
    </row>
    <row r="11" spans="1:46" ht="12" customHeight="1" thickBot="1" x14ac:dyDescent="0.25">
      <c r="A11" s="190"/>
      <c r="B11" s="1799"/>
      <c r="C11" s="4726"/>
      <c r="D11" s="4727"/>
      <c r="E11" s="4727"/>
      <c r="F11" s="4727"/>
      <c r="G11" s="4728"/>
      <c r="H11" s="68"/>
      <c r="I11" s="4721" t="s">
        <v>8565</v>
      </c>
      <c r="J11" s="4729"/>
      <c r="K11" s="4729"/>
      <c r="L11" s="4729"/>
      <c r="M11" s="4729"/>
      <c r="N11" s="4730"/>
      <c r="O11" s="4724" t="s">
        <v>8567</v>
      </c>
      <c r="P11" s="4729"/>
      <c r="Q11" s="4725"/>
      <c r="R11" s="173"/>
      <c r="S11" s="3104"/>
      <c r="T11" s="2159"/>
      <c r="U11" s="4713"/>
      <c r="V11" s="4714"/>
      <c r="W11" s="4714"/>
      <c r="X11" s="4715"/>
      <c r="Y11" s="4719"/>
      <c r="Z11" s="68"/>
      <c r="AA11" s="4721" t="s">
        <v>8565</v>
      </c>
      <c r="AB11" s="4722"/>
      <c r="AC11" s="4722"/>
      <c r="AD11" s="4722"/>
      <c r="AE11" s="4722"/>
      <c r="AF11" s="4723"/>
      <c r="AG11" s="4724" t="s">
        <v>8567</v>
      </c>
      <c r="AH11" s="4722"/>
      <c r="AI11" s="4725"/>
      <c r="AJ11" s="1807"/>
      <c r="AK11" s="190"/>
      <c r="AL11" s="3061" t="s">
        <v>10503</v>
      </c>
      <c r="AQ11" s="43"/>
      <c r="AR11" s="43"/>
      <c r="AS11" s="43"/>
      <c r="AT11" s="43"/>
    </row>
    <row r="12" spans="1:46" ht="12" customHeight="1" x14ac:dyDescent="0.2">
      <c r="A12" s="190"/>
      <c r="B12" s="1799"/>
      <c r="C12" s="4726"/>
      <c r="D12" s="4727"/>
      <c r="E12" s="4727"/>
      <c r="F12" s="4727"/>
      <c r="G12" s="4728"/>
      <c r="H12" s="68"/>
      <c r="I12" s="4731" t="str">
        <f>IF(C$11="","",INDEX(Tabla_ModElan,MATCH(C$11,INDEX(Tabla_ModElan,,1),0)+Tablas!$A1,1))</f>
        <v/>
      </c>
      <c r="J12" s="4732"/>
      <c r="K12" s="4732"/>
      <c r="L12" s="4732"/>
      <c r="M12" s="4733"/>
      <c r="N12" s="2704" t="str">
        <f t="shared" ref="N12:N18" si="0">IF(I12="","",INDEX(Tabla_ModElan,MATCH(I12,INDEX(Tabla_ModElan,,1),0),2))</f>
        <v/>
      </c>
      <c r="O12" s="4734" t="str">
        <f>IF(C$11="","",INDEX(Tabla_ModElan,MATCH(C$11,INDEX(Tabla_ModElan,,1),0)+Tablas!$A1,5))</f>
        <v/>
      </c>
      <c r="P12" s="4735"/>
      <c r="Q12" s="4740" t="str">
        <f>IF(O12="","",INDEX(Tabla_ModElan,MATCH(O12,INDEX(Tabla_ModElan,,5),0),6))</f>
        <v/>
      </c>
      <c r="R12" s="173"/>
      <c r="S12" s="3104"/>
      <c r="T12" s="2159"/>
      <c r="U12" s="4716"/>
      <c r="V12" s="4717"/>
      <c r="W12" s="4717"/>
      <c r="X12" s="4718"/>
      <c r="Y12" s="4720"/>
      <c r="Z12" s="68"/>
      <c r="AA12" s="4731" t="str">
        <f>IF(U$11="","",INDEX(Tabla_ModElan,MATCH(U$11,INDEX(Tabla_ModElan,,1),0)+Tablas!$A1,1))</f>
        <v/>
      </c>
      <c r="AB12" s="4732"/>
      <c r="AC12" s="4732"/>
      <c r="AD12" s="4732"/>
      <c r="AE12" s="4733"/>
      <c r="AF12" s="2704" t="str">
        <f t="shared" ref="AF12:AF18" si="1">IF(AA12="","",INDEX(Tabla_ModElan,MATCH(AA12,INDEX(Tabla_ModElan,,1),0),2))</f>
        <v/>
      </c>
      <c r="AG12" s="4734" t="str">
        <f>IF(U$11="","",INDEX(Tabla_ModElan,MATCH(U$11,INDEX(Tabla_ModElan,,1),0)+Tablas!$A1,5))</f>
        <v/>
      </c>
      <c r="AH12" s="4735"/>
      <c r="AI12" s="4740"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104"/>
      <c r="D13" s="4105"/>
      <c r="E13" s="4105"/>
      <c r="F13" s="4105"/>
      <c r="G13" s="2146" t="str">
        <f t="shared" ref="G13:G25" si="2">IF(C13="","",VLOOKUP(C13,Tabla_Elan,5,FALSE))</f>
        <v/>
      </c>
      <c r="H13" s="68"/>
      <c r="I13" s="4746" t="str">
        <f>IF(C$11="","",INDEX(Tabla_ModElan,MATCH(C$11,INDEX(Tabla_ModElan,,1),0)+Tablas!$A2,1))</f>
        <v/>
      </c>
      <c r="J13" s="3571"/>
      <c r="K13" s="3571"/>
      <c r="L13" s="3571"/>
      <c r="M13" s="4747"/>
      <c r="N13" s="2705" t="str">
        <f t="shared" si="0"/>
        <v/>
      </c>
      <c r="O13" s="4736"/>
      <c r="P13" s="4737"/>
      <c r="Q13" s="4741"/>
      <c r="R13" s="173"/>
      <c r="S13" s="3104"/>
      <c r="T13" s="2159"/>
      <c r="U13" s="4743"/>
      <c r="V13" s="4744"/>
      <c r="W13" s="4744"/>
      <c r="X13" s="4745"/>
      <c r="Y13" s="2146" t="str">
        <f t="shared" ref="Y13:Y25" si="3">IF(U13="","",VLOOKUP(U13,Tabla_Elan,5,FALSE))</f>
        <v/>
      </c>
      <c r="Z13" s="68"/>
      <c r="AA13" s="4746" t="str">
        <f>IF(U$11="","",INDEX(Tabla_ModElan,MATCH(U$11,INDEX(Tabla_ModElan,,1),0)+Tablas!$A2,1))</f>
        <v/>
      </c>
      <c r="AB13" s="3571"/>
      <c r="AC13" s="3571"/>
      <c r="AD13" s="3571"/>
      <c r="AE13" s="4747"/>
      <c r="AF13" s="2705" t="str">
        <f t="shared" si="1"/>
        <v/>
      </c>
      <c r="AG13" s="4736"/>
      <c r="AH13" s="4737"/>
      <c r="AI13" s="4741"/>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51"/>
      <c r="D14" s="4752"/>
      <c r="E14" s="4752"/>
      <c r="F14" s="4752"/>
      <c r="G14" s="2147" t="str">
        <f t="shared" si="2"/>
        <v/>
      </c>
      <c r="H14" s="2974" t="s">
        <v>3189</v>
      </c>
      <c r="I14" s="4746" t="str">
        <f>IF(C$11="","",INDEX(Tabla_ModElan,MATCH(C$11,INDEX(Tabla_ModElan,,1),0)+Tablas!$A3,1))</f>
        <v/>
      </c>
      <c r="J14" s="3571"/>
      <c r="K14" s="3571"/>
      <c r="L14" s="3571"/>
      <c r="M14" s="4747"/>
      <c r="N14" s="2705" t="str">
        <f t="shared" si="0"/>
        <v/>
      </c>
      <c r="O14" s="4738"/>
      <c r="P14" s="4739"/>
      <c r="Q14" s="4742"/>
      <c r="R14" s="173"/>
      <c r="S14" s="3104"/>
      <c r="T14" s="2159"/>
      <c r="U14" s="4748"/>
      <c r="V14" s="4749"/>
      <c r="W14" s="4749"/>
      <c r="X14" s="4750"/>
      <c r="Y14" s="2147" t="str">
        <f t="shared" si="3"/>
        <v/>
      </c>
      <c r="Z14" s="2974" t="s">
        <v>3189</v>
      </c>
      <c r="AA14" s="4746" t="str">
        <f>IF(U$11="","",INDEX(Tabla_ModElan,MATCH(U$11,INDEX(Tabla_ModElan,,1),0)+Tablas!$A3,1))</f>
        <v/>
      </c>
      <c r="AB14" s="3571"/>
      <c r="AC14" s="3571"/>
      <c r="AD14" s="3571"/>
      <c r="AE14" s="4747"/>
      <c r="AF14" s="2705" t="str">
        <f t="shared" si="1"/>
        <v/>
      </c>
      <c r="AG14" s="3472"/>
      <c r="AH14" s="4739"/>
      <c r="AI14" s="4742"/>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63"/>
      <c r="D15" s="4064"/>
      <c r="E15" s="4064"/>
      <c r="F15" s="4064"/>
      <c r="G15" s="2148" t="str">
        <f t="shared" si="2"/>
        <v/>
      </c>
      <c r="H15" s="2974" t="s">
        <v>3187</v>
      </c>
      <c r="I15" s="4746" t="str">
        <f>IF(C$11="","",INDEX(Tabla_ModElan,MATCH(C$11,INDEX(Tabla_ModElan,,1),0)+Tablas!$A4,1))</f>
        <v/>
      </c>
      <c r="J15" s="3571"/>
      <c r="K15" s="3571"/>
      <c r="L15" s="3571"/>
      <c r="M15" s="4747"/>
      <c r="N15" s="2705" t="str">
        <f t="shared" si="0"/>
        <v/>
      </c>
      <c r="O15" s="4734" t="str">
        <f>IF(C$11="","",INDEX(Tabla_ModElan,MATCH(C$11,INDEX(Tabla_ModElan,,1),0)+Tablas!$A2,5))</f>
        <v/>
      </c>
      <c r="P15" s="4735"/>
      <c r="Q15" s="4740" t="str">
        <f>IF(O15="","",INDEX(Tabla_ModElan,MATCH(O15,INDEX(Tabla_ModElan,,5),0),6))</f>
        <v/>
      </c>
      <c r="R15" s="173"/>
      <c r="S15" s="3104"/>
      <c r="T15" s="2159"/>
      <c r="U15" s="4063"/>
      <c r="V15" s="4064"/>
      <c r="W15" s="4064"/>
      <c r="X15" s="4064"/>
      <c r="Y15" s="2148" t="str">
        <f t="shared" si="3"/>
        <v/>
      </c>
      <c r="Z15" s="2974" t="s">
        <v>3187</v>
      </c>
      <c r="AA15" s="4746" t="str">
        <f>IF(U$11="","",INDEX(Tabla_ModElan,MATCH(U$11,INDEX(Tabla_ModElan,,1),0)+Tablas!$A4,1))</f>
        <v/>
      </c>
      <c r="AB15" s="3571"/>
      <c r="AC15" s="3571"/>
      <c r="AD15" s="3571"/>
      <c r="AE15" s="4747"/>
      <c r="AF15" s="2705" t="str">
        <f t="shared" si="1"/>
        <v/>
      </c>
      <c r="AG15" s="4734" t="str">
        <f>IF(U$11="","",INDEX(Tabla_ModElan,MATCH(U$11,INDEX(Tabla_ModElan,,1),0)+Tablas!$A2,5))</f>
        <v/>
      </c>
      <c r="AH15" s="4735"/>
      <c r="AI15" s="4740"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51"/>
      <c r="D16" s="4752"/>
      <c r="E16" s="4752"/>
      <c r="F16" s="4752"/>
      <c r="G16" s="2147" t="str">
        <f t="shared" si="2"/>
        <v/>
      </c>
      <c r="H16" s="68"/>
      <c r="I16" s="4746" t="str">
        <f>IF(C$11="","",INDEX(Tabla_ModElan,MATCH(C$11,INDEX(Tabla_ModElan,,1),0)+Tablas!$A5,1))</f>
        <v/>
      </c>
      <c r="J16" s="3571"/>
      <c r="K16" s="3571"/>
      <c r="L16" s="3571"/>
      <c r="M16" s="4747"/>
      <c r="N16" s="2705" t="str">
        <f t="shared" si="0"/>
        <v/>
      </c>
      <c r="O16" s="4736"/>
      <c r="P16" s="4737"/>
      <c r="Q16" s="4741"/>
      <c r="R16" s="173"/>
      <c r="S16" s="3104"/>
      <c r="T16" s="2159"/>
      <c r="U16" s="4751"/>
      <c r="V16" s="4752"/>
      <c r="W16" s="4752"/>
      <c r="X16" s="4752"/>
      <c r="Y16" s="2147" t="str">
        <f t="shared" si="3"/>
        <v/>
      </c>
      <c r="Z16" s="68"/>
      <c r="AA16" s="4746" t="str">
        <f>IF(U$11="","",INDEX(Tabla_ModElan,MATCH(U$11,INDEX(Tabla_ModElan,,1),0)+Tablas!$A5,1))</f>
        <v/>
      </c>
      <c r="AB16" s="3571"/>
      <c r="AC16" s="3571"/>
      <c r="AD16" s="3571"/>
      <c r="AE16" s="4747"/>
      <c r="AF16" s="2705" t="str">
        <f t="shared" si="1"/>
        <v/>
      </c>
      <c r="AG16" s="4736"/>
      <c r="AH16" s="4737"/>
      <c r="AI16" s="4741"/>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63"/>
      <c r="D17" s="4064"/>
      <c r="E17" s="4064"/>
      <c r="F17" s="4064"/>
      <c r="G17" s="2148" t="str">
        <f t="shared" si="2"/>
        <v/>
      </c>
      <c r="H17" s="68"/>
      <c r="I17" s="4746" t="str">
        <f>IF(C$11="","",INDEX(Tabla_ModElan,MATCH(C$11,INDEX(Tabla_ModElan,,1),0)+Tablas!$A6,1))</f>
        <v/>
      </c>
      <c r="J17" s="3571"/>
      <c r="K17" s="3571"/>
      <c r="L17" s="3571"/>
      <c r="M17" s="4747"/>
      <c r="N17" s="2705" t="str">
        <f t="shared" si="0"/>
        <v/>
      </c>
      <c r="O17" s="4738"/>
      <c r="P17" s="4739"/>
      <c r="Q17" s="4742"/>
      <c r="R17" s="173"/>
      <c r="S17" s="3104"/>
      <c r="T17" s="2159"/>
      <c r="U17" s="4063"/>
      <c r="V17" s="4064"/>
      <c r="W17" s="4064"/>
      <c r="X17" s="4064"/>
      <c r="Y17" s="2148" t="str">
        <f t="shared" si="3"/>
        <v/>
      </c>
      <c r="Z17" s="68"/>
      <c r="AA17" s="4746" t="str">
        <f>IF(U$11="","",INDEX(Tabla_ModElan,MATCH(U$11,INDEX(Tabla_ModElan,,1),0)+Tablas!$A6,1))</f>
        <v/>
      </c>
      <c r="AB17" s="3571"/>
      <c r="AC17" s="3571"/>
      <c r="AD17" s="3571"/>
      <c r="AE17" s="4747"/>
      <c r="AF17" s="2705" t="str">
        <f t="shared" si="1"/>
        <v/>
      </c>
      <c r="AG17" s="4738"/>
      <c r="AH17" s="4739"/>
      <c r="AI17" s="4742"/>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51"/>
      <c r="D18" s="4752"/>
      <c r="E18" s="4752"/>
      <c r="F18" s="4752"/>
      <c r="G18" s="2147" t="str">
        <f t="shared" si="2"/>
        <v/>
      </c>
      <c r="H18" s="68"/>
      <c r="I18" s="4753" t="str">
        <f>IF(C$11="","",INDEX(Tabla_ModElan,MATCH(C$11,INDEX(Tabla_ModElan,,1),0)+Tablas!$A7,1))</f>
        <v/>
      </c>
      <c r="J18" s="4754"/>
      <c r="K18" s="4754"/>
      <c r="L18" s="4754"/>
      <c r="M18" s="4755"/>
      <c r="N18" s="2705" t="str">
        <f t="shared" si="0"/>
        <v/>
      </c>
      <c r="O18" s="4734" t="str">
        <f>IF(C$11="","",INDEX(Tabla_ModElan,MATCH(C$11,INDEX(Tabla_ModElan,,1),0)+Tablas!$A3,5))</f>
        <v/>
      </c>
      <c r="P18" s="4735"/>
      <c r="Q18" s="4740" t="str">
        <f>IF(O18="","",INDEX(Tabla_ModElan,MATCH(O18,INDEX(Tabla_ModElan,,5),0),6))</f>
        <v/>
      </c>
      <c r="R18" s="173"/>
      <c r="S18" s="3104"/>
      <c r="T18" s="2159"/>
      <c r="U18" s="4751"/>
      <c r="V18" s="4752"/>
      <c r="W18" s="4752"/>
      <c r="X18" s="4752"/>
      <c r="Y18" s="2147" t="str">
        <f t="shared" si="3"/>
        <v/>
      </c>
      <c r="Z18" s="68"/>
      <c r="AA18" s="4753" t="str">
        <f>IF(U$11="","",INDEX(Tabla_ModElan,MATCH(U$11,INDEX(Tabla_ModElan,,1),0)+Tablas!$A7,1))</f>
        <v/>
      </c>
      <c r="AB18" s="4754"/>
      <c r="AC18" s="4754"/>
      <c r="AD18" s="4754"/>
      <c r="AE18" s="4755"/>
      <c r="AF18" s="2705" t="str">
        <f t="shared" si="1"/>
        <v/>
      </c>
      <c r="AG18" s="4734" t="str">
        <f>IF(U$11="","",INDEX(Tabla_ModElan,MATCH(U$11,INDEX(Tabla_ModElan,,1),0)+Tablas!$A3,5))</f>
        <v/>
      </c>
      <c r="AH18" s="4735"/>
      <c r="AI18" s="4740"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63"/>
      <c r="D19" s="4064"/>
      <c r="E19" s="4064"/>
      <c r="F19" s="4064"/>
      <c r="G19" s="2148" t="str">
        <f t="shared" si="2"/>
        <v/>
      </c>
      <c r="H19" s="68"/>
      <c r="I19" s="4721" t="s">
        <v>8566</v>
      </c>
      <c r="J19" s="4729"/>
      <c r="K19" s="4729"/>
      <c r="L19" s="4729"/>
      <c r="M19" s="4729"/>
      <c r="N19" s="4730"/>
      <c r="O19" s="4736"/>
      <c r="P19" s="4737"/>
      <c r="Q19" s="4741"/>
      <c r="R19" s="173"/>
      <c r="S19" s="3104"/>
      <c r="T19" s="2159"/>
      <c r="U19" s="4063"/>
      <c r="V19" s="4064"/>
      <c r="W19" s="4064"/>
      <c r="X19" s="4064"/>
      <c r="Y19" s="2148" t="str">
        <f t="shared" si="3"/>
        <v/>
      </c>
      <c r="Z19" s="68"/>
      <c r="AA19" s="4721" t="s">
        <v>8566</v>
      </c>
      <c r="AB19" s="4729"/>
      <c r="AC19" s="4729"/>
      <c r="AD19" s="4729"/>
      <c r="AE19" s="4729"/>
      <c r="AF19" s="4730"/>
      <c r="AG19" s="4736"/>
      <c r="AH19" s="4737"/>
      <c r="AI19" s="4741"/>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51"/>
      <c r="D20" s="4752"/>
      <c r="E20" s="4752"/>
      <c r="F20" s="4752"/>
      <c r="G20" s="2149" t="str">
        <f t="shared" si="2"/>
        <v/>
      </c>
      <c r="H20" s="68"/>
      <c r="I20" s="4731" t="str">
        <f>IF(C$11="","",INDEX(Tabla_ModElan,MATCH(C$11,INDEX(Tabla_ModElan,,1),0)+Tablas!$A1,3))</f>
        <v/>
      </c>
      <c r="J20" s="4732"/>
      <c r="K20" s="4732"/>
      <c r="L20" s="4732"/>
      <c r="M20" s="4733"/>
      <c r="N20" s="2704" t="str">
        <f t="shared" ref="N20:N26" si="4">IF(I20="","",INDEX(Tabla_ModElan,MATCH(I20,INDEX(Tabla_ModElan,,3),0),4))</f>
        <v/>
      </c>
      <c r="O20" s="4738"/>
      <c r="P20" s="4739"/>
      <c r="Q20" s="4742"/>
      <c r="R20" s="173"/>
      <c r="S20" s="3104"/>
      <c r="T20" s="2159"/>
      <c r="U20" s="4751"/>
      <c r="V20" s="4752"/>
      <c r="W20" s="4752"/>
      <c r="X20" s="4752"/>
      <c r="Y20" s="2149" t="str">
        <f t="shared" si="3"/>
        <v/>
      </c>
      <c r="Z20" s="68"/>
      <c r="AA20" s="4731" t="str">
        <f>IF(U$11="","",INDEX(Tabla_ModElan,MATCH(U$11,INDEX(Tabla_ModElan,,1),0)+Tablas!$A1,3))</f>
        <v/>
      </c>
      <c r="AB20" s="4732"/>
      <c r="AC20" s="4732"/>
      <c r="AD20" s="4732"/>
      <c r="AE20" s="4733"/>
      <c r="AF20" s="2704" t="str">
        <f t="shared" ref="AF20:AF26" si="5">IF(AA20="","",INDEX(Tabla_ModElan,MATCH(AA20,INDEX(Tabla_ModElan,,3),0),4))</f>
        <v/>
      </c>
      <c r="AG20" s="4738"/>
      <c r="AH20" s="4739"/>
      <c r="AI20" s="4742"/>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63"/>
      <c r="D21" s="4064"/>
      <c r="E21" s="4064"/>
      <c r="F21" s="4064"/>
      <c r="G21" s="2148" t="str">
        <f t="shared" si="2"/>
        <v/>
      </c>
      <c r="H21" s="68"/>
      <c r="I21" s="4746" t="str">
        <f>IF(C$11="","",INDEX(Tabla_ModElan,MATCH(C$11,INDEX(Tabla_ModElan,,1),0)+Tablas!$A2,3))</f>
        <v/>
      </c>
      <c r="J21" s="3571"/>
      <c r="K21" s="3571"/>
      <c r="L21" s="3571"/>
      <c r="M21" s="3571"/>
      <c r="N21" s="2705" t="str">
        <f t="shared" si="4"/>
        <v/>
      </c>
      <c r="O21" s="4734" t="str">
        <f>IF(C$11="","",INDEX(Tabla_ModElan,MATCH(C$11,INDEX(Tabla_ModElan,,1),0)+Tablas!$A4,5))</f>
        <v/>
      </c>
      <c r="P21" s="4735"/>
      <c r="Q21" s="4740" t="str">
        <f>IF(O21="","",INDEX(Tabla_ModElan,MATCH(O21,INDEX(Tabla_ModElan,,5),0),6))</f>
        <v/>
      </c>
      <c r="R21" s="173"/>
      <c r="S21" s="3104"/>
      <c r="T21" s="2159"/>
      <c r="U21" s="4063"/>
      <c r="V21" s="4064"/>
      <c r="W21" s="4064"/>
      <c r="X21" s="4064"/>
      <c r="Y21" s="2148" t="str">
        <f t="shared" si="3"/>
        <v/>
      </c>
      <c r="Z21" s="68"/>
      <c r="AA21" s="4746" t="str">
        <f>IF(U$11="","",INDEX(Tabla_ModElan,MATCH(U$11,INDEX(Tabla_ModElan,,1),0)+Tablas!$A2,3))</f>
        <v/>
      </c>
      <c r="AB21" s="3571"/>
      <c r="AC21" s="3571"/>
      <c r="AD21" s="3571"/>
      <c r="AE21" s="3571"/>
      <c r="AF21" s="2705" t="str">
        <f t="shared" si="5"/>
        <v/>
      </c>
      <c r="AG21" s="4734" t="str">
        <f>IF(U$11="","",INDEX(Tabla_ModElan,MATCH(U$11,INDEX(Tabla_ModElan,,1),0)+Tablas!$A4,5))</f>
        <v/>
      </c>
      <c r="AH21" s="4735"/>
      <c r="AI21" s="4740"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51"/>
      <c r="D22" s="4752"/>
      <c r="E22" s="4752"/>
      <c r="F22" s="4752"/>
      <c r="G22" s="2149" t="str">
        <f t="shared" si="2"/>
        <v/>
      </c>
      <c r="H22" s="68"/>
      <c r="I22" s="4746" t="str">
        <f>IF(C$11="","",INDEX(Tabla_ModElan,MATCH(C$11,INDEX(Tabla_ModElan,,1),0)+Tablas!$A3,3))</f>
        <v/>
      </c>
      <c r="J22" s="3571"/>
      <c r="K22" s="3571"/>
      <c r="L22" s="3571"/>
      <c r="M22" s="3571"/>
      <c r="N22" s="2705" t="str">
        <f t="shared" si="4"/>
        <v/>
      </c>
      <c r="O22" s="4736"/>
      <c r="P22" s="4737"/>
      <c r="Q22" s="4741"/>
      <c r="R22" s="173"/>
      <c r="S22" s="3104"/>
      <c r="T22" s="2159"/>
      <c r="U22" s="4751"/>
      <c r="V22" s="4752"/>
      <c r="W22" s="4752"/>
      <c r="X22" s="4752"/>
      <c r="Y22" s="2149" t="str">
        <f t="shared" si="3"/>
        <v/>
      </c>
      <c r="Z22" s="68"/>
      <c r="AA22" s="4746" t="str">
        <f>IF(U$11="","",INDEX(Tabla_ModElan,MATCH(U$11,INDEX(Tabla_ModElan,,1),0)+Tablas!$A3,3))</f>
        <v/>
      </c>
      <c r="AB22" s="3571"/>
      <c r="AC22" s="3571"/>
      <c r="AD22" s="3571"/>
      <c r="AE22" s="3571"/>
      <c r="AF22" s="2705" t="str">
        <f t="shared" si="5"/>
        <v/>
      </c>
      <c r="AG22" s="4736"/>
      <c r="AH22" s="4737"/>
      <c r="AI22" s="4741"/>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63"/>
      <c r="D23" s="4064"/>
      <c r="E23" s="4064"/>
      <c r="F23" s="4064"/>
      <c r="G23" s="2148" t="str">
        <f t="shared" si="2"/>
        <v/>
      </c>
      <c r="H23" s="68"/>
      <c r="I23" s="4746" t="str">
        <f>IF(C$11="","",INDEX(Tabla_ModElan,MATCH(C$11,INDEX(Tabla_ModElan,,1),0)+Tablas!$A4,3))</f>
        <v/>
      </c>
      <c r="J23" s="3571"/>
      <c r="K23" s="3571"/>
      <c r="L23" s="3571"/>
      <c r="M23" s="3571"/>
      <c r="N23" s="2705" t="str">
        <f t="shared" si="4"/>
        <v/>
      </c>
      <c r="O23" s="4738"/>
      <c r="P23" s="4739"/>
      <c r="Q23" s="4742"/>
      <c r="R23" s="173"/>
      <c r="S23" s="3104"/>
      <c r="T23" s="2159"/>
      <c r="U23" s="4063"/>
      <c r="V23" s="4064"/>
      <c r="W23" s="4064"/>
      <c r="X23" s="4064"/>
      <c r="Y23" s="2148" t="str">
        <f t="shared" si="3"/>
        <v/>
      </c>
      <c r="Z23" s="68"/>
      <c r="AA23" s="4746" t="str">
        <f>IF(U$11="","",INDEX(Tabla_ModElan,MATCH(U$11,INDEX(Tabla_ModElan,,1),0)+Tablas!$A4,3))</f>
        <v/>
      </c>
      <c r="AB23" s="3571"/>
      <c r="AC23" s="3571"/>
      <c r="AD23" s="3571"/>
      <c r="AE23" s="3571"/>
      <c r="AF23" s="2705" t="str">
        <f t="shared" si="5"/>
        <v/>
      </c>
      <c r="AG23" s="4738"/>
      <c r="AH23" s="4739"/>
      <c r="AI23" s="4742"/>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51"/>
      <c r="D24" s="4752"/>
      <c r="E24" s="4752"/>
      <c r="F24" s="4752"/>
      <c r="G24" s="2149" t="str">
        <f t="shared" si="2"/>
        <v/>
      </c>
      <c r="H24" s="68"/>
      <c r="I24" s="4746" t="str">
        <f>IF(C$11="","",INDEX(Tabla_ModElan,MATCH(C$11,INDEX(Tabla_ModElan,,1),0)+Tablas!$A5,3))</f>
        <v/>
      </c>
      <c r="J24" s="3571"/>
      <c r="K24" s="3571"/>
      <c r="L24" s="3571"/>
      <c r="M24" s="3571"/>
      <c r="N24" s="2705" t="str">
        <f t="shared" si="4"/>
        <v/>
      </c>
      <c r="O24" s="4734" t="str">
        <f>IF(C$11="","",INDEX(Tabla_ModElan,MATCH(C$11,INDEX(Tabla_ModElan,,1),0)+Tablas!$A5,5))</f>
        <v/>
      </c>
      <c r="P24" s="4735"/>
      <c r="Q24" s="4740" t="str">
        <f>IF(O24="","",INDEX(Tabla_ModElan,MATCH(O24,INDEX(Tabla_ModElan,,5),0),6))</f>
        <v/>
      </c>
      <c r="R24" s="173"/>
      <c r="S24" s="3104"/>
      <c r="T24" s="2159"/>
      <c r="U24" s="4751"/>
      <c r="V24" s="4752"/>
      <c r="W24" s="4752"/>
      <c r="X24" s="4752"/>
      <c r="Y24" s="2149" t="str">
        <f t="shared" si="3"/>
        <v/>
      </c>
      <c r="Z24" s="68"/>
      <c r="AA24" s="4746" t="str">
        <f>IF(U$11="","",INDEX(Tabla_ModElan,MATCH(U$11,INDEX(Tabla_ModElan,,1),0)+Tablas!$A5,3))</f>
        <v/>
      </c>
      <c r="AB24" s="3571"/>
      <c r="AC24" s="3571"/>
      <c r="AD24" s="3571"/>
      <c r="AE24" s="3571"/>
      <c r="AF24" s="2705" t="str">
        <f t="shared" si="5"/>
        <v/>
      </c>
      <c r="AG24" s="4734" t="str">
        <f>IF(U$11="","",INDEX(Tabla_ModElan,MATCH(U$11,INDEX(Tabla_ModElan,,1),0)+Tablas!$A5,5))</f>
        <v/>
      </c>
      <c r="AH24" s="4735"/>
      <c r="AI24" s="4740"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63"/>
      <c r="D25" s="4064"/>
      <c r="E25" s="4064"/>
      <c r="F25" s="4064"/>
      <c r="G25" s="2148" t="str">
        <f t="shared" si="2"/>
        <v/>
      </c>
      <c r="H25" s="68"/>
      <c r="I25" s="4746" t="str">
        <f>IF(C$11="","",INDEX(Tabla_ModElan,MATCH(C$11,INDEX(Tabla_ModElan,,1),0)+Tablas!$A6,3))</f>
        <v/>
      </c>
      <c r="J25" s="3571"/>
      <c r="K25" s="3571"/>
      <c r="L25" s="3571"/>
      <c r="M25" s="3571"/>
      <c r="N25" s="2705" t="str">
        <f t="shared" si="4"/>
        <v/>
      </c>
      <c r="O25" s="4736"/>
      <c r="P25" s="4737"/>
      <c r="Q25" s="4741"/>
      <c r="R25" s="173"/>
      <c r="S25" s="3104"/>
      <c r="T25" s="2159"/>
      <c r="U25" s="4063"/>
      <c r="V25" s="4064"/>
      <c r="W25" s="4064"/>
      <c r="X25" s="4064"/>
      <c r="Y25" s="2148" t="str">
        <f t="shared" si="3"/>
        <v/>
      </c>
      <c r="Z25" s="68"/>
      <c r="AA25" s="4746" t="str">
        <f>IF(U$11="","",INDEX(Tabla_ModElan,MATCH(U$11,INDEX(Tabla_ModElan,,1),0)+Tablas!$A6,3))</f>
        <v/>
      </c>
      <c r="AB25" s="3571"/>
      <c r="AC25" s="3571"/>
      <c r="AD25" s="3571"/>
      <c r="AE25" s="3571"/>
      <c r="AF25" s="2705" t="str">
        <f t="shared" si="5"/>
        <v/>
      </c>
      <c r="AG25" s="4736"/>
      <c r="AH25" s="4737"/>
      <c r="AI25" s="4741"/>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56" t="str">
        <f>IF(SUM(G13:G25)&gt;G11,"Exceso de Elán utilizado","")</f>
        <v/>
      </c>
      <c r="D26" s="4757"/>
      <c r="E26" s="4757"/>
      <c r="F26" s="4757"/>
      <c r="G26" s="4758"/>
      <c r="H26" s="68"/>
      <c r="I26" s="4759" t="str">
        <f>IF(C$11="","",INDEX(Tabla_ModElan,MATCH(C$11,INDEX(Tabla_ModElan,,1),0)+Tablas!$A7,3))</f>
        <v/>
      </c>
      <c r="J26" s="4760"/>
      <c r="K26" s="4760"/>
      <c r="L26" s="4760"/>
      <c r="M26" s="4760"/>
      <c r="N26" s="2706" t="str">
        <f t="shared" si="4"/>
        <v/>
      </c>
      <c r="O26" s="4762"/>
      <c r="P26" s="4763"/>
      <c r="Q26" s="4764"/>
      <c r="R26" s="173"/>
      <c r="S26" s="3104"/>
      <c r="T26" s="2159"/>
      <c r="U26" s="4756" t="str">
        <f>IF(SUM(Y13:Y25)&gt;Y11,"Exceso de Elán utilizado","")</f>
        <v/>
      </c>
      <c r="V26" s="4757"/>
      <c r="W26" s="4757"/>
      <c r="X26" s="4757"/>
      <c r="Y26" s="4758"/>
      <c r="Z26" s="68"/>
      <c r="AA26" s="4759" t="str">
        <f>IF(U$11="","",INDEX(Tabla_ModElan,MATCH(U$11,INDEX(Tabla_ModElan,,1),0)+Tablas!$A7,3))</f>
        <v/>
      </c>
      <c r="AB26" s="4760"/>
      <c r="AC26" s="4760"/>
      <c r="AD26" s="4760"/>
      <c r="AE26" s="4760"/>
      <c r="AF26" s="2706" t="str">
        <f t="shared" si="5"/>
        <v/>
      </c>
      <c r="AG26" s="4762"/>
      <c r="AH26" s="4763"/>
      <c r="AI26" s="4764"/>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5"/>
      <c r="AK27" s="190"/>
      <c r="AQ27" s="2479"/>
      <c r="AR27" s="43"/>
      <c r="AS27" s="43"/>
      <c r="AT27" s="43"/>
    </row>
    <row r="28" spans="1:56" ht="12" customHeight="1" x14ac:dyDescent="0.2">
      <c r="A28" s="190"/>
      <c r="B28" s="1799"/>
      <c r="C28" s="3359" t="s">
        <v>8894</v>
      </c>
      <c r="D28" s="3360"/>
      <c r="E28" s="3360"/>
      <c r="F28" s="3360"/>
      <c r="G28" s="4765" t="s">
        <v>1866</v>
      </c>
      <c r="H28" s="4766"/>
      <c r="I28" s="4766"/>
      <c r="J28" s="4766"/>
      <c r="K28" s="4766"/>
      <c r="L28" s="4766"/>
      <c r="M28" s="4766"/>
      <c r="N28" s="4766"/>
      <c r="O28" s="4766"/>
      <c r="P28" s="4766"/>
      <c r="Q28" s="4766"/>
      <c r="R28" s="4766"/>
      <c r="S28" s="4766"/>
      <c r="T28" s="4766"/>
      <c r="U28" s="4766"/>
      <c r="V28" s="4766"/>
      <c r="W28" s="4766"/>
      <c r="X28" s="4766"/>
      <c r="Y28" s="4766"/>
      <c r="Z28" s="4766"/>
      <c r="AA28" s="4766"/>
      <c r="AB28" s="4766"/>
      <c r="AC28" s="4766"/>
      <c r="AD28" s="4766"/>
      <c r="AE28" s="4766"/>
      <c r="AF28" s="4766"/>
      <c r="AG28" s="4766"/>
      <c r="AH28" s="4766"/>
      <c r="AI28" s="4767"/>
      <c r="AJ28" s="310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61" t="str">
        <f t="shared" ref="G29:G49" si="6">IF(F29="","",VLOOKUP(F29,Tabla_Elan,8,FALSE))</f>
        <v/>
      </c>
      <c r="H29" s="3369"/>
      <c r="I29" s="3369"/>
      <c r="J29" s="3369"/>
      <c r="K29" s="3369"/>
      <c r="L29" s="3369"/>
      <c r="M29" s="3369"/>
      <c r="N29" s="3369"/>
      <c r="O29" s="3369"/>
      <c r="P29" s="3369"/>
      <c r="Q29" s="3369"/>
      <c r="R29" s="3369"/>
      <c r="S29" s="3369"/>
      <c r="T29" s="3369"/>
      <c r="U29" s="3369"/>
      <c r="V29" s="3369"/>
      <c r="W29" s="3369"/>
      <c r="X29" s="3369"/>
      <c r="Y29" s="3369"/>
      <c r="Z29" s="3369"/>
      <c r="AA29" s="3369"/>
      <c r="AB29" s="3369"/>
      <c r="AC29" s="3369"/>
      <c r="AD29" s="3369"/>
      <c r="AE29" s="3369"/>
      <c r="AF29" s="3369"/>
      <c r="AG29" s="3369"/>
      <c r="AH29" s="3369"/>
      <c r="AI29" s="4069"/>
      <c r="AJ29" s="310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61" t="str">
        <f t="shared" si="6"/>
        <v/>
      </c>
      <c r="H30" s="3369"/>
      <c r="I30" s="3369"/>
      <c r="J30" s="3369"/>
      <c r="K30" s="3369"/>
      <c r="L30" s="3369"/>
      <c r="M30" s="3369"/>
      <c r="N30" s="3369"/>
      <c r="O30" s="3369"/>
      <c r="P30" s="3369"/>
      <c r="Q30" s="3369"/>
      <c r="R30" s="3369"/>
      <c r="S30" s="3369"/>
      <c r="T30" s="3369"/>
      <c r="U30" s="3369"/>
      <c r="V30" s="3369"/>
      <c r="W30" s="3369"/>
      <c r="X30" s="3369"/>
      <c r="Y30" s="3369"/>
      <c r="Z30" s="3369"/>
      <c r="AA30" s="3369"/>
      <c r="AB30" s="3369"/>
      <c r="AC30" s="3369"/>
      <c r="AD30" s="3369"/>
      <c r="AE30" s="3369"/>
      <c r="AF30" s="3369"/>
      <c r="AG30" s="3369"/>
      <c r="AH30" s="3369"/>
      <c r="AI30" s="4069"/>
      <c r="AJ30" s="310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61" t="str">
        <f t="shared" si="6"/>
        <v/>
      </c>
      <c r="H31" s="3369"/>
      <c r="I31" s="3369"/>
      <c r="J31" s="3369"/>
      <c r="K31" s="3369"/>
      <c r="L31" s="3369"/>
      <c r="M31" s="3369"/>
      <c r="N31" s="3369"/>
      <c r="O31" s="3369"/>
      <c r="P31" s="3369"/>
      <c r="Q31" s="3369"/>
      <c r="R31" s="3369"/>
      <c r="S31" s="3369"/>
      <c r="T31" s="3369"/>
      <c r="U31" s="3369"/>
      <c r="V31" s="3369"/>
      <c r="W31" s="3369"/>
      <c r="X31" s="3369"/>
      <c r="Y31" s="3369"/>
      <c r="Z31" s="3369"/>
      <c r="AA31" s="3369"/>
      <c r="AB31" s="3369"/>
      <c r="AC31" s="3369"/>
      <c r="AD31" s="3369"/>
      <c r="AE31" s="3369"/>
      <c r="AF31" s="3369"/>
      <c r="AG31" s="3369"/>
      <c r="AH31" s="3369"/>
      <c r="AI31" s="4069"/>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61" t="str">
        <f t="shared" si="6"/>
        <v/>
      </c>
      <c r="H32" s="3369"/>
      <c r="I32" s="3369"/>
      <c r="J32" s="3369"/>
      <c r="K32" s="3369"/>
      <c r="L32" s="3369"/>
      <c r="M32" s="3369"/>
      <c r="N32" s="3369"/>
      <c r="O32" s="3369"/>
      <c r="P32" s="3369"/>
      <c r="Q32" s="3369"/>
      <c r="R32" s="3369"/>
      <c r="S32" s="3369"/>
      <c r="T32" s="3369"/>
      <c r="U32" s="3369"/>
      <c r="V32" s="3369"/>
      <c r="W32" s="3369"/>
      <c r="X32" s="3369"/>
      <c r="Y32" s="3369"/>
      <c r="Z32" s="3369"/>
      <c r="AA32" s="3369"/>
      <c r="AB32" s="3369"/>
      <c r="AC32" s="3369"/>
      <c r="AD32" s="3369"/>
      <c r="AE32" s="3369"/>
      <c r="AF32" s="3369"/>
      <c r="AG32" s="3369"/>
      <c r="AH32" s="3369"/>
      <c r="AI32" s="4069"/>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61" t="str">
        <f t="shared" si="6"/>
        <v/>
      </c>
      <c r="H33" s="3369"/>
      <c r="I33" s="3369"/>
      <c r="J33" s="3369"/>
      <c r="K33" s="3369"/>
      <c r="L33" s="3369"/>
      <c r="M33" s="3369"/>
      <c r="N33" s="3369"/>
      <c r="O33" s="3369"/>
      <c r="P33" s="3369"/>
      <c r="Q33" s="3369"/>
      <c r="R33" s="3369"/>
      <c r="S33" s="3369"/>
      <c r="T33" s="3369"/>
      <c r="U33" s="3369"/>
      <c r="V33" s="3369"/>
      <c r="W33" s="3369"/>
      <c r="X33" s="3369"/>
      <c r="Y33" s="3369"/>
      <c r="Z33" s="3369"/>
      <c r="AA33" s="3369"/>
      <c r="AB33" s="3369"/>
      <c r="AC33" s="3369"/>
      <c r="AD33" s="3369"/>
      <c r="AE33" s="3369"/>
      <c r="AF33" s="3369"/>
      <c r="AG33" s="3369"/>
      <c r="AH33" s="3369"/>
      <c r="AI33" s="4069"/>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61" t="str">
        <f t="shared" si="6"/>
        <v/>
      </c>
      <c r="H34" s="3369"/>
      <c r="I34" s="3369"/>
      <c r="J34" s="3369"/>
      <c r="K34" s="3369"/>
      <c r="L34" s="3369"/>
      <c r="M34" s="3369"/>
      <c r="N34" s="3369"/>
      <c r="O34" s="3369"/>
      <c r="P34" s="3369"/>
      <c r="Q34" s="3369"/>
      <c r="R34" s="3369"/>
      <c r="S34" s="3369"/>
      <c r="T34" s="3369"/>
      <c r="U34" s="3369"/>
      <c r="V34" s="3369"/>
      <c r="W34" s="3369"/>
      <c r="X34" s="3369"/>
      <c r="Y34" s="3369"/>
      <c r="Z34" s="3369"/>
      <c r="AA34" s="3369"/>
      <c r="AB34" s="3369"/>
      <c r="AC34" s="3369"/>
      <c r="AD34" s="3369"/>
      <c r="AE34" s="3369"/>
      <c r="AF34" s="3369"/>
      <c r="AG34" s="3369"/>
      <c r="AH34" s="3369"/>
      <c r="AI34" s="4069"/>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61" t="str">
        <f t="shared" si="6"/>
        <v/>
      </c>
      <c r="H35" s="3369"/>
      <c r="I35" s="3369"/>
      <c r="J35" s="3369"/>
      <c r="K35" s="3369"/>
      <c r="L35" s="3369"/>
      <c r="M35" s="3369"/>
      <c r="N35" s="3369"/>
      <c r="O35" s="3369"/>
      <c r="P35" s="3369"/>
      <c r="Q35" s="3369"/>
      <c r="R35" s="3369"/>
      <c r="S35" s="3369"/>
      <c r="T35" s="3369"/>
      <c r="U35" s="3369"/>
      <c r="V35" s="3369"/>
      <c r="W35" s="3369"/>
      <c r="X35" s="3369"/>
      <c r="Y35" s="3369"/>
      <c r="Z35" s="3369"/>
      <c r="AA35" s="3369"/>
      <c r="AB35" s="3369"/>
      <c r="AC35" s="3369"/>
      <c r="AD35" s="3369"/>
      <c r="AE35" s="3369"/>
      <c r="AF35" s="3369"/>
      <c r="AG35" s="3369"/>
      <c r="AH35" s="3369"/>
      <c r="AI35" s="4069"/>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61" t="str">
        <f t="shared" si="6"/>
        <v/>
      </c>
      <c r="H36" s="3369"/>
      <c r="I36" s="3369"/>
      <c r="J36" s="3369"/>
      <c r="K36" s="3369"/>
      <c r="L36" s="3369"/>
      <c r="M36" s="3369"/>
      <c r="N36" s="3369"/>
      <c r="O36" s="3369"/>
      <c r="P36" s="3369"/>
      <c r="Q36" s="3369"/>
      <c r="R36" s="3369"/>
      <c r="S36" s="3369"/>
      <c r="T36" s="3369"/>
      <c r="U36" s="3369"/>
      <c r="V36" s="3369"/>
      <c r="W36" s="3369"/>
      <c r="X36" s="3369"/>
      <c r="Y36" s="3369"/>
      <c r="Z36" s="3369"/>
      <c r="AA36" s="3369"/>
      <c r="AB36" s="3369"/>
      <c r="AC36" s="3369"/>
      <c r="AD36" s="3369"/>
      <c r="AE36" s="3369"/>
      <c r="AF36" s="3369"/>
      <c r="AG36" s="3369"/>
      <c r="AH36" s="3369"/>
      <c r="AI36" s="4069"/>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61" t="str">
        <f t="shared" si="6"/>
        <v/>
      </c>
      <c r="H37" s="3369"/>
      <c r="I37" s="3369"/>
      <c r="J37" s="3369"/>
      <c r="K37" s="3369"/>
      <c r="L37" s="3369"/>
      <c r="M37" s="3369"/>
      <c r="N37" s="3369"/>
      <c r="O37" s="3369"/>
      <c r="P37" s="3369"/>
      <c r="Q37" s="3369"/>
      <c r="R37" s="3369"/>
      <c r="S37" s="3369"/>
      <c r="T37" s="3369"/>
      <c r="U37" s="3369"/>
      <c r="V37" s="3369"/>
      <c r="W37" s="3369"/>
      <c r="X37" s="3369"/>
      <c r="Y37" s="3369"/>
      <c r="Z37" s="3369"/>
      <c r="AA37" s="3369"/>
      <c r="AB37" s="3369"/>
      <c r="AC37" s="3369"/>
      <c r="AD37" s="3369"/>
      <c r="AE37" s="3369"/>
      <c r="AF37" s="3369"/>
      <c r="AG37" s="3369"/>
      <c r="AH37" s="3369"/>
      <c r="AI37" s="4069"/>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61" t="str">
        <f t="shared" si="6"/>
        <v/>
      </c>
      <c r="H38" s="3369"/>
      <c r="I38" s="3369"/>
      <c r="J38" s="3369"/>
      <c r="K38" s="3369"/>
      <c r="L38" s="3369"/>
      <c r="M38" s="3369"/>
      <c r="N38" s="3369"/>
      <c r="O38" s="3369"/>
      <c r="P38" s="3369"/>
      <c r="Q38" s="3369"/>
      <c r="R38" s="3369"/>
      <c r="S38" s="3369"/>
      <c r="T38" s="3369"/>
      <c r="U38" s="3369"/>
      <c r="V38" s="3369"/>
      <c r="W38" s="3369"/>
      <c r="X38" s="3369"/>
      <c r="Y38" s="3369"/>
      <c r="Z38" s="3369"/>
      <c r="AA38" s="3369"/>
      <c r="AB38" s="3369"/>
      <c r="AC38" s="3369"/>
      <c r="AD38" s="3369"/>
      <c r="AE38" s="3369"/>
      <c r="AF38" s="3369"/>
      <c r="AG38" s="3369"/>
      <c r="AH38" s="3369"/>
      <c r="AI38" s="4069"/>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61" t="str">
        <f t="shared" si="6"/>
        <v/>
      </c>
      <c r="H39" s="3369"/>
      <c r="I39" s="3369"/>
      <c r="J39" s="3369"/>
      <c r="K39" s="3369"/>
      <c r="L39" s="3369"/>
      <c r="M39" s="3369"/>
      <c r="N39" s="3369"/>
      <c r="O39" s="3369"/>
      <c r="P39" s="3369"/>
      <c r="Q39" s="3369"/>
      <c r="R39" s="3369"/>
      <c r="S39" s="3369"/>
      <c r="T39" s="3369"/>
      <c r="U39" s="3369"/>
      <c r="V39" s="3369"/>
      <c r="W39" s="3369"/>
      <c r="X39" s="3369"/>
      <c r="Y39" s="3369"/>
      <c r="Z39" s="3369"/>
      <c r="AA39" s="3369"/>
      <c r="AB39" s="3369"/>
      <c r="AC39" s="3369"/>
      <c r="AD39" s="3369"/>
      <c r="AE39" s="3369"/>
      <c r="AF39" s="3369"/>
      <c r="AG39" s="3369"/>
      <c r="AH39" s="3369"/>
      <c r="AI39" s="4069"/>
      <c r="AJ39" s="1807"/>
      <c r="AK39" s="190"/>
    </row>
    <row r="40" spans="1:56" ht="12" customHeight="1" x14ac:dyDescent="0.2">
      <c r="A40" s="190"/>
      <c r="B40" s="1799"/>
      <c r="C40" s="2032"/>
      <c r="D40" s="375"/>
      <c r="E40" s="375"/>
      <c r="F40" s="2031" t="str">
        <f>IF(ISNA(MATCH(Tablas!$A12,INDEX(Tabla_Elan,,14),0)),"",INDEX(INDEX(Tabla_Elan,,1),MATCH(Tablas!$A12,INDEX(Tabla_Elan,,14),0)))</f>
        <v/>
      </c>
      <c r="G40" s="4761" t="str">
        <f t="shared" si="6"/>
        <v/>
      </c>
      <c r="H40" s="3369"/>
      <c r="I40" s="3369"/>
      <c r="J40" s="3369"/>
      <c r="K40" s="3369"/>
      <c r="L40" s="3369"/>
      <c r="M40" s="3369"/>
      <c r="N40" s="3369"/>
      <c r="O40" s="3369"/>
      <c r="P40" s="3369"/>
      <c r="Q40" s="3369"/>
      <c r="R40" s="3369"/>
      <c r="S40" s="3369"/>
      <c r="T40" s="3369"/>
      <c r="U40" s="3369"/>
      <c r="V40" s="3369"/>
      <c r="W40" s="3369"/>
      <c r="X40" s="3369"/>
      <c r="Y40" s="3369"/>
      <c r="Z40" s="3369"/>
      <c r="AA40" s="3369"/>
      <c r="AB40" s="3369"/>
      <c r="AC40" s="3369"/>
      <c r="AD40" s="3369"/>
      <c r="AE40" s="3369"/>
      <c r="AF40" s="3369"/>
      <c r="AG40" s="3369"/>
      <c r="AH40" s="3369"/>
      <c r="AI40" s="4069"/>
      <c r="AJ40" s="1807"/>
      <c r="AK40" s="190"/>
    </row>
    <row r="41" spans="1:56" ht="12" customHeight="1" x14ac:dyDescent="0.2">
      <c r="A41" s="190"/>
      <c r="B41" s="1799"/>
      <c r="C41" s="2032"/>
      <c r="D41" s="375"/>
      <c r="E41" s="375"/>
      <c r="F41" s="2031" t="str">
        <f>IF(ISNA(MATCH(Tablas!$A13,INDEX(Tabla_Elan,,14),0)),"",INDEX(INDEX(Tabla_Elan,,1),MATCH(Tablas!$A13,INDEX(Tabla_Elan,,14),0)))</f>
        <v/>
      </c>
      <c r="G41" s="4761" t="str">
        <f t="shared" si="6"/>
        <v/>
      </c>
      <c r="H41" s="3369"/>
      <c r="I41" s="3369"/>
      <c r="J41" s="3369"/>
      <c r="K41" s="3369"/>
      <c r="L41" s="3369"/>
      <c r="M41" s="3369"/>
      <c r="N41" s="3369"/>
      <c r="O41" s="3369"/>
      <c r="P41" s="3369"/>
      <c r="Q41" s="3369"/>
      <c r="R41" s="3369"/>
      <c r="S41" s="3369"/>
      <c r="T41" s="3369"/>
      <c r="U41" s="3369"/>
      <c r="V41" s="3369"/>
      <c r="W41" s="3369"/>
      <c r="X41" s="3369"/>
      <c r="Y41" s="3369"/>
      <c r="Z41" s="3369"/>
      <c r="AA41" s="3369"/>
      <c r="AB41" s="3369"/>
      <c r="AC41" s="3369"/>
      <c r="AD41" s="3369"/>
      <c r="AE41" s="3369"/>
      <c r="AF41" s="3369"/>
      <c r="AG41" s="3369"/>
      <c r="AH41" s="3369"/>
      <c r="AI41" s="4069"/>
      <c r="AJ41" s="1807"/>
      <c r="AK41" s="190"/>
    </row>
    <row r="42" spans="1:56" ht="12" customHeight="1" x14ac:dyDescent="0.2">
      <c r="A42" s="190"/>
      <c r="B42" s="1799"/>
      <c r="C42" s="2032"/>
      <c r="D42" s="375"/>
      <c r="E42" s="375"/>
      <c r="F42" s="2031" t="str">
        <f>IF(ISNA(MATCH(Tablas!$A14,INDEX(Tabla_Elan,,14),0)),"",INDEX(INDEX(Tabla_Elan,,1),MATCH(Tablas!$A14,INDEX(Tabla_Elan,,14),0)))</f>
        <v/>
      </c>
      <c r="G42" s="4761" t="str">
        <f t="shared" si="6"/>
        <v/>
      </c>
      <c r="H42" s="3369"/>
      <c r="I42" s="3369"/>
      <c r="J42" s="3369"/>
      <c r="K42" s="3369"/>
      <c r="L42" s="3369"/>
      <c r="M42" s="3369"/>
      <c r="N42" s="3369"/>
      <c r="O42" s="3369"/>
      <c r="P42" s="3369"/>
      <c r="Q42" s="3369"/>
      <c r="R42" s="3369"/>
      <c r="S42" s="3369"/>
      <c r="T42" s="3369"/>
      <c r="U42" s="3369"/>
      <c r="V42" s="3369"/>
      <c r="W42" s="3369"/>
      <c r="X42" s="3369"/>
      <c r="Y42" s="3369"/>
      <c r="Z42" s="3369"/>
      <c r="AA42" s="3369"/>
      <c r="AB42" s="3369"/>
      <c r="AC42" s="3369"/>
      <c r="AD42" s="3369"/>
      <c r="AE42" s="3369"/>
      <c r="AF42" s="3369"/>
      <c r="AG42" s="3369"/>
      <c r="AH42" s="3369"/>
      <c r="AI42" s="4069"/>
      <c r="AJ42" s="1807"/>
      <c r="AK42" s="190"/>
    </row>
    <row r="43" spans="1:56" ht="12" customHeight="1" x14ac:dyDescent="0.2">
      <c r="A43" s="190"/>
      <c r="B43" s="1799"/>
      <c r="C43" s="2032"/>
      <c r="D43" s="375"/>
      <c r="E43" s="375"/>
      <c r="F43" s="2031" t="str">
        <f>IF(ISNA(MATCH(Tablas!$A15,INDEX(Tabla_Elan,,14),0)),"",INDEX(INDEX(Tabla_Elan,,1),MATCH(Tablas!$A15,INDEX(Tabla_Elan,,14),0)))</f>
        <v/>
      </c>
      <c r="G43" s="4761" t="str">
        <f t="shared" si="6"/>
        <v/>
      </c>
      <c r="H43" s="3369"/>
      <c r="I43" s="3369"/>
      <c r="J43" s="3369"/>
      <c r="K43" s="3369"/>
      <c r="L43" s="3369"/>
      <c r="M43" s="3369"/>
      <c r="N43" s="3369"/>
      <c r="O43" s="3369"/>
      <c r="P43" s="3369"/>
      <c r="Q43" s="3369"/>
      <c r="R43" s="3369"/>
      <c r="S43" s="3369"/>
      <c r="T43" s="3369"/>
      <c r="U43" s="3369"/>
      <c r="V43" s="3369"/>
      <c r="W43" s="3369"/>
      <c r="X43" s="3369"/>
      <c r="Y43" s="3369"/>
      <c r="Z43" s="3369"/>
      <c r="AA43" s="3369"/>
      <c r="AB43" s="3369"/>
      <c r="AC43" s="3369"/>
      <c r="AD43" s="3369"/>
      <c r="AE43" s="3369"/>
      <c r="AF43" s="3369"/>
      <c r="AG43" s="3369"/>
      <c r="AH43" s="3369"/>
      <c r="AI43" s="4069"/>
      <c r="AJ43" s="1807"/>
      <c r="AK43" s="190"/>
    </row>
    <row r="44" spans="1:56" ht="12" customHeight="1" x14ac:dyDescent="0.2">
      <c r="A44" s="190"/>
      <c r="B44" s="1799"/>
      <c r="C44" s="2032"/>
      <c r="D44" s="375"/>
      <c r="E44" s="375"/>
      <c r="F44" s="2031" t="str">
        <f>IF(ISNA(MATCH(Tablas!$A16,INDEX(Tabla_Elan,,14),0)),"",INDEX(INDEX(Tabla_Elan,,1),MATCH(Tablas!$A16,INDEX(Tabla_Elan,,14),0)))</f>
        <v/>
      </c>
      <c r="G44" s="4761" t="str">
        <f t="shared" si="6"/>
        <v/>
      </c>
      <c r="H44" s="3369"/>
      <c r="I44" s="3369"/>
      <c r="J44" s="3369"/>
      <c r="K44" s="3369"/>
      <c r="L44" s="3369"/>
      <c r="M44" s="3369"/>
      <c r="N44" s="3369"/>
      <c r="O44" s="3369"/>
      <c r="P44" s="3369"/>
      <c r="Q44" s="3369"/>
      <c r="R44" s="3369"/>
      <c r="S44" s="3369"/>
      <c r="T44" s="3369"/>
      <c r="U44" s="3369"/>
      <c r="V44" s="3369"/>
      <c r="W44" s="3369"/>
      <c r="X44" s="3369"/>
      <c r="Y44" s="3369"/>
      <c r="Z44" s="3369"/>
      <c r="AA44" s="3369"/>
      <c r="AB44" s="3369"/>
      <c r="AC44" s="3369"/>
      <c r="AD44" s="3369"/>
      <c r="AE44" s="3369"/>
      <c r="AF44" s="3369"/>
      <c r="AG44" s="3369"/>
      <c r="AH44" s="3369"/>
      <c r="AI44" s="4069"/>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3106"/>
      <c r="D50" s="3106"/>
      <c r="E50" s="3106"/>
      <c r="F50" s="3106"/>
      <c r="G50" s="3106"/>
      <c r="H50" s="3106"/>
      <c r="I50" s="3106"/>
      <c r="J50" s="3106"/>
      <c r="K50" s="3106"/>
      <c r="L50" s="3106"/>
      <c r="M50" s="3106"/>
      <c r="N50" s="3107"/>
      <c r="O50" s="3107"/>
      <c r="P50" s="3107"/>
      <c r="Q50" s="3107"/>
      <c r="R50" s="1801"/>
      <c r="S50" s="1801"/>
      <c r="T50" s="1801"/>
      <c r="U50" s="3106"/>
      <c r="V50" s="3106"/>
      <c r="W50" s="3106"/>
      <c r="X50" s="3106"/>
      <c r="Y50" s="3106"/>
      <c r="Z50" s="3106"/>
      <c r="AA50" s="3106"/>
      <c r="AB50" s="3106"/>
      <c r="AC50" s="3106"/>
      <c r="AD50" s="3106"/>
      <c r="AE50" s="3106"/>
      <c r="AF50" s="1801"/>
      <c r="AG50" s="1801"/>
      <c r="AH50" s="1801"/>
      <c r="AI50" s="1801"/>
      <c r="AJ50" s="1808"/>
      <c r="AK50" s="190"/>
      <c r="AL50" s="2500"/>
      <c r="AQ50" s="43"/>
      <c r="AR50" s="43"/>
      <c r="AS50" s="43"/>
    </row>
    <row r="51" spans="1:67" ht="12" customHeight="1" x14ac:dyDescent="0.2">
      <c r="A51" s="3101"/>
      <c r="B51" s="3101"/>
      <c r="C51" s="190"/>
      <c r="D51" s="190"/>
      <c r="E51" s="190"/>
      <c r="F51" s="190"/>
      <c r="G51" s="190"/>
      <c r="H51" s="3101"/>
      <c r="I51" s="3101"/>
      <c r="J51" s="3101"/>
      <c r="K51" s="3101"/>
      <c r="L51" s="3101"/>
      <c r="M51" s="3101"/>
      <c r="N51" s="3101"/>
      <c r="O51" s="3101"/>
      <c r="P51" s="3101"/>
      <c r="Q51" s="3101"/>
      <c r="R51" s="3101"/>
      <c r="S51" s="3101"/>
      <c r="T51" s="3101"/>
      <c r="U51" s="3101"/>
      <c r="V51" s="3101"/>
      <c r="W51" s="3101"/>
      <c r="X51" s="3101"/>
      <c r="Y51" s="3101"/>
      <c r="Z51" s="3101"/>
      <c r="AA51" s="3101"/>
      <c r="AB51" s="3101"/>
      <c r="AC51" s="3101"/>
      <c r="AD51" s="3101"/>
      <c r="AE51" s="3101"/>
      <c r="AF51" s="3101"/>
      <c r="AG51" s="3101"/>
      <c r="AH51" s="3101"/>
      <c r="AI51" s="3101"/>
      <c r="AJ51" s="3101"/>
      <c r="AK51" s="310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G22" sqref="G22"/>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875" t="s">
        <v>9219</v>
      </c>
      <c r="D3" s="4876"/>
      <c r="E3" s="4876"/>
      <c r="F3" s="4876"/>
      <c r="G3" s="4876"/>
      <c r="H3" s="4876"/>
      <c r="I3" s="4876"/>
      <c r="J3" s="4876"/>
      <c r="K3" s="4876"/>
      <c r="L3" s="4876"/>
      <c r="M3" s="4876"/>
      <c r="N3" s="4876"/>
      <c r="O3" s="4876"/>
      <c r="P3" s="4876"/>
      <c r="Q3" s="4877"/>
      <c r="R3" s="2725"/>
      <c r="S3" s="2662"/>
      <c r="T3" s="2380"/>
      <c r="U3" s="2382"/>
      <c r="V3" s="4875" t="s">
        <v>9223</v>
      </c>
      <c r="W3" s="4876"/>
      <c r="X3" s="4876"/>
      <c r="Y3" s="4876"/>
      <c r="Z3" s="4876"/>
      <c r="AA3" s="4876"/>
      <c r="AB3" s="4876"/>
      <c r="AC3" s="4876"/>
      <c r="AD3" s="4876"/>
      <c r="AE3" s="4876"/>
      <c r="AF3" s="4876"/>
      <c r="AG3" s="4876"/>
      <c r="AH3" s="4876"/>
      <c r="AI3" s="4876"/>
      <c r="AJ3" s="4877"/>
      <c r="AK3" s="3048"/>
      <c r="AL3" s="3046"/>
    </row>
    <row r="4" spans="1:54" ht="12" customHeight="1" thickBot="1" x14ac:dyDescent="0.25">
      <c r="A4" s="2380"/>
      <c r="B4" s="2724"/>
      <c r="C4" s="3730"/>
      <c r="D4" s="3731"/>
      <c r="E4" s="3731"/>
      <c r="F4" s="3731"/>
      <c r="G4" s="3731"/>
      <c r="H4" s="3731"/>
      <c r="I4" s="3731"/>
      <c r="J4" s="3731"/>
      <c r="K4" s="3731"/>
      <c r="L4" s="3731"/>
      <c r="M4" s="3731"/>
      <c r="N4" s="3731"/>
      <c r="O4" s="3731"/>
      <c r="P4" s="3731"/>
      <c r="Q4" s="3732"/>
      <c r="R4" s="2725"/>
      <c r="S4" s="2662"/>
      <c r="T4" s="2380"/>
      <c r="U4" s="2382"/>
      <c r="V4" s="3730"/>
      <c r="W4" s="3731"/>
      <c r="X4" s="3731"/>
      <c r="Y4" s="3731"/>
      <c r="Z4" s="3731"/>
      <c r="AA4" s="3731"/>
      <c r="AB4" s="3731"/>
      <c r="AC4" s="3731"/>
      <c r="AD4" s="3731"/>
      <c r="AE4" s="3731"/>
      <c r="AF4" s="3731"/>
      <c r="AG4" s="3731"/>
      <c r="AH4" s="3731"/>
      <c r="AI4" s="3731"/>
      <c r="AJ4" s="3732"/>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67" t="s">
        <v>8554</v>
      </c>
      <c r="D6" s="4268"/>
      <c r="E6" s="4268"/>
      <c r="F6" s="4908" t="s">
        <v>9173</v>
      </c>
      <c r="G6" s="4909"/>
      <c r="H6" s="2377"/>
      <c r="I6" s="4878" t="s">
        <v>2161</v>
      </c>
      <c r="J6" s="4879"/>
      <c r="K6" s="4879"/>
      <c r="L6" s="4879"/>
      <c r="M6" s="4879"/>
      <c r="N6" s="4879"/>
      <c r="O6" s="4879"/>
      <c r="P6" s="4879"/>
      <c r="Q6" s="4880"/>
      <c r="R6" s="2725"/>
      <c r="S6" s="2662"/>
      <c r="T6" s="2380"/>
      <c r="U6" s="2382"/>
      <c r="V6" s="4886" t="s">
        <v>3067</v>
      </c>
      <c r="W6" s="4885" t="s">
        <v>9216</v>
      </c>
      <c r="X6" s="4885"/>
      <c r="Y6" s="4813" t="s">
        <v>1769</v>
      </c>
      <c r="Z6" s="4814"/>
      <c r="AB6" s="4892" t="s">
        <v>9220</v>
      </c>
      <c r="AC6" s="4893"/>
      <c r="AD6" s="4893"/>
      <c r="AE6" s="4894"/>
      <c r="AG6" s="4892" t="s">
        <v>9222</v>
      </c>
      <c r="AH6" s="4893"/>
      <c r="AI6" s="4893"/>
      <c r="AJ6" s="4894"/>
      <c r="AK6" s="3048"/>
      <c r="AL6" s="3046"/>
    </row>
    <row r="7" spans="1:54" ht="12" customHeight="1" thickBot="1" x14ac:dyDescent="0.25">
      <c r="A7" s="2380"/>
      <c r="B7" s="2724"/>
      <c r="C7" s="4906"/>
      <c r="D7" s="4907"/>
      <c r="E7" s="4907"/>
      <c r="F7" s="4910"/>
      <c r="G7" s="4911"/>
      <c r="H7" s="2377"/>
      <c r="I7" s="3723" t="s">
        <v>1687</v>
      </c>
      <c r="J7" s="3724"/>
      <c r="K7" s="3724"/>
      <c r="L7" s="3724"/>
      <c r="M7" s="3724"/>
      <c r="N7" s="3724"/>
      <c r="O7" s="3184"/>
      <c r="P7" s="2726" t="s">
        <v>1688</v>
      </c>
      <c r="Q7" s="2727" t="s">
        <v>1689</v>
      </c>
      <c r="R7" s="2725"/>
      <c r="S7" s="2662"/>
      <c r="T7" s="2380"/>
      <c r="U7" s="2382"/>
      <c r="V7" s="4887"/>
      <c r="W7" s="4884" t="s">
        <v>9217</v>
      </c>
      <c r="X7" s="4884"/>
      <c r="Y7" s="4815" t="s">
        <v>1769</v>
      </c>
      <c r="Z7" s="4815"/>
      <c r="AB7" s="4904" t="s">
        <v>9221</v>
      </c>
      <c r="AC7" s="4905"/>
      <c r="AD7" s="4905"/>
      <c r="AE7" s="2426" t="s">
        <v>1693</v>
      </c>
      <c r="AG7" s="4901"/>
      <c r="AH7" s="4902"/>
      <c r="AI7" s="4902"/>
      <c r="AJ7" s="4903"/>
      <c r="AK7" s="3048"/>
      <c r="AL7" s="3046"/>
    </row>
    <row r="8" spans="1:54" ht="12" customHeight="1" thickBot="1" x14ac:dyDescent="0.25">
      <c r="A8" s="2380"/>
      <c r="B8" s="2724"/>
      <c r="C8" s="2377"/>
      <c r="D8" s="2377"/>
      <c r="E8" s="2377"/>
      <c r="F8" s="2377"/>
      <c r="G8" s="2377"/>
      <c r="H8" s="2377"/>
      <c r="I8" s="4889"/>
      <c r="J8" s="4890"/>
      <c r="K8" s="4890"/>
      <c r="L8" s="4890"/>
      <c r="M8" s="4890"/>
      <c r="N8" s="4890"/>
      <c r="O8" s="4891"/>
      <c r="P8" s="388"/>
      <c r="Q8" s="22"/>
      <c r="R8" s="2725"/>
      <c r="S8" s="2662"/>
      <c r="T8" s="2380"/>
      <c r="U8" s="2382"/>
      <c r="V8" s="4887"/>
      <c r="W8" s="4804" t="s">
        <v>9218</v>
      </c>
      <c r="X8" s="4805"/>
      <c r="Y8" s="4805"/>
      <c r="Z8" s="4806"/>
      <c r="AB8" s="4901"/>
      <c r="AC8" s="4902"/>
      <c r="AD8" s="4902"/>
      <c r="AE8" s="4903"/>
      <c r="AG8" s="4895"/>
      <c r="AH8" s="4896"/>
      <c r="AI8" s="4896"/>
      <c r="AJ8" s="4897"/>
      <c r="AK8" s="3048"/>
      <c r="AL8" s="3046"/>
    </row>
    <row r="9" spans="1:54" ht="12" customHeight="1" thickBot="1" x14ac:dyDescent="0.25">
      <c r="A9" s="2380"/>
      <c r="B9" s="2724"/>
      <c r="C9" s="3149" t="s">
        <v>2162</v>
      </c>
      <c r="D9" s="3150"/>
      <c r="E9" s="3150"/>
      <c r="F9" s="3150"/>
      <c r="G9" s="3151"/>
      <c r="H9" s="2377"/>
      <c r="I9" s="4816"/>
      <c r="J9" s="4817"/>
      <c r="K9" s="4817"/>
      <c r="L9" s="4817"/>
      <c r="M9" s="4817"/>
      <c r="N9" s="4817"/>
      <c r="O9" s="4818"/>
      <c r="P9" s="388"/>
      <c r="Q9" s="22"/>
      <c r="R9" s="2725"/>
      <c r="S9" s="2662"/>
      <c r="T9" s="2380"/>
      <c r="U9" s="2382"/>
      <c r="V9" s="4887"/>
      <c r="W9" s="4807" t="s">
        <v>1966</v>
      </c>
      <c r="X9" s="4808"/>
      <c r="Y9" s="4808"/>
      <c r="Z9" s="4809"/>
      <c r="AB9" s="4895"/>
      <c r="AC9" s="4896"/>
      <c r="AD9" s="4896"/>
      <c r="AE9" s="4897"/>
      <c r="AG9" s="4898"/>
      <c r="AH9" s="4899"/>
      <c r="AI9" s="4899"/>
      <c r="AJ9" s="4900"/>
      <c r="AK9" s="3048"/>
      <c r="AL9" s="3046"/>
    </row>
    <row r="10" spans="1:54" ht="12" customHeight="1" thickBot="1" x14ac:dyDescent="0.25">
      <c r="A10" s="2380"/>
      <c r="B10" s="2724"/>
      <c r="C10" s="4819"/>
      <c r="D10" s="4820"/>
      <c r="E10" s="4820"/>
      <c r="F10" s="4820"/>
      <c r="G10" s="4821"/>
      <c r="H10" s="2377"/>
      <c r="I10" s="4816"/>
      <c r="J10" s="4817"/>
      <c r="K10" s="4817"/>
      <c r="L10" s="4817"/>
      <c r="M10" s="4817"/>
      <c r="N10" s="4817"/>
      <c r="O10" s="4818"/>
      <c r="P10" s="388"/>
      <c r="Q10" s="22"/>
      <c r="R10" s="2725"/>
      <c r="S10" s="2662"/>
      <c r="T10" s="2380"/>
      <c r="U10" s="2382"/>
      <c r="V10" s="4888"/>
      <c r="W10" s="4810" t="s">
        <v>1966</v>
      </c>
      <c r="X10" s="4811"/>
      <c r="Y10" s="4811"/>
      <c r="Z10" s="4812"/>
      <c r="AB10" s="4881"/>
      <c r="AC10" s="4882"/>
      <c r="AD10" s="4882"/>
      <c r="AE10" s="4883"/>
      <c r="AK10" s="3048"/>
      <c r="AL10" s="3046"/>
    </row>
    <row r="11" spans="1:54" ht="12" customHeight="1" thickBot="1" x14ac:dyDescent="0.25">
      <c r="A11" s="2380"/>
      <c r="B11" s="2724"/>
      <c r="C11" s="4822"/>
      <c r="D11" s="4823"/>
      <c r="E11" s="4823"/>
      <c r="F11" s="4823"/>
      <c r="G11" s="4824"/>
      <c r="H11" s="2377"/>
      <c r="I11" s="4816"/>
      <c r="J11" s="4817"/>
      <c r="K11" s="4817"/>
      <c r="L11" s="4817"/>
      <c r="M11" s="4817"/>
      <c r="N11" s="4817"/>
      <c r="O11" s="4818"/>
      <c r="P11" s="388"/>
      <c r="Q11" s="22"/>
      <c r="R11" s="2725"/>
      <c r="S11" s="2662"/>
      <c r="T11" s="2380"/>
      <c r="U11" s="2382"/>
      <c r="AK11" s="3048"/>
      <c r="AL11" s="3046"/>
    </row>
    <row r="12" spans="1:54" ht="12" customHeight="1" thickBot="1" x14ac:dyDescent="0.25">
      <c r="A12" s="2380"/>
      <c r="B12" s="2724"/>
      <c r="C12" s="4825"/>
      <c r="D12" s="4826"/>
      <c r="E12" s="4826"/>
      <c r="F12" s="4826"/>
      <c r="G12" s="4827"/>
      <c r="H12" s="2377"/>
      <c r="I12" s="4836"/>
      <c r="J12" s="4837"/>
      <c r="K12" s="4837"/>
      <c r="L12" s="4837"/>
      <c r="M12" s="4837"/>
      <c r="N12" s="4837"/>
      <c r="O12" s="4838"/>
      <c r="P12" s="389"/>
      <c r="Q12" s="24"/>
      <c r="R12" s="2728"/>
      <c r="S12" s="1981"/>
      <c r="T12" s="2380"/>
      <c r="U12" s="2382"/>
      <c r="V12" s="3183" t="s">
        <v>2164</v>
      </c>
      <c r="W12" s="3183"/>
      <c r="X12" s="3183"/>
      <c r="Y12" s="3183"/>
      <c r="Z12" s="3183"/>
      <c r="AA12" s="3183"/>
      <c r="AB12" s="3183"/>
      <c r="AC12" s="3183"/>
      <c r="AD12" s="3183"/>
      <c r="AE12" s="3183"/>
      <c r="AF12" s="3183"/>
      <c r="AG12" s="3183"/>
      <c r="AH12" s="3183"/>
      <c r="AI12" s="3183"/>
      <c r="AJ12" s="3183"/>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282" t="s">
        <v>1628</v>
      </c>
      <c r="W13" s="3282"/>
      <c r="X13" s="4914"/>
      <c r="Y13" s="4914"/>
      <c r="Z13" s="4914"/>
      <c r="AA13" s="4914"/>
      <c r="AB13" s="4915"/>
      <c r="AC13" s="4915"/>
      <c r="AD13" s="4915"/>
      <c r="AE13" s="4915"/>
      <c r="AF13" s="4915"/>
      <c r="AG13" s="4915"/>
      <c r="AH13" s="4915"/>
      <c r="AI13" s="4915"/>
      <c r="AJ13" s="4915"/>
      <c r="AK13" s="3049"/>
      <c r="AL13" s="3050"/>
    </row>
    <row r="14" spans="1:54" ht="12" customHeight="1" thickBot="1" x14ac:dyDescent="0.25">
      <c r="A14" s="2380"/>
      <c r="B14" s="2724"/>
      <c r="C14" s="4420" t="s">
        <v>2160</v>
      </c>
      <c r="D14" s="4421"/>
      <c r="E14" s="4421"/>
      <c r="F14" s="4421"/>
      <c r="G14" s="4828"/>
      <c r="H14" s="2377"/>
      <c r="I14" s="2377"/>
      <c r="J14" s="2377"/>
      <c r="K14" s="2377"/>
      <c r="L14" s="2377"/>
      <c r="M14" s="2377"/>
      <c r="N14" s="2377"/>
      <c r="O14" s="2377"/>
      <c r="P14" s="2377"/>
      <c r="Q14" s="2377"/>
      <c r="R14" s="2725"/>
      <c r="S14" s="2662"/>
      <c r="T14" s="2380"/>
      <c r="U14" s="2382"/>
      <c r="V14" s="3282" t="s">
        <v>2165</v>
      </c>
      <c r="W14" s="3282"/>
      <c r="X14" s="82" t="s">
        <v>2549</v>
      </c>
      <c r="Y14" s="390" t="s">
        <v>1705</v>
      </c>
      <c r="Z14" s="170" t="s">
        <v>1891</v>
      </c>
      <c r="AA14" s="4082" t="s">
        <v>2166</v>
      </c>
      <c r="AB14" s="4082"/>
      <c r="AC14" s="82"/>
      <c r="AD14" s="288" t="s">
        <v>2167</v>
      </c>
      <c r="AE14" s="165"/>
      <c r="AF14" s="158" t="s">
        <v>1705</v>
      </c>
      <c r="AG14" s="4927" t="str">
        <f>IF(W15="Escudo","Bono de Parada:",IF(W15="Proyectiles","FUE del arma:",""))</f>
        <v/>
      </c>
      <c r="AH14" s="4928"/>
      <c r="AI14" s="4928"/>
      <c r="AJ14" s="119"/>
      <c r="AK14" s="3048"/>
      <c r="AL14" s="3046"/>
    </row>
    <row r="15" spans="1:54" ht="12" customHeight="1" thickBot="1" x14ac:dyDescent="0.25">
      <c r="A15" s="2380"/>
      <c r="B15" s="2724"/>
      <c r="C15" s="4829" t="s">
        <v>1842</v>
      </c>
      <c r="D15" s="4830"/>
      <c r="E15" s="4830"/>
      <c r="F15" s="4831"/>
      <c r="G15" s="2651" t="s">
        <v>1804</v>
      </c>
      <c r="H15" s="2377"/>
      <c r="I15" s="4878" t="s">
        <v>2163</v>
      </c>
      <c r="J15" s="4879"/>
      <c r="K15" s="4879"/>
      <c r="L15" s="4879"/>
      <c r="M15" s="4879"/>
      <c r="N15" s="4879"/>
      <c r="O15" s="4879"/>
      <c r="P15" s="4879"/>
      <c r="Q15" s="4880"/>
      <c r="R15" s="2725"/>
      <c r="S15" s="2662"/>
      <c r="T15" s="2380"/>
      <c r="U15" s="2382"/>
      <c r="V15" s="391" t="s">
        <v>2168</v>
      </c>
      <c r="W15" s="3748"/>
      <c r="X15" s="3748"/>
      <c r="Y15" s="4916"/>
      <c r="Z15" s="4916"/>
      <c r="AA15" s="143" t="s">
        <v>1893</v>
      </c>
      <c r="AB15" s="143" t="s">
        <v>1894</v>
      </c>
      <c r="AC15" s="143" t="s">
        <v>1874</v>
      </c>
      <c r="AD15" s="143" t="s">
        <v>1895</v>
      </c>
      <c r="AE15" s="392" t="s">
        <v>1875</v>
      </c>
      <c r="AF15" s="151" t="s">
        <v>3129</v>
      </c>
      <c r="AG15" s="4929" t="str">
        <f>IF(W15="Escudo","Bono de Esquiva:",IF(W15="Proyectiles","Turnos de recarga:",""))</f>
        <v/>
      </c>
      <c r="AH15" s="4930"/>
      <c r="AI15" s="4930"/>
      <c r="AJ15" s="119"/>
      <c r="AK15" s="3048"/>
      <c r="AL15" s="3046"/>
    </row>
    <row r="16" spans="1:54" ht="12" customHeight="1" thickBot="1" x14ac:dyDescent="0.25">
      <c r="A16" s="2380"/>
      <c r="B16" s="2724"/>
      <c r="C16" s="4923"/>
      <c r="D16" s="4924"/>
      <c r="E16" s="4924"/>
      <c r="F16" s="4925"/>
      <c r="G16" s="2388"/>
      <c r="H16" s="2377"/>
      <c r="I16" s="3723" t="s">
        <v>1755</v>
      </c>
      <c r="J16" s="3724"/>
      <c r="K16" s="3724"/>
      <c r="L16" s="3724"/>
      <c r="M16" s="3724"/>
      <c r="N16" s="3724"/>
      <c r="O16" s="3184"/>
      <c r="P16" s="75" t="s">
        <v>1688</v>
      </c>
      <c r="Q16" s="21" t="s">
        <v>1689</v>
      </c>
      <c r="R16" s="2725"/>
      <c r="S16" s="2662"/>
      <c r="T16" s="2380"/>
      <c r="U16" s="2382"/>
      <c r="V16" s="91" t="s">
        <v>2169</v>
      </c>
      <c r="W16" s="3757"/>
      <c r="X16" s="3757"/>
      <c r="Y16" s="4916"/>
      <c r="Z16" s="4916"/>
      <c r="AA16" s="87"/>
      <c r="AB16" s="87"/>
      <c r="AC16" s="87"/>
      <c r="AD16" s="87"/>
      <c r="AE16" s="87"/>
      <c r="AF16" s="607"/>
      <c r="AG16" s="4931" t="str">
        <f>IF(W15="Proyectiles","Alcance:","")</f>
        <v/>
      </c>
      <c r="AH16" s="4931"/>
      <c r="AI16" s="4931"/>
      <c r="AJ16" s="122"/>
      <c r="AK16" s="3048"/>
      <c r="AL16" s="3046"/>
    </row>
    <row r="17" spans="1:40" ht="12" customHeight="1" x14ac:dyDescent="0.2">
      <c r="A17" s="2380"/>
      <c r="B17" s="2724"/>
      <c r="C17" s="4834"/>
      <c r="D17" s="3996"/>
      <c r="E17" s="3996"/>
      <c r="F17" s="4835"/>
      <c r="G17" s="2389"/>
      <c r="H17" s="2377"/>
      <c r="I17" s="4816"/>
      <c r="J17" s="4817"/>
      <c r="K17" s="4817"/>
      <c r="L17" s="4817"/>
      <c r="M17" s="4817"/>
      <c r="N17" s="4817"/>
      <c r="O17" s="4818"/>
      <c r="P17" s="270"/>
      <c r="Q17" s="22"/>
      <c r="R17" s="2725"/>
      <c r="S17" s="2662"/>
      <c r="T17" s="2380"/>
      <c r="U17" s="2382"/>
      <c r="V17" s="3282" t="s">
        <v>1628</v>
      </c>
      <c r="W17" s="3282"/>
      <c r="X17" s="4914"/>
      <c r="Y17" s="4914"/>
      <c r="Z17" s="4914"/>
      <c r="AA17" s="4914"/>
      <c r="AB17" s="4926"/>
      <c r="AC17" s="4926"/>
      <c r="AD17" s="4926"/>
      <c r="AE17" s="4926"/>
      <c r="AF17" s="4926"/>
      <c r="AG17" s="4926"/>
      <c r="AH17" s="4926"/>
      <c r="AI17" s="4926"/>
      <c r="AJ17" s="4926"/>
      <c r="AK17" s="3048"/>
      <c r="AL17" s="3046"/>
    </row>
    <row r="18" spans="1:40" ht="12" customHeight="1" x14ac:dyDescent="0.2">
      <c r="A18" s="2380"/>
      <c r="B18" s="2724"/>
      <c r="C18" s="4832"/>
      <c r="D18" s="3995"/>
      <c r="E18" s="3995"/>
      <c r="F18" s="4833"/>
      <c r="G18" s="2390"/>
      <c r="H18" s="2377"/>
      <c r="I18" s="4816"/>
      <c r="J18" s="4817"/>
      <c r="K18" s="4817"/>
      <c r="L18" s="4817"/>
      <c r="M18" s="4817"/>
      <c r="N18" s="4817"/>
      <c r="O18" s="4818"/>
      <c r="P18" s="2646"/>
      <c r="Q18" s="22"/>
      <c r="R18" s="2725"/>
      <c r="S18" s="2662"/>
      <c r="T18" s="2380"/>
      <c r="U18" s="2382"/>
      <c r="V18" s="3282" t="s">
        <v>2165</v>
      </c>
      <c r="W18" s="3282"/>
      <c r="X18" s="82" t="s">
        <v>2549</v>
      </c>
      <c r="Y18" s="390" t="s">
        <v>1705</v>
      </c>
      <c r="Z18" s="170" t="s">
        <v>1891</v>
      </c>
      <c r="AA18" s="4082" t="s">
        <v>2166</v>
      </c>
      <c r="AB18" s="4082"/>
      <c r="AC18" s="82"/>
      <c r="AD18" s="288" t="s">
        <v>2167</v>
      </c>
      <c r="AE18" s="165"/>
      <c r="AF18" s="158" t="s">
        <v>1705</v>
      </c>
      <c r="AG18" s="4927" t="str">
        <f>IF(W19="Escudo","Bono de Parada:",IF(W19="Proyectiles","FUE del arma:",""))</f>
        <v/>
      </c>
      <c r="AH18" s="4928"/>
      <c r="AI18" s="4928"/>
      <c r="AJ18" s="119"/>
      <c r="AK18" s="3048"/>
      <c r="AL18" s="3046"/>
    </row>
    <row r="19" spans="1:40" ht="15" customHeight="1" thickBot="1" x14ac:dyDescent="0.25">
      <c r="A19" s="2380"/>
      <c r="B19" s="2724"/>
      <c r="C19" s="4852"/>
      <c r="D19" s="4853"/>
      <c r="E19" s="4853"/>
      <c r="F19" s="4854"/>
      <c r="G19" s="2399"/>
      <c r="H19" s="2377"/>
      <c r="I19" s="4816"/>
      <c r="J19" s="4817"/>
      <c r="K19" s="4817"/>
      <c r="L19" s="4817"/>
      <c r="M19" s="4817"/>
      <c r="N19" s="4817"/>
      <c r="O19" s="4818"/>
      <c r="P19" s="2646"/>
      <c r="Q19" s="22"/>
      <c r="R19" s="2725"/>
      <c r="S19" s="2662"/>
      <c r="T19" s="2380"/>
      <c r="U19" s="2382"/>
      <c r="V19" s="391" t="s">
        <v>2168</v>
      </c>
      <c r="W19" s="3748"/>
      <c r="X19" s="3748"/>
      <c r="Y19" s="4916"/>
      <c r="Z19" s="4916"/>
      <c r="AA19" s="143" t="s">
        <v>1893</v>
      </c>
      <c r="AB19" s="143" t="s">
        <v>1894</v>
      </c>
      <c r="AC19" s="143" t="s">
        <v>1874</v>
      </c>
      <c r="AD19" s="143" t="s">
        <v>1895</v>
      </c>
      <c r="AE19" s="392" t="s">
        <v>1875</v>
      </c>
      <c r="AF19" s="151" t="s">
        <v>3129</v>
      </c>
      <c r="AG19" s="4929" t="str">
        <f>IF(W19="Escudo","Bono de Esquiva:",IF(W19="Proyectiles","Turnos de recarga:",""))</f>
        <v/>
      </c>
      <c r="AH19" s="4930"/>
      <c r="AI19" s="4930"/>
      <c r="AJ19" s="119"/>
      <c r="AK19" s="3048"/>
      <c r="AL19" s="3046"/>
    </row>
    <row r="20" spans="1:40" ht="12" customHeight="1" thickBot="1" x14ac:dyDescent="0.25">
      <c r="A20" s="2380"/>
      <c r="B20" s="2724"/>
      <c r="C20" s="2377"/>
      <c r="D20" s="2377"/>
      <c r="E20" s="2377"/>
      <c r="F20" s="2377"/>
      <c r="G20" s="2377"/>
      <c r="H20" s="2377"/>
      <c r="I20" s="4816"/>
      <c r="J20" s="4817"/>
      <c r="K20" s="4817"/>
      <c r="L20" s="4817"/>
      <c r="M20" s="4817"/>
      <c r="N20" s="4817"/>
      <c r="O20" s="4818"/>
      <c r="P20" s="2646"/>
      <c r="Q20" s="22"/>
      <c r="R20" s="2725"/>
      <c r="S20" s="2662"/>
      <c r="T20" s="2380"/>
      <c r="U20" s="2382"/>
      <c r="V20" s="91" t="s">
        <v>2169</v>
      </c>
      <c r="W20" s="3757"/>
      <c r="X20" s="3757"/>
      <c r="Y20" s="4916"/>
      <c r="Z20" s="4916"/>
      <c r="AA20" s="87"/>
      <c r="AB20" s="87"/>
      <c r="AC20" s="87"/>
      <c r="AD20" s="87"/>
      <c r="AE20" s="87"/>
      <c r="AF20" s="607"/>
      <c r="AG20" s="4931" t="str">
        <f>IF(W19="Proyectiles","Alcance:","")</f>
        <v/>
      </c>
      <c r="AH20" s="4931"/>
      <c r="AI20" s="4931"/>
      <c r="AJ20" s="122"/>
      <c r="AK20" s="3048"/>
      <c r="AL20" s="3046"/>
    </row>
    <row r="21" spans="1:40" ht="12" customHeight="1" thickBot="1" x14ac:dyDescent="0.25">
      <c r="A21" s="2380"/>
      <c r="B21" s="2724"/>
      <c r="C21" s="3462" t="s">
        <v>8542</v>
      </c>
      <c r="D21" s="3463"/>
      <c r="E21" s="3463"/>
      <c r="F21" s="3463"/>
      <c r="G21" s="4855"/>
      <c r="H21" s="2377"/>
      <c r="I21" s="4816"/>
      <c r="J21" s="4817"/>
      <c r="K21" s="4817"/>
      <c r="L21" s="4817"/>
      <c r="M21" s="4817"/>
      <c r="N21" s="4817"/>
      <c r="O21" s="4818"/>
      <c r="P21" s="2646"/>
      <c r="Q21" s="22"/>
      <c r="R21" s="2725"/>
      <c r="S21" s="2662"/>
      <c r="T21" s="2380"/>
      <c r="U21" s="2382"/>
      <c r="V21" s="3282" t="s">
        <v>1628</v>
      </c>
      <c r="W21" s="3282"/>
      <c r="X21" s="4914"/>
      <c r="Y21" s="4914"/>
      <c r="Z21" s="4914"/>
      <c r="AA21" s="4914"/>
      <c r="AB21" s="4926"/>
      <c r="AC21" s="4926"/>
      <c r="AD21" s="4926"/>
      <c r="AE21" s="4926"/>
      <c r="AF21" s="4926"/>
      <c r="AG21" s="4926"/>
      <c r="AH21" s="4926"/>
      <c r="AI21" s="4926"/>
      <c r="AJ21" s="4926"/>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868" t="str">
        <f>IF(Tablas!G480&gt;0,"Ventaja elegida","")</f>
        <v/>
      </c>
      <c r="D22" s="4869"/>
      <c r="E22" s="4859" t="str">
        <f>IF(C22="","Aplicar bonos:","")</f>
        <v>Aplicar bonos:</v>
      </c>
      <c r="F22" s="4859"/>
      <c r="G22" s="1980" t="s">
        <v>1693</v>
      </c>
      <c r="H22" s="2377"/>
      <c r="I22" s="4816"/>
      <c r="J22" s="4817"/>
      <c r="K22" s="4817"/>
      <c r="L22" s="4817"/>
      <c r="M22" s="4817"/>
      <c r="N22" s="4817"/>
      <c r="O22" s="4818"/>
      <c r="P22" s="2646"/>
      <c r="Q22" s="22"/>
      <c r="R22" s="2728"/>
      <c r="S22" s="1982"/>
      <c r="T22" s="2380"/>
      <c r="U22" s="2382"/>
      <c r="V22" s="3282" t="s">
        <v>2165</v>
      </c>
      <c r="W22" s="3282"/>
      <c r="X22" s="82" t="s">
        <v>2549</v>
      </c>
      <c r="Y22" s="390" t="s">
        <v>1705</v>
      </c>
      <c r="Z22" s="170" t="s">
        <v>1891</v>
      </c>
      <c r="AA22" s="4082" t="s">
        <v>2166</v>
      </c>
      <c r="AB22" s="4082"/>
      <c r="AC22" s="82"/>
      <c r="AD22" s="288" t="s">
        <v>2167</v>
      </c>
      <c r="AE22" s="165"/>
      <c r="AF22" s="158" t="s">
        <v>1705</v>
      </c>
      <c r="AG22" s="4927" t="str">
        <f>IF(W23="Escudo","Bono de Parada:",IF(W23="Proyectiles","FUE del arma:",""))</f>
        <v/>
      </c>
      <c r="AH22" s="4928"/>
      <c r="AI22" s="4928"/>
      <c r="AJ22" s="119"/>
      <c r="AK22" s="3049"/>
      <c r="AL22" s="3050"/>
    </row>
    <row r="23" spans="1:40" ht="12" customHeight="1" thickBot="1" x14ac:dyDescent="0.25">
      <c r="A23" s="2380"/>
      <c r="B23" s="2724"/>
      <c r="C23" s="4860" t="str">
        <f>IF(Region="","Región no definida",Region)</f>
        <v>Región no definida</v>
      </c>
      <c r="D23" s="4861"/>
      <c r="E23" s="4861" t="str">
        <f>IF(Region="","Clase social no definida",ClaseSocial)</f>
        <v>Clase social no definida</v>
      </c>
      <c r="F23" s="4861"/>
      <c r="G23" s="4862"/>
      <c r="H23" s="2377"/>
      <c r="I23" s="4816"/>
      <c r="J23" s="4817"/>
      <c r="K23" s="4817"/>
      <c r="L23" s="4817"/>
      <c r="M23" s="4817"/>
      <c r="N23" s="4817"/>
      <c r="O23" s="4818"/>
      <c r="P23" s="2646"/>
      <c r="Q23" s="22"/>
      <c r="R23" s="2725"/>
      <c r="S23" s="2662"/>
      <c r="T23" s="2380"/>
      <c r="U23" s="2382"/>
      <c r="V23" s="391" t="s">
        <v>2168</v>
      </c>
      <c r="W23" s="3748"/>
      <c r="X23" s="3748"/>
      <c r="Y23" s="4916"/>
      <c r="Z23" s="4916"/>
      <c r="AA23" s="143" t="s">
        <v>1893</v>
      </c>
      <c r="AB23" s="143" t="s">
        <v>1894</v>
      </c>
      <c r="AC23" s="143" t="s">
        <v>1874</v>
      </c>
      <c r="AD23" s="143" t="s">
        <v>1895</v>
      </c>
      <c r="AE23" s="392" t="s">
        <v>1875</v>
      </c>
      <c r="AF23" s="151" t="s">
        <v>3129</v>
      </c>
      <c r="AG23" s="4929" t="str">
        <f>IF(W23="Escudo","Bono de Esquiva:",IF(W23="Proyectiles","Turnos de recarga:",""))</f>
        <v/>
      </c>
      <c r="AH23" s="4930"/>
      <c r="AI23" s="4930"/>
      <c r="AJ23" s="119"/>
      <c r="AK23" s="3048"/>
      <c r="AL23" s="3046"/>
      <c r="AM23" s="2960" t="s">
        <v>8539</v>
      </c>
      <c r="AN23" s="1804" t="str">
        <f>IF(Tablas!L136="","",IF(AND(Region="Elicia",OR(ClaseSocial=Tablas!CL140,ClaseSocial=Tablas!CM140)),"Habilidades_Secundarias","Tablas!$K$33:$K$34"))</f>
        <v/>
      </c>
    </row>
    <row r="24" spans="1:40" ht="12" customHeight="1" thickBot="1" x14ac:dyDescent="0.25">
      <c r="A24" s="2380"/>
      <c r="B24" s="2724"/>
      <c r="C24" s="4860"/>
      <c r="D24" s="4861"/>
      <c r="E24" s="4861"/>
      <c r="F24" s="4861"/>
      <c r="G24" s="4862"/>
      <c r="H24" s="2377"/>
      <c r="I24" s="4816"/>
      <c r="J24" s="4817"/>
      <c r="K24" s="4817"/>
      <c r="L24" s="4817"/>
      <c r="M24" s="4817"/>
      <c r="N24" s="4817"/>
      <c r="O24" s="4818"/>
      <c r="P24" s="2646"/>
      <c r="Q24" s="22"/>
      <c r="R24" s="2725"/>
      <c r="S24" s="2662"/>
      <c r="T24" s="2380"/>
      <c r="U24" s="2382"/>
      <c r="V24" s="91" t="s">
        <v>2169</v>
      </c>
      <c r="W24" s="3757"/>
      <c r="X24" s="3757"/>
      <c r="Y24" s="4916"/>
      <c r="Z24" s="4916"/>
      <c r="AA24" s="87"/>
      <c r="AB24" s="87"/>
      <c r="AC24" s="87"/>
      <c r="AD24" s="87"/>
      <c r="AE24" s="87"/>
      <c r="AF24" s="607"/>
      <c r="AG24" s="4931" t="str">
        <f>IF(W23="Proyectiles","Alcance:","")</f>
        <v/>
      </c>
      <c r="AH24" s="4931"/>
      <c r="AI24" s="4931"/>
      <c r="AJ24" s="122"/>
      <c r="AK24" s="3048"/>
      <c r="AL24" s="3046"/>
      <c r="AM24" s="2960" t="s">
        <v>8540</v>
      </c>
      <c r="AN24" s="1804" t="str">
        <f>IF(Tablas!N136="","","Tablas!$M$33:$M$34")</f>
        <v/>
      </c>
    </row>
    <row r="25" spans="1:40" ht="12" customHeight="1" thickBot="1" x14ac:dyDescent="0.25">
      <c r="A25" s="2380"/>
      <c r="B25" s="2724"/>
      <c r="C25" s="4870" t="str">
        <f>IF(Tablas!L136="","","Bono Especial:")</f>
        <v/>
      </c>
      <c r="D25" s="4871"/>
      <c r="E25" s="4856"/>
      <c r="F25" s="4857"/>
      <c r="G25" s="4858"/>
      <c r="H25" s="2377"/>
      <c r="I25" s="4816"/>
      <c r="J25" s="4817"/>
      <c r="K25" s="4817"/>
      <c r="L25" s="4817"/>
      <c r="M25" s="4817"/>
      <c r="N25" s="4817"/>
      <c r="O25" s="4818"/>
      <c r="P25" s="2646"/>
      <c r="Q25" s="22"/>
      <c r="R25" s="2725"/>
      <c r="S25" s="2662"/>
      <c r="T25" s="2380"/>
      <c r="U25" s="2382"/>
      <c r="AK25" s="3048"/>
      <c r="AL25" s="3046"/>
    </row>
    <row r="26" spans="1:40" ht="12" customHeight="1" thickBot="1" x14ac:dyDescent="0.25">
      <c r="A26" s="2380"/>
      <c r="B26" s="2724"/>
      <c r="C26" s="4863" t="str">
        <f>IF(Tablas!N136="","","Bono Especial:")</f>
        <v/>
      </c>
      <c r="D26" s="4864"/>
      <c r="E26" s="4865"/>
      <c r="F26" s="4866"/>
      <c r="G26" s="4867"/>
      <c r="H26" s="2377"/>
      <c r="I26" s="4836"/>
      <c r="J26" s="4837"/>
      <c r="K26" s="4837"/>
      <c r="L26" s="4837"/>
      <c r="M26" s="4837"/>
      <c r="N26" s="4837"/>
      <c r="O26" s="4838"/>
      <c r="P26" s="2648"/>
      <c r="Q26" s="24"/>
      <c r="R26" s="2725"/>
      <c r="S26" s="2662"/>
      <c r="T26" s="2380"/>
      <c r="U26" s="2382"/>
      <c r="V26" s="4933" t="s">
        <v>2172</v>
      </c>
      <c r="W26" s="4919" t="s">
        <v>1628</v>
      </c>
      <c r="X26" s="4919"/>
      <c r="Y26" s="4939"/>
      <c r="Z26" s="4939"/>
      <c r="AA26" s="4939"/>
      <c r="AB26" s="4939"/>
      <c r="AC26" s="4939"/>
      <c r="AD26" s="4919" t="s">
        <v>1628</v>
      </c>
      <c r="AE26" s="4919"/>
      <c r="AF26" s="4939"/>
      <c r="AG26" s="4939"/>
      <c r="AH26" s="4939"/>
      <c r="AI26" s="4939"/>
      <c r="AJ26" s="4939"/>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933"/>
      <c r="W27" s="4932" t="s">
        <v>2173</v>
      </c>
      <c r="X27" s="4932"/>
      <c r="Y27" s="4917" t="str">
        <f>IF($Y$33="Cabeza","Pen.Percepción","Pen. Natural")</f>
        <v>Pen. Natural</v>
      </c>
      <c r="Z27" s="4917"/>
      <c r="AA27" s="4918" t="s">
        <v>2174</v>
      </c>
      <c r="AB27" s="4918"/>
      <c r="AC27" s="4918"/>
      <c r="AD27" s="4932" t="s">
        <v>2173</v>
      </c>
      <c r="AE27" s="4932"/>
      <c r="AF27" s="4917" t="str">
        <f>IF($AF$33="Cabeza","Pen.Percepción","Pen. Natural")</f>
        <v>Pen. Natural</v>
      </c>
      <c r="AG27" s="4917"/>
      <c r="AH27" s="4918" t="s">
        <v>2174</v>
      </c>
      <c r="AI27" s="4918"/>
      <c r="AJ27" s="4918"/>
      <c r="AK27" s="3048"/>
      <c r="AL27" s="3046"/>
    </row>
    <row r="28" spans="1:40" ht="12" customHeight="1" thickBot="1" x14ac:dyDescent="0.25">
      <c r="A28" s="2380"/>
      <c r="B28" s="2724"/>
      <c r="C28" s="2377"/>
      <c r="D28" s="2377"/>
      <c r="E28" s="4800" t="s">
        <v>1841</v>
      </c>
      <c r="F28" s="4765" t="s">
        <v>1842</v>
      </c>
      <c r="G28" s="4766"/>
      <c r="H28" s="4803"/>
      <c r="I28" s="2400" t="s">
        <v>1843</v>
      </c>
      <c r="J28" s="4845" t="s">
        <v>1844</v>
      </c>
      <c r="K28" s="4803"/>
      <c r="L28" s="4845" t="s">
        <v>1845</v>
      </c>
      <c r="M28" s="4766"/>
      <c r="N28" s="4839" t="str">
        <f>IF(SUM(I29:I31)+SUM(I32:I34)&gt;0,"Selecciona la/s Habilidad/es asociadas a las Ventajas",IF(SUM(I29:I31)+SUM(I32:I34)&lt;0,"Exceso de Habilidad/es seleccionadas",""))</f>
        <v/>
      </c>
      <c r="O28" s="4840"/>
      <c r="P28" s="2377"/>
      <c r="Q28" s="2377"/>
      <c r="R28" s="2725"/>
      <c r="S28" s="2662"/>
      <c r="T28" s="2380"/>
      <c r="U28" s="2382"/>
      <c r="V28" s="4933"/>
      <c r="W28" s="4922"/>
      <c r="X28" s="4922"/>
      <c r="Y28" s="4943"/>
      <c r="Z28" s="4943"/>
      <c r="AA28" s="4946"/>
      <c r="AB28" s="4946"/>
      <c r="AC28" s="4946"/>
      <c r="AD28" s="4922"/>
      <c r="AE28" s="4922"/>
      <c r="AF28" s="4943"/>
      <c r="AG28" s="4943"/>
      <c r="AH28" s="4946"/>
      <c r="AI28" s="4946"/>
      <c r="AJ28" s="4946"/>
      <c r="AK28" s="3048"/>
      <c r="AL28" s="3046"/>
    </row>
    <row r="29" spans="1:40" ht="12" customHeight="1" thickBot="1" x14ac:dyDescent="0.25">
      <c r="A29" s="2380"/>
      <c r="B29" s="2724"/>
      <c r="C29" s="2377"/>
      <c r="D29" s="2377"/>
      <c r="E29" s="4801"/>
      <c r="F29" s="2653" t="s">
        <v>1846</v>
      </c>
      <c r="G29" s="2650"/>
      <c r="H29" s="2650"/>
      <c r="I29" s="101">
        <f>Tablas!$G$276-IF(J29=0,0,1)-IF(L29=0,0,1)</f>
        <v>0</v>
      </c>
      <c r="J29" s="4846"/>
      <c r="K29" s="3750"/>
      <c r="L29" s="4872"/>
      <c r="M29" s="4184"/>
      <c r="N29" s="4841"/>
      <c r="O29" s="4842"/>
      <c r="P29" s="2377"/>
      <c r="Q29" s="2377"/>
      <c r="R29" s="2725"/>
      <c r="S29" s="2662"/>
      <c r="T29" s="2380"/>
      <c r="U29" s="2382"/>
      <c r="V29" s="4933"/>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801"/>
      <c r="F30" s="2652" t="s">
        <v>1848</v>
      </c>
      <c r="G30" s="2649"/>
      <c r="H30" s="2649"/>
      <c r="I30" s="201">
        <f>Tablas!$G$277-IF(J30=0,0,1)-IF(L30=0,0,1)</f>
        <v>0</v>
      </c>
      <c r="J30" s="4978"/>
      <c r="K30" s="3753"/>
      <c r="L30" s="4873"/>
      <c r="M30" s="4874"/>
      <c r="N30" s="4841"/>
      <c r="O30" s="4842"/>
      <c r="P30" s="2377"/>
      <c r="Q30" s="2377"/>
      <c r="R30" s="2725"/>
      <c r="S30" s="2662"/>
      <c r="T30" s="2380"/>
      <c r="U30" s="2382"/>
      <c r="V30" s="4933"/>
      <c r="W30" s="4920"/>
      <c r="X30" s="4920"/>
      <c r="Y30" s="4920"/>
      <c r="Z30" s="4920"/>
      <c r="AA30" s="4920"/>
      <c r="AB30" s="4937"/>
      <c r="AC30" s="4944"/>
      <c r="AD30" s="4935"/>
      <c r="AE30" s="4920"/>
      <c r="AF30" s="4920"/>
      <c r="AG30" s="4920"/>
      <c r="AH30" s="4920"/>
      <c r="AI30" s="4937"/>
      <c r="AJ30" s="4944"/>
      <c r="AK30" s="3048"/>
      <c r="AL30" s="3046"/>
    </row>
    <row r="31" spans="1:40" ht="12" customHeight="1" thickBot="1" x14ac:dyDescent="0.25">
      <c r="A31" s="2380"/>
      <c r="B31" s="2724"/>
      <c r="C31" s="2377"/>
      <c r="D31" s="2377"/>
      <c r="E31" s="4801"/>
      <c r="F31" s="2654" t="s">
        <v>1850</v>
      </c>
      <c r="G31" s="2655"/>
      <c r="H31" s="2655"/>
      <c r="I31" s="1736">
        <f>Tablas!$G$278-IF(J31=0,0,1)-IF(L31=0,0,1)</f>
        <v>0</v>
      </c>
      <c r="J31" s="4912"/>
      <c r="K31" s="4067"/>
      <c r="L31" s="4141"/>
      <c r="M31" s="4171"/>
      <c r="N31" s="4841"/>
      <c r="O31" s="4842"/>
      <c r="P31" s="2377"/>
      <c r="Q31" s="2377"/>
      <c r="R31" s="2725"/>
      <c r="S31" s="2662"/>
      <c r="T31" s="2380"/>
      <c r="U31" s="2382"/>
      <c r="V31" s="4933"/>
      <c r="W31" s="4920"/>
      <c r="X31" s="4921"/>
      <c r="Y31" s="4921"/>
      <c r="Z31" s="4921"/>
      <c r="AA31" s="4921"/>
      <c r="AB31" s="4942"/>
      <c r="AC31" s="4945"/>
      <c r="AD31" s="4936"/>
      <c r="AE31" s="4921"/>
      <c r="AF31" s="4921"/>
      <c r="AG31" s="4921"/>
      <c r="AH31" s="4921"/>
      <c r="AI31" s="4938"/>
      <c r="AJ31" s="4945"/>
      <c r="AK31" s="3048"/>
      <c r="AL31" s="3046"/>
    </row>
    <row r="32" spans="1:40" ht="12" customHeight="1" thickBot="1" x14ac:dyDescent="0.25">
      <c r="A32" s="2380"/>
      <c r="B32" s="2724"/>
      <c r="C32" s="2377"/>
      <c r="D32" s="2377"/>
      <c r="E32" s="4801"/>
      <c r="F32" s="4976" t="s">
        <v>1847</v>
      </c>
      <c r="G32" s="3576"/>
      <c r="H32" s="4977"/>
      <c r="I32" s="101">
        <f>Tablas!$G$286-IF(J32=0,0,1)-IF(L32=0,0,1)</f>
        <v>0</v>
      </c>
      <c r="J32" s="4846"/>
      <c r="K32" s="3751"/>
      <c r="L32" s="4846"/>
      <c r="M32" s="4180"/>
      <c r="N32" s="4841"/>
      <c r="O32" s="4842"/>
      <c r="P32" s="2377"/>
      <c r="Q32" s="2377"/>
      <c r="R32" s="2728"/>
      <c r="S32" s="1982"/>
      <c r="T32" s="2380"/>
      <c r="U32" s="2382"/>
      <c r="V32" s="4933"/>
      <c r="W32" s="3246" t="s">
        <v>2175</v>
      </c>
      <c r="X32" s="3246"/>
      <c r="Y32" s="3995"/>
      <c r="Z32" s="3995"/>
      <c r="AA32" s="3246" t="s">
        <v>2176</v>
      </c>
      <c r="AB32" s="3246"/>
      <c r="AC32" s="1993"/>
      <c r="AD32" s="3246" t="s">
        <v>2175</v>
      </c>
      <c r="AE32" s="3246"/>
      <c r="AF32" s="3995"/>
      <c r="AG32" s="3995"/>
      <c r="AH32" s="3246" t="s">
        <v>2176</v>
      </c>
      <c r="AI32" s="3246"/>
      <c r="AJ32" s="1993"/>
      <c r="AK32" s="3049"/>
      <c r="AL32" s="3050"/>
    </row>
    <row r="33" spans="1:40" ht="12" customHeight="1" thickBot="1" x14ac:dyDescent="0.25">
      <c r="A33" s="2380"/>
      <c r="B33" s="2724"/>
      <c r="C33" s="2377"/>
      <c r="D33" s="2377"/>
      <c r="E33" s="4801"/>
      <c r="F33" s="4974" t="s">
        <v>1849</v>
      </c>
      <c r="G33" s="3574"/>
      <c r="H33" s="4975"/>
      <c r="I33" s="201">
        <f>Tablas!$G$287-IF(J33=0,0,1)-IF(L33=0,0,1)</f>
        <v>0</v>
      </c>
      <c r="J33" s="4978"/>
      <c r="K33" s="3754"/>
      <c r="L33" s="4978"/>
      <c r="M33" s="4874"/>
      <c r="N33" s="4841"/>
      <c r="O33" s="4842"/>
      <c r="P33" s="2377"/>
      <c r="Q33" s="2377"/>
      <c r="R33" s="2725"/>
      <c r="S33" s="2662"/>
      <c r="T33" s="2380"/>
      <c r="U33" s="2382"/>
      <c r="V33" s="4933"/>
      <c r="W33" s="4448" t="s">
        <v>2177</v>
      </c>
      <c r="X33" s="4448"/>
      <c r="Y33" s="4950"/>
      <c r="Z33" s="4950"/>
      <c r="AA33" s="4934" t="s">
        <v>2178</v>
      </c>
      <c r="AB33" s="4934"/>
      <c r="AC33" s="402"/>
      <c r="AD33" s="4448" t="s">
        <v>2177</v>
      </c>
      <c r="AE33" s="4448"/>
      <c r="AF33" s="4950"/>
      <c r="AG33" s="4950"/>
      <c r="AH33" s="4934" t="s">
        <v>2178</v>
      </c>
      <c r="AI33" s="4934"/>
      <c r="AJ33" s="403"/>
      <c r="AK33" s="3048"/>
      <c r="AL33" s="3046"/>
    </row>
    <row r="34" spans="1:40" ht="12" customHeight="1" thickBot="1" x14ac:dyDescent="0.25">
      <c r="A34" s="2380"/>
      <c r="B34" s="2724"/>
      <c r="C34" s="2377"/>
      <c r="D34" s="2377"/>
      <c r="E34" s="4802"/>
      <c r="F34" s="4971" t="s">
        <v>1851</v>
      </c>
      <c r="G34" s="4972"/>
      <c r="H34" s="4973"/>
      <c r="I34" s="1736">
        <f>Tablas!$G$288-IF(J34=0,0,1)-IF(L34=0,0,1)</f>
        <v>0</v>
      </c>
      <c r="J34" s="4912"/>
      <c r="K34" s="4913"/>
      <c r="L34" s="4912"/>
      <c r="M34" s="4171"/>
      <c r="N34" s="4843"/>
      <c r="O34" s="4844"/>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83" t="s">
        <v>2182</v>
      </c>
      <c r="W35" s="3183"/>
      <c r="X35" s="3183"/>
      <c r="Y35" s="3183"/>
      <c r="Z35" s="3183"/>
      <c r="AA35" s="3183"/>
      <c r="AB35" s="3183"/>
      <c r="AC35" s="3183"/>
      <c r="AD35" s="3183"/>
      <c r="AE35" s="3183"/>
      <c r="AF35" s="3183"/>
      <c r="AG35" s="3183"/>
      <c r="AH35" s="3183"/>
      <c r="AI35" s="3183"/>
      <c r="AJ35" s="3183"/>
      <c r="AK35" s="3048"/>
      <c r="AL35" s="3046"/>
    </row>
    <row r="36" spans="1:40" ht="12" customHeight="1" thickBot="1" x14ac:dyDescent="0.25">
      <c r="A36" s="2380"/>
      <c r="B36" s="2724"/>
      <c r="C36" s="4875" t="s">
        <v>9425</v>
      </c>
      <c r="D36" s="4876"/>
      <c r="E36" s="4876"/>
      <c r="F36" s="4876"/>
      <c r="G36" s="4876"/>
      <c r="H36" s="4876"/>
      <c r="I36" s="4876"/>
      <c r="J36" s="4876"/>
      <c r="K36" s="4876"/>
      <c r="L36" s="4876"/>
      <c r="M36" s="4876"/>
      <c r="N36" s="4876"/>
      <c r="O36" s="4876"/>
      <c r="P36" s="4876"/>
      <c r="Q36" s="4877"/>
      <c r="R36" s="2725"/>
      <c r="S36" s="2662"/>
      <c r="T36" s="2380"/>
      <c r="U36" s="2382"/>
      <c r="V36" s="4990" t="s">
        <v>2183</v>
      </c>
      <c r="W36" s="4990"/>
      <c r="X36" s="4990"/>
      <c r="Y36" s="4991"/>
      <c r="Z36" s="4991"/>
      <c r="AA36" s="4991"/>
      <c r="AB36" s="4992"/>
      <c r="AC36" s="4992"/>
      <c r="AD36" s="4992"/>
      <c r="AE36" s="4992"/>
      <c r="AF36" s="4992"/>
      <c r="AG36" s="4992"/>
      <c r="AH36" s="4993"/>
      <c r="AI36" s="4993"/>
      <c r="AJ36" s="4993"/>
      <c r="AK36" s="3048"/>
      <c r="AL36" s="3046"/>
    </row>
    <row r="37" spans="1:40" ht="12" customHeight="1" thickBot="1" x14ac:dyDescent="0.25">
      <c r="A37" s="2380"/>
      <c r="B37" s="2724"/>
      <c r="C37" s="3730"/>
      <c r="D37" s="3731"/>
      <c r="E37" s="3731"/>
      <c r="F37" s="3731"/>
      <c r="G37" s="3731"/>
      <c r="H37" s="3731"/>
      <c r="I37" s="3731"/>
      <c r="J37" s="3731"/>
      <c r="K37" s="3731"/>
      <c r="L37" s="3731"/>
      <c r="M37" s="3731"/>
      <c r="N37" s="3731"/>
      <c r="O37" s="3731"/>
      <c r="P37" s="3731"/>
      <c r="Q37" s="3732"/>
      <c r="R37" s="2725"/>
      <c r="S37" s="2662"/>
      <c r="T37" s="2380"/>
      <c r="U37" s="2382"/>
      <c r="V37" s="4990"/>
      <c r="W37" s="4990"/>
      <c r="X37" s="4990"/>
      <c r="Y37" s="4991"/>
      <c r="Z37" s="4991"/>
      <c r="AA37" s="4991"/>
      <c r="AB37" s="4992"/>
      <c r="AC37" s="4992"/>
      <c r="AD37" s="4992"/>
      <c r="AE37" s="4992"/>
      <c r="AF37" s="4992"/>
      <c r="AG37" s="4992"/>
      <c r="AH37" s="4993"/>
      <c r="AI37" s="4993"/>
      <c r="AJ37" s="4993"/>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251" t="s">
        <v>2186</v>
      </c>
      <c r="W38" s="3251"/>
      <c r="X38" s="3251"/>
      <c r="Y38" s="4969"/>
      <c r="Z38" s="4969"/>
      <c r="AA38" s="4969"/>
      <c r="AB38" s="4940"/>
      <c r="AC38" s="4940"/>
      <c r="AD38" s="4940"/>
      <c r="AE38" s="4940"/>
      <c r="AF38" s="4940"/>
      <c r="AG38" s="4940"/>
      <c r="AH38" s="4947"/>
      <c r="AI38" s="4947"/>
      <c r="AJ38" s="4947"/>
      <c r="AK38" s="3048"/>
      <c r="AL38" s="3046"/>
    </row>
    <row r="39" spans="1:40" ht="12" customHeight="1" x14ac:dyDescent="0.2">
      <c r="A39" s="2380"/>
      <c r="B39" s="2724"/>
      <c r="C39" s="68"/>
      <c r="D39" s="3149" t="s">
        <v>9439</v>
      </c>
      <c r="E39" s="4979"/>
      <c r="F39" s="4959" t="str">
        <f>"Poderes adquiridos: "&amp;IF(Tablas!$J$2425&gt;0,"Influjo Sobrenatural"&amp;IF(Tablas!$J$2430&gt;0,", Demiurgo",""),IF(Tablas!$J$2430&gt;0,"Demiurgo","Ninguno"))</f>
        <v>Poderes adquiridos: Ninguno</v>
      </c>
      <c r="G39" s="4869"/>
      <c r="H39" s="4869"/>
      <c r="I39" s="4869"/>
      <c r="J39" s="4869"/>
      <c r="K39" s="4869"/>
      <c r="L39" s="4869"/>
      <c r="M39" s="4960"/>
      <c r="N39" s="4983" t="s">
        <v>9426</v>
      </c>
      <c r="O39" s="4984"/>
      <c r="P39" s="4985"/>
      <c r="Q39" s="2386"/>
      <c r="R39" s="2725"/>
      <c r="S39" s="2662"/>
      <c r="T39" s="2380"/>
      <c r="U39" s="2382"/>
      <c r="V39" s="4941" t="s">
        <v>2187</v>
      </c>
      <c r="W39" s="4941"/>
      <c r="X39" s="4941"/>
      <c r="Y39" s="4986"/>
      <c r="Z39" s="4986"/>
      <c r="AA39" s="4986"/>
      <c r="AB39" s="4987"/>
      <c r="AC39" s="4987"/>
      <c r="AD39" s="4987"/>
      <c r="AE39" s="4987"/>
      <c r="AF39" s="4987"/>
      <c r="AG39" s="4987"/>
      <c r="AH39" s="4989"/>
      <c r="AI39" s="4989"/>
      <c r="AJ39" s="4989"/>
      <c r="AK39" s="3048"/>
      <c r="AL39" s="3046"/>
      <c r="AM39" s="1803" t="s">
        <v>9020</v>
      </c>
      <c r="AN39" s="1885"/>
    </row>
    <row r="40" spans="1:40" ht="12" customHeight="1" x14ac:dyDescent="0.2">
      <c r="A40" s="2380"/>
      <c r="B40" s="2724"/>
      <c r="C40" s="68"/>
      <c r="D40" s="4980"/>
      <c r="E40" s="4981"/>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970" t="s">
        <v>2188</v>
      </c>
      <c r="W40" s="4970"/>
      <c r="X40" s="4970"/>
      <c r="Y40" s="4994"/>
      <c r="Z40" s="4994"/>
      <c r="AA40" s="4994"/>
      <c r="AB40" s="4988"/>
      <c r="AC40" s="4988"/>
      <c r="AD40" s="4988"/>
      <c r="AE40" s="4988"/>
      <c r="AF40" s="4988"/>
      <c r="AG40" s="4988"/>
      <c r="AH40" s="4968"/>
      <c r="AI40" s="4968"/>
      <c r="AJ40" s="4968"/>
      <c r="AK40" s="3048"/>
      <c r="AL40" s="3046"/>
      <c r="AM40" s="3026" t="s">
        <v>9021</v>
      </c>
      <c r="AN40" s="3026" t="s">
        <v>8465</v>
      </c>
    </row>
    <row r="41" spans="1:40" ht="12" customHeight="1" thickBot="1" x14ac:dyDescent="0.25">
      <c r="A41" s="2380"/>
      <c r="B41" s="2724"/>
      <c r="C41" s="100"/>
      <c r="D41" s="3152"/>
      <c r="E41" s="4982"/>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941" t="s">
        <v>2189</v>
      </c>
      <c r="W41" s="4941"/>
      <c r="X41" s="4941"/>
      <c r="Y41" s="4986"/>
      <c r="Z41" s="4986"/>
      <c r="AA41" s="4986"/>
      <c r="AB41" s="4987"/>
      <c r="AC41" s="4987"/>
      <c r="AD41" s="4987"/>
      <c r="AE41" s="4987"/>
      <c r="AF41" s="4987"/>
      <c r="AG41" s="4987"/>
      <c r="AH41" s="4989"/>
      <c r="AI41" s="4989"/>
      <c r="AJ41" s="4989"/>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102" t="s">
        <v>2190</v>
      </c>
      <c r="W42" s="4961"/>
      <c r="X42" s="4962"/>
      <c r="Y42" s="4956"/>
      <c r="Z42" s="4957"/>
      <c r="AA42" s="4967"/>
      <c r="AB42" s="4956"/>
      <c r="AC42" s="4957"/>
      <c r="AD42" s="4967"/>
      <c r="AE42" s="4956"/>
      <c r="AF42" s="4957"/>
      <c r="AG42" s="4967"/>
      <c r="AH42" s="4956"/>
      <c r="AI42" s="4957"/>
      <c r="AJ42" s="4958"/>
      <c r="AK42" s="3048"/>
      <c r="AL42" s="3046"/>
      <c r="AM42" s="3051" t="s">
        <v>9023</v>
      </c>
      <c r="AN42" s="3051" t="s">
        <v>3187</v>
      </c>
    </row>
    <row r="43" spans="1:40" ht="12" customHeight="1" x14ac:dyDescent="0.2">
      <c r="A43" s="2380"/>
      <c r="B43" s="2724"/>
      <c r="C43" s="4847" t="s">
        <v>9428</v>
      </c>
      <c r="D43" s="4792" t="s">
        <v>1628</v>
      </c>
      <c r="E43" s="4793"/>
      <c r="F43" s="4798"/>
      <c r="G43" s="4798"/>
      <c r="H43" s="4798"/>
      <c r="I43" s="4798"/>
      <c r="J43" s="4798"/>
      <c r="K43" s="4798"/>
      <c r="L43" s="4798"/>
      <c r="M43" s="4798"/>
      <c r="N43" s="4798"/>
      <c r="O43" s="4798"/>
      <c r="P43" s="4798"/>
      <c r="Q43" s="4799"/>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848"/>
      <c r="D44" s="3206" t="s">
        <v>9436</v>
      </c>
      <c r="E44" s="3206"/>
      <c r="F44" s="3206"/>
      <c r="G44" s="2656" t="s">
        <v>2159</v>
      </c>
      <c r="H44" s="2647" t="s">
        <v>1804</v>
      </c>
      <c r="I44" s="3202" t="s">
        <v>1866</v>
      </c>
      <c r="J44" s="3206"/>
      <c r="K44" s="3206"/>
      <c r="L44" s="3206"/>
      <c r="M44" s="3206"/>
      <c r="N44" s="3206"/>
      <c r="O44" s="3206"/>
      <c r="P44" s="3206"/>
      <c r="Q44" s="3203"/>
      <c r="R44" s="2725"/>
      <c r="S44" s="2662"/>
      <c r="T44" s="2380"/>
      <c r="U44" s="2382"/>
      <c r="AK44" s="3048"/>
      <c r="AL44" s="3046"/>
    </row>
    <row r="45" spans="1:40" ht="12" customHeight="1" x14ac:dyDescent="0.2">
      <c r="A45" s="2380"/>
      <c r="B45" s="2724"/>
      <c r="C45" s="4848"/>
      <c r="D45" s="4794"/>
      <c r="E45" s="4795"/>
      <c r="F45" s="4796"/>
      <c r="G45" s="2720"/>
      <c r="H45" s="2721"/>
      <c r="I45" s="4850"/>
      <c r="J45" s="4850"/>
      <c r="K45" s="4850"/>
      <c r="L45" s="4850"/>
      <c r="M45" s="4850"/>
      <c r="N45" s="4850"/>
      <c r="O45" s="4850"/>
      <c r="P45" s="4850"/>
      <c r="Q45" s="4851"/>
      <c r="R45" s="2725"/>
      <c r="S45" s="2662"/>
      <c r="T45" s="2380"/>
      <c r="U45" s="2382"/>
      <c r="V45" s="4875" t="s">
        <v>9224</v>
      </c>
      <c r="W45" s="4876"/>
      <c r="X45" s="4876"/>
      <c r="Y45" s="4876"/>
      <c r="Z45" s="4876"/>
      <c r="AA45" s="4876"/>
      <c r="AB45" s="4876"/>
      <c r="AC45" s="4876"/>
      <c r="AD45" s="4876"/>
      <c r="AE45" s="4876"/>
      <c r="AF45" s="4876"/>
      <c r="AG45" s="4876"/>
      <c r="AH45" s="4876"/>
      <c r="AI45" s="4876"/>
      <c r="AJ45" s="4877"/>
      <c r="AK45" s="3048"/>
      <c r="AL45" s="3046"/>
    </row>
    <row r="46" spans="1:40" ht="12" customHeight="1" thickBot="1" x14ac:dyDescent="0.25">
      <c r="A46" s="2380"/>
      <c r="B46" s="2724"/>
      <c r="C46" s="4848"/>
      <c r="D46" s="4794"/>
      <c r="E46" s="4795"/>
      <c r="F46" s="4796"/>
      <c r="G46" s="2720"/>
      <c r="H46" s="2721"/>
      <c r="I46" s="4770"/>
      <c r="J46" s="4770"/>
      <c r="K46" s="4770"/>
      <c r="L46" s="4770"/>
      <c r="M46" s="4770"/>
      <c r="N46" s="4770"/>
      <c r="O46" s="4770"/>
      <c r="P46" s="4770"/>
      <c r="Q46" s="4771"/>
      <c r="R46" s="2725"/>
      <c r="S46" s="2662"/>
      <c r="T46" s="2380"/>
      <c r="U46" s="2382"/>
      <c r="V46" s="3730"/>
      <c r="W46" s="3731"/>
      <c r="X46" s="3731"/>
      <c r="Y46" s="3731"/>
      <c r="Z46" s="3731"/>
      <c r="AA46" s="3731"/>
      <c r="AB46" s="3731"/>
      <c r="AC46" s="3731"/>
      <c r="AD46" s="3731"/>
      <c r="AE46" s="3731"/>
      <c r="AF46" s="3731"/>
      <c r="AG46" s="3731"/>
      <c r="AH46" s="3731"/>
      <c r="AI46" s="3731"/>
      <c r="AJ46" s="3732"/>
      <c r="AK46" s="3048"/>
      <c r="AL46" s="3046"/>
    </row>
    <row r="47" spans="1:40" ht="12" customHeight="1" thickBot="1" x14ac:dyDescent="0.25">
      <c r="A47" s="2380"/>
      <c r="B47" s="2724"/>
      <c r="C47" s="4848"/>
      <c r="D47" s="4794"/>
      <c r="E47" s="4795"/>
      <c r="F47" s="4796"/>
      <c r="G47" s="2720"/>
      <c r="H47" s="2721"/>
      <c r="I47" s="4770"/>
      <c r="J47" s="4770"/>
      <c r="K47" s="4770"/>
      <c r="L47" s="4770"/>
      <c r="M47" s="4770"/>
      <c r="N47" s="4770"/>
      <c r="O47" s="4770"/>
      <c r="P47" s="4770"/>
      <c r="Q47" s="4771"/>
      <c r="R47" s="2725"/>
      <c r="S47" s="2662"/>
      <c r="T47" s="2380"/>
      <c r="U47" s="2382"/>
      <c r="AK47" s="3048"/>
      <c r="AL47" s="3046"/>
    </row>
    <row r="48" spans="1:40" ht="12" customHeight="1" thickBot="1" x14ac:dyDescent="0.25">
      <c r="A48" s="2380"/>
      <c r="B48" s="2724"/>
      <c r="C48" s="4848"/>
      <c r="D48" s="4794"/>
      <c r="E48" s="4795"/>
      <c r="F48" s="4796"/>
      <c r="G48" s="2720"/>
      <c r="H48" s="2721"/>
      <c r="I48" s="4770"/>
      <c r="J48" s="4770"/>
      <c r="K48" s="4770"/>
      <c r="L48" s="4770"/>
      <c r="M48" s="4770"/>
      <c r="N48" s="4770"/>
      <c r="O48" s="4770"/>
      <c r="P48" s="4770"/>
      <c r="Q48" s="4771"/>
      <c r="R48" s="2725"/>
      <c r="S48" s="2662"/>
      <c r="T48" s="2380"/>
      <c r="U48" s="2382"/>
      <c r="V48" s="3183" t="s">
        <v>2170</v>
      </c>
      <c r="W48" s="3183"/>
      <c r="X48" s="3183"/>
      <c r="Y48" s="3183"/>
      <c r="Z48" s="3183"/>
      <c r="AA48" s="3183"/>
      <c r="AB48" s="3183"/>
      <c r="AC48" s="3183"/>
      <c r="AE48" s="3183" t="s">
        <v>2171</v>
      </c>
      <c r="AF48" s="3183"/>
      <c r="AG48" s="3183"/>
      <c r="AH48" s="3183"/>
      <c r="AI48" s="3183"/>
      <c r="AJ48" s="3183"/>
      <c r="AK48" s="3048"/>
      <c r="AL48" s="3046"/>
    </row>
    <row r="49" spans="1:48" ht="12" customHeight="1" x14ac:dyDescent="0.2">
      <c r="A49" s="2380"/>
      <c r="B49" s="2724"/>
      <c r="C49" s="4848"/>
      <c r="D49" s="4794"/>
      <c r="E49" s="4795"/>
      <c r="F49" s="4796"/>
      <c r="G49" s="2720"/>
      <c r="H49" s="2721"/>
      <c r="I49" s="4770"/>
      <c r="J49" s="4770"/>
      <c r="K49" s="4770"/>
      <c r="L49" s="4770"/>
      <c r="M49" s="4770"/>
      <c r="N49" s="4770"/>
      <c r="O49" s="4770"/>
      <c r="P49" s="4770"/>
      <c r="Q49" s="4771"/>
      <c r="R49" s="2725"/>
      <c r="S49" s="2662"/>
      <c r="T49" s="2380"/>
      <c r="U49" s="2382"/>
      <c r="V49" s="4046" t="s">
        <v>1754</v>
      </c>
      <c r="W49" s="4046"/>
      <c r="X49" s="4046"/>
      <c r="Y49" s="4046"/>
      <c r="Z49" s="4046"/>
      <c r="AA49" s="4046"/>
      <c r="AB49" s="20" t="s">
        <v>2048</v>
      </c>
      <c r="AC49" s="25" t="s">
        <v>1824</v>
      </c>
      <c r="AE49" s="393" t="s">
        <v>1967</v>
      </c>
      <c r="AF49" s="3326" t="s">
        <v>2023</v>
      </c>
      <c r="AG49" s="3326"/>
      <c r="AH49" s="3326"/>
      <c r="AI49" s="3326"/>
      <c r="AJ49" s="1" t="s">
        <v>1715</v>
      </c>
      <c r="AK49" s="3048"/>
      <c r="AL49" s="3046"/>
    </row>
    <row r="50" spans="1:48" ht="12" customHeight="1" x14ac:dyDescent="0.2">
      <c r="A50" s="2380"/>
      <c r="B50" s="2724"/>
      <c r="C50" s="4848"/>
      <c r="D50" s="4794"/>
      <c r="E50" s="4795"/>
      <c r="F50" s="4796"/>
      <c r="G50" s="2720"/>
      <c r="H50" s="2721"/>
      <c r="I50" s="4770"/>
      <c r="J50" s="4770"/>
      <c r="K50" s="4770"/>
      <c r="L50" s="4770"/>
      <c r="M50" s="4770"/>
      <c r="N50" s="4770"/>
      <c r="O50" s="4770"/>
      <c r="P50" s="4770"/>
      <c r="Q50" s="4771"/>
      <c r="R50" s="2725"/>
      <c r="S50" s="2662"/>
      <c r="T50" s="2380"/>
      <c r="U50" s="2382"/>
      <c r="V50" s="4105"/>
      <c r="W50" s="4105"/>
      <c r="X50" s="4105"/>
      <c r="Y50" s="4105"/>
      <c r="Z50" s="4105"/>
      <c r="AA50" s="4105"/>
      <c r="AB50" s="144"/>
      <c r="AC50" s="27"/>
      <c r="AE50" s="394">
        <f>IF(Metamagia!X15=1,30,0)</f>
        <v>0</v>
      </c>
      <c r="AF50" s="4952"/>
      <c r="AG50" s="4952"/>
      <c r="AH50" s="4952"/>
      <c r="AI50" s="4952"/>
      <c r="AJ50" s="74" t="str">
        <f>IF(AF50=0,"",VLOOKUP(AF50,Tablas!$E$1129:$G$1803,2,FALSE))</f>
        <v/>
      </c>
      <c r="AK50" s="3048"/>
      <c r="AL50" s="3046"/>
    </row>
    <row r="51" spans="1:48" ht="12" customHeight="1" x14ac:dyDescent="0.2">
      <c r="A51" s="2380"/>
      <c r="B51" s="2724"/>
      <c r="C51" s="4848"/>
      <c r="D51" s="4794"/>
      <c r="E51" s="4795"/>
      <c r="F51" s="4796"/>
      <c r="G51" s="2720"/>
      <c r="H51" s="2721"/>
      <c r="I51" s="4770"/>
      <c r="J51" s="4770"/>
      <c r="K51" s="4770"/>
      <c r="L51" s="4770"/>
      <c r="M51" s="4770"/>
      <c r="N51" s="4770"/>
      <c r="O51" s="4770"/>
      <c r="P51" s="4770"/>
      <c r="Q51" s="4771"/>
      <c r="R51" s="2725"/>
      <c r="S51" s="2662"/>
      <c r="T51" s="2380"/>
      <c r="U51" s="2382"/>
      <c r="V51" s="4752"/>
      <c r="W51" s="4752"/>
      <c r="X51" s="4752"/>
      <c r="Y51" s="4752"/>
      <c r="Z51" s="4752"/>
      <c r="AA51" s="4752"/>
      <c r="AB51" s="395"/>
      <c r="AC51" s="396"/>
      <c r="AE51" s="397">
        <f>IF(Metamagia!AD15=1,30,0)</f>
        <v>0</v>
      </c>
      <c r="AF51" s="4835"/>
      <c r="AG51" s="4835"/>
      <c r="AH51" s="4835"/>
      <c r="AI51" s="4835"/>
      <c r="AJ51" s="177" t="str">
        <f>IF(AF51=0,"",VLOOKUP(AF51,Tablas!$E$1129:$G$1803,2,FALSE))</f>
        <v/>
      </c>
      <c r="AK51" s="3048"/>
      <c r="AL51" s="3046"/>
    </row>
    <row r="52" spans="1:48" ht="12" customHeight="1" x14ac:dyDescent="0.2">
      <c r="A52" s="2380"/>
      <c r="B52" s="2724"/>
      <c r="C52" s="4848"/>
      <c r="D52" s="4794"/>
      <c r="E52" s="4795"/>
      <c r="F52" s="4796"/>
      <c r="G52" s="2720"/>
      <c r="H52" s="2721"/>
      <c r="I52" s="4770"/>
      <c r="J52" s="4770"/>
      <c r="K52" s="4770"/>
      <c r="L52" s="4770"/>
      <c r="M52" s="4770"/>
      <c r="N52" s="4770"/>
      <c r="O52" s="4770"/>
      <c r="P52" s="4770"/>
      <c r="Q52" s="4771"/>
      <c r="R52" s="2725"/>
      <c r="S52" s="2662"/>
      <c r="T52" s="2380"/>
      <c r="U52" s="2382"/>
      <c r="V52" s="4064"/>
      <c r="W52" s="4064"/>
      <c r="X52" s="4064"/>
      <c r="Y52" s="4064"/>
      <c r="Z52" s="4064"/>
      <c r="AA52" s="4064"/>
      <c r="AB52" s="144"/>
      <c r="AC52" s="27"/>
      <c r="AE52" s="398">
        <f>IF(Metamagia!R29=1,50,0)</f>
        <v>0</v>
      </c>
      <c r="AF52" s="4833"/>
      <c r="AG52" s="4833"/>
      <c r="AH52" s="4833"/>
      <c r="AI52" s="4833"/>
      <c r="AJ52" s="74" t="str">
        <f>IF(AF52=0,"",VLOOKUP(AF52,Tablas!$E$1129:$G$1803,2,FALSE))</f>
        <v/>
      </c>
      <c r="AK52" s="3048"/>
      <c r="AL52" s="3046"/>
    </row>
    <row r="53" spans="1:48" ht="12" customHeight="1" x14ac:dyDescent="0.2">
      <c r="A53" s="2380"/>
      <c r="B53" s="2724"/>
      <c r="C53" s="4848"/>
      <c r="D53" s="4794"/>
      <c r="E53" s="4795"/>
      <c r="F53" s="4796"/>
      <c r="G53" s="2720"/>
      <c r="H53" s="2721"/>
      <c r="I53" s="4770"/>
      <c r="J53" s="4770"/>
      <c r="K53" s="4770"/>
      <c r="L53" s="4770"/>
      <c r="M53" s="4770"/>
      <c r="N53" s="4770"/>
      <c r="O53" s="4770"/>
      <c r="P53" s="4770"/>
      <c r="Q53" s="4771"/>
      <c r="R53" s="2725"/>
      <c r="S53" s="2662"/>
      <c r="T53" s="2380"/>
      <c r="U53" s="2382"/>
      <c r="V53" s="4752"/>
      <c r="W53" s="4752"/>
      <c r="X53" s="4752"/>
      <c r="Y53" s="4752"/>
      <c r="Z53" s="4752"/>
      <c r="AA53" s="4752"/>
      <c r="AB53" s="395"/>
      <c r="AC53" s="396"/>
      <c r="AE53" s="397">
        <f>IF(Metamagia!AG24=1,60,0)</f>
        <v>0</v>
      </c>
      <c r="AF53" s="4835"/>
      <c r="AG53" s="4835"/>
      <c r="AH53" s="4835"/>
      <c r="AI53" s="4835"/>
      <c r="AJ53" s="177" t="str">
        <f>IF(AF53=0,"",VLOOKUP(AF53,Tablas!$E$1129:$G$1803,2,FALSE))</f>
        <v/>
      </c>
      <c r="AK53" s="3048"/>
      <c r="AL53" s="3046"/>
      <c r="AR53" s="2385"/>
      <c r="AS53" s="291"/>
      <c r="AT53" s="291"/>
      <c r="AU53" s="291"/>
      <c r="AV53" s="291"/>
    </row>
    <row r="54" spans="1:48" ht="12" customHeight="1" thickBot="1" x14ac:dyDescent="0.25">
      <c r="A54" s="2380"/>
      <c r="B54" s="2724"/>
      <c r="C54" s="4849"/>
      <c r="D54" s="4797"/>
      <c r="E54" s="4795"/>
      <c r="F54" s="4796"/>
      <c r="G54" s="2720"/>
      <c r="H54" s="2721"/>
      <c r="I54" s="4770"/>
      <c r="J54" s="4770"/>
      <c r="K54" s="4770"/>
      <c r="L54" s="4770"/>
      <c r="M54" s="4770"/>
      <c r="N54" s="4770"/>
      <c r="O54" s="4770"/>
      <c r="P54" s="4785"/>
      <c r="Q54" s="4786"/>
      <c r="R54" s="2725"/>
      <c r="S54" s="2662"/>
      <c r="T54" s="2380"/>
      <c r="U54" s="2382"/>
      <c r="V54" s="4064"/>
      <c r="W54" s="4064"/>
      <c r="X54" s="4064"/>
      <c r="Y54" s="4064"/>
      <c r="Z54" s="4064"/>
      <c r="AA54" s="4064"/>
      <c r="AB54" s="144"/>
      <c r="AC54" s="27"/>
      <c r="AE54" s="398">
        <f>IF(Metamagia!X24=1,60,0)</f>
        <v>0</v>
      </c>
      <c r="AF54" s="4833"/>
      <c r="AG54" s="4833"/>
      <c r="AH54" s="4833"/>
      <c r="AI54" s="4833"/>
      <c r="AJ54" s="74" t="str">
        <f>IF(AF54=0,"",VLOOKUP(AF54,Tablas!$E$1129:$G$1803,2,FALSE))</f>
        <v/>
      </c>
      <c r="AK54" s="3048"/>
      <c r="AL54" s="3046"/>
      <c r="AR54" s="2385"/>
      <c r="AS54" s="291"/>
      <c r="AT54" s="291"/>
      <c r="AU54" s="291"/>
      <c r="AV54" s="291"/>
    </row>
    <row r="55" spans="1:48" ht="12" customHeight="1" x14ac:dyDescent="0.2">
      <c r="A55" s="2380"/>
      <c r="B55" s="2724"/>
      <c r="C55" s="2664"/>
      <c r="D55" s="2664"/>
      <c r="E55" s="4787" t="s">
        <v>8565</v>
      </c>
      <c r="F55" s="4788"/>
      <c r="G55" s="4788"/>
      <c r="H55" s="4788"/>
      <c r="I55" s="4788"/>
      <c r="J55" s="4788"/>
      <c r="K55" s="4789"/>
      <c r="L55" s="4790" t="s">
        <v>8567</v>
      </c>
      <c r="M55" s="4790"/>
      <c r="N55" s="4790"/>
      <c r="O55" s="4791"/>
      <c r="P55" s="2377"/>
      <c r="Q55" s="2377"/>
      <c r="R55" s="2725"/>
      <c r="S55" s="2662"/>
      <c r="T55" s="2380"/>
      <c r="U55" s="2382"/>
      <c r="V55" s="4752"/>
      <c r="W55" s="4752"/>
      <c r="X55" s="4752"/>
      <c r="Y55" s="4752"/>
      <c r="Z55" s="4752"/>
      <c r="AA55" s="4752"/>
      <c r="AB55" s="395"/>
      <c r="AC55" s="396"/>
      <c r="AE55" s="397">
        <f>IF(Metamagia!AG39=1,70,0)</f>
        <v>0</v>
      </c>
      <c r="AF55" s="4835"/>
      <c r="AG55" s="4835"/>
      <c r="AH55" s="4835"/>
      <c r="AI55" s="4835"/>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774"/>
      <c r="F56" s="4775"/>
      <c r="G56" s="4775"/>
      <c r="H56" s="4775"/>
      <c r="I56" s="4775"/>
      <c r="J56" s="4776"/>
      <c r="K56" s="3043"/>
      <c r="L56" s="4772"/>
      <c r="M56" s="4772"/>
      <c r="N56" s="4772"/>
      <c r="O56" s="4768"/>
      <c r="P56" s="2377"/>
      <c r="Q56" s="2377"/>
      <c r="R56" s="2725"/>
      <c r="S56" s="2662"/>
      <c r="T56" s="2380"/>
      <c r="U56" s="2382"/>
      <c r="V56" s="4963"/>
      <c r="W56" s="4963"/>
      <c r="X56" s="4963"/>
      <c r="Y56" s="4963"/>
      <c r="Z56" s="4963"/>
      <c r="AA56" s="4963"/>
      <c r="AB56" s="189"/>
      <c r="AC56" s="28"/>
      <c r="AE56" s="401">
        <f>IF(Metamagia!AA29=1,80,0)</f>
        <v>0</v>
      </c>
      <c r="AF56" s="4949"/>
      <c r="AG56" s="4949"/>
      <c r="AH56" s="4949"/>
      <c r="AI56" s="4949"/>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777"/>
      <c r="F57" s="4778"/>
      <c r="G57" s="4778"/>
      <c r="H57" s="4778"/>
      <c r="I57" s="4778"/>
      <c r="J57" s="4779"/>
      <c r="K57" s="3044"/>
      <c r="L57" s="4772"/>
      <c r="M57" s="4772"/>
      <c r="N57" s="4772"/>
      <c r="O57" s="4768"/>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777"/>
      <c r="F58" s="4778"/>
      <c r="G58" s="4778"/>
      <c r="H58" s="4778"/>
      <c r="I58" s="4778"/>
      <c r="J58" s="4779"/>
      <c r="K58" s="3044"/>
      <c r="L58" s="4772"/>
      <c r="M58" s="4772"/>
      <c r="N58" s="4772"/>
      <c r="O58" s="4768"/>
      <c r="P58" s="2377"/>
      <c r="Q58" s="2377"/>
      <c r="R58" s="2725"/>
      <c r="S58" s="2662"/>
      <c r="T58" s="2380"/>
      <c r="U58" s="2382"/>
      <c r="V58" s="4953" t="s">
        <v>2179</v>
      </c>
      <c r="W58" s="3723" t="s">
        <v>2180</v>
      </c>
      <c r="X58" s="3723"/>
      <c r="Y58" s="3723"/>
      <c r="Z58" s="3723"/>
      <c r="AA58" s="3723"/>
      <c r="AB58" s="97" t="s">
        <v>1804</v>
      </c>
      <c r="AC58" s="262" t="s">
        <v>2181</v>
      </c>
      <c r="AD58" s="4187" t="s">
        <v>1866</v>
      </c>
      <c r="AE58" s="4187"/>
      <c r="AF58" s="4187"/>
      <c r="AG58" s="4187"/>
      <c r="AH58" s="4187"/>
      <c r="AI58" s="4187"/>
      <c r="AJ58" s="4187"/>
      <c r="AK58" s="3048"/>
      <c r="AL58" s="3046"/>
    </row>
    <row r="59" spans="1:48" ht="12" customHeight="1" x14ac:dyDescent="0.2">
      <c r="A59" s="2380"/>
      <c r="B59" s="2724"/>
      <c r="C59" s="2377"/>
      <c r="D59" s="2664"/>
      <c r="E59" s="4777"/>
      <c r="F59" s="4778"/>
      <c r="G59" s="4778"/>
      <c r="H59" s="4778"/>
      <c r="I59" s="4778"/>
      <c r="J59" s="4779"/>
      <c r="K59" s="3044"/>
      <c r="L59" s="4772"/>
      <c r="M59" s="4772"/>
      <c r="N59" s="4772"/>
      <c r="O59" s="4768"/>
      <c r="P59" s="2377"/>
      <c r="Q59" s="2377"/>
      <c r="R59" s="2725"/>
      <c r="S59" s="2662"/>
      <c r="T59" s="2380"/>
      <c r="U59" s="2382"/>
      <c r="V59" s="4954"/>
      <c r="W59" s="4948"/>
      <c r="X59" s="4948"/>
      <c r="Y59" s="4948"/>
      <c r="Z59" s="4948"/>
      <c r="AA59" s="4948"/>
      <c r="AB59" s="404"/>
      <c r="AC59" s="404"/>
      <c r="AD59" s="4951"/>
      <c r="AE59" s="4951"/>
      <c r="AF59" s="4951"/>
      <c r="AG59" s="4951"/>
      <c r="AH59" s="4951"/>
      <c r="AI59" s="4951"/>
      <c r="AJ59" s="4951"/>
      <c r="AK59" s="3048"/>
      <c r="AL59" s="3046"/>
    </row>
    <row r="60" spans="1:48" ht="12" customHeight="1" x14ac:dyDescent="0.2">
      <c r="A60" s="2380"/>
      <c r="B60" s="2724"/>
      <c r="C60" s="2377"/>
      <c r="D60" s="2664"/>
      <c r="E60" s="4777"/>
      <c r="F60" s="4778"/>
      <c r="G60" s="4778"/>
      <c r="H60" s="4778"/>
      <c r="I60" s="4778"/>
      <c r="J60" s="4779"/>
      <c r="K60" s="3044"/>
      <c r="L60" s="4772"/>
      <c r="M60" s="4772"/>
      <c r="N60" s="4772"/>
      <c r="O60" s="4768"/>
      <c r="P60" s="2377"/>
      <c r="Q60" s="2377"/>
      <c r="R60" s="2725"/>
      <c r="S60" s="2662"/>
      <c r="T60" s="2380"/>
      <c r="U60" s="2382"/>
      <c r="V60" s="4954"/>
      <c r="W60" s="4964" t="s">
        <v>2184</v>
      </c>
      <c r="X60" s="4964"/>
      <c r="Y60" s="4965"/>
      <c r="Z60" s="4965"/>
      <c r="AA60" s="4965"/>
      <c r="AB60" s="4965"/>
      <c r="AC60" s="4965"/>
      <c r="AD60" s="4965"/>
      <c r="AE60" s="4965"/>
      <c r="AF60" s="4965"/>
      <c r="AG60" s="4965"/>
      <c r="AH60" s="4965"/>
      <c r="AI60" s="4965"/>
      <c r="AJ60" s="4965"/>
      <c r="AK60" s="3048"/>
      <c r="AL60" s="3046"/>
    </row>
    <row r="61" spans="1:48" ht="12" customHeight="1" thickBot="1" x14ac:dyDescent="0.25">
      <c r="A61" s="2380"/>
      <c r="B61" s="2724"/>
      <c r="C61" s="2377"/>
      <c r="D61" s="2664"/>
      <c r="E61" s="4777"/>
      <c r="F61" s="4778"/>
      <c r="G61" s="4778"/>
      <c r="H61" s="4778"/>
      <c r="I61" s="4778"/>
      <c r="J61" s="4779"/>
      <c r="K61" s="3044"/>
      <c r="L61" s="4772"/>
      <c r="M61" s="4772"/>
      <c r="N61" s="4772"/>
      <c r="O61" s="4768"/>
      <c r="P61" s="2377"/>
      <c r="Q61" s="2377"/>
      <c r="R61" s="2725"/>
      <c r="S61" s="2662"/>
      <c r="T61" s="2380"/>
      <c r="U61" s="2382"/>
      <c r="V61" s="4954"/>
      <c r="W61" s="3994" t="s">
        <v>2185</v>
      </c>
      <c r="X61" s="3994"/>
      <c r="Y61" s="4966"/>
      <c r="Z61" s="4966"/>
      <c r="AA61" s="4966"/>
      <c r="AB61" s="4966"/>
      <c r="AC61" s="4966"/>
      <c r="AD61" s="4966"/>
      <c r="AE61" s="4966"/>
      <c r="AF61" s="4966"/>
      <c r="AG61" s="4966"/>
      <c r="AH61" s="4966"/>
      <c r="AI61" s="4966"/>
      <c r="AJ61" s="4966"/>
      <c r="AK61" s="3048"/>
      <c r="AL61" s="3046"/>
    </row>
    <row r="62" spans="1:48" ht="12" customHeight="1" x14ac:dyDescent="0.2">
      <c r="A62" s="2380"/>
      <c r="B62" s="2724"/>
      <c r="C62" s="2664"/>
      <c r="D62" s="2664"/>
      <c r="E62" s="4777"/>
      <c r="F62" s="4778"/>
      <c r="G62" s="4778"/>
      <c r="H62" s="4778"/>
      <c r="I62" s="4778"/>
      <c r="J62" s="4779"/>
      <c r="K62" s="3044"/>
      <c r="L62" s="4772"/>
      <c r="M62" s="4772"/>
      <c r="N62" s="4772"/>
      <c r="O62" s="4768"/>
      <c r="P62" s="2377"/>
      <c r="Q62" s="2377"/>
      <c r="R62" s="2725"/>
      <c r="S62" s="2662"/>
      <c r="T62" s="2380"/>
      <c r="U62" s="2382"/>
      <c r="V62" s="4954"/>
      <c r="W62" s="3723" t="s">
        <v>2180</v>
      </c>
      <c r="X62" s="3723"/>
      <c r="Y62" s="3723"/>
      <c r="Z62" s="3723"/>
      <c r="AA62" s="3723"/>
      <c r="AB62" s="97" t="s">
        <v>1804</v>
      </c>
      <c r="AC62" s="262" t="s">
        <v>2181</v>
      </c>
      <c r="AD62" s="4187" t="s">
        <v>1866</v>
      </c>
      <c r="AE62" s="4187"/>
      <c r="AF62" s="4187"/>
      <c r="AG62" s="4187"/>
      <c r="AH62" s="4187"/>
      <c r="AI62" s="4187"/>
      <c r="AJ62" s="4187"/>
      <c r="AK62" s="3048"/>
      <c r="AL62" s="3046"/>
    </row>
    <row r="63" spans="1:48" ht="12" customHeight="1" x14ac:dyDescent="0.2">
      <c r="A63" s="2380"/>
      <c r="B63" s="2724"/>
      <c r="C63" s="2664"/>
      <c r="D63" s="2664"/>
      <c r="E63" s="4783" t="s">
        <v>8566</v>
      </c>
      <c r="F63" s="4784"/>
      <c r="G63" s="4784"/>
      <c r="H63" s="4784"/>
      <c r="I63" s="4784"/>
      <c r="J63" s="4784"/>
      <c r="K63" s="4784"/>
      <c r="L63" s="4772"/>
      <c r="M63" s="4772"/>
      <c r="N63" s="4772"/>
      <c r="O63" s="4768"/>
      <c r="P63" s="2377"/>
      <c r="Q63" s="2377"/>
      <c r="R63" s="2725"/>
      <c r="S63" s="2662"/>
      <c r="T63" s="2380"/>
      <c r="U63" s="2382"/>
      <c r="V63" s="4954"/>
      <c r="W63" s="4948"/>
      <c r="X63" s="4948"/>
      <c r="Y63" s="4948"/>
      <c r="Z63" s="4948"/>
      <c r="AA63" s="4948"/>
      <c r="AB63" s="404"/>
      <c r="AC63" s="404"/>
      <c r="AD63" s="4951"/>
      <c r="AE63" s="4951"/>
      <c r="AF63" s="4951"/>
      <c r="AG63" s="4951"/>
      <c r="AH63" s="4951"/>
      <c r="AI63" s="4951"/>
      <c r="AJ63" s="4951"/>
      <c r="AK63" s="3048"/>
      <c r="AL63" s="3046"/>
    </row>
    <row r="64" spans="1:48" ht="12" customHeight="1" x14ac:dyDescent="0.2">
      <c r="A64" s="2380"/>
      <c r="B64" s="2724"/>
      <c r="C64" s="2664"/>
      <c r="D64" s="2664"/>
      <c r="E64" s="4774"/>
      <c r="F64" s="4775"/>
      <c r="G64" s="4775"/>
      <c r="H64" s="4775"/>
      <c r="I64" s="4775"/>
      <c r="J64" s="4776"/>
      <c r="K64" s="3043"/>
      <c r="L64" s="4772"/>
      <c r="M64" s="4772"/>
      <c r="N64" s="4772"/>
      <c r="O64" s="4768"/>
      <c r="P64" s="2377"/>
      <c r="Q64" s="2377"/>
      <c r="R64" s="2725"/>
      <c r="S64" s="2662"/>
      <c r="T64" s="2380"/>
      <c r="U64" s="2382"/>
      <c r="V64" s="4954"/>
      <c r="W64" s="4964" t="s">
        <v>2184</v>
      </c>
      <c r="X64" s="4964"/>
      <c r="Y64" s="4965"/>
      <c r="Z64" s="4965"/>
      <c r="AA64" s="4965"/>
      <c r="AB64" s="4965"/>
      <c r="AC64" s="4965"/>
      <c r="AD64" s="4965"/>
      <c r="AE64" s="4965"/>
      <c r="AF64" s="4965"/>
      <c r="AG64" s="4965"/>
      <c r="AH64" s="4965"/>
      <c r="AI64" s="4965"/>
      <c r="AJ64" s="4965"/>
      <c r="AK64" s="3048"/>
      <c r="AL64" s="3046"/>
    </row>
    <row r="65" spans="1:38" ht="12" customHeight="1" thickBot="1" x14ac:dyDescent="0.25">
      <c r="A65" s="2380"/>
      <c r="B65" s="2724"/>
      <c r="C65" s="2664"/>
      <c r="D65" s="2664"/>
      <c r="E65" s="4777"/>
      <c r="F65" s="4778"/>
      <c r="G65" s="4778"/>
      <c r="H65" s="4778"/>
      <c r="I65" s="4778"/>
      <c r="J65" s="4779"/>
      <c r="K65" s="3044"/>
      <c r="L65" s="4772"/>
      <c r="M65" s="4772"/>
      <c r="N65" s="4772"/>
      <c r="O65" s="4768"/>
      <c r="P65" s="2377"/>
      <c r="Q65" s="2377"/>
      <c r="R65" s="2725"/>
      <c r="S65" s="2662"/>
      <c r="T65" s="2380"/>
      <c r="U65" s="2382"/>
      <c r="V65" s="4955"/>
      <c r="W65" s="3994" t="s">
        <v>2185</v>
      </c>
      <c r="X65" s="3994"/>
      <c r="Y65" s="4966"/>
      <c r="Z65" s="4966"/>
      <c r="AA65" s="4966"/>
      <c r="AB65" s="4966"/>
      <c r="AC65" s="4966"/>
      <c r="AD65" s="4966"/>
      <c r="AE65" s="4966"/>
      <c r="AF65" s="4966"/>
      <c r="AG65" s="4966"/>
      <c r="AH65" s="4966"/>
      <c r="AI65" s="4966"/>
      <c r="AJ65" s="4966"/>
      <c r="AK65" s="3048"/>
      <c r="AL65" s="3046"/>
    </row>
    <row r="66" spans="1:38" ht="12" customHeight="1" x14ac:dyDescent="0.2">
      <c r="A66" s="2380"/>
      <c r="B66" s="2724"/>
      <c r="C66" s="2664"/>
      <c r="D66" s="2664"/>
      <c r="E66" s="4777"/>
      <c r="F66" s="4778"/>
      <c r="G66" s="4778"/>
      <c r="H66" s="4778"/>
      <c r="I66" s="4778"/>
      <c r="J66" s="4779"/>
      <c r="K66" s="3044"/>
      <c r="L66" s="4772"/>
      <c r="M66" s="4772"/>
      <c r="N66" s="4772"/>
      <c r="O66" s="4768"/>
      <c r="P66" s="2377"/>
      <c r="Q66" s="2377"/>
      <c r="R66" s="2725"/>
      <c r="S66" s="2662"/>
      <c r="T66" s="2380"/>
      <c r="U66" s="2382"/>
      <c r="AK66" s="3048"/>
      <c r="AL66" s="3046"/>
    </row>
    <row r="67" spans="1:38" ht="12" customHeight="1" x14ac:dyDescent="0.2">
      <c r="A67" s="2380"/>
      <c r="B67" s="2724"/>
      <c r="C67" s="2664"/>
      <c r="D67" s="2664"/>
      <c r="E67" s="4777"/>
      <c r="F67" s="4778"/>
      <c r="G67" s="4778"/>
      <c r="H67" s="4778"/>
      <c r="I67" s="4778"/>
      <c r="J67" s="4779"/>
      <c r="K67" s="3044"/>
      <c r="L67" s="4772"/>
      <c r="M67" s="4772"/>
      <c r="N67" s="4772"/>
      <c r="O67" s="4768"/>
      <c r="P67" s="2377"/>
      <c r="Q67" s="2377"/>
      <c r="R67" s="2725"/>
      <c r="S67" s="2662"/>
      <c r="T67" s="2380"/>
      <c r="U67" s="2382"/>
      <c r="AK67" s="3048"/>
      <c r="AL67" s="3046"/>
    </row>
    <row r="68" spans="1:38" ht="12" customHeight="1" x14ac:dyDescent="0.2">
      <c r="A68" s="2380"/>
      <c r="B68" s="2724"/>
      <c r="C68" s="2664"/>
      <c r="D68" s="2664"/>
      <c r="E68" s="4777"/>
      <c r="F68" s="4778"/>
      <c r="G68" s="4778"/>
      <c r="H68" s="4778"/>
      <c r="I68" s="4778"/>
      <c r="J68" s="4779"/>
      <c r="K68" s="3044"/>
      <c r="L68" s="4772"/>
      <c r="M68" s="4772"/>
      <c r="N68" s="4772"/>
      <c r="O68" s="4768"/>
      <c r="P68" s="2377"/>
      <c r="Q68" s="2377"/>
      <c r="R68" s="2725"/>
      <c r="S68" s="2662"/>
      <c r="T68" s="2380"/>
      <c r="U68" s="2382"/>
      <c r="AK68" s="3048"/>
      <c r="AL68" s="3046"/>
    </row>
    <row r="69" spans="1:38" ht="12" customHeight="1" x14ac:dyDescent="0.2">
      <c r="A69" s="2380"/>
      <c r="B69" s="2724"/>
      <c r="C69" s="2664"/>
      <c r="D69" s="2664"/>
      <c r="E69" s="4777"/>
      <c r="F69" s="4778"/>
      <c r="G69" s="4778"/>
      <c r="H69" s="4778"/>
      <c r="I69" s="4778"/>
      <c r="J69" s="4779"/>
      <c r="K69" s="3044"/>
      <c r="L69" s="4772"/>
      <c r="M69" s="4772"/>
      <c r="N69" s="4772"/>
      <c r="O69" s="4768"/>
      <c r="P69" s="2377"/>
      <c r="Q69" s="2377"/>
      <c r="R69" s="2725"/>
      <c r="S69" s="2662"/>
      <c r="T69" s="2380"/>
      <c r="U69" s="2382"/>
      <c r="AK69" s="3048"/>
      <c r="AL69" s="3046"/>
    </row>
    <row r="70" spans="1:38" ht="12" customHeight="1" thickBot="1" x14ac:dyDescent="0.25">
      <c r="A70" s="2380"/>
      <c r="B70" s="2724"/>
      <c r="C70" s="2664"/>
      <c r="D70" s="2664"/>
      <c r="E70" s="4780"/>
      <c r="F70" s="4781"/>
      <c r="G70" s="4781"/>
      <c r="H70" s="4781"/>
      <c r="I70" s="4781"/>
      <c r="J70" s="4782"/>
      <c r="K70" s="3045"/>
      <c r="L70" s="4773"/>
      <c r="M70" s="4773"/>
      <c r="N70" s="4773"/>
      <c r="O70" s="4769"/>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233" priority="43" stopIfTrue="1" operator="equal">
      <formula>"Armas naturales"</formula>
    </cfRule>
  </conditionalFormatting>
  <conditionalFormatting sqref="Y28:Z28 AF28:AG28">
    <cfRule type="cellIs" dxfId="232" priority="47" stopIfTrue="1" operator="greaterThan">
      <formula>0</formula>
    </cfRule>
  </conditionalFormatting>
  <conditionalFormatting sqref="AE50 AE52 AE54 AE56">
    <cfRule type="cellIs" dxfId="231" priority="48" stopIfTrue="1" operator="equal">
      <formula>0</formula>
    </cfRule>
  </conditionalFormatting>
  <conditionalFormatting sqref="AE51 AE53 AE55">
    <cfRule type="cellIs" dxfId="230" priority="49" stopIfTrue="1" operator="equal">
      <formula>0</formula>
    </cfRule>
  </conditionalFormatting>
  <conditionalFormatting sqref="V51">
    <cfRule type="cellIs" dxfId="229" priority="56" stopIfTrue="1" operator="equal">
      <formula>"Armas naturales"</formula>
    </cfRule>
  </conditionalFormatting>
  <conditionalFormatting sqref="V52">
    <cfRule type="cellIs" dxfId="228" priority="57" stopIfTrue="1" operator="equal">
      <formula>"Armas naturales"</formula>
    </cfRule>
  </conditionalFormatting>
  <conditionalFormatting sqref="V53">
    <cfRule type="cellIs" dxfId="227" priority="58" stopIfTrue="1" operator="equal">
      <formula>"Armas naturales"</formula>
    </cfRule>
  </conditionalFormatting>
  <conditionalFormatting sqref="V54">
    <cfRule type="cellIs" dxfId="226" priority="59" stopIfTrue="1" operator="equal">
      <formula>"Armas naturales"</formula>
    </cfRule>
  </conditionalFormatting>
  <conditionalFormatting sqref="V55">
    <cfRule type="cellIs" dxfId="225" priority="60" stopIfTrue="1" operator="equal">
      <formula>"Armas naturales"</formula>
    </cfRule>
  </conditionalFormatting>
  <conditionalFormatting sqref="AB10:AE10">
    <cfRule type="expression" dxfId="224" priority="25">
      <formula>$AE$7="No"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16:AE16 AC20:AE20 AC24:AE24">
    <cfRule type="cellIs" dxfId="221"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809" zoomScaleNormal="100" workbookViewId="0">
      <selection activeCell="J1825" sqref="J1825"/>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98"/>
      <c r="C2" s="4997" t="s">
        <v>9448</v>
      </c>
      <c r="D2" s="4997"/>
      <c r="E2" s="4997"/>
      <c r="F2" s="4997"/>
      <c r="G2" s="4997"/>
      <c r="H2" s="4997"/>
      <c r="I2" s="4997"/>
      <c r="J2" s="4997"/>
      <c r="K2" s="4997"/>
      <c r="L2" s="4997"/>
      <c r="M2" s="4997"/>
      <c r="N2" s="4997"/>
      <c r="O2" s="4997"/>
      <c r="P2" s="4997"/>
      <c r="Q2" s="4997"/>
      <c r="R2" s="4997"/>
      <c r="S2" s="4997"/>
      <c r="T2" s="4997"/>
      <c r="U2" s="4997"/>
      <c r="V2" s="4997"/>
      <c r="W2" s="4997"/>
      <c r="X2" s="4997"/>
      <c r="Y2" s="4997"/>
      <c r="Z2" s="4997"/>
    </row>
    <row r="3" spans="1:263" ht="12.75" customHeight="1" x14ac:dyDescent="0.2">
      <c r="A3" s="2028">
        <v>3</v>
      </c>
      <c r="B3" s="4998"/>
      <c r="C3" s="4997"/>
      <c r="D3" s="4997"/>
      <c r="E3" s="4997"/>
      <c r="F3" s="4997"/>
      <c r="G3" s="4997"/>
      <c r="H3" s="4997"/>
      <c r="I3" s="4997"/>
      <c r="J3" s="4997"/>
      <c r="K3" s="4997"/>
      <c r="L3" s="4997"/>
      <c r="M3" s="4997"/>
      <c r="N3" s="4997"/>
      <c r="O3" s="4997"/>
      <c r="P3" s="4997"/>
      <c r="Q3" s="4997"/>
      <c r="R3" s="4997"/>
      <c r="S3" s="4997"/>
      <c r="T3" s="4997"/>
      <c r="U3" s="4997"/>
      <c r="V3" s="4997"/>
      <c r="W3" s="4997"/>
      <c r="X3" s="4997"/>
      <c r="Y3" s="4997"/>
      <c r="Z3" s="4997"/>
    </row>
    <row r="4" spans="1:263" ht="12.75" customHeight="1" x14ac:dyDescent="0.2">
      <c r="A4" s="2029">
        <v>4</v>
      </c>
      <c r="B4" s="4998"/>
      <c r="C4" s="4997"/>
      <c r="D4" s="4997"/>
      <c r="E4" s="4997"/>
      <c r="F4" s="4997"/>
      <c r="G4" s="4997"/>
      <c r="H4" s="4997"/>
      <c r="I4" s="4997"/>
      <c r="J4" s="4997"/>
      <c r="K4" s="4997"/>
      <c r="L4" s="4997"/>
      <c r="M4" s="4997"/>
      <c r="N4" s="4997"/>
      <c r="O4" s="4997"/>
      <c r="P4" s="4997"/>
      <c r="Q4" s="4997"/>
      <c r="R4" s="4997"/>
      <c r="S4" s="4997"/>
      <c r="T4" s="4997"/>
      <c r="U4" s="4997"/>
      <c r="V4" s="4997"/>
      <c r="W4" s="4997"/>
      <c r="X4" s="4997"/>
      <c r="Y4" s="4997"/>
      <c r="Z4" s="4997"/>
    </row>
    <row r="5" spans="1:263" ht="13.5" customHeight="1" thickBot="1" x14ac:dyDescent="0.25">
      <c r="A5" s="2029">
        <v>5</v>
      </c>
      <c r="B5" s="4998"/>
      <c r="H5" s="413"/>
      <c r="I5" s="1761"/>
      <c r="N5" s="413"/>
      <c r="O5" s="2112"/>
    </row>
    <row r="6" spans="1:263" ht="12.75" customHeight="1" thickBot="1" x14ac:dyDescent="0.25">
      <c r="A6" s="2029">
        <v>6</v>
      </c>
      <c r="B6" s="4998"/>
      <c r="C6" s="3183" t="s">
        <v>2548</v>
      </c>
      <c r="E6" s="3183" t="s">
        <v>1608</v>
      </c>
      <c r="G6" s="3183" t="s">
        <v>1082</v>
      </c>
      <c r="H6" s="3183"/>
      <c r="I6" s="1761"/>
      <c r="N6" s="413"/>
      <c r="O6" s="2112"/>
      <c r="S6" s="5091" t="s">
        <v>8554</v>
      </c>
      <c r="T6" s="5092"/>
      <c r="U6" s="5092"/>
      <c r="V6" s="5092"/>
      <c r="W6" s="5092"/>
      <c r="X6" s="5093"/>
      <c r="Y6" s="1159"/>
      <c r="Z6" s="1159"/>
    </row>
    <row r="7" spans="1:263" ht="12.75" customHeight="1" thickBot="1" x14ac:dyDescent="0.25">
      <c r="A7" s="2029">
        <v>7</v>
      </c>
      <c r="B7" s="4998"/>
      <c r="C7" s="3183"/>
      <c r="E7" s="3183"/>
      <c r="G7" s="3183"/>
      <c r="H7" s="3183"/>
      <c r="I7" s="1761"/>
      <c r="N7" s="413"/>
      <c r="O7" s="2112"/>
      <c r="S7" s="5094"/>
      <c r="T7" s="5095"/>
      <c r="U7" s="5095"/>
      <c r="V7" s="5095"/>
      <c r="W7" s="5095"/>
      <c r="X7" s="5096"/>
      <c r="Y7" s="1159"/>
      <c r="Z7" s="1159"/>
    </row>
    <row r="8" spans="1:263" ht="12.75" customHeight="1" thickBot="1" x14ac:dyDescent="0.25">
      <c r="A8" s="2029">
        <v>8</v>
      </c>
      <c r="B8" s="4998"/>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98"/>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98"/>
      <c r="H10" s="413"/>
      <c r="I10" s="1761"/>
      <c r="N10" s="413"/>
      <c r="O10" s="2112"/>
      <c r="P10" s="5002" t="s">
        <v>1506</v>
      </c>
      <c r="Q10" s="5002"/>
      <c r="S10" s="1873" t="s">
        <v>2062</v>
      </c>
      <c r="T10" s="263">
        <f>VLOOKUP($S10&amp;$X$15,$U$14:$W$22,2,FALSE)</f>
        <v>50</v>
      </c>
      <c r="U10" s="263">
        <f>VLOOKUP($S10&amp;$X$15,$U$14:$W$22,3,FALSE)</f>
        <v>0.5</v>
      </c>
      <c r="V10" s="263">
        <v>0.5</v>
      </c>
      <c r="W10" s="263"/>
      <c r="X10" s="1978">
        <v>1</v>
      </c>
    </row>
    <row r="11" spans="1:263" ht="12.75" customHeight="1" thickBot="1" x14ac:dyDescent="0.25">
      <c r="A11" s="2028">
        <v>11</v>
      </c>
      <c r="B11" s="4998"/>
      <c r="C11" s="5054" t="s">
        <v>2421</v>
      </c>
      <c r="D11" s="5054"/>
      <c r="E11" s="5054"/>
      <c r="G11" s="5072" t="s">
        <v>2463</v>
      </c>
      <c r="H11" s="5072"/>
      <c r="I11" s="5072"/>
      <c r="J11" s="5072"/>
      <c r="L11" s="5054" t="s">
        <v>1448</v>
      </c>
      <c r="M11" s="5054"/>
      <c r="N11" s="413"/>
      <c r="O11" s="2112"/>
      <c r="P11" s="5002"/>
      <c r="Q11" s="5002"/>
      <c r="S11" s="1873" t="s">
        <v>8556</v>
      </c>
      <c r="T11" s="263">
        <f>VLOOKUP($S11&amp;$X$15,$U$14:$W$22,2,FALSE)</f>
        <v>60</v>
      </c>
      <c r="U11" s="263">
        <f>VLOOKUP($S11&amp;$X$15,$U$14:$W$22,3,FALSE)</f>
        <v>0.8</v>
      </c>
      <c r="V11" s="263">
        <v>1</v>
      </c>
      <c r="W11" s="263"/>
      <c r="X11" s="1978">
        <v>1</v>
      </c>
    </row>
    <row r="12" spans="1:263" ht="12.75" customHeight="1" thickBot="1" x14ac:dyDescent="0.25">
      <c r="A12" s="2028">
        <v>12</v>
      </c>
      <c r="B12" s="4998"/>
      <c r="C12" s="5054"/>
      <c r="D12" s="5054"/>
      <c r="E12" s="5054"/>
      <c r="G12" s="5072"/>
      <c r="H12" s="5072"/>
      <c r="I12" s="5072"/>
      <c r="J12" s="5072"/>
      <c r="L12" s="5054"/>
      <c r="M12" s="5054"/>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98"/>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98"/>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98"/>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98"/>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98"/>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98"/>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98"/>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180" t="s">
        <v>9265</v>
      </c>
    </row>
    <row r="20" spans="1:113" ht="12.75" customHeight="1" x14ac:dyDescent="0.2">
      <c r="A20" s="2029">
        <v>20</v>
      </c>
      <c r="B20" s="4998"/>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181"/>
    </row>
    <row r="21" spans="1:113" ht="12.75" customHeight="1" x14ac:dyDescent="0.2">
      <c r="A21" s="2029">
        <v>21</v>
      </c>
      <c r="B21" s="4998"/>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182" t="b">
        <f>AND(Nivel_Sobrenatural&lt;&gt;Tablas!S12,General!$V$12="")</f>
        <v>0</v>
      </c>
    </row>
    <row r="22" spans="1:113" ht="12.75" customHeight="1" thickBot="1" x14ac:dyDescent="0.25">
      <c r="A22" s="2029">
        <v>22</v>
      </c>
      <c r="B22" s="4998"/>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183"/>
    </row>
    <row r="23" spans="1:113" ht="12.75" customHeight="1" thickBot="1" x14ac:dyDescent="0.25">
      <c r="A23" s="2029">
        <v>23</v>
      </c>
      <c r="B23" s="4998"/>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98"/>
      <c r="C24" s="1851">
        <v>11</v>
      </c>
      <c r="D24" s="263">
        <v>20</v>
      </c>
      <c r="E24" s="284">
        <v>20</v>
      </c>
      <c r="G24" s="444">
        <v>11</v>
      </c>
      <c r="H24" s="263">
        <v>3</v>
      </c>
      <c r="I24" s="263">
        <v>200</v>
      </c>
      <c r="J24" s="284">
        <v>600</v>
      </c>
      <c r="L24" s="266">
        <v>14</v>
      </c>
      <c r="M24" s="284">
        <v>1000</v>
      </c>
      <c r="N24" s="413"/>
      <c r="O24" s="2112"/>
      <c r="P24" s="207">
        <v>12</v>
      </c>
      <c r="Q24" s="523">
        <v>2</v>
      </c>
      <c r="S24" s="5068" t="s">
        <v>9288</v>
      </c>
      <c r="T24" s="5069"/>
    </row>
    <row r="25" spans="1:113" ht="12.75" customHeight="1" x14ac:dyDescent="0.2">
      <c r="A25" s="2028">
        <v>25</v>
      </c>
      <c r="B25" s="4998"/>
      <c r="C25" s="1851">
        <v>12</v>
      </c>
      <c r="D25" s="263">
        <v>20</v>
      </c>
      <c r="E25" s="284">
        <v>30</v>
      </c>
      <c r="G25" s="444">
        <v>12</v>
      </c>
      <c r="H25" s="263">
        <v>3</v>
      </c>
      <c r="I25" s="263">
        <v>350</v>
      </c>
      <c r="J25" s="284">
        <v>1000</v>
      </c>
      <c r="L25" s="266">
        <v>15</v>
      </c>
      <c r="M25" s="284">
        <v>5000</v>
      </c>
      <c r="N25" s="413"/>
      <c r="O25" s="2112"/>
      <c r="P25" s="207">
        <v>13</v>
      </c>
      <c r="Q25" s="523">
        <v>3</v>
      </c>
      <c r="S25" s="5070"/>
      <c r="T25" s="5071"/>
    </row>
    <row r="26" spans="1:113" ht="13.5" customHeight="1" thickBot="1" x14ac:dyDescent="0.25">
      <c r="A26" s="2028">
        <v>26</v>
      </c>
      <c r="B26" s="4998"/>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98"/>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98"/>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98"/>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98"/>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98"/>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98"/>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98"/>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98"/>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98"/>
      <c r="C35" s="3222" t="s">
        <v>2423</v>
      </c>
      <c r="D35" s="3222"/>
      <c r="E35" s="3222"/>
      <c r="F35" s="3222"/>
      <c r="G35" s="3222"/>
      <c r="H35" s="413"/>
      <c r="I35" s="3222" t="s">
        <v>2467</v>
      </c>
      <c r="J35" s="3222"/>
      <c r="L35" s="5072" t="s">
        <v>2553</v>
      </c>
      <c r="M35" s="5072"/>
      <c r="N35" s="5072"/>
      <c r="O35" s="2112"/>
      <c r="P35" s="3222" t="s">
        <v>2550</v>
      </c>
      <c r="Q35" s="3222"/>
      <c r="S35" s="2483">
        <v>320</v>
      </c>
      <c r="T35" s="1978" t="s">
        <v>9296</v>
      </c>
      <c r="W35" s="2510"/>
    </row>
    <row r="36" spans="1:113" ht="14.85" customHeight="1" thickBot="1" x14ac:dyDescent="0.25">
      <c r="A36" s="2029">
        <v>36</v>
      </c>
      <c r="B36" s="4998"/>
      <c r="C36" s="3222"/>
      <c r="D36" s="3222"/>
      <c r="E36" s="3222"/>
      <c r="F36" s="3222"/>
      <c r="G36" s="3222"/>
      <c r="H36" s="413"/>
      <c r="I36" s="3222"/>
      <c r="J36" s="3222"/>
      <c r="L36" s="485" t="s">
        <v>2554</v>
      </c>
      <c r="M36" s="419" t="s">
        <v>2555</v>
      </c>
      <c r="N36" s="420" t="s">
        <v>2556</v>
      </c>
      <c r="O36" s="2112"/>
      <c r="P36" s="3222"/>
      <c r="Q36" s="3222"/>
      <c r="S36" s="2483">
        <v>440</v>
      </c>
      <c r="T36" s="1978" t="s">
        <v>9297</v>
      </c>
      <c r="W36" s="2510"/>
    </row>
    <row r="37" spans="1:113" ht="14.85" customHeight="1" thickBot="1" x14ac:dyDescent="0.25">
      <c r="A37" s="2029">
        <v>37</v>
      </c>
      <c r="B37" s="4998"/>
      <c r="C37" s="418" t="s">
        <v>1813</v>
      </c>
      <c r="D37" s="1854" t="s">
        <v>1680</v>
      </c>
      <c r="E37" s="5073" t="s">
        <v>2424</v>
      </c>
      <c r="F37" s="5073"/>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98"/>
      <c r="C38" s="266">
        <v>1</v>
      </c>
      <c r="D38" s="305">
        <v>0</v>
      </c>
      <c r="E38" s="5066" t="s">
        <v>2426</v>
      </c>
      <c r="F38" s="5066"/>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98"/>
      <c r="C39" s="266">
        <v>2</v>
      </c>
      <c r="D39" s="305">
        <v>0</v>
      </c>
      <c r="E39" s="5066" t="s">
        <v>2426</v>
      </c>
      <c r="F39" s="5066"/>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98"/>
      <c r="C40" s="266">
        <v>3</v>
      </c>
      <c r="D40" s="305">
        <v>1</v>
      </c>
      <c r="E40" s="5066" t="s">
        <v>2427</v>
      </c>
      <c r="F40" s="5066"/>
      <c r="G40" s="448" t="s">
        <v>2428</v>
      </c>
      <c r="H40" s="413"/>
      <c r="I40" s="266">
        <v>3</v>
      </c>
      <c r="J40" s="447" t="s">
        <v>2471</v>
      </c>
      <c r="L40" s="486">
        <v>4</v>
      </c>
      <c r="M40" s="355">
        <v>55</v>
      </c>
      <c r="N40" s="215">
        <v>0</v>
      </c>
      <c r="O40" s="2112"/>
      <c r="P40" s="266">
        <v>15</v>
      </c>
      <c r="Q40" s="284">
        <v>3</v>
      </c>
      <c r="S40" s="3183" t="s">
        <v>1551</v>
      </c>
      <c r="T40" s="3183"/>
      <c r="W40" s="2510"/>
    </row>
    <row r="41" spans="1:113" ht="12.75" customHeight="1" thickBot="1" x14ac:dyDescent="0.25">
      <c r="A41" s="2028">
        <v>41</v>
      </c>
      <c r="B41" s="4998"/>
      <c r="C41" s="266">
        <v>4</v>
      </c>
      <c r="D41" s="305">
        <v>1</v>
      </c>
      <c r="E41" s="5066" t="s">
        <v>2427</v>
      </c>
      <c r="F41" s="5066"/>
      <c r="G41" s="448" t="s">
        <v>2428</v>
      </c>
      <c r="H41" s="413"/>
      <c r="I41" s="266">
        <v>4</v>
      </c>
      <c r="J41" s="447" t="s">
        <v>2472</v>
      </c>
      <c r="L41" s="486">
        <v>5</v>
      </c>
      <c r="M41" s="355">
        <v>70</v>
      </c>
      <c r="N41" s="215">
        <v>5</v>
      </c>
      <c r="O41" s="2112"/>
      <c r="P41" s="266">
        <v>20</v>
      </c>
      <c r="Q41" s="284">
        <v>4</v>
      </c>
      <c r="S41" s="3183"/>
      <c r="T41" s="3183"/>
      <c r="W41" s="2510"/>
    </row>
    <row r="42" spans="1:113" ht="12.75" customHeight="1" x14ac:dyDescent="0.2">
      <c r="A42" s="2028">
        <v>42</v>
      </c>
      <c r="B42" s="4998"/>
      <c r="C42" s="266">
        <v>5</v>
      </c>
      <c r="D42" s="305">
        <v>1</v>
      </c>
      <c r="E42" s="5066" t="s">
        <v>2427</v>
      </c>
      <c r="F42" s="5066"/>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98"/>
      <c r="C43" s="266">
        <v>6</v>
      </c>
      <c r="D43" s="305">
        <v>1</v>
      </c>
      <c r="E43" s="5066" t="s">
        <v>2427</v>
      </c>
      <c r="F43" s="5066"/>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98"/>
      <c r="C44" s="266">
        <v>7</v>
      </c>
      <c r="D44" s="305">
        <v>1</v>
      </c>
      <c r="E44" s="5066" t="s">
        <v>2427</v>
      </c>
      <c r="F44" s="5066"/>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98"/>
      <c r="C45" s="266">
        <v>8</v>
      </c>
      <c r="D45" s="305">
        <v>2</v>
      </c>
      <c r="E45" s="5066" t="s">
        <v>2429</v>
      </c>
      <c r="F45" s="5066"/>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98"/>
      <c r="C46" s="266">
        <v>9</v>
      </c>
      <c r="D46" s="305">
        <v>2</v>
      </c>
      <c r="E46" s="5066" t="s">
        <v>2429</v>
      </c>
      <c r="F46" s="5066"/>
      <c r="G46" s="448" t="s">
        <v>2428</v>
      </c>
      <c r="H46" s="413"/>
      <c r="I46" s="266">
        <v>9</v>
      </c>
      <c r="J46" s="447" t="s">
        <v>2477</v>
      </c>
      <c r="L46" s="486">
        <v>10</v>
      </c>
      <c r="M46" s="355">
        <v>135</v>
      </c>
      <c r="N46" s="215">
        <v>10</v>
      </c>
      <c r="O46" s="2112"/>
    </row>
    <row r="47" spans="1:113" ht="14.85" customHeight="1" thickBot="1" x14ac:dyDescent="0.25">
      <c r="A47" s="2028">
        <v>47</v>
      </c>
      <c r="B47" s="4998"/>
      <c r="C47" s="266">
        <v>10</v>
      </c>
      <c r="D47" s="305">
        <v>3</v>
      </c>
      <c r="E47" s="5066" t="s">
        <v>2430</v>
      </c>
      <c r="F47" s="5066"/>
      <c r="G47" s="448" t="s">
        <v>2428</v>
      </c>
      <c r="H47" s="413"/>
      <c r="I47" s="266">
        <v>10</v>
      </c>
      <c r="J47" s="447" t="s">
        <v>2478</v>
      </c>
      <c r="L47" s="486">
        <v>11</v>
      </c>
      <c r="M47" s="355">
        <v>150</v>
      </c>
      <c r="N47" s="215">
        <v>10</v>
      </c>
      <c r="O47" s="2112"/>
      <c r="S47" s="3183" t="s">
        <v>1134</v>
      </c>
    </row>
    <row r="48" spans="1:113" ht="14.85" customHeight="1" thickBot="1" x14ac:dyDescent="0.25">
      <c r="A48" s="2028">
        <v>48</v>
      </c>
      <c r="B48" s="4998"/>
      <c r="C48" s="266">
        <v>11</v>
      </c>
      <c r="D48" s="305">
        <v>4</v>
      </c>
      <c r="E48" s="5066" t="s">
        <v>2431</v>
      </c>
      <c r="F48" s="5066"/>
      <c r="G48" s="448" t="s">
        <v>2432</v>
      </c>
      <c r="H48" s="413"/>
      <c r="I48" s="266">
        <v>11</v>
      </c>
      <c r="J48" s="447" t="s">
        <v>2479</v>
      </c>
      <c r="L48" s="486">
        <v>12</v>
      </c>
      <c r="M48" s="355">
        <v>160</v>
      </c>
      <c r="N48" s="215">
        <v>15</v>
      </c>
      <c r="O48" s="2112"/>
      <c r="S48" s="3183"/>
    </row>
    <row r="49" spans="1:19" ht="14.85" customHeight="1" x14ac:dyDescent="0.2">
      <c r="A49" s="2029">
        <v>49</v>
      </c>
      <c r="B49" s="4998"/>
      <c r="C49" s="266">
        <v>12</v>
      </c>
      <c r="D49" s="305">
        <v>5</v>
      </c>
      <c r="E49" s="5066" t="s">
        <v>2433</v>
      </c>
      <c r="F49" s="5066"/>
      <c r="G49" s="448" t="s">
        <v>2432</v>
      </c>
      <c r="H49" s="413"/>
      <c r="I49" s="266">
        <v>12</v>
      </c>
      <c r="J49" s="447" t="s">
        <v>2480</v>
      </c>
      <c r="L49" s="486">
        <v>13</v>
      </c>
      <c r="M49" s="355">
        <v>175</v>
      </c>
      <c r="N49" s="215">
        <v>15</v>
      </c>
      <c r="O49" s="2112"/>
      <c r="S49" s="565" t="s">
        <v>1769</v>
      </c>
    </row>
    <row r="50" spans="1:19" ht="14.85" customHeight="1" x14ac:dyDescent="0.2">
      <c r="A50" s="2029">
        <v>50</v>
      </c>
      <c r="B50" s="4998"/>
      <c r="C50" s="266">
        <v>13</v>
      </c>
      <c r="D50" s="305">
        <v>6</v>
      </c>
      <c r="E50" s="5066" t="s">
        <v>2434</v>
      </c>
      <c r="F50" s="5066"/>
      <c r="G50" s="448" t="s">
        <v>2432</v>
      </c>
      <c r="H50" s="413"/>
      <c r="I50" s="266">
        <v>13</v>
      </c>
      <c r="J50" s="447" t="s">
        <v>2481</v>
      </c>
      <c r="L50" s="486">
        <v>14</v>
      </c>
      <c r="M50" s="355">
        <v>185</v>
      </c>
      <c r="N50" s="215">
        <v>15</v>
      </c>
      <c r="O50" s="2112"/>
      <c r="S50" s="565" t="s">
        <v>1868</v>
      </c>
    </row>
    <row r="51" spans="1:19" ht="12.75" customHeight="1" x14ac:dyDescent="0.2">
      <c r="A51" s="2029">
        <v>51</v>
      </c>
      <c r="B51" s="4998"/>
      <c r="C51" s="266">
        <v>14</v>
      </c>
      <c r="D51" s="305">
        <v>7</v>
      </c>
      <c r="E51" s="5066" t="s">
        <v>2435</v>
      </c>
      <c r="F51" s="5066"/>
      <c r="G51" s="448" t="s">
        <v>2436</v>
      </c>
      <c r="H51" s="413"/>
      <c r="I51" s="266">
        <v>14</v>
      </c>
      <c r="J51" s="447" t="s">
        <v>2482</v>
      </c>
      <c r="L51" s="486">
        <v>15</v>
      </c>
      <c r="M51" s="355">
        <v>200</v>
      </c>
      <c r="N51" s="215">
        <v>20</v>
      </c>
      <c r="O51" s="2112"/>
      <c r="S51" s="565" t="s">
        <v>1813</v>
      </c>
    </row>
    <row r="52" spans="1:19" ht="12.75" customHeight="1" x14ac:dyDescent="0.2">
      <c r="A52" s="2029">
        <v>52</v>
      </c>
      <c r="B52" s="4998"/>
      <c r="C52" s="266">
        <v>15</v>
      </c>
      <c r="D52" s="305">
        <v>8</v>
      </c>
      <c r="E52" s="5066" t="s">
        <v>2437</v>
      </c>
      <c r="F52" s="5066"/>
      <c r="G52" s="448" t="s">
        <v>2438</v>
      </c>
      <c r="H52" s="413"/>
      <c r="I52" s="266">
        <v>15</v>
      </c>
      <c r="J52" s="447" t="s">
        <v>2483</v>
      </c>
      <c r="L52" s="486">
        <v>16</v>
      </c>
      <c r="M52" s="355">
        <v>215</v>
      </c>
      <c r="N52" s="215">
        <v>25</v>
      </c>
      <c r="O52" s="2112"/>
      <c r="S52" s="565" t="s">
        <v>1869</v>
      </c>
    </row>
    <row r="53" spans="1:19" ht="12.75" customHeight="1" x14ac:dyDescent="0.2">
      <c r="A53" s="2029">
        <v>53</v>
      </c>
      <c r="B53" s="4998"/>
      <c r="C53" s="266">
        <v>16</v>
      </c>
      <c r="D53" s="305">
        <v>9</v>
      </c>
      <c r="E53" s="5066" t="s">
        <v>2439</v>
      </c>
      <c r="F53" s="5066"/>
      <c r="G53" s="448" t="s">
        <v>2440</v>
      </c>
      <c r="H53" s="413"/>
      <c r="I53" s="266">
        <v>16</v>
      </c>
      <c r="J53" s="447" t="s">
        <v>2484</v>
      </c>
      <c r="L53" s="486">
        <v>17</v>
      </c>
      <c r="M53" s="355">
        <v>225</v>
      </c>
      <c r="N53" s="215">
        <v>25</v>
      </c>
      <c r="O53" s="2112"/>
      <c r="S53" s="565" t="s">
        <v>1870</v>
      </c>
    </row>
    <row r="54" spans="1:19" ht="12.75" customHeight="1" x14ac:dyDescent="0.2">
      <c r="A54" s="2029">
        <v>54</v>
      </c>
      <c r="B54" s="4998"/>
      <c r="C54" s="266">
        <v>17</v>
      </c>
      <c r="D54" s="305">
        <v>10</v>
      </c>
      <c r="E54" s="5066" t="s">
        <v>2441</v>
      </c>
      <c r="F54" s="5066"/>
      <c r="G54" s="448" t="s">
        <v>2442</v>
      </c>
      <c r="H54" s="413"/>
      <c r="I54" s="266">
        <v>17</v>
      </c>
      <c r="J54" s="447" t="s">
        <v>2485</v>
      </c>
      <c r="L54" s="486">
        <v>18</v>
      </c>
      <c r="M54" s="355">
        <v>240</v>
      </c>
      <c r="N54" s="215">
        <v>30</v>
      </c>
      <c r="O54" s="2112"/>
      <c r="S54" s="565" t="s">
        <v>1871</v>
      </c>
    </row>
    <row r="55" spans="1:19" ht="12.75" customHeight="1" x14ac:dyDescent="0.2">
      <c r="A55" s="2028">
        <v>55</v>
      </c>
      <c r="B55" s="4998"/>
      <c r="C55" s="266">
        <v>18</v>
      </c>
      <c r="D55" s="305">
        <v>11</v>
      </c>
      <c r="E55" s="5066" t="s">
        <v>2443</v>
      </c>
      <c r="F55" s="5066"/>
      <c r="G55" s="448" t="s">
        <v>2444</v>
      </c>
      <c r="H55" s="413"/>
      <c r="I55" s="266">
        <v>18</v>
      </c>
      <c r="J55" s="447" t="s">
        <v>2486</v>
      </c>
      <c r="L55" s="486">
        <v>19</v>
      </c>
      <c r="M55" s="355">
        <v>250</v>
      </c>
      <c r="N55" s="215">
        <v>30</v>
      </c>
      <c r="O55" s="2112"/>
      <c r="S55" s="565" t="s">
        <v>1872</v>
      </c>
    </row>
    <row r="56" spans="1:19" ht="12.75" customHeight="1" thickBot="1" x14ac:dyDescent="0.25">
      <c r="A56" s="2028">
        <v>56</v>
      </c>
      <c r="B56" s="4998"/>
      <c r="C56" s="266">
        <v>19</v>
      </c>
      <c r="D56" s="305">
        <v>12</v>
      </c>
      <c r="E56" s="5066" t="s">
        <v>2445</v>
      </c>
      <c r="F56" s="5066"/>
      <c r="G56" s="448" t="s">
        <v>2446</v>
      </c>
      <c r="H56" s="413"/>
      <c r="I56" s="266">
        <v>19</v>
      </c>
      <c r="J56" s="447" t="s">
        <v>2487</v>
      </c>
      <c r="L56" s="487">
        <v>20</v>
      </c>
      <c r="M56" s="439">
        <v>265</v>
      </c>
      <c r="N56" s="488">
        <v>35</v>
      </c>
      <c r="O56" s="2112"/>
      <c r="S56" s="581" t="s">
        <v>1873</v>
      </c>
    </row>
    <row r="57" spans="1:19" ht="12.75" customHeight="1" thickBot="1" x14ac:dyDescent="0.25">
      <c r="A57" s="2028">
        <v>57</v>
      </c>
      <c r="B57" s="4998"/>
      <c r="C57" s="266">
        <v>20</v>
      </c>
      <c r="D57" s="305">
        <v>12</v>
      </c>
      <c r="E57" s="5066" t="s">
        <v>2445</v>
      </c>
      <c r="F57" s="5066"/>
      <c r="G57" s="448" t="s">
        <v>2447</v>
      </c>
      <c r="H57" s="413"/>
      <c r="I57" s="438">
        <v>20</v>
      </c>
      <c r="J57" s="453" t="s">
        <v>2488</v>
      </c>
      <c r="N57" s="413"/>
      <c r="O57" s="2112"/>
    </row>
    <row r="58" spans="1:19" ht="12.75" customHeight="1" x14ac:dyDescent="0.2">
      <c r="A58" s="2029">
        <v>58</v>
      </c>
      <c r="B58" s="4998"/>
      <c r="C58" s="65"/>
      <c r="D58" s="305">
        <v>13</v>
      </c>
      <c r="E58" s="5066" t="s">
        <v>2448</v>
      </c>
      <c r="F58" s="5066"/>
      <c r="G58" s="448" t="s">
        <v>2449</v>
      </c>
      <c r="H58" s="413"/>
      <c r="I58" s="1761"/>
      <c r="N58" s="413"/>
      <c r="O58" s="2112"/>
    </row>
    <row r="59" spans="1:19" ht="12.75" customHeight="1" x14ac:dyDescent="0.2">
      <c r="A59" s="2029">
        <v>59</v>
      </c>
      <c r="B59" s="4998"/>
      <c r="C59" s="65"/>
      <c r="D59" s="305">
        <v>14</v>
      </c>
      <c r="E59" s="5066" t="s">
        <v>2450</v>
      </c>
      <c r="F59" s="5066"/>
      <c r="G59" s="448" t="s">
        <v>2451</v>
      </c>
      <c r="H59" s="413"/>
      <c r="I59" s="1761"/>
      <c r="N59" s="413"/>
      <c r="O59" s="2112"/>
    </row>
    <row r="60" spans="1:19" ht="12.75" customHeight="1" x14ac:dyDescent="0.2">
      <c r="A60" s="2029">
        <v>60</v>
      </c>
      <c r="B60" s="4998"/>
      <c r="C60" s="65"/>
      <c r="D60" s="305">
        <v>15</v>
      </c>
      <c r="E60" s="5066" t="s">
        <v>2452</v>
      </c>
      <c r="F60" s="5066"/>
      <c r="G60" s="448" t="s">
        <v>2453</v>
      </c>
      <c r="H60" s="413"/>
      <c r="I60" s="1761"/>
      <c r="N60" s="413"/>
      <c r="O60" s="2112"/>
    </row>
    <row r="61" spans="1:19" ht="12.75" customHeight="1" x14ac:dyDescent="0.2">
      <c r="A61" s="2028">
        <v>61</v>
      </c>
      <c r="B61" s="4998"/>
      <c r="C61" s="65"/>
      <c r="D61" s="305">
        <v>16</v>
      </c>
      <c r="E61" s="5066" t="s">
        <v>2454</v>
      </c>
      <c r="F61" s="5066"/>
      <c r="G61" s="448" t="s">
        <v>2455</v>
      </c>
      <c r="H61" s="413"/>
      <c r="I61" s="1761"/>
      <c r="N61" s="413"/>
      <c r="O61" s="2112"/>
    </row>
    <row r="62" spans="1:19" ht="12.75" customHeight="1" x14ac:dyDescent="0.2">
      <c r="A62" s="2028">
        <v>62</v>
      </c>
      <c r="B62" s="4998"/>
      <c r="C62" s="65"/>
      <c r="D62" s="305">
        <v>17</v>
      </c>
      <c r="E62" s="5066" t="s">
        <v>2456</v>
      </c>
      <c r="F62" s="5066"/>
      <c r="G62" s="448" t="s">
        <v>2457</v>
      </c>
      <c r="H62" s="413"/>
      <c r="I62" s="1761"/>
      <c r="N62" s="413"/>
      <c r="O62" s="2112"/>
    </row>
    <row r="63" spans="1:19" ht="12.75" customHeight="1" x14ac:dyDescent="0.2">
      <c r="A63" s="2028">
        <v>63</v>
      </c>
      <c r="B63" s="4998"/>
      <c r="C63" s="65"/>
      <c r="D63" s="305">
        <v>18</v>
      </c>
      <c r="E63" s="5066" t="s">
        <v>2458</v>
      </c>
      <c r="F63" s="5066"/>
      <c r="G63" s="448" t="s">
        <v>2459</v>
      </c>
      <c r="H63" s="413"/>
      <c r="I63" s="1761"/>
      <c r="N63" s="413"/>
      <c r="O63" s="2112"/>
    </row>
    <row r="64" spans="1:19" ht="12.75" customHeight="1" x14ac:dyDescent="0.2">
      <c r="A64" s="2029">
        <v>64</v>
      </c>
      <c r="B64" s="4998"/>
      <c r="C64" s="65"/>
      <c r="D64" s="305">
        <v>19</v>
      </c>
      <c r="E64" s="5066" t="s">
        <v>2460</v>
      </c>
      <c r="F64" s="5066"/>
      <c r="G64" s="448" t="s">
        <v>2461</v>
      </c>
      <c r="H64" s="413"/>
      <c r="I64" s="1761"/>
      <c r="N64" s="413"/>
      <c r="O64" s="2112"/>
    </row>
    <row r="65" spans="1:19" ht="12.75" customHeight="1" thickBot="1" x14ac:dyDescent="0.25">
      <c r="A65" s="2029">
        <v>65</v>
      </c>
      <c r="B65" s="4998"/>
      <c r="C65" s="198"/>
      <c r="D65" s="1855">
        <v>20</v>
      </c>
      <c r="E65" s="5067" t="s">
        <v>2462</v>
      </c>
      <c r="F65" s="5067"/>
      <c r="G65" s="450" t="s">
        <v>2461</v>
      </c>
      <c r="H65" s="413"/>
      <c r="I65" s="1761"/>
      <c r="N65" s="413"/>
      <c r="O65" s="2112"/>
    </row>
    <row r="66" spans="1:19" ht="12.75" customHeight="1" thickBot="1" x14ac:dyDescent="0.25">
      <c r="A66" s="2029">
        <v>66</v>
      </c>
      <c r="B66" s="4998"/>
      <c r="H66" s="413"/>
      <c r="I66" s="1761"/>
      <c r="N66" s="413"/>
      <c r="O66" s="2112"/>
    </row>
    <row r="67" spans="1:19" ht="12.75" customHeight="1" thickBot="1" x14ac:dyDescent="0.25">
      <c r="A67" s="2029">
        <v>67</v>
      </c>
      <c r="B67" s="4998"/>
      <c r="C67" s="5204" t="s">
        <v>9164</v>
      </c>
      <c r="D67" s="5205"/>
      <c r="F67" s="5054" t="s">
        <v>1446</v>
      </c>
      <c r="G67" s="5054"/>
      <c r="H67" s="5054"/>
      <c r="J67" s="5054" t="s">
        <v>2534</v>
      </c>
      <c r="K67" s="5054"/>
      <c r="L67" s="5054"/>
      <c r="N67" s="5054" t="s">
        <v>2537</v>
      </c>
      <c r="O67" s="5054"/>
      <c r="P67" s="5054"/>
      <c r="R67" s="5072" t="s">
        <v>1788</v>
      </c>
      <c r="S67" s="5072"/>
    </row>
    <row r="68" spans="1:19" ht="12.75" customHeight="1" x14ac:dyDescent="0.2">
      <c r="A68" s="2029">
        <v>68</v>
      </c>
      <c r="B68" s="4998"/>
      <c r="C68" s="2423">
        <v>0</v>
      </c>
      <c r="D68" s="1997">
        <v>0</v>
      </c>
      <c r="F68" s="5054"/>
      <c r="G68" s="5054"/>
      <c r="H68" s="5054"/>
      <c r="J68" s="5054"/>
      <c r="K68" s="5054"/>
      <c r="L68" s="5054"/>
      <c r="N68" s="5054"/>
      <c r="O68" s="5054"/>
      <c r="P68" s="5054"/>
      <c r="R68" s="5072"/>
      <c r="S68" s="5072"/>
    </row>
    <row r="69" spans="1:19" ht="12.75" customHeight="1" thickBot="1" x14ac:dyDescent="0.25">
      <c r="A69" s="2029">
        <v>69</v>
      </c>
      <c r="B69" s="4998"/>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98"/>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98"/>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98"/>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98"/>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98"/>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98"/>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98"/>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98"/>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98"/>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98"/>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98"/>
      <c r="C80" s="2423">
        <v>12</v>
      </c>
      <c r="D80" s="1997">
        <v>2475</v>
      </c>
      <c r="F80" s="438">
        <v>50</v>
      </c>
      <c r="G80" s="439">
        <v>750</v>
      </c>
      <c r="H80" s="539">
        <v>15</v>
      </c>
      <c r="N80" s="413"/>
      <c r="R80" s="534">
        <v>11</v>
      </c>
      <c r="S80" s="215">
        <v>6</v>
      </c>
    </row>
    <row r="81" spans="1:19" ht="12.75" customHeight="1" thickBot="1" x14ac:dyDescent="0.25">
      <c r="A81" s="2029">
        <v>81</v>
      </c>
      <c r="B81" s="4998"/>
      <c r="C81" s="2423">
        <v>13</v>
      </c>
      <c r="D81" s="1997">
        <v>2850</v>
      </c>
      <c r="H81" s="413"/>
      <c r="N81" s="413"/>
      <c r="R81" s="534">
        <v>12</v>
      </c>
      <c r="S81" s="215">
        <v>7</v>
      </c>
    </row>
    <row r="82" spans="1:19" ht="12.75" customHeight="1" x14ac:dyDescent="0.2">
      <c r="A82" s="2029">
        <v>82</v>
      </c>
      <c r="B82" s="4998"/>
      <c r="C82" s="2423">
        <v>14</v>
      </c>
      <c r="D82" s="1997">
        <v>3250</v>
      </c>
      <c r="F82" s="4130" t="s">
        <v>9162</v>
      </c>
      <c r="G82" s="4126"/>
      <c r="H82" s="413"/>
      <c r="N82" s="413"/>
      <c r="R82" s="534">
        <v>13</v>
      </c>
      <c r="S82" s="215">
        <v>8</v>
      </c>
    </row>
    <row r="83" spans="1:19" ht="12.75" customHeight="1" thickBot="1" x14ac:dyDescent="0.25">
      <c r="A83" s="2029">
        <v>83</v>
      </c>
      <c r="B83" s="4998"/>
      <c r="C83" s="2423">
        <v>15</v>
      </c>
      <c r="D83" s="1997">
        <v>3675</v>
      </c>
      <c r="F83" s="5102"/>
      <c r="G83" s="5103"/>
      <c r="H83" s="413"/>
      <c r="N83" s="413"/>
      <c r="R83" s="534">
        <v>14</v>
      </c>
      <c r="S83" s="215">
        <v>9</v>
      </c>
    </row>
    <row r="84" spans="1:19" ht="12.75" customHeight="1" x14ac:dyDescent="0.2">
      <c r="A84" s="2029">
        <v>84</v>
      </c>
      <c r="B84" s="4998"/>
      <c r="C84" s="2423">
        <v>16</v>
      </c>
      <c r="D84" s="1997">
        <f>D83+450+25*MAX(0,C84-16)</f>
        <v>4125</v>
      </c>
      <c r="F84" s="1959" t="s">
        <v>1689</v>
      </c>
      <c r="G84" s="1877"/>
      <c r="H84" s="413"/>
      <c r="N84" s="413"/>
      <c r="R84" s="534">
        <v>15</v>
      </c>
      <c r="S84" s="215">
        <v>10</v>
      </c>
    </row>
    <row r="85" spans="1:19" ht="12.75" customHeight="1" thickBot="1" x14ac:dyDescent="0.25">
      <c r="A85" s="2028">
        <v>85</v>
      </c>
      <c r="B85" s="4998"/>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98"/>
      <c r="C86" s="2423">
        <v>18</v>
      </c>
      <c r="D86" s="1997">
        <f t="shared" si="2"/>
        <v>5100</v>
      </c>
      <c r="H86" s="413"/>
      <c r="N86" s="413"/>
      <c r="R86" s="534">
        <v>17</v>
      </c>
      <c r="S86" s="215">
        <v>10</v>
      </c>
    </row>
    <row r="87" spans="1:19" ht="12.75" customHeight="1" thickBot="1" x14ac:dyDescent="0.25">
      <c r="A87" s="2028">
        <v>87</v>
      </c>
      <c r="B87" s="4998"/>
      <c r="C87" s="2423">
        <v>19</v>
      </c>
      <c r="D87" s="1997">
        <f t="shared" si="2"/>
        <v>5625</v>
      </c>
      <c r="F87" s="5054" t="s">
        <v>2397</v>
      </c>
      <c r="G87" s="5054"/>
      <c r="H87" s="5054"/>
      <c r="I87" s="5054"/>
      <c r="J87" s="5054"/>
      <c r="K87" s="5054"/>
      <c r="L87" s="5054"/>
      <c r="M87" s="5054"/>
      <c r="N87" s="5054"/>
      <c r="O87" s="5054"/>
      <c r="R87" s="534">
        <v>18</v>
      </c>
      <c r="S87" s="215">
        <v>10</v>
      </c>
    </row>
    <row r="88" spans="1:19" ht="12.75" customHeight="1" x14ac:dyDescent="0.2">
      <c r="A88" s="2029">
        <v>88</v>
      </c>
      <c r="B88" s="4998"/>
      <c r="C88" s="2423">
        <v>20</v>
      </c>
      <c r="D88" s="1997">
        <f t="shared" si="2"/>
        <v>6175</v>
      </c>
      <c r="F88" s="5054"/>
      <c r="G88" s="5054"/>
      <c r="H88" s="5054"/>
      <c r="I88" s="5054"/>
      <c r="J88" s="5054"/>
      <c r="K88" s="5054"/>
      <c r="L88" s="5054"/>
      <c r="M88" s="5054"/>
      <c r="N88" s="5054"/>
      <c r="O88" s="5054"/>
      <c r="R88" s="534">
        <v>19</v>
      </c>
      <c r="S88" s="215">
        <v>10</v>
      </c>
    </row>
    <row r="89" spans="1:19" ht="12.75" customHeight="1" thickBot="1" x14ac:dyDescent="0.25">
      <c r="A89" s="2029">
        <v>89</v>
      </c>
      <c r="B89" s="4998"/>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98"/>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98"/>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98"/>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98"/>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98"/>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98"/>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98"/>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98"/>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98"/>
      <c r="C98" s="2424">
        <v>30</v>
      </c>
      <c r="D98" s="2425">
        <f t="shared" si="2"/>
        <v>13050</v>
      </c>
      <c r="H98" s="413"/>
      <c r="I98" s="2625"/>
      <c r="N98" s="413"/>
      <c r="O98" s="2625"/>
    </row>
    <row r="99" spans="1:109" ht="12.75" customHeight="1" x14ac:dyDescent="0.2">
      <c r="A99" s="2029">
        <v>99</v>
      </c>
      <c r="B99" s="4998"/>
      <c r="H99" s="413"/>
      <c r="I99" s="1761"/>
      <c r="N99" s="413"/>
      <c r="O99" s="2112"/>
    </row>
    <row r="100" spans="1:109" ht="12.75" customHeight="1" x14ac:dyDescent="0.2">
      <c r="A100" s="2029">
        <v>100</v>
      </c>
      <c r="B100" s="4998"/>
    </row>
    <row r="101" spans="1:109" ht="12.75" customHeight="1" x14ac:dyDescent="0.2">
      <c r="A101" s="2029">
        <v>101</v>
      </c>
      <c r="B101" s="4998"/>
      <c r="C101" s="5176" t="s">
        <v>9447</v>
      </c>
      <c r="D101" s="5176"/>
      <c r="E101" s="5176"/>
      <c r="F101" s="5176"/>
      <c r="G101" s="5176"/>
      <c r="H101" s="5176"/>
      <c r="I101" s="5176"/>
      <c r="J101" s="5176"/>
      <c r="K101" s="5176"/>
      <c r="L101" s="5176"/>
      <c r="M101" s="5176"/>
      <c r="N101" s="5176"/>
      <c r="O101" s="5176"/>
      <c r="P101" s="5176"/>
      <c r="Q101" s="5176"/>
      <c r="R101" s="5176"/>
      <c r="S101" s="5176"/>
      <c r="T101" s="5176"/>
      <c r="U101" s="5176"/>
      <c r="V101" s="5176"/>
      <c r="W101" s="5176"/>
      <c r="X101" s="5176"/>
      <c r="Y101" s="5176"/>
      <c r="Z101" s="5176"/>
      <c r="AA101" s="5176"/>
      <c r="AB101" s="5176"/>
      <c r="AC101" s="5176"/>
      <c r="AD101" s="5176"/>
      <c r="AE101" s="5176"/>
      <c r="AF101" s="5176"/>
      <c r="AG101" s="5176"/>
      <c r="AH101" s="5176"/>
      <c r="AI101" s="5176"/>
      <c r="AJ101" s="5176"/>
      <c r="AK101" s="5176"/>
      <c r="AL101" s="5176"/>
      <c r="AM101" s="5176"/>
      <c r="AN101" s="5176"/>
      <c r="AO101" s="5176"/>
      <c r="AP101" s="5176"/>
      <c r="AQ101" s="5176"/>
      <c r="AR101" s="5176"/>
      <c r="AS101" s="5176"/>
      <c r="AT101" s="5176"/>
      <c r="AU101" s="5176"/>
      <c r="AV101" s="5176"/>
      <c r="AW101" s="5176"/>
      <c r="AX101" s="5176"/>
      <c r="AY101" s="5176"/>
      <c r="AZ101" s="5176"/>
      <c r="BA101" s="5176"/>
      <c r="BB101" s="5176"/>
      <c r="BC101" s="5176"/>
      <c r="BD101" s="5176"/>
      <c r="BE101" s="5176"/>
      <c r="BF101" s="5176"/>
      <c r="BG101" s="5176"/>
      <c r="BH101" s="5176"/>
      <c r="BI101" s="5176"/>
      <c r="BJ101" s="5176"/>
      <c r="BK101" s="5176"/>
      <c r="BL101" s="5176"/>
      <c r="BM101" s="5176"/>
      <c r="BN101" s="5176"/>
      <c r="BO101" s="5176"/>
      <c r="BP101" s="5176"/>
      <c r="BQ101" s="5176"/>
      <c r="BR101" s="5176"/>
      <c r="BS101" s="5176"/>
      <c r="BT101" s="5176"/>
      <c r="BU101" s="5176"/>
      <c r="BV101" s="5176"/>
      <c r="BW101" s="5176"/>
      <c r="BX101" s="5176"/>
      <c r="BY101" s="5176"/>
      <c r="BZ101" s="5176"/>
      <c r="CA101" s="5176"/>
      <c r="CB101" s="5176"/>
      <c r="CC101" s="5176"/>
      <c r="CD101" s="5176"/>
      <c r="CE101" s="5176"/>
      <c r="CF101" s="5176"/>
      <c r="CG101" s="5176"/>
      <c r="CH101" s="5176"/>
      <c r="CI101" s="5176"/>
      <c r="CJ101" s="5176"/>
      <c r="CK101" s="5176"/>
      <c r="CL101" s="5176"/>
      <c r="CM101" s="5176"/>
      <c r="CN101" s="5176"/>
      <c r="CO101" s="5176"/>
      <c r="CP101" s="5176"/>
      <c r="CQ101" s="5176"/>
      <c r="CR101" s="5176"/>
      <c r="CS101" s="5176"/>
      <c r="CT101" s="5176"/>
      <c r="CU101" s="5176"/>
      <c r="CV101" s="5176"/>
      <c r="CW101" s="5176"/>
      <c r="CX101" s="5176"/>
      <c r="CY101" s="5176"/>
      <c r="CZ101" s="5176"/>
      <c r="DA101" s="5176"/>
      <c r="DB101" s="5176"/>
      <c r="DC101" s="5176"/>
      <c r="DD101" s="5176"/>
      <c r="DE101" s="5176"/>
    </row>
    <row r="102" spans="1:109" ht="12.75" customHeight="1" x14ac:dyDescent="0.2">
      <c r="A102" s="2029">
        <v>102</v>
      </c>
      <c r="B102" s="4998"/>
      <c r="C102" s="5176"/>
      <c r="D102" s="5176"/>
      <c r="E102" s="5176"/>
      <c r="F102" s="5176"/>
      <c r="G102" s="5176"/>
      <c r="H102" s="5176"/>
      <c r="I102" s="5176"/>
      <c r="J102" s="5176"/>
      <c r="K102" s="5176"/>
      <c r="L102" s="5176"/>
      <c r="M102" s="5176"/>
      <c r="N102" s="5176"/>
      <c r="O102" s="5176"/>
      <c r="P102" s="5176"/>
      <c r="Q102" s="5176"/>
      <c r="R102" s="5176"/>
      <c r="S102" s="5176"/>
      <c r="T102" s="5176"/>
      <c r="U102" s="5176"/>
      <c r="V102" s="5176"/>
      <c r="W102" s="5176"/>
      <c r="X102" s="5176"/>
      <c r="Y102" s="5176"/>
      <c r="Z102" s="5176"/>
      <c r="AA102" s="5176"/>
      <c r="AB102" s="5176"/>
      <c r="AC102" s="5176"/>
      <c r="AD102" s="5176"/>
      <c r="AE102" s="5176"/>
      <c r="AF102" s="5176"/>
      <c r="AG102" s="5176"/>
      <c r="AH102" s="5176"/>
      <c r="AI102" s="5176"/>
      <c r="AJ102" s="5176"/>
      <c r="AK102" s="5176"/>
      <c r="AL102" s="5176"/>
      <c r="AM102" s="5176"/>
      <c r="AN102" s="5176"/>
      <c r="AO102" s="5176"/>
      <c r="AP102" s="5176"/>
      <c r="AQ102" s="5176"/>
      <c r="AR102" s="5176"/>
      <c r="AS102" s="5176"/>
      <c r="AT102" s="5176"/>
      <c r="AU102" s="5176"/>
      <c r="AV102" s="5176"/>
      <c r="AW102" s="5176"/>
      <c r="AX102" s="5176"/>
      <c r="AY102" s="5176"/>
      <c r="AZ102" s="5176"/>
      <c r="BA102" s="5176"/>
      <c r="BB102" s="5176"/>
      <c r="BC102" s="5176"/>
      <c r="BD102" s="5176"/>
      <c r="BE102" s="5176"/>
      <c r="BF102" s="5176"/>
      <c r="BG102" s="5176"/>
      <c r="BH102" s="5176"/>
      <c r="BI102" s="5176"/>
      <c r="BJ102" s="5176"/>
      <c r="BK102" s="5176"/>
      <c r="BL102" s="5176"/>
      <c r="BM102" s="5176"/>
      <c r="BN102" s="5176"/>
      <c r="BO102" s="5176"/>
      <c r="BP102" s="5176"/>
      <c r="BQ102" s="5176"/>
      <c r="BR102" s="5176"/>
      <c r="BS102" s="5176"/>
      <c r="BT102" s="5176"/>
      <c r="BU102" s="5176"/>
      <c r="BV102" s="5176"/>
      <c r="BW102" s="5176"/>
      <c r="BX102" s="5176"/>
      <c r="BY102" s="5176"/>
      <c r="BZ102" s="5176"/>
      <c r="CA102" s="5176"/>
      <c r="CB102" s="5176"/>
      <c r="CC102" s="5176"/>
      <c r="CD102" s="5176"/>
      <c r="CE102" s="5176"/>
      <c r="CF102" s="5176"/>
      <c r="CG102" s="5176"/>
      <c r="CH102" s="5176"/>
      <c r="CI102" s="5176"/>
      <c r="CJ102" s="5176"/>
      <c r="CK102" s="5176"/>
      <c r="CL102" s="5176"/>
      <c r="CM102" s="5176"/>
      <c r="CN102" s="5176"/>
      <c r="CO102" s="5176"/>
      <c r="CP102" s="5176"/>
      <c r="CQ102" s="5176"/>
      <c r="CR102" s="5176"/>
      <c r="CS102" s="5176"/>
      <c r="CT102" s="5176"/>
      <c r="CU102" s="5176"/>
      <c r="CV102" s="5176"/>
      <c r="CW102" s="5176"/>
      <c r="CX102" s="5176"/>
      <c r="CY102" s="5176"/>
      <c r="CZ102" s="5176"/>
      <c r="DA102" s="5176"/>
      <c r="DB102" s="5176"/>
      <c r="DC102" s="5176"/>
      <c r="DD102" s="5176"/>
      <c r="DE102" s="5176"/>
    </row>
    <row r="103" spans="1:109" ht="12.75" customHeight="1" x14ac:dyDescent="0.2">
      <c r="A103" s="2029">
        <v>103</v>
      </c>
      <c r="B103" s="4998"/>
      <c r="C103" s="5176"/>
      <c r="D103" s="5176"/>
      <c r="E103" s="5176"/>
      <c r="F103" s="5176"/>
      <c r="G103" s="5176"/>
      <c r="H103" s="5176"/>
      <c r="I103" s="5176"/>
      <c r="J103" s="5176"/>
      <c r="K103" s="5176"/>
      <c r="L103" s="5176"/>
      <c r="M103" s="5176"/>
      <c r="N103" s="5176"/>
      <c r="O103" s="5176"/>
      <c r="P103" s="5176"/>
      <c r="Q103" s="5176"/>
      <c r="R103" s="5176"/>
      <c r="S103" s="5176"/>
      <c r="T103" s="5176"/>
      <c r="U103" s="5176"/>
      <c r="V103" s="5176"/>
      <c r="W103" s="5176"/>
      <c r="X103" s="5176"/>
      <c r="Y103" s="5176"/>
      <c r="Z103" s="5176"/>
      <c r="AA103" s="5176"/>
      <c r="AB103" s="5176"/>
      <c r="AC103" s="5176"/>
      <c r="AD103" s="5176"/>
      <c r="AE103" s="5176"/>
      <c r="AF103" s="5176"/>
      <c r="AG103" s="5176"/>
      <c r="AH103" s="5176"/>
      <c r="AI103" s="5176"/>
      <c r="AJ103" s="5176"/>
      <c r="AK103" s="5176"/>
      <c r="AL103" s="5176"/>
      <c r="AM103" s="5176"/>
      <c r="AN103" s="5176"/>
      <c r="AO103" s="5176"/>
      <c r="AP103" s="5176"/>
      <c r="AQ103" s="5176"/>
      <c r="AR103" s="5176"/>
      <c r="AS103" s="5176"/>
      <c r="AT103" s="5176"/>
      <c r="AU103" s="5176"/>
      <c r="AV103" s="5176"/>
      <c r="AW103" s="5176"/>
      <c r="AX103" s="5176"/>
      <c r="AY103" s="5176"/>
      <c r="AZ103" s="5176"/>
      <c r="BA103" s="5176"/>
      <c r="BB103" s="5176"/>
      <c r="BC103" s="5176"/>
      <c r="BD103" s="5176"/>
      <c r="BE103" s="5176"/>
      <c r="BF103" s="5176"/>
      <c r="BG103" s="5176"/>
      <c r="BH103" s="5176"/>
      <c r="BI103" s="5176"/>
      <c r="BJ103" s="5176"/>
      <c r="BK103" s="5176"/>
      <c r="BL103" s="5176"/>
      <c r="BM103" s="5176"/>
      <c r="BN103" s="5176"/>
      <c r="BO103" s="5176"/>
      <c r="BP103" s="5176"/>
      <c r="BQ103" s="5176"/>
      <c r="BR103" s="5176"/>
      <c r="BS103" s="5176"/>
      <c r="BT103" s="5176"/>
      <c r="BU103" s="5176"/>
      <c r="BV103" s="5176"/>
      <c r="BW103" s="5176"/>
      <c r="BX103" s="5176"/>
      <c r="BY103" s="5176"/>
      <c r="BZ103" s="5176"/>
      <c r="CA103" s="5176"/>
      <c r="CB103" s="5176"/>
      <c r="CC103" s="5176"/>
      <c r="CD103" s="5176"/>
      <c r="CE103" s="5176"/>
      <c r="CF103" s="5176"/>
      <c r="CG103" s="5176"/>
      <c r="CH103" s="5176"/>
      <c r="CI103" s="5176"/>
      <c r="CJ103" s="5176"/>
      <c r="CK103" s="5176"/>
      <c r="CL103" s="5176"/>
      <c r="CM103" s="5176"/>
      <c r="CN103" s="5176"/>
      <c r="CO103" s="5176"/>
      <c r="CP103" s="5176"/>
      <c r="CQ103" s="5176"/>
      <c r="CR103" s="5176"/>
      <c r="CS103" s="5176"/>
      <c r="CT103" s="5176"/>
      <c r="CU103" s="5176"/>
      <c r="CV103" s="5176"/>
      <c r="CW103" s="5176"/>
      <c r="CX103" s="5176"/>
      <c r="CY103" s="5176"/>
      <c r="CZ103" s="5176"/>
      <c r="DA103" s="5176"/>
      <c r="DB103" s="5176"/>
      <c r="DC103" s="5176"/>
      <c r="DD103" s="5176"/>
      <c r="DE103" s="5176"/>
    </row>
    <row r="104" spans="1:109" ht="12.75" customHeight="1" thickBot="1" x14ac:dyDescent="0.25">
      <c r="A104" s="2029">
        <v>104</v>
      </c>
      <c r="B104" s="4998"/>
      <c r="H104" s="413"/>
      <c r="N104" s="413"/>
    </row>
    <row r="105" spans="1:109" ht="12.75" customHeight="1" thickBot="1" x14ac:dyDescent="0.25">
      <c r="A105" s="2029">
        <v>105</v>
      </c>
      <c r="B105" s="4998"/>
      <c r="C105" s="3237" t="s">
        <v>2368</v>
      </c>
      <c r="D105" s="3237"/>
      <c r="F105" s="3237" t="s">
        <v>2394</v>
      </c>
      <c r="G105" s="3237"/>
      <c r="H105" s="413"/>
      <c r="I105" s="5039" t="s">
        <v>2244</v>
      </c>
      <c r="J105" s="5039"/>
      <c r="K105" s="5039"/>
      <c r="L105" s="5039"/>
      <c r="M105" s="5039"/>
      <c r="N105" s="5039"/>
      <c r="O105" s="5039"/>
      <c r="P105" s="5039"/>
      <c r="Q105" s="5039"/>
      <c r="R105" s="5039"/>
      <c r="S105" s="5039"/>
      <c r="T105" s="5039"/>
      <c r="U105" s="5039"/>
      <c r="V105" s="5039"/>
      <c r="W105" s="5039"/>
      <c r="X105" s="5039"/>
      <c r="Y105" s="5039"/>
      <c r="Z105" s="5039"/>
      <c r="AA105" s="5039"/>
      <c r="AB105" s="5039"/>
      <c r="AC105" s="5039"/>
      <c r="AD105" s="5039"/>
      <c r="AE105" s="5039"/>
      <c r="AF105" s="5039"/>
      <c r="AG105" s="5039"/>
      <c r="AH105" s="5039"/>
      <c r="AI105" s="5039"/>
      <c r="AJ105" s="5039"/>
      <c r="AK105" s="5039"/>
      <c r="AL105" s="5039"/>
      <c r="AM105" s="5039"/>
      <c r="AN105" s="5039"/>
      <c r="AO105" s="5039"/>
      <c r="AP105" s="5039"/>
      <c r="AQ105" s="5039"/>
      <c r="AR105" s="5039"/>
      <c r="AS105" s="5039"/>
      <c r="AT105" s="5039"/>
      <c r="AU105" s="5039"/>
      <c r="AV105" s="5039"/>
      <c r="AW105" s="5039"/>
      <c r="AX105" s="5039"/>
      <c r="AY105" s="5039"/>
      <c r="AZ105" s="5039"/>
      <c r="BA105" s="5039"/>
      <c r="BB105" s="5039"/>
      <c r="BC105" s="5039"/>
      <c r="BD105" s="5039"/>
      <c r="BE105" s="5039"/>
      <c r="BF105" s="5039"/>
      <c r="BG105" s="5039"/>
      <c r="BH105" s="5039"/>
      <c r="BI105" s="5039"/>
      <c r="BJ105" s="5039"/>
      <c r="BK105" s="5039"/>
      <c r="BL105" s="5039"/>
    </row>
    <row r="106" spans="1:109" ht="12.75" customHeight="1" thickBot="1" x14ac:dyDescent="0.25">
      <c r="A106" s="2029">
        <v>106</v>
      </c>
      <c r="B106" s="4998"/>
      <c r="C106" s="3237"/>
      <c r="D106" s="3237"/>
      <c r="F106" s="3237"/>
      <c r="G106" s="3237"/>
      <c r="H106" s="413"/>
      <c r="I106" s="5039"/>
      <c r="J106" s="5039"/>
      <c r="K106" s="5039"/>
      <c r="L106" s="5039"/>
      <c r="M106" s="5039"/>
      <c r="N106" s="5039"/>
      <c r="O106" s="5039"/>
      <c r="P106" s="5039"/>
      <c r="Q106" s="5039"/>
      <c r="R106" s="5039"/>
      <c r="S106" s="5039"/>
      <c r="T106" s="5039"/>
      <c r="U106" s="5039"/>
      <c r="V106" s="5039"/>
      <c r="W106" s="5039"/>
      <c r="X106" s="5039"/>
      <c r="Y106" s="5039"/>
      <c r="Z106" s="5039"/>
      <c r="AA106" s="5039"/>
      <c r="AB106" s="5039"/>
      <c r="AC106" s="5039"/>
      <c r="AD106" s="5039"/>
      <c r="AE106" s="5039"/>
      <c r="AF106" s="5039"/>
      <c r="AG106" s="5039"/>
      <c r="AH106" s="5039"/>
      <c r="AI106" s="5039"/>
      <c r="AJ106" s="5039"/>
      <c r="AK106" s="5039"/>
      <c r="AL106" s="5039"/>
      <c r="AM106" s="5039"/>
      <c r="AN106" s="5039"/>
      <c r="AO106" s="5039"/>
      <c r="AP106" s="5039"/>
      <c r="AQ106" s="5039"/>
      <c r="AR106" s="5039"/>
      <c r="AS106" s="5039"/>
      <c r="AT106" s="5039"/>
      <c r="AU106" s="5039"/>
      <c r="AV106" s="5039"/>
      <c r="AW106" s="5039"/>
      <c r="AX106" s="5039"/>
      <c r="AY106" s="5039"/>
      <c r="AZ106" s="5039"/>
      <c r="BA106" s="5039"/>
      <c r="BB106" s="5039"/>
      <c r="BC106" s="5039"/>
      <c r="BD106" s="5039"/>
      <c r="BE106" s="5039"/>
      <c r="BF106" s="5039"/>
      <c r="BG106" s="5039"/>
      <c r="BH106" s="5039"/>
      <c r="BI106" s="5039"/>
      <c r="BJ106" s="5039"/>
      <c r="BK106" s="5039"/>
      <c r="BL106" s="5039"/>
    </row>
    <row r="107" spans="1:109" ht="13.5" customHeight="1" x14ac:dyDescent="0.2">
      <c r="A107" s="2029">
        <v>107</v>
      </c>
      <c r="B107" s="4998"/>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00">
        <v>20</v>
      </c>
      <c r="AD107" s="5100"/>
      <c r="AE107" s="2540">
        <v>21</v>
      </c>
      <c r="AF107" s="5100">
        <v>22</v>
      </c>
      <c r="AG107" s="5100"/>
      <c r="AH107" s="2540">
        <v>23</v>
      </c>
      <c r="AI107" s="5100">
        <v>24</v>
      </c>
      <c r="AJ107" s="5100"/>
      <c r="AK107" s="2540">
        <v>25</v>
      </c>
      <c r="AL107" s="5100">
        <v>26</v>
      </c>
      <c r="AM107" s="5100"/>
      <c r="AN107" s="2540">
        <v>27</v>
      </c>
      <c r="AO107" s="5100">
        <v>28</v>
      </c>
      <c r="AP107" s="5100"/>
      <c r="AQ107" s="2540">
        <v>29</v>
      </c>
      <c r="AR107" s="5100">
        <v>30</v>
      </c>
      <c r="AS107" s="5100"/>
      <c r="AT107" s="2540">
        <v>31</v>
      </c>
      <c r="AU107" s="5100">
        <v>32</v>
      </c>
      <c r="AV107" s="5100"/>
      <c r="AW107" s="2540">
        <v>33</v>
      </c>
      <c r="AX107" s="5100">
        <v>34</v>
      </c>
      <c r="AY107" s="5100"/>
      <c r="AZ107" s="2540">
        <v>35</v>
      </c>
      <c r="BA107" s="5100">
        <v>36</v>
      </c>
      <c r="BB107" s="5100"/>
      <c r="BC107" s="2540">
        <v>37</v>
      </c>
      <c r="BD107" s="5100">
        <v>38</v>
      </c>
      <c r="BE107" s="5100"/>
      <c r="BF107" s="2540">
        <v>39</v>
      </c>
      <c r="BG107" s="5100">
        <v>40</v>
      </c>
      <c r="BH107" s="5100"/>
      <c r="BI107" s="2540">
        <v>41</v>
      </c>
      <c r="BJ107" s="5100">
        <v>42</v>
      </c>
      <c r="BK107" s="5100"/>
      <c r="BL107" s="417">
        <v>43</v>
      </c>
    </row>
    <row r="108" spans="1:109" ht="12.75" customHeight="1" thickBot="1" x14ac:dyDescent="0.25">
      <c r="A108" s="2029">
        <v>108</v>
      </c>
      <c r="B108" s="4998"/>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036" t="s">
        <v>2248</v>
      </c>
      <c r="AD108" s="5036"/>
      <c r="AE108" s="2541" t="s">
        <v>2249</v>
      </c>
      <c r="AF108" s="5036" t="s">
        <v>2250</v>
      </c>
      <c r="AG108" s="5036"/>
      <c r="AH108" s="2541" t="s">
        <v>2249</v>
      </c>
      <c r="AI108" s="5036" t="s">
        <v>2251</v>
      </c>
      <c r="AJ108" s="5036"/>
      <c r="AK108" s="2541" t="s">
        <v>2249</v>
      </c>
      <c r="AL108" s="5036" t="s">
        <v>2252</v>
      </c>
      <c r="AM108" s="5036"/>
      <c r="AN108" s="2541" t="s">
        <v>2249</v>
      </c>
      <c r="AO108" s="5036" t="s">
        <v>2253</v>
      </c>
      <c r="AP108" s="5036"/>
      <c r="AQ108" s="2541" t="s">
        <v>2249</v>
      </c>
      <c r="AR108" s="5036" t="s">
        <v>2254</v>
      </c>
      <c r="AS108" s="5036"/>
      <c r="AT108" s="2541" t="s">
        <v>2249</v>
      </c>
      <c r="AU108" s="5036" t="s">
        <v>2255</v>
      </c>
      <c r="AV108" s="5036"/>
      <c r="AW108" s="2541" t="s">
        <v>2249</v>
      </c>
      <c r="AX108" s="5036" t="s">
        <v>2256</v>
      </c>
      <c r="AY108" s="5036"/>
      <c r="AZ108" s="2541" t="s">
        <v>2249</v>
      </c>
      <c r="BA108" s="5036" t="s">
        <v>2257</v>
      </c>
      <c r="BB108" s="5036"/>
      <c r="BC108" s="2541" t="s">
        <v>2249</v>
      </c>
      <c r="BD108" s="5036" t="s">
        <v>2258</v>
      </c>
      <c r="BE108" s="5036"/>
      <c r="BF108" s="2541" t="s">
        <v>2249</v>
      </c>
      <c r="BG108" s="5036" t="s">
        <v>2259</v>
      </c>
      <c r="BH108" s="5036"/>
      <c r="BI108" s="2541" t="s">
        <v>2249</v>
      </c>
      <c r="BJ108" s="5036" t="s">
        <v>2260</v>
      </c>
      <c r="BK108" s="5036"/>
      <c r="BL108" s="420" t="s">
        <v>2249</v>
      </c>
    </row>
    <row r="109" spans="1:109" ht="12.75" customHeight="1" thickBot="1" x14ac:dyDescent="0.25">
      <c r="A109" s="2029">
        <v>109</v>
      </c>
      <c r="B109" s="4998"/>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98"/>
      <c r="C110" s="3237" t="s">
        <v>2374</v>
      </c>
      <c r="D110" s="3237"/>
      <c r="F110" s="3183" t="s">
        <v>2162</v>
      </c>
      <c r="G110" s="3183"/>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98"/>
      <c r="C111" s="3237"/>
      <c r="D111" s="3237"/>
      <c r="F111" s="3183"/>
      <c r="G111" s="3183"/>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98"/>
      <c r="C112" s="434" t="s">
        <v>2377</v>
      </c>
      <c r="D112" s="69"/>
      <c r="F112" s="5098" t="s">
        <v>2370</v>
      </c>
      <c r="G112" s="5098"/>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98"/>
      <c r="C113" s="434" t="s">
        <v>2379</v>
      </c>
      <c r="D113" s="69"/>
      <c r="F113" s="5098" t="s">
        <v>2372</v>
      </c>
      <c r="G113" s="5098"/>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98"/>
      <c r="C114" s="434" t="s">
        <v>2380</v>
      </c>
      <c r="D114" s="69"/>
      <c r="F114" s="5098" t="s">
        <v>2373</v>
      </c>
      <c r="G114" s="5098"/>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98"/>
      <c r="C115" s="434" t="s">
        <v>2381</v>
      </c>
      <c r="D115" s="69"/>
      <c r="F115" s="5098" t="s">
        <v>2375</v>
      </c>
      <c r="G115" s="5098"/>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98"/>
      <c r="C116" s="434" t="s">
        <v>2382</v>
      </c>
      <c r="D116" s="69"/>
      <c r="F116" s="5098" t="s">
        <v>2376</v>
      </c>
      <c r="G116" s="5098"/>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98"/>
      <c r="C117" s="434" t="s">
        <v>2383</v>
      </c>
      <c r="D117" s="69"/>
      <c r="F117" s="5097" t="s">
        <v>2378</v>
      </c>
      <c r="G117" s="5097"/>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55" t="s">
        <v>2312</v>
      </c>
      <c r="AD117" s="5055"/>
      <c r="AE117" s="2578">
        <v>1</v>
      </c>
      <c r="AF117" s="5080" t="s">
        <v>2313</v>
      </c>
      <c r="AG117" s="5080"/>
      <c r="AH117" s="2578"/>
      <c r="AI117" s="5080">
        <f>IF(TipoDeCriatura="Natural",MAX(Principal!AB13-IF(Raza=0,0,VLOOKUP(Raza,Tablas!$J$109:$AB$129,19,FALSE)),0),"-")</f>
        <v>10</v>
      </c>
      <c r="AJ117" s="5080"/>
      <c r="AK117" s="2578">
        <v>1</v>
      </c>
      <c r="AL117" s="5080" t="s">
        <v>2314</v>
      </c>
      <c r="AM117" s="5080"/>
      <c r="AN117" s="2578">
        <v>1</v>
      </c>
      <c r="AO117" s="5056" t="s">
        <v>2274</v>
      </c>
      <c r="AP117" s="5056"/>
      <c r="AQ117" s="2578"/>
      <c r="AR117" s="5080"/>
      <c r="AS117" s="5080"/>
      <c r="AT117" s="2578"/>
      <c r="AU117" s="5080"/>
      <c r="AV117" s="5080"/>
      <c r="AW117" s="2578"/>
      <c r="AX117" s="5101"/>
      <c r="AY117" s="5101"/>
      <c r="AZ117" s="2578"/>
      <c r="BA117" s="5101"/>
      <c r="BB117" s="5101"/>
      <c r="BC117" s="2578"/>
      <c r="BD117" s="5101"/>
      <c r="BE117" s="5101"/>
      <c r="BF117" s="2578"/>
      <c r="BG117" s="5101"/>
      <c r="BH117" s="5101"/>
      <c r="BI117" s="2578"/>
      <c r="BJ117" s="5101"/>
      <c r="BK117" s="5101"/>
      <c r="BL117" s="2579"/>
    </row>
    <row r="118" spans="1:64" ht="12.75" customHeight="1" thickBot="1" x14ac:dyDescent="0.25">
      <c r="A118" s="2029">
        <v>118</v>
      </c>
      <c r="B118" s="4998"/>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55"/>
      <c r="AD118" s="5055"/>
      <c r="AE118" s="2578"/>
      <c r="AF118" s="5080"/>
      <c r="AG118" s="5080"/>
      <c r="AH118" s="2578"/>
      <c r="AI118" s="5080"/>
      <c r="AJ118" s="5080"/>
      <c r="AK118" s="2578"/>
      <c r="AL118" s="5080"/>
      <c r="AM118" s="5080"/>
      <c r="AN118" s="2578"/>
      <c r="AO118" s="5056"/>
      <c r="AP118" s="5056"/>
      <c r="AQ118" s="2578"/>
      <c r="AR118" s="5080"/>
      <c r="AS118" s="5080"/>
      <c r="AT118" s="2578"/>
      <c r="AU118" s="5080"/>
      <c r="AV118" s="5080"/>
      <c r="AW118" s="2578"/>
      <c r="AX118" s="5101"/>
      <c r="AY118" s="5101"/>
      <c r="AZ118" s="2578"/>
      <c r="BA118" s="5101"/>
      <c r="BB118" s="5101"/>
      <c r="BC118" s="2578"/>
      <c r="BD118" s="5101"/>
      <c r="BE118" s="5101"/>
      <c r="BF118" s="2578"/>
      <c r="BG118" s="5101"/>
      <c r="BH118" s="5101"/>
      <c r="BI118" s="2578"/>
      <c r="BJ118" s="5101"/>
      <c r="BK118" s="5101"/>
      <c r="BL118" s="2579"/>
    </row>
    <row r="119" spans="1:64" ht="12.75" customHeight="1" thickBot="1" x14ac:dyDescent="0.25">
      <c r="A119" s="2029">
        <v>119</v>
      </c>
      <c r="B119" s="4998"/>
      <c r="C119" s="434" t="s">
        <v>2385</v>
      </c>
      <c r="D119" s="69"/>
      <c r="F119" s="3237" t="s">
        <v>2411</v>
      </c>
      <c r="G119" s="3237"/>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55" t="s">
        <v>2316</v>
      </c>
      <c r="AD119" s="5055"/>
      <c r="AE119" s="2578">
        <v>1</v>
      </c>
      <c r="AF119" s="5056" t="s">
        <v>2317</v>
      </c>
      <c r="AG119" s="5056"/>
      <c r="AH119" s="2578">
        <v>1</v>
      </c>
      <c r="AI119" s="5056" t="s">
        <v>2318</v>
      </c>
      <c r="AJ119" s="5056"/>
      <c r="AK119" s="2578"/>
      <c r="AL119" s="5056" t="s">
        <v>2011</v>
      </c>
      <c r="AM119" s="5056"/>
      <c r="AN119" s="2578">
        <v>1</v>
      </c>
      <c r="AO119" s="5056" t="s">
        <v>2319</v>
      </c>
      <c r="AP119" s="5056"/>
      <c r="AQ119" s="2578"/>
      <c r="AR119" s="5056" t="s">
        <v>2263</v>
      </c>
      <c r="AS119" s="5056"/>
      <c r="AT119" s="2578">
        <v>1</v>
      </c>
      <c r="AU119" s="5056" t="s">
        <v>2265</v>
      </c>
      <c r="AV119" s="5056"/>
      <c r="AW119" s="2578"/>
      <c r="AX119" s="5056" t="s">
        <v>2320</v>
      </c>
      <c r="AY119" s="5056"/>
      <c r="AZ119" s="2578"/>
      <c r="BA119" s="5056" t="s">
        <v>2321</v>
      </c>
      <c r="BB119" s="5056"/>
      <c r="BC119" s="2578"/>
      <c r="BD119" s="5056" t="s">
        <v>2322</v>
      </c>
      <c r="BE119" s="5056"/>
      <c r="BF119" s="2578"/>
      <c r="BG119" s="5056" t="s">
        <v>2323</v>
      </c>
      <c r="BH119" s="5056"/>
      <c r="BI119" s="2578">
        <v>1</v>
      </c>
      <c r="BJ119" s="5056"/>
      <c r="BK119" s="5056"/>
      <c r="BL119" s="2579"/>
    </row>
    <row r="120" spans="1:64" ht="12.75" customHeight="1" thickBot="1" x14ac:dyDescent="0.25">
      <c r="A120" s="2029">
        <v>120</v>
      </c>
      <c r="B120" s="4998"/>
      <c r="C120" s="434" t="s">
        <v>2386</v>
      </c>
      <c r="D120" s="69"/>
      <c r="F120" s="3237"/>
      <c r="G120" s="3237"/>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55" t="s">
        <v>2268</v>
      </c>
      <c r="AD120" s="5055"/>
      <c r="AE120" s="2578">
        <v>1</v>
      </c>
      <c r="AF120" s="5056" t="s">
        <v>2325</v>
      </c>
      <c r="AG120" s="5056"/>
      <c r="AH120" s="2578">
        <v>1</v>
      </c>
      <c r="AI120" s="5056" t="s">
        <v>2269</v>
      </c>
      <c r="AJ120" s="5056"/>
      <c r="AK120" s="2578">
        <v>1</v>
      </c>
      <c r="AL120" s="5056" t="s">
        <v>2326</v>
      </c>
      <c r="AM120" s="5056"/>
      <c r="AN120" s="2578">
        <v>1</v>
      </c>
      <c r="AO120" s="5056" t="s">
        <v>2327</v>
      </c>
      <c r="AP120" s="5056"/>
      <c r="AQ120" s="2578"/>
      <c r="AR120" s="5056" t="s">
        <v>2312</v>
      </c>
      <c r="AS120" s="5056"/>
      <c r="AT120" s="2578">
        <v>1</v>
      </c>
      <c r="AU120" s="5056" t="s">
        <v>9186</v>
      </c>
      <c r="AV120" s="5056"/>
      <c r="AW120" s="2578">
        <v>1</v>
      </c>
      <c r="AX120" s="5056" t="s">
        <v>2328</v>
      </c>
      <c r="AY120" s="5056"/>
      <c r="AZ120" s="2578">
        <v>1</v>
      </c>
      <c r="BA120" s="5056" t="s">
        <v>2329</v>
      </c>
      <c r="BB120" s="5056"/>
      <c r="BC120" s="2578">
        <v>1</v>
      </c>
      <c r="BD120" s="5056"/>
      <c r="BE120" s="5056"/>
      <c r="BF120" s="2578"/>
      <c r="BG120" s="5056"/>
      <c r="BH120" s="5056"/>
      <c r="BI120" s="2578"/>
      <c r="BJ120" s="5056"/>
      <c r="BK120" s="5056"/>
      <c r="BL120" s="2579"/>
    </row>
    <row r="121" spans="1:64" ht="12.75" customHeight="1" x14ac:dyDescent="0.2">
      <c r="A121" s="2029">
        <v>121</v>
      </c>
      <c r="B121" s="4998"/>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55" t="s">
        <v>2277</v>
      </c>
      <c r="AD121" s="5055"/>
      <c r="AE121" s="2578"/>
      <c r="AF121" s="5056" t="s">
        <v>2276</v>
      </c>
      <c r="AG121" s="5056"/>
      <c r="AH121" s="2578">
        <v>2</v>
      </c>
      <c r="AI121" s="5056" t="s">
        <v>2331</v>
      </c>
      <c r="AJ121" s="5056"/>
      <c r="AK121" s="2578"/>
      <c r="AL121" s="5056" t="s">
        <v>2279</v>
      </c>
      <c r="AM121" s="5056"/>
      <c r="AN121" s="2578"/>
      <c r="AO121" s="5056" t="s">
        <v>2278</v>
      </c>
      <c r="AP121" s="5056"/>
      <c r="AQ121" s="2578"/>
      <c r="AR121" s="5056" t="s">
        <v>2332</v>
      </c>
      <c r="AS121" s="5056"/>
      <c r="AT121" s="2578"/>
      <c r="AU121" s="5056" t="s">
        <v>2329</v>
      </c>
      <c r="AV121" s="5056"/>
      <c r="AW121" s="2578">
        <v>1</v>
      </c>
      <c r="AX121" s="5056"/>
      <c r="AY121" s="5056"/>
      <c r="AZ121" s="2578"/>
      <c r="BA121" s="5056"/>
      <c r="BB121" s="5056"/>
      <c r="BC121" s="2578"/>
      <c r="BD121" s="5056"/>
      <c r="BE121" s="5056"/>
      <c r="BF121" s="2578"/>
      <c r="BG121" s="5056"/>
      <c r="BH121" s="5056"/>
      <c r="BI121" s="2578"/>
      <c r="BJ121" s="5056"/>
      <c r="BK121" s="5056"/>
      <c r="BL121" s="2579"/>
    </row>
    <row r="122" spans="1:64" ht="12.75" customHeight="1" x14ac:dyDescent="0.2">
      <c r="A122" s="2029">
        <v>122</v>
      </c>
      <c r="B122" s="4998"/>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55" t="s">
        <v>2282</v>
      </c>
      <c r="AD122" s="5055"/>
      <c r="AE122" s="2578"/>
      <c r="AF122" s="5056" t="s">
        <v>2334</v>
      </c>
      <c r="AG122" s="5056"/>
      <c r="AH122" s="2578"/>
      <c r="AI122" s="5056" t="s">
        <v>2284</v>
      </c>
      <c r="AJ122" s="5056"/>
      <c r="AK122" s="2578"/>
      <c r="AL122" s="5056" t="str">
        <f>IF(General!$N$23="Conseguido","Modificador de nivel: +3","Modificador de nivel: +1")</f>
        <v>Modificador de nivel: +1</v>
      </c>
      <c r="AM122" s="5056"/>
      <c r="AN122" s="2578">
        <v>1</v>
      </c>
      <c r="AO122" s="5056"/>
      <c r="AP122" s="5056"/>
      <c r="AQ122" s="2578"/>
      <c r="AR122" s="5056"/>
      <c r="AS122" s="5056"/>
      <c r="AT122" s="2578"/>
      <c r="AU122" s="5056"/>
      <c r="AV122" s="5056"/>
      <c r="AW122" s="2578"/>
      <c r="AX122" s="5056"/>
      <c r="AY122" s="5056"/>
      <c r="AZ122" s="2578"/>
      <c r="BA122" s="5056"/>
      <c r="BB122" s="5056"/>
      <c r="BC122" s="2578"/>
      <c r="BD122" s="5056"/>
      <c r="BE122" s="5056"/>
      <c r="BF122" s="2578"/>
      <c r="BG122" s="5056"/>
      <c r="BH122" s="5056"/>
      <c r="BI122" s="2578"/>
      <c r="BJ122" s="5056"/>
      <c r="BK122" s="5056"/>
      <c r="BL122" s="2579"/>
    </row>
    <row r="123" spans="1:64" ht="12.75" customHeight="1" x14ac:dyDescent="0.2">
      <c r="A123" s="2029">
        <v>123</v>
      </c>
      <c r="B123" s="4998"/>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55" t="s">
        <v>2336</v>
      </c>
      <c r="AD123" s="5055"/>
      <c r="AE123" s="2578">
        <v>1</v>
      </c>
      <c r="AF123" s="5056" t="s">
        <v>2286</v>
      </c>
      <c r="AG123" s="5056"/>
      <c r="AH123" s="2578"/>
      <c r="AI123" s="5056" t="s">
        <v>2337</v>
      </c>
      <c r="AJ123" s="5056"/>
      <c r="AK123" s="2578">
        <v>1</v>
      </c>
      <c r="AL123" s="5056" t="s">
        <v>2011</v>
      </c>
      <c r="AM123" s="5056"/>
      <c r="AN123" s="2578">
        <v>1</v>
      </c>
      <c r="AO123" s="5056" t="s">
        <v>2288</v>
      </c>
      <c r="AP123" s="5056"/>
      <c r="AQ123" s="2578">
        <v>1</v>
      </c>
      <c r="AR123" s="5056" t="s">
        <v>2289</v>
      </c>
      <c r="AS123" s="5056"/>
      <c r="AT123" s="2578"/>
      <c r="AU123" s="5056" t="s">
        <v>2338</v>
      </c>
      <c r="AV123" s="5056"/>
      <c r="AW123" s="2578"/>
      <c r="AX123" s="5056" t="s">
        <v>2318</v>
      </c>
      <c r="AY123" s="5056"/>
      <c r="AZ123" s="2578"/>
      <c r="BA123" s="5056" t="s">
        <v>2339</v>
      </c>
      <c r="BB123" s="5056"/>
      <c r="BC123" s="2578"/>
      <c r="BD123" s="5056" t="s">
        <v>2287</v>
      </c>
      <c r="BE123" s="5056"/>
      <c r="BF123" s="2578"/>
      <c r="BG123" s="5056" t="s">
        <v>2290</v>
      </c>
      <c r="BH123" s="5056"/>
      <c r="BI123" s="2578"/>
      <c r="BJ123" s="5056" t="s">
        <v>2329</v>
      </c>
      <c r="BK123" s="5056"/>
      <c r="BL123" s="2579">
        <v>1</v>
      </c>
    </row>
    <row r="124" spans="1:64" ht="12.75" customHeight="1" x14ac:dyDescent="0.2">
      <c r="A124" s="2029">
        <v>124</v>
      </c>
      <c r="B124" s="4998"/>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55" t="s">
        <v>2341</v>
      </c>
      <c r="AD124" s="5055"/>
      <c r="AE124" s="2578">
        <v>1</v>
      </c>
      <c r="AF124" s="5056" t="s">
        <v>2342</v>
      </c>
      <c r="AG124" s="5056"/>
      <c r="AH124" s="2578"/>
      <c r="AI124" s="5056" t="s">
        <v>2011</v>
      </c>
      <c r="AJ124" s="5056"/>
      <c r="AK124" s="2578">
        <v>1</v>
      </c>
      <c r="AL124" s="5056" t="s">
        <v>2265</v>
      </c>
      <c r="AM124" s="5056"/>
      <c r="AN124" s="2578"/>
      <c r="AO124" s="5056" t="s">
        <v>2343</v>
      </c>
      <c r="AP124" s="5056"/>
      <c r="AQ124" s="2578"/>
      <c r="AR124" s="5056" t="s">
        <v>2344</v>
      </c>
      <c r="AS124" s="5056"/>
      <c r="AT124" s="2578">
        <v>1</v>
      </c>
      <c r="AU124" s="5056" t="s">
        <v>2345</v>
      </c>
      <c r="AV124" s="5056"/>
      <c r="AW124" s="2578"/>
      <c r="AX124" s="5056" t="s">
        <v>2263</v>
      </c>
      <c r="AY124" s="5056"/>
      <c r="AZ124" s="2578">
        <v>1</v>
      </c>
      <c r="BA124" s="5056" t="s">
        <v>2346</v>
      </c>
      <c r="BB124" s="5056"/>
      <c r="BC124" s="2578"/>
      <c r="BD124" s="5056" t="s">
        <v>2347</v>
      </c>
      <c r="BE124" s="5056"/>
      <c r="BF124" s="2578"/>
      <c r="BG124" s="5056" t="s">
        <v>2298</v>
      </c>
      <c r="BH124" s="5056"/>
      <c r="BI124" s="2578"/>
      <c r="BJ124" s="5056" t="s">
        <v>2348</v>
      </c>
      <c r="BK124" s="5056"/>
      <c r="BL124" s="2579">
        <v>1</v>
      </c>
    </row>
    <row r="125" spans="1:64" ht="12.75" customHeight="1" x14ac:dyDescent="0.2">
      <c r="A125" s="2029">
        <v>125</v>
      </c>
      <c r="B125" s="4998"/>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55" t="s">
        <v>2350</v>
      </c>
      <c r="AD125" s="5055"/>
      <c r="AE125" s="2578">
        <v>1</v>
      </c>
      <c r="AF125" s="5055" t="str">
        <f>IF(AH125=0,"",Raza)</f>
        <v/>
      </c>
      <c r="AG125" s="5055"/>
      <c r="AH125" s="2578">
        <f>IF(Raza=0,0,VLOOKUP(Raza,Tablas!$J$109:$P$129,7,FALSE))</f>
        <v>0</v>
      </c>
      <c r="AI125" s="5055" t="s">
        <v>2351</v>
      </c>
      <c r="AJ125" s="5055"/>
      <c r="AK125" s="2578"/>
      <c r="AL125" s="5055" t="s">
        <v>2300</v>
      </c>
      <c r="AM125" s="5055"/>
      <c r="AN125" s="2578"/>
      <c r="AO125" s="5055" t="s">
        <v>2301</v>
      </c>
      <c r="AP125" s="5055"/>
      <c r="AQ125" s="2578"/>
      <c r="AR125" s="5055" t="s">
        <v>2302</v>
      </c>
      <c r="AS125" s="5055"/>
      <c r="AT125" s="2578">
        <v>1</v>
      </c>
      <c r="AU125" s="5055" t="s">
        <v>2303</v>
      </c>
      <c r="AV125" s="5055"/>
      <c r="AW125" s="2578">
        <v>1</v>
      </c>
      <c r="AX125" s="5055" t="s">
        <v>2352</v>
      </c>
      <c r="AY125" s="5055"/>
      <c r="AZ125" s="2578"/>
      <c r="BA125" s="51"/>
      <c r="BB125" s="51"/>
      <c r="BC125" s="2578"/>
      <c r="BD125" s="51"/>
      <c r="BE125" s="51"/>
      <c r="BF125" s="2578"/>
      <c r="BG125" s="51"/>
      <c r="BH125" s="51"/>
      <c r="BI125" s="2578"/>
      <c r="BJ125" s="51"/>
      <c r="BK125" s="51"/>
      <c r="BL125" s="2579"/>
    </row>
    <row r="126" spans="1:64" ht="12.75" customHeight="1" x14ac:dyDescent="0.2">
      <c r="A126" s="2029">
        <v>126</v>
      </c>
      <c r="B126" s="4998"/>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55" t="s">
        <v>2354</v>
      </c>
      <c r="AD126" s="5055"/>
      <c r="AE126" s="2578"/>
      <c r="AF126" s="5055" t="s">
        <v>2306</v>
      </c>
      <c r="AG126" s="5055"/>
      <c r="AH126" s="2578"/>
      <c r="AI126" s="5055" t="s">
        <v>2355</v>
      </c>
      <c r="AJ126" s="5055"/>
      <c r="AK126" s="2578"/>
      <c r="AL126" s="5055" t="s">
        <v>2307</v>
      </c>
      <c r="AM126" s="5055"/>
      <c r="AN126" s="2578"/>
      <c r="AO126" s="5055" t="s">
        <v>2263</v>
      </c>
      <c r="AP126" s="5055"/>
      <c r="AQ126" s="2578"/>
      <c r="AR126" s="5055" t="s">
        <v>2356</v>
      </c>
      <c r="AS126" s="5055"/>
      <c r="AT126" s="2578"/>
      <c r="AU126" s="5055" t="s">
        <v>2357</v>
      </c>
      <c r="AV126" s="5055"/>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98"/>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55" t="s">
        <v>2312</v>
      </c>
      <c r="AD127" s="5055"/>
      <c r="AE127" s="2578">
        <v>1</v>
      </c>
      <c r="AF127" s="5055" t="s">
        <v>2359</v>
      </c>
      <c r="AG127" s="5055"/>
      <c r="AH127" s="2578"/>
      <c r="AI127" s="5055" t="s">
        <v>2360</v>
      </c>
      <c r="AJ127" s="5055"/>
      <c r="AK127" s="2578">
        <v>1</v>
      </c>
      <c r="AL127" s="5055" t="s">
        <v>2361</v>
      </c>
      <c r="AM127" s="5055"/>
      <c r="AN127" s="2578"/>
      <c r="AO127" s="5055" t="s">
        <v>2362</v>
      </c>
      <c r="AP127" s="5055"/>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98"/>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55" t="s">
        <v>2364</v>
      </c>
      <c r="AD128" s="5055"/>
      <c r="AE128" s="2578">
        <v>1</v>
      </c>
      <c r="AF128" s="5055" t="s">
        <v>2312</v>
      </c>
      <c r="AG128" s="5055"/>
      <c r="AH128" s="2578">
        <v>1</v>
      </c>
      <c r="AI128" s="5080" t="s">
        <v>2365</v>
      </c>
      <c r="AJ128" s="5080"/>
      <c r="AK128" s="2578">
        <v>1</v>
      </c>
      <c r="AL128" s="5080" t="s">
        <v>2366</v>
      </c>
      <c r="AM128" s="5080"/>
      <c r="AN128" s="2578">
        <v>1</v>
      </c>
      <c r="AO128" s="5080" t="s">
        <v>2162</v>
      </c>
      <c r="AP128" s="5080"/>
      <c r="AQ128" s="2578"/>
      <c r="AR128" s="5101" t="s">
        <v>2314</v>
      </c>
      <c r="AS128" s="5101"/>
      <c r="AT128" s="2578">
        <v>1</v>
      </c>
      <c r="AU128" s="5056" t="s">
        <v>2367</v>
      </c>
      <c r="AV128" s="5056"/>
      <c r="AW128" s="2578"/>
      <c r="AX128" s="5056" t="s">
        <v>2329</v>
      </c>
      <c r="AY128" s="5056"/>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98"/>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079"/>
      <c r="AD129" s="5079"/>
      <c r="AE129" s="2580"/>
      <c r="AF129" s="5060"/>
      <c r="AG129" s="5060"/>
      <c r="AH129" s="2580"/>
      <c r="AI129" s="5060"/>
      <c r="AJ129" s="5060"/>
      <c r="AK129" s="2580"/>
      <c r="AL129" s="5060"/>
      <c r="AM129" s="5060"/>
      <c r="AN129" s="2580"/>
      <c r="AO129" s="5060"/>
      <c r="AP129" s="5060"/>
      <c r="AQ129" s="2580"/>
      <c r="AR129" s="5060"/>
      <c r="AS129" s="5060"/>
      <c r="AT129" s="2580"/>
      <c r="AU129" s="5060"/>
      <c r="AV129" s="5060"/>
      <c r="AW129" s="2580"/>
      <c r="AX129" s="5060"/>
      <c r="AY129" s="5060"/>
      <c r="AZ129" s="2580"/>
      <c r="BA129" s="5060"/>
      <c r="BB129" s="5060"/>
      <c r="BC129" s="2580"/>
      <c r="BD129" s="5060"/>
      <c r="BE129" s="5060"/>
      <c r="BF129" s="2580"/>
      <c r="BG129" s="5060"/>
      <c r="BH129" s="5060"/>
      <c r="BI129" s="2580"/>
      <c r="BJ129" s="5060"/>
      <c r="BK129" s="5060"/>
      <c r="BL129" s="2581"/>
    </row>
    <row r="130" spans="1:109" ht="12.75" customHeight="1" thickBot="1" x14ac:dyDescent="0.25">
      <c r="A130" s="2029">
        <v>130</v>
      </c>
      <c r="B130" s="4998"/>
      <c r="H130" s="413"/>
      <c r="J130" s="5161"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98"/>
      <c r="H131" s="413"/>
      <c r="J131" s="5162"/>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98"/>
      <c r="F132" s="1761"/>
      <c r="H132" s="413"/>
      <c r="L132" s="2112"/>
      <c r="N132" s="413"/>
    </row>
    <row r="133" spans="1:109" ht="12.75" customHeight="1" x14ac:dyDescent="0.2">
      <c r="A133" s="2029">
        <v>133</v>
      </c>
      <c r="B133" s="4998"/>
      <c r="F133" s="5075" t="s">
        <v>8308</v>
      </c>
      <c r="G133" s="5075"/>
      <c r="H133" s="5075"/>
      <c r="I133" s="5075"/>
      <c r="J133" s="5075"/>
      <c r="K133" s="5075"/>
      <c r="L133" s="5075"/>
      <c r="M133" s="5075"/>
      <c r="N133" s="5075"/>
      <c r="O133" s="5075"/>
      <c r="P133" s="5075"/>
      <c r="Q133" s="5075"/>
      <c r="R133" s="5075"/>
      <c r="S133" s="5075"/>
      <c r="T133" s="5075"/>
      <c r="U133" s="5075"/>
      <c r="V133" s="5075"/>
      <c r="W133" s="5075"/>
      <c r="X133" s="5075"/>
      <c r="Y133" s="5075"/>
      <c r="Z133" s="5075"/>
      <c r="AA133" s="5075"/>
      <c r="AB133" s="5075"/>
      <c r="AC133" s="5075"/>
      <c r="AD133" s="5075"/>
      <c r="AE133" s="5075"/>
      <c r="AF133" s="5075"/>
      <c r="AG133" s="5075"/>
      <c r="AH133" s="5075"/>
      <c r="AI133" s="5075"/>
      <c r="AJ133" s="5075"/>
      <c r="AK133" s="5075"/>
      <c r="AL133" s="5075"/>
      <c r="AM133" s="5075"/>
      <c r="AN133" s="5075"/>
      <c r="AO133" s="5075"/>
      <c r="AP133" s="5075"/>
      <c r="AQ133" s="5075"/>
      <c r="AR133" s="5075"/>
      <c r="AS133" s="5075"/>
      <c r="AT133" s="5075"/>
      <c r="AU133" s="5075"/>
      <c r="AV133" s="5075"/>
      <c r="AW133" s="5075"/>
      <c r="AX133" s="5075"/>
      <c r="AY133" s="5075"/>
      <c r="AZ133" s="5075"/>
      <c r="BA133" s="5075"/>
      <c r="BB133" s="5075"/>
      <c r="BC133" s="5075"/>
      <c r="BD133" s="5075"/>
      <c r="BE133" s="5075"/>
      <c r="BF133" s="5075"/>
      <c r="BG133" s="5075"/>
      <c r="BH133" s="5075"/>
      <c r="BI133" s="5075"/>
      <c r="BJ133" s="5075"/>
      <c r="BK133" s="5075"/>
      <c r="BL133" s="5075"/>
      <c r="BM133" s="5075"/>
      <c r="BN133" s="5075"/>
      <c r="BO133" s="5075"/>
      <c r="BP133" s="5075"/>
      <c r="BQ133" s="5075"/>
      <c r="BR133" s="5075"/>
      <c r="BS133" s="5075"/>
      <c r="BT133" s="5075"/>
      <c r="BU133" s="5075"/>
      <c r="BV133" s="5075"/>
      <c r="BW133" s="5075"/>
      <c r="BX133" s="5075"/>
      <c r="BY133" s="5075"/>
      <c r="BZ133" s="5075"/>
      <c r="CA133" s="5075"/>
      <c r="CB133" s="5075"/>
      <c r="CC133" s="5075"/>
      <c r="CD133" s="5075"/>
      <c r="CE133" s="5075"/>
      <c r="CF133" s="5075"/>
      <c r="CG133" s="5075"/>
      <c r="CH133" s="5075"/>
      <c r="CI133" s="5075"/>
      <c r="CJ133" s="5075"/>
      <c r="CK133" s="5075"/>
      <c r="CL133" s="5075"/>
      <c r="CM133" s="5075"/>
      <c r="CN133" s="5075"/>
      <c r="CO133" s="5075"/>
      <c r="CP133" s="5075"/>
      <c r="CQ133" s="5075"/>
      <c r="CR133" s="5075"/>
      <c r="CS133" s="5075"/>
      <c r="CT133" s="5075"/>
      <c r="CU133" s="5075"/>
      <c r="CV133" s="5075"/>
      <c r="CW133" s="5075"/>
      <c r="CX133" s="5075"/>
      <c r="CY133" s="5075"/>
      <c r="CZ133" s="5075"/>
      <c r="DA133" s="5075"/>
      <c r="DB133" s="5075"/>
      <c r="DC133" s="5075"/>
      <c r="DD133" s="5075"/>
      <c r="DE133" s="5076"/>
    </row>
    <row r="134" spans="1:109" ht="12.75" customHeight="1" x14ac:dyDescent="0.2">
      <c r="A134" s="2029">
        <v>134</v>
      </c>
      <c r="B134" s="4998"/>
      <c r="F134" s="5075"/>
      <c r="G134" s="5075"/>
      <c r="H134" s="5075"/>
      <c r="I134" s="5075"/>
      <c r="J134" s="5075"/>
      <c r="K134" s="5075"/>
      <c r="L134" s="5075"/>
      <c r="M134" s="5075"/>
      <c r="N134" s="5075"/>
      <c r="O134" s="5075"/>
      <c r="P134" s="5075"/>
      <c r="Q134" s="5075"/>
      <c r="R134" s="5075"/>
      <c r="S134" s="5075"/>
      <c r="T134" s="5075"/>
      <c r="U134" s="5075"/>
      <c r="V134" s="5075"/>
      <c r="W134" s="5075"/>
      <c r="X134" s="5075"/>
      <c r="Y134" s="5075"/>
      <c r="Z134" s="5075"/>
      <c r="AA134" s="5075"/>
      <c r="AB134" s="5075"/>
      <c r="AC134" s="5075"/>
      <c r="AD134" s="5075"/>
      <c r="AE134" s="5075"/>
      <c r="AF134" s="5075"/>
      <c r="AG134" s="5075"/>
      <c r="AH134" s="5075"/>
      <c r="AI134" s="5075"/>
      <c r="AJ134" s="5075"/>
      <c r="AK134" s="5075"/>
      <c r="AL134" s="5075"/>
      <c r="AM134" s="5075"/>
      <c r="AN134" s="5075"/>
      <c r="AO134" s="5075"/>
      <c r="AP134" s="5075"/>
      <c r="AQ134" s="5075"/>
      <c r="AR134" s="5075"/>
      <c r="AS134" s="5075"/>
      <c r="AT134" s="5075"/>
      <c r="AU134" s="5075"/>
      <c r="AV134" s="5075"/>
      <c r="AW134" s="5075"/>
      <c r="AX134" s="5075"/>
      <c r="AY134" s="5075"/>
      <c r="AZ134" s="5075"/>
      <c r="BA134" s="5075"/>
      <c r="BB134" s="5075"/>
      <c r="BC134" s="5075"/>
      <c r="BD134" s="5075"/>
      <c r="BE134" s="5075"/>
      <c r="BF134" s="5075"/>
      <c r="BG134" s="5075"/>
      <c r="BH134" s="5075"/>
      <c r="BI134" s="5075"/>
      <c r="BJ134" s="5075"/>
      <c r="BK134" s="5075"/>
      <c r="BL134" s="5075"/>
      <c r="BM134" s="5075"/>
      <c r="BN134" s="5075"/>
      <c r="BO134" s="5075"/>
      <c r="BP134" s="5075"/>
      <c r="BQ134" s="5075"/>
      <c r="BR134" s="5075"/>
      <c r="BS134" s="5075"/>
      <c r="BT134" s="5075"/>
      <c r="BU134" s="5075"/>
      <c r="BV134" s="5075"/>
      <c r="BW134" s="5075"/>
      <c r="BX134" s="5075"/>
      <c r="BY134" s="5075"/>
      <c r="BZ134" s="5075"/>
      <c r="CA134" s="5075"/>
      <c r="CB134" s="5075"/>
      <c r="CC134" s="5075"/>
      <c r="CD134" s="5075"/>
      <c r="CE134" s="5075"/>
      <c r="CF134" s="5075"/>
      <c r="CG134" s="5075"/>
      <c r="CH134" s="5075"/>
      <c r="CI134" s="5075"/>
      <c r="CJ134" s="5075"/>
      <c r="CK134" s="5075"/>
      <c r="CL134" s="5075"/>
      <c r="CM134" s="5075"/>
      <c r="CN134" s="5075"/>
      <c r="CO134" s="5075"/>
      <c r="CP134" s="5075"/>
      <c r="CQ134" s="5075"/>
      <c r="CR134" s="5075"/>
      <c r="CS134" s="5075"/>
      <c r="CT134" s="5075"/>
      <c r="CU134" s="5075"/>
      <c r="CV134" s="5075"/>
      <c r="CW134" s="5075"/>
      <c r="CX134" s="5075"/>
      <c r="CY134" s="5075"/>
      <c r="CZ134" s="5075"/>
      <c r="DA134" s="5075"/>
      <c r="DB134" s="5075"/>
      <c r="DC134" s="5075"/>
      <c r="DD134" s="5075"/>
      <c r="DE134" s="5076"/>
    </row>
    <row r="135" spans="1:109" ht="12.75" customHeight="1" thickBot="1" x14ac:dyDescent="0.25">
      <c r="A135" s="2029">
        <v>135</v>
      </c>
      <c r="B135" s="4998"/>
      <c r="F135" s="5077" t="s">
        <v>8316</v>
      </c>
      <c r="G135" s="5078"/>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98"/>
      <c r="C136" s="5007" t="s">
        <v>8301</v>
      </c>
      <c r="D136" s="5009"/>
      <c r="F136" s="2773" t="str">
        <f>IF(ISNA(HLOOKUP($I$136&amp;$A1,$H$139:$DE$140,2,FALSE))," ",HLOOKUP($I$136&amp;$A1,$H$139:$DE$140,2,FALSE))</f>
        <v xml:space="preserve"> </v>
      </c>
      <c r="G136" s="2774"/>
      <c r="H136" s="2658" t="s">
        <v>8315</v>
      </c>
      <c r="I136" s="5087" t="str">
        <f>IF(Region="","",Region)</f>
        <v/>
      </c>
      <c r="J136" s="5088"/>
      <c r="K136" s="2630" t="s">
        <v>9420</v>
      </c>
      <c r="L136" s="1798" t="str">
        <f>IF(OR(I136="",I137=""),"",IF(AND(I136="Elicia",OR(I137=F138,I137=F139)),Personalización!$E$25,MID(HLOOKUP($I$136&amp;$I$137,Tabla_RaicesCulturales,53,FALSE),4,10)))</f>
        <v/>
      </c>
      <c r="M136" s="2631"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98"/>
      <c r="C137" s="5155"/>
      <c r="D137" s="5156"/>
      <c r="F137" s="2773" t="str">
        <f>IF(ISNA(HLOOKUP($I$136&amp;$A2,$H$139:$DE$140,2,FALSE))," ",HLOOKUP($I$136&amp;$A2,$H$139:$DE$140,2,FALSE))</f>
        <v xml:space="preserve"> </v>
      </c>
      <c r="G137" s="2774"/>
      <c r="H137" s="2777" t="s">
        <v>1675</v>
      </c>
      <c r="I137" s="5089" t="str">
        <f>IF(ClaseSocial="","",ClaseSocial)</f>
        <v/>
      </c>
      <c r="J137" s="5090"/>
      <c r="K137" s="2778"/>
      <c r="L137" s="2779" t="str">
        <f>IF(L136="","",MID(HLOOKUP($I$136&amp;$I$137,Tabla_RaicesCulturales,54,FALSE),4,10))</f>
        <v/>
      </c>
      <c r="M137" s="2780" t="e">
        <f>LEFT(HLOOKUP($I$136&amp;$I$137,Tabla_RaicesCulturales,54,FALSE),2)</f>
        <v>#N/A</v>
      </c>
      <c r="N137" s="2779" t="str">
        <f>IF(N136="","",MID(HLOOKUP($I$136&amp;$I$137,Tabla_RaicesCulturales,56,FALSE),4,25))</f>
        <v/>
      </c>
      <c r="O137" s="2781"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98"/>
      <c r="C138" s="1766" t="s">
        <v>8309</v>
      </c>
      <c r="D138" s="1763"/>
      <c r="F138" s="2773" t="str">
        <f>IF(ISNA(HLOOKUP($I$136&amp;$A3,$H$139:$DE$140,2,FALSE))," ",HLOOKUP($I$136&amp;$A3,$H$139:$DE$140,2,FALSE))</f>
        <v xml:space="preserve"> </v>
      </c>
      <c r="G138" s="2774"/>
      <c r="H138" s="5074" t="s">
        <v>8253</v>
      </c>
      <c r="I138" s="5074"/>
      <c r="J138" s="5074"/>
      <c r="K138" s="5074" t="s">
        <v>8254</v>
      </c>
      <c r="L138" s="5074"/>
      <c r="M138" s="5074" t="s">
        <v>8255</v>
      </c>
      <c r="N138" s="5074"/>
      <c r="O138" s="5074"/>
      <c r="P138" s="5074" t="s">
        <v>8256</v>
      </c>
      <c r="Q138" s="5074"/>
      <c r="R138" s="5074" t="s">
        <v>8257</v>
      </c>
      <c r="S138" s="5074"/>
      <c r="T138" s="2629" t="s">
        <v>8258</v>
      </c>
      <c r="U138" s="5074" t="s">
        <v>8259</v>
      </c>
      <c r="V138" s="5074"/>
      <c r="W138" s="5057" t="s">
        <v>8260</v>
      </c>
      <c r="X138" s="5059"/>
      <c r="Y138" s="5057" t="s">
        <v>8261</v>
      </c>
      <c r="Z138" s="5058"/>
      <c r="AA138" s="5059"/>
      <c r="AB138" s="5057" t="s">
        <v>8262</v>
      </c>
      <c r="AC138" s="5059"/>
      <c r="AD138" s="5057" t="s">
        <v>8263</v>
      </c>
      <c r="AE138" s="5059"/>
      <c r="AF138" s="5057" t="s">
        <v>8264</v>
      </c>
      <c r="AG138" s="5058"/>
      <c r="AH138" s="5059"/>
      <c r="AI138" s="5057" t="s">
        <v>8265</v>
      </c>
      <c r="AJ138" s="5058"/>
      <c r="AK138" s="5059"/>
      <c r="AL138" s="5057" t="s">
        <v>8266</v>
      </c>
      <c r="AM138" s="5058"/>
      <c r="AN138" s="5058"/>
      <c r="AO138" s="5059"/>
      <c r="AP138" s="5057" t="s">
        <v>8267</v>
      </c>
      <c r="AQ138" s="5058"/>
      <c r="AR138" s="5059"/>
      <c r="AS138" s="5057" t="s">
        <v>8268</v>
      </c>
      <c r="AT138" s="5059"/>
      <c r="AU138" s="5057" t="s">
        <v>8269</v>
      </c>
      <c r="AV138" s="5058"/>
      <c r="AW138" s="5059"/>
      <c r="AX138" s="5057" t="s">
        <v>8270</v>
      </c>
      <c r="AY138" s="5059"/>
      <c r="AZ138" s="5057" t="s">
        <v>8271</v>
      </c>
      <c r="BA138" s="5059"/>
      <c r="BB138" s="5057" t="s">
        <v>8272</v>
      </c>
      <c r="BC138" s="5059"/>
      <c r="BD138" s="5057" t="s">
        <v>8273</v>
      </c>
      <c r="BE138" s="5059"/>
      <c r="BF138" s="5057" t="s">
        <v>8274</v>
      </c>
      <c r="BG138" s="5059"/>
      <c r="BH138" s="2629" t="s">
        <v>8275</v>
      </c>
      <c r="BI138" s="5057" t="s">
        <v>8235</v>
      </c>
      <c r="BJ138" s="5059"/>
      <c r="BK138" s="2227" t="s">
        <v>8236</v>
      </c>
      <c r="BL138" s="2228"/>
      <c r="BM138" s="2629" t="s">
        <v>8237</v>
      </c>
      <c r="BN138" s="5057" t="s">
        <v>8238</v>
      </c>
      <c r="BO138" s="5059"/>
      <c r="BP138" s="5057" t="s">
        <v>8276</v>
      </c>
      <c r="BQ138" s="5058"/>
      <c r="BR138" s="5059"/>
      <c r="BS138" s="5057" t="s">
        <v>8277</v>
      </c>
      <c r="BT138" s="5059"/>
      <c r="BU138" s="5057" t="s">
        <v>8239</v>
      </c>
      <c r="BV138" s="5058"/>
      <c r="BW138" s="5058"/>
      <c r="BX138" s="5059"/>
      <c r="BY138" s="5057" t="s">
        <v>8240</v>
      </c>
      <c r="BZ138" s="5058"/>
      <c r="CA138" s="5059"/>
      <c r="CB138" s="5057" t="s">
        <v>8241</v>
      </c>
      <c r="CC138" s="5058"/>
      <c r="CD138" s="5059"/>
      <c r="CE138" s="5057" t="s">
        <v>8242</v>
      </c>
      <c r="CF138" s="5059"/>
      <c r="CG138" s="5057" t="s">
        <v>8243</v>
      </c>
      <c r="CH138" s="5058"/>
      <c r="CI138" s="5059"/>
      <c r="CJ138" s="5057" t="s">
        <v>8244</v>
      </c>
      <c r="CK138" s="5058"/>
      <c r="CL138" s="5058"/>
      <c r="CM138" s="5059"/>
      <c r="CN138" s="5057" t="s">
        <v>8245</v>
      </c>
      <c r="CO138" s="5059"/>
      <c r="CP138" s="5057" t="s">
        <v>8246</v>
      </c>
      <c r="CQ138" s="5059"/>
      <c r="CR138" s="5057" t="s">
        <v>8247</v>
      </c>
      <c r="CS138" s="5058"/>
      <c r="CT138" s="5059"/>
      <c r="CU138" s="5057" t="s">
        <v>8248</v>
      </c>
      <c r="CV138" s="5059"/>
      <c r="CW138" s="5057" t="s">
        <v>8249</v>
      </c>
      <c r="CX138" s="5058"/>
      <c r="CY138" s="5059"/>
      <c r="CZ138" s="1790" t="s">
        <v>8250</v>
      </c>
      <c r="DA138" s="5057" t="s">
        <v>8251</v>
      </c>
      <c r="DB138" s="5058"/>
      <c r="DC138" s="5059"/>
      <c r="DD138" s="5057" t="s">
        <v>8252</v>
      </c>
      <c r="DE138" s="5099"/>
    </row>
    <row r="139" spans="1:109" ht="12.75" customHeight="1" x14ac:dyDescent="0.2">
      <c r="A139" s="2029">
        <v>139</v>
      </c>
      <c r="B139" s="4998"/>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98"/>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98"/>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98"/>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98"/>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98"/>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98"/>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98"/>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98"/>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98"/>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98"/>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98"/>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98"/>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98"/>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98"/>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98"/>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98"/>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98"/>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98"/>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98"/>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98"/>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98"/>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98"/>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98"/>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98"/>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98"/>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98"/>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98"/>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98"/>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98"/>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98"/>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98"/>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98"/>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98"/>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98"/>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98"/>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98"/>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98"/>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98"/>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98"/>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98"/>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98"/>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98"/>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98"/>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98"/>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98"/>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98"/>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98"/>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98"/>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98"/>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98"/>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98"/>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98"/>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98"/>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98"/>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98"/>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98"/>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98"/>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98"/>
      <c r="H197" s="413"/>
      <c r="N197" s="413"/>
    </row>
    <row r="198" spans="1:109" ht="12.75" customHeight="1" thickBot="1" x14ac:dyDescent="0.25">
      <c r="A198" s="2029">
        <v>198</v>
      </c>
      <c r="B198" s="4998"/>
      <c r="C198" s="5084" t="s">
        <v>2489</v>
      </c>
      <c r="D198" s="5084"/>
      <c r="E198" s="5084"/>
      <c r="F198" s="5084"/>
      <c r="G198" s="5084"/>
      <c r="H198" s="5084"/>
      <c r="I198" s="5084"/>
      <c r="J198" s="5084"/>
      <c r="K198" s="5084"/>
      <c r="L198" s="5084"/>
      <c r="M198" s="5084"/>
      <c r="N198" s="5084"/>
      <c r="O198" s="5084"/>
      <c r="P198" s="5084"/>
      <c r="Q198" s="5084"/>
      <c r="R198" s="5084"/>
      <c r="S198" s="5084"/>
      <c r="T198" s="5084"/>
      <c r="U198" s="5084"/>
      <c r="V198" s="5084"/>
      <c r="W198" s="5084"/>
      <c r="X198" s="5084"/>
      <c r="Y198" s="5084"/>
      <c r="Z198" s="5084"/>
      <c r="AA198" s="5084"/>
      <c r="AB198" s="5084"/>
      <c r="AC198" s="5084"/>
      <c r="AD198" s="5084"/>
      <c r="AE198" s="5084"/>
      <c r="AF198" s="5084"/>
      <c r="AG198" s="5084"/>
      <c r="AH198" s="5084"/>
      <c r="AI198" s="5084"/>
      <c r="AJ198" s="5084"/>
      <c r="AK198" s="5084"/>
      <c r="AL198" s="5084"/>
      <c r="AM198" s="5084"/>
      <c r="AN198" s="5084"/>
      <c r="AO198" s="5084"/>
      <c r="AP198" s="5084"/>
      <c r="AQ198" s="5084"/>
      <c r="AR198" s="5084"/>
      <c r="AS198" s="5084"/>
      <c r="AT198" s="5084"/>
      <c r="AU198" s="5084"/>
      <c r="AV198" s="5084"/>
      <c r="AW198" s="5084"/>
      <c r="AX198" s="5084"/>
      <c r="AY198" s="5084"/>
      <c r="AZ198" s="5084"/>
      <c r="BA198" s="5084"/>
      <c r="BB198" s="5084"/>
      <c r="BC198" s="5084"/>
      <c r="BD198" s="5084"/>
      <c r="BE198" s="5084"/>
      <c r="BF198" s="5084"/>
      <c r="BG198" s="5084"/>
      <c r="BH198" s="5084"/>
      <c r="BI198" s="5084"/>
      <c r="BJ198" s="5084"/>
      <c r="BK198" s="5084"/>
      <c r="BL198" s="5084"/>
      <c r="BM198" s="5084"/>
      <c r="BN198" s="5084"/>
      <c r="BO198" s="5084"/>
      <c r="BP198" s="5084"/>
      <c r="BQ198" s="5084"/>
      <c r="BR198" s="5084"/>
      <c r="BS198" s="5084"/>
      <c r="BT198" s="5084"/>
      <c r="BU198" s="5084"/>
      <c r="BV198" s="5084"/>
      <c r="BW198" s="5084"/>
      <c r="BX198" s="5084"/>
      <c r="BY198" s="5084"/>
      <c r="BZ198" s="5084"/>
      <c r="CA198" s="5084"/>
      <c r="CB198" s="5084"/>
      <c r="CC198" s="5084"/>
      <c r="CD198" s="5084"/>
      <c r="CE198" s="5084"/>
      <c r="CF198" s="5084"/>
      <c r="CG198" s="5084"/>
      <c r="CH198" s="5084"/>
      <c r="CI198" s="5084"/>
    </row>
    <row r="199" spans="1:109" ht="12.75" customHeight="1" x14ac:dyDescent="0.2">
      <c r="A199" s="2029">
        <v>199</v>
      </c>
      <c r="B199" s="4998"/>
      <c r="C199" s="5084"/>
      <c r="D199" s="5084"/>
      <c r="E199" s="5084"/>
      <c r="F199" s="5084"/>
      <c r="G199" s="5084"/>
      <c r="H199" s="5084"/>
      <c r="I199" s="5084"/>
      <c r="J199" s="5084"/>
      <c r="K199" s="5084"/>
      <c r="L199" s="5084"/>
      <c r="M199" s="5084"/>
      <c r="N199" s="5084"/>
      <c r="O199" s="5084"/>
      <c r="P199" s="5084"/>
      <c r="Q199" s="5084"/>
      <c r="R199" s="5084"/>
      <c r="S199" s="5084"/>
      <c r="T199" s="5084"/>
      <c r="U199" s="5084"/>
      <c r="V199" s="5084"/>
      <c r="W199" s="5084"/>
      <c r="X199" s="5084"/>
      <c r="Y199" s="5084"/>
      <c r="Z199" s="5084"/>
      <c r="AA199" s="5084"/>
      <c r="AB199" s="5084"/>
      <c r="AC199" s="5084"/>
      <c r="AD199" s="5084"/>
      <c r="AE199" s="5084"/>
      <c r="AF199" s="5084"/>
      <c r="AG199" s="5084"/>
      <c r="AH199" s="5084"/>
      <c r="AI199" s="5084"/>
      <c r="AJ199" s="5084"/>
      <c r="AK199" s="5084"/>
      <c r="AL199" s="5084"/>
      <c r="AM199" s="5084"/>
      <c r="AN199" s="5084"/>
      <c r="AO199" s="5084"/>
      <c r="AP199" s="5084"/>
      <c r="AQ199" s="5084"/>
      <c r="AR199" s="5084"/>
      <c r="AS199" s="5084"/>
      <c r="AT199" s="5084"/>
      <c r="AU199" s="5084"/>
      <c r="AV199" s="5084"/>
      <c r="AW199" s="5084"/>
      <c r="AX199" s="5084"/>
      <c r="AY199" s="5084"/>
      <c r="AZ199" s="5084"/>
      <c r="BA199" s="5084"/>
      <c r="BB199" s="5084"/>
      <c r="BC199" s="5084"/>
      <c r="BD199" s="5084"/>
      <c r="BE199" s="5084"/>
      <c r="BF199" s="5084"/>
      <c r="BG199" s="5084"/>
      <c r="BH199" s="5084"/>
      <c r="BI199" s="5084"/>
      <c r="BJ199" s="5084"/>
      <c r="BK199" s="5084"/>
      <c r="BL199" s="5084"/>
      <c r="BM199" s="5084"/>
      <c r="BN199" s="5084"/>
      <c r="BO199" s="5084"/>
      <c r="BP199" s="5084"/>
      <c r="BQ199" s="5084"/>
      <c r="BR199" s="5084"/>
      <c r="BS199" s="5084"/>
      <c r="BT199" s="5084"/>
      <c r="BU199" s="5084"/>
      <c r="BV199" s="5084"/>
      <c r="BW199" s="5084"/>
      <c r="BX199" s="5084"/>
      <c r="BY199" s="5084"/>
      <c r="BZ199" s="5084"/>
      <c r="CA199" s="5084"/>
      <c r="CB199" s="5084"/>
      <c r="CC199" s="5084"/>
      <c r="CD199" s="5084"/>
      <c r="CE199" s="5084"/>
      <c r="CF199" s="5084"/>
      <c r="CG199" s="5084"/>
      <c r="CH199" s="5084"/>
      <c r="CI199" s="5084"/>
    </row>
    <row r="200" spans="1:109" ht="12.75" customHeight="1" x14ac:dyDescent="0.2">
      <c r="A200" s="2029">
        <v>200</v>
      </c>
      <c r="B200" s="4998"/>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98"/>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98"/>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98"/>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98"/>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98"/>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98"/>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98"/>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98"/>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98"/>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98"/>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98"/>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98"/>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98"/>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98"/>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98"/>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98"/>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98"/>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98"/>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98"/>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98"/>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98"/>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98"/>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98"/>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98"/>
      <c r="C224" s="2558"/>
      <c r="D224" s="5170"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98"/>
      <c r="D225" s="5171"/>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98"/>
    </row>
    <row r="227" spans="1:83" ht="12.75" customHeight="1" x14ac:dyDescent="0.2">
      <c r="A227" s="2029">
        <v>211</v>
      </c>
      <c r="B227" s="4998"/>
    </row>
    <row r="228" spans="1:83" ht="12.75" customHeight="1" x14ac:dyDescent="0.2">
      <c r="A228" s="2029">
        <v>211</v>
      </c>
      <c r="B228" s="4998"/>
      <c r="C228" s="4997" t="s">
        <v>9449</v>
      </c>
      <c r="D228" s="4997"/>
      <c r="E228" s="4997"/>
      <c r="F228" s="4997"/>
      <c r="G228" s="4997"/>
      <c r="H228" s="4997"/>
      <c r="I228" s="4997"/>
      <c r="J228" s="4997"/>
      <c r="K228" s="4997"/>
      <c r="L228" s="4997"/>
      <c r="M228" s="4997"/>
      <c r="N228" s="4997"/>
      <c r="O228" s="4997"/>
      <c r="P228" s="4997"/>
      <c r="Q228" s="4997"/>
      <c r="R228" s="4997"/>
      <c r="S228" s="4997"/>
      <c r="T228" s="4997"/>
      <c r="U228" s="4997"/>
      <c r="V228" s="4997"/>
      <c r="W228" s="4997"/>
      <c r="X228" s="4997"/>
      <c r="Y228" s="4997"/>
      <c r="Z228" s="4997"/>
      <c r="AB228" s="413"/>
      <c r="AC228" s="2795"/>
    </row>
    <row r="229" spans="1:83" ht="12.75" customHeight="1" x14ac:dyDescent="0.2">
      <c r="A229" s="2029">
        <v>211</v>
      </c>
      <c r="B229" s="4998"/>
      <c r="C229" s="4997"/>
      <c r="D229" s="4997"/>
      <c r="E229" s="4997"/>
      <c r="F229" s="4997"/>
      <c r="G229" s="4997"/>
      <c r="H229" s="4997"/>
      <c r="I229" s="4997"/>
      <c r="J229" s="4997"/>
      <c r="K229" s="4997"/>
      <c r="L229" s="4997"/>
      <c r="M229" s="4997"/>
      <c r="N229" s="4997"/>
      <c r="O229" s="4997"/>
      <c r="P229" s="4997"/>
      <c r="Q229" s="4997"/>
      <c r="R229" s="4997"/>
      <c r="S229" s="4997"/>
      <c r="T229" s="4997"/>
      <c r="U229" s="4997"/>
      <c r="V229" s="4997"/>
      <c r="W229" s="4997"/>
      <c r="X229" s="4997"/>
      <c r="Y229" s="4997"/>
      <c r="Z229" s="4997"/>
      <c r="AB229" s="413"/>
      <c r="AC229" s="2795"/>
    </row>
    <row r="230" spans="1:83" ht="12.75" customHeight="1" x14ac:dyDescent="0.2">
      <c r="A230" s="2029">
        <v>211</v>
      </c>
      <c r="B230" s="4998"/>
      <c r="C230" s="4997"/>
      <c r="D230" s="4997"/>
      <c r="E230" s="4997"/>
      <c r="F230" s="4997"/>
      <c r="G230" s="4997"/>
      <c r="H230" s="4997"/>
      <c r="I230" s="4997"/>
      <c r="J230" s="4997"/>
      <c r="K230" s="4997"/>
      <c r="L230" s="4997"/>
      <c r="M230" s="4997"/>
      <c r="N230" s="4997"/>
      <c r="O230" s="4997"/>
      <c r="P230" s="4997"/>
      <c r="Q230" s="4997"/>
      <c r="R230" s="4997"/>
      <c r="S230" s="4997"/>
      <c r="T230" s="4997"/>
      <c r="U230" s="4997"/>
      <c r="V230" s="4997"/>
      <c r="W230" s="4997"/>
      <c r="X230" s="4997"/>
      <c r="Y230" s="4997"/>
      <c r="Z230" s="4997"/>
      <c r="AB230" s="413"/>
      <c r="AC230" s="2795"/>
    </row>
    <row r="231" spans="1:83" ht="12.75" customHeight="1" thickBot="1" x14ac:dyDescent="0.25">
      <c r="A231" s="2029">
        <v>211</v>
      </c>
      <c r="B231" s="4998"/>
      <c r="H231" s="413"/>
      <c r="I231" s="2625"/>
      <c r="N231" s="413"/>
      <c r="O231" s="2625"/>
      <c r="AB231" s="413"/>
      <c r="AC231" s="2795"/>
    </row>
    <row r="232" spans="1:83" ht="12.75" customHeight="1" x14ac:dyDescent="0.2">
      <c r="A232" s="2029">
        <v>211</v>
      </c>
      <c r="B232" s="4998"/>
      <c r="C232" s="5063" t="s">
        <v>2738</v>
      </c>
      <c r="D232" s="5064"/>
      <c r="E232" s="5064"/>
      <c r="F232" s="5064"/>
      <c r="G232" s="5064"/>
      <c r="H232" s="5065"/>
      <c r="I232" s="2625"/>
      <c r="L232" s="5212" t="s">
        <v>3021</v>
      </c>
      <c r="M232" s="5213"/>
      <c r="N232" s="5213"/>
      <c r="O232" s="5213"/>
      <c r="P232" s="5213"/>
      <c r="Q232" s="5213"/>
      <c r="R232" s="5213"/>
      <c r="S232" s="5213"/>
      <c r="T232" s="5213"/>
      <c r="U232" s="5213"/>
      <c r="V232" s="5213"/>
      <c r="W232" s="5213"/>
      <c r="X232" s="5213"/>
      <c r="Y232" s="5213"/>
      <c r="Z232" s="5214"/>
      <c r="AB232" s="413"/>
      <c r="AC232" s="2795"/>
    </row>
    <row r="233" spans="1:83" ht="12.75" customHeight="1" x14ac:dyDescent="0.2">
      <c r="A233" s="2029">
        <v>211</v>
      </c>
      <c r="B233" s="4998"/>
      <c r="C233" s="2440" t="s">
        <v>1661</v>
      </c>
      <c r="D233" s="2441" t="s">
        <v>3412</v>
      </c>
      <c r="E233" s="2441" t="s">
        <v>8545</v>
      </c>
      <c r="F233" s="2441" t="s">
        <v>8544</v>
      </c>
      <c r="G233" s="2441" t="s">
        <v>1676</v>
      </c>
      <c r="H233" s="2442" t="s">
        <v>9273</v>
      </c>
      <c r="I233" s="2625"/>
      <c r="L233" s="5215"/>
      <c r="M233" s="5216"/>
      <c r="N233" s="5216"/>
      <c r="O233" s="5216"/>
      <c r="P233" s="5216"/>
      <c r="Q233" s="5216"/>
      <c r="R233" s="5216"/>
      <c r="S233" s="5216"/>
      <c r="T233" s="5216"/>
      <c r="U233" s="5216"/>
      <c r="V233" s="5216"/>
      <c r="W233" s="5216"/>
      <c r="X233" s="5216"/>
      <c r="Y233" s="5216"/>
      <c r="Z233" s="5217"/>
      <c r="AB233" s="413"/>
      <c r="AC233" s="2795"/>
    </row>
    <row r="234" spans="1:83" ht="12.75" customHeight="1" thickBot="1" x14ac:dyDescent="0.25">
      <c r="A234" s="2029">
        <v>211</v>
      </c>
      <c r="B234" s="4998"/>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036" t="s">
        <v>2248</v>
      </c>
      <c r="S234" s="5036"/>
      <c r="T234" s="419" t="s">
        <v>2249</v>
      </c>
      <c r="U234" s="5036" t="s">
        <v>2250</v>
      </c>
      <c r="V234" s="5036"/>
      <c r="W234" s="419" t="s">
        <v>2249</v>
      </c>
      <c r="X234" s="5036" t="s">
        <v>2251</v>
      </c>
      <c r="Y234" s="5036"/>
      <c r="Z234" s="420" t="s">
        <v>2249</v>
      </c>
      <c r="AB234" s="413"/>
      <c r="AC234" s="2795"/>
    </row>
    <row r="235" spans="1:83" ht="12.75" customHeight="1" thickBot="1" x14ac:dyDescent="0.25">
      <c r="A235" s="2029">
        <v>211</v>
      </c>
      <c r="B235" s="4998"/>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98"/>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98"/>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98"/>
      <c r="C238" s="5039" t="s">
        <v>2739</v>
      </c>
      <c r="D238" s="5039"/>
      <c r="E238" s="5039"/>
      <c r="F238" s="5039"/>
      <c r="G238" s="5039"/>
      <c r="H238" s="5039"/>
      <c r="I238" s="5039"/>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98"/>
      <c r="C239" s="5039"/>
      <c r="D239" s="5039"/>
      <c r="E239" s="5039"/>
      <c r="F239" s="5039"/>
      <c r="G239" s="5039"/>
      <c r="H239" s="5039"/>
      <c r="I239" s="5039"/>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98"/>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98"/>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98"/>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98"/>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98"/>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98"/>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98"/>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98"/>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98"/>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98"/>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98"/>
      <c r="H250" s="5040">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98"/>
      <c r="H251" s="5040"/>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98"/>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98"/>
      <c r="C253" s="5007" t="s">
        <v>2742</v>
      </c>
      <c r="D253" s="5008"/>
      <c r="E253" s="5008"/>
      <c r="F253" s="5008"/>
      <c r="G253" s="5008"/>
      <c r="H253" s="5008"/>
      <c r="I253" s="5008"/>
      <c r="J253" s="5009"/>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98"/>
      <c r="C254" s="5155"/>
      <c r="D254" s="5216"/>
      <c r="E254" s="5216"/>
      <c r="F254" s="5216"/>
      <c r="G254" s="5216"/>
      <c r="H254" s="5216"/>
      <c r="I254" s="5216"/>
      <c r="J254" s="5156"/>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98"/>
      <c r="C255" s="5041" t="s">
        <v>8339</v>
      </c>
      <c r="D255" s="5042"/>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98"/>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98"/>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98"/>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98"/>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98"/>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98"/>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98"/>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040">
        <f>SUM(Q236:Q261)</f>
        <v>0</v>
      </c>
      <c r="R262" s="2153"/>
      <c r="T262" s="500"/>
      <c r="U262" s="512"/>
      <c r="V262" s="513"/>
      <c r="W262" s="483"/>
      <c r="X262" s="2128"/>
      <c r="AB262" s="413"/>
      <c r="AC262" s="2795"/>
    </row>
    <row r="263" spans="1:29" ht="12.75" customHeight="1" thickBot="1" x14ac:dyDescent="0.25">
      <c r="A263" s="2029">
        <v>211</v>
      </c>
      <c r="B263" s="4998"/>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040"/>
      <c r="R263" s="1761"/>
      <c r="X263" s="2112"/>
      <c r="AB263" s="413"/>
      <c r="AC263" s="2795"/>
    </row>
    <row r="264" spans="1:29" ht="12.75" customHeight="1" thickBot="1" x14ac:dyDescent="0.25">
      <c r="A264" s="2029">
        <v>211</v>
      </c>
      <c r="B264" s="4998"/>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98"/>
      <c r="C265" s="2448" t="str">
        <f t="shared" si="15"/>
        <v>Afinidad animal</v>
      </c>
      <c r="D265" s="2453">
        <f t="shared" si="16"/>
        <v>6</v>
      </c>
      <c r="E265" s="2436" t="s">
        <v>2752</v>
      </c>
      <c r="F265" s="501">
        <v>1</v>
      </c>
      <c r="G265" s="425">
        <f>COUNTIF(Principal!$C$32:$J$50,Tablas!E265)</f>
        <v>0</v>
      </c>
      <c r="H265" s="2461">
        <f t="shared" si="17"/>
        <v>0</v>
      </c>
      <c r="I265" s="2466"/>
      <c r="J265" s="2470" t="s">
        <v>3412</v>
      </c>
      <c r="L265" s="5007" t="s">
        <v>2987</v>
      </c>
      <c r="M265" s="5008"/>
      <c r="N265" s="5008"/>
      <c r="O265" s="5008"/>
      <c r="P265" s="5008"/>
      <c r="Q265" s="5008"/>
      <c r="R265" s="5008"/>
      <c r="S265" s="5008"/>
      <c r="T265" s="5008"/>
      <c r="U265" s="5008"/>
      <c r="V265" s="5008"/>
      <c r="W265" s="5008"/>
      <c r="X265" s="5008"/>
      <c r="Y265" s="5008"/>
      <c r="Z265" s="5009"/>
      <c r="AB265" s="413"/>
      <c r="AC265" s="2795"/>
    </row>
    <row r="266" spans="1:29" ht="12.75" customHeight="1" x14ac:dyDescent="0.2">
      <c r="A266" s="2029">
        <v>211</v>
      </c>
      <c r="B266" s="4998"/>
      <c r="C266" s="2448" t="str">
        <f t="shared" si="15"/>
        <v>Afinidad de uso</v>
      </c>
      <c r="D266" s="2453">
        <f t="shared" si="16"/>
        <v>7</v>
      </c>
      <c r="E266" s="129" t="s">
        <v>2753</v>
      </c>
      <c r="F266" s="501">
        <v>2</v>
      </c>
      <c r="G266" s="425">
        <f>COUNTIF(Principal!$C$32:$J$50,Tablas!E266)</f>
        <v>0</v>
      </c>
      <c r="H266" s="2461">
        <f t="shared" si="17"/>
        <v>0</v>
      </c>
      <c r="I266" s="2466"/>
      <c r="J266" s="2470" t="s">
        <v>3412</v>
      </c>
      <c r="L266" s="5155"/>
      <c r="M266" s="5216"/>
      <c r="N266" s="5216"/>
      <c r="O266" s="5216"/>
      <c r="P266" s="5216"/>
      <c r="Q266" s="5216"/>
      <c r="R266" s="5216"/>
      <c r="S266" s="5216"/>
      <c r="T266" s="5216"/>
      <c r="U266" s="5216"/>
      <c r="V266" s="5216"/>
      <c r="W266" s="5216"/>
      <c r="X266" s="5216"/>
      <c r="Y266" s="5216"/>
      <c r="Z266" s="5156"/>
      <c r="AB266" s="413"/>
      <c r="AC266" s="2795"/>
    </row>
    <row r="267" spans="1:29" ht="12.75" customHeight="1" x14ac:dyDescent="0.2">
      <c r="A267" s="2029">
        <v>211</v>
      </c>
      <c r="B267" s="4998"/>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037" t="s">
        <v>1846</v>
      </c>
      <c r="O267" s="5037"/>
      <c r="P267" s="5038" t="s">
        <v>1848</v>
      </c>
      <c r="Q267" s="5038"/>
      <c r="R267" s="5038" t="s">
        <v>1850</v>
      </c>
      <c r="S267" s="5038"/>
      <c r="T267" s="5038" t="s">
        <v>1847</v>
      </c>
      <c r="U267" s="5038"/>
      <c r="V267" s="5038" t="s">
        <v>1849</v>
      </c>
      <c r="W267" s="5038"/>
      <c r="X267" s="5043" t="s">
        <v>1851</v>
      </c>
      <c r="Y267" s="5044"/>
      <c r="Z267" s="5163" t="s">
        <v>9175</v>
      </c>
      <c r="AB267" s="413"/>
      <c r="AC267" s="2795"/>
    </row>
    <row r="268" spans="1:29" ht="13.5" customHeight="1" thickBot="1" x14ac:dyDescent="0.25">
      <c r="A268" s="2029">
        <v>211</v>
      </c>
      <c r="B268" s="4998"/>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164"/>
      <c r="AA268" s="1760"/>
      <c r="AB268" s="413"/>
      <c r="AC268" s="2795"/>
    </row>
    <row r="269" spans="1:29" ht="12.75" customHeight="1" x14ac:dyDescent="0.2">
      <c r="A269" s="2029">
        <v>211</v>
      </c>
      <c r="B269" s="4998"/>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98"/>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98"/>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98"/>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98"/>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98"/>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98"/>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98"/>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98"/>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98"/>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98"/>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98"/>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98"/>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98"/>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98"/>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98"/>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98"/>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98"/>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98"/>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98"/>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98"/>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98"/>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98"/>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98"/>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98"/>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98"/>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98"/>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98"/>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98"/>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98"/>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98"/>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98"/>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98"/>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98"/>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98"/>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98"/>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98"/>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98"/>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98"/>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98"/>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98"/>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98"/>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98"/>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98"/>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98"/>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98"/>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98"/>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98"/>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98"/>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98"/>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98"/>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98"/>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98"/>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98"/>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98"/>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98"/>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98"/>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98"/>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98"/>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98"/>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98"/>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98"/>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98"/>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98"/>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98"/>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98"/>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98"/>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98"/>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98"/>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98"/>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98"/>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98"/>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98"/>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98"/>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98"/>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98"/>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98"/>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98"/>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98"/>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98"/>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98"/>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98"/>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98"/>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98"/>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98"/>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98"/>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98"/>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98"/>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98"/>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98"/>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98"/>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98"/>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98"/>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98"/>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98"/>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98"/>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98"/>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98"/>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98"/>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98"/>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98"/>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98"/>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98"/>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98"/>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98"/>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98"/>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98"/>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98"/>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98"/>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98"/>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98"/>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98"/>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98"/>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98"/>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98"/>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98"/>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98"/>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98"/>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98"/>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98"/>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98"/>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98"/>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98"/>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98"/>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98"/>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98"/>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98"/>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98"/>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98"/>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98"/>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98"/>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98"/>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98"/>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98"/>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98"/>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98"/>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98"/>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98"/>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98"/>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98"/>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98"/>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98"/>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98"/>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98"/>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98"/>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98"/>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98"/>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98"/>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98"/>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98"/>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98"/>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98"/>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98"/>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98"/>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98"/>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98"/>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98"/>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98"/>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98"/>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98"/>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98"/>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98"/>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98"/>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98"/>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98"/>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98"/>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98"/>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98"/>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98"/>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98"/>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98"/>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98"/>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98"/>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98"/>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98"/>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98"/>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98"/>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98"/>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98"/>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98"/>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98"/>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98"/>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98"/>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98"/>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98"/>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98"/>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98"/>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98"/>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98"/>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98"/>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98"/>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98"/>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98"/>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98"/>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98"/>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98"/>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98"/>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98"/>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98"/>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98"/>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98"/>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98"/>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98"/>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98"/>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98"/>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98"/>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98"/>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98"/>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98"/>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98"/>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98"/>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98"/>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98"/>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98"/>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98"/>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98"/>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98"/>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98"/>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98"/>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98"/>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98"/>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98"/>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98"/>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98"/>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98"/>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98"/>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98"/>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98"/>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98"/>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98"/>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98"/>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98"/>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98"/>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98"/>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98"/>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98"/>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98"/>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98"/>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98"/>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98"/>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98"/>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98"/>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98"/>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98"/>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98"/>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98"/>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98"/>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98"/>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98"/>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98"/>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98"/>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98"/>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98"/>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98"/>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98"/>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98"/>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98"/>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98"/>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98"/>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98"/>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98"/>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98"/>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98"/>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98"/>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98"/>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98"/>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98"/>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98"/>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98"/>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98"/>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98"/>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98"/>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98"/>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98"/>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98"/>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98"/>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98"/>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98"/>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98"/>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98"/>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98"/>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98"/>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98"/>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98"/>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98"/>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98"/>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98"/>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98"/>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98"/>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98"/>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98"/>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98"/>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98"/>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98"/>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98"/>
      <c r="H563" s="413"/>
      <c r="I563" s="1761"/>
      <c r="N563" s="413"/>
      <c r="O563" s="2112"/>
      <c r="AB563" s="413"/>
      <c r="AC563" s="2795"/>
    </row>
    <row r="564" spans="1:30" ht="12.75" customHeight="1" x14ac:dyDescent="0.2">
      <c r="A564" s="2029">
        <v>211</v>
      </c>
      <c r="B564" s="4998"/>
      <c r="H564" s="413"/>
      <c r="I564" s="1761"/>
      <c r="N564" s="413"/>
      <c r="O564" s="2112"/>
      <c r="AB564" s="413"/>
      <c r="AC564" s="2795"/>
    </row>
    <row r="565" spans="1:30" ht="12.75" customHeight="1" x14ac:dyDescent="0.2">
      <c r="A565" s="2029">
        <v>211</v>
      </c>
      <c r="B565" s="4998"/>
      <c r="H565" s="413"/>
      <c r="I565" s="1761"/>
      <c r="N565" s="413"/>
      <c r="O565" s="2112"/>
      <c r="AB565" s="413"/>
      <c r="AC565" s="2795"/>
    </row>
    <row r="566" spans="1:30" ht="12.75" customHeight="1" x14ac:dyDescent="0.2">
      <c r="A566" s="2029">
        <v>211</v>
      </c>
      <c r="B566" s="4998"/>
      <c r="H566" s="413"/>
      <c r="I566" s="1761"/>
      <c r="N566" s="413"/>
      <c r="O566" s="2112"/>
      <c r="AB566" s="413"/>
      <c r="AC566" s="2795"/>
    </row>
    <row r="567" spans="1:30" ht="12.75" customHeight="1" x14ac:dyDescent="0.2">
      <c r="A567" s="2029">
        <v>211</v>
      </c>
      <c r="B567" s="4998"/>
      <c r="H567" s="413"/>
      <c r="I567" s="1761"/>
      <c r="N567" s="413"/>
      <c r="O567" s="2112"/>
      <c r="AB567" s="413"/>
      <c r="AC567" s="2795"/>
    </row>
    <row r="568" spans="1:30" ht="12.75" customHeight="1" x14ac:dyDescent="0.2">
      <c r="A568" s="2029">
        <v>211</v>
      </c>
      <c r="B568" s="4998"/>
      <c r="C568" s="4997" t="s">
        <v>9450</v>
      </c>
      <c r="D568" s="4997"/>
      <c r="E568" s="4997"/>
      <c r="F568" s="4997"/>
      <c r="G568" s="4997"/>
      <c r="H568" s="4997"/>
      <c r="I568" s="4997"/>
      <c r="J568" s="4997"/>
      <c r="K568" s="4997"/>
      <c r="L568" s="4997"/>
      <c r="M568" s="4997"/>
      <c r="N568" s="4997"/>
      <c r="O568" s="4997"/>
      <c r="P568" s="4997"/>
      <c r="Q568" s="4997"/>
      <c r="R568" s="4997"/>
      <c r="S568" s="4997"/>
      <c r="T568" s="4997"/>
      <c r="U568" s="4997"/>
      <c r="V568" s="4997"/>
      <c r="W568" s="4997"/>
      <c r="X568" s="4997"/>
      <c r="Y568" s="4997"/>
      <c r="Z568" s="4997"/>
      <c r="AA568" s="4997"/>
      <c r="AB568" s="4997"/>
      <c r="AC568" s="4997"/>
      <c r="AD568" s="4997"/>
    </row>
    <row r="569" spans="1:30" ht="12.75" customHeight="1" x14ac:dyDescent="0.2">
      <c r="A569" s="2029">
        <v>211</v>
      </c>
      <c r="B569" s="4998"/>
      <c r="C569" s="4997"/>
      <c r="D569" s="4997"/>
      <c r="E569" s="4997"/>
      <c r="F569" s="4997"/>
      <c r="G569" s="4997"/>
      <c r="H569" s="4997"/>
      <c r="I569" s="4997"/>
      <c r="J569" s="4997"/>
      <c r="K569" s="4997"/>
      <c r="L569" s="4997"/>
      <c r="M569" s="4997"/>
      <c r="N569" s="4997"/>
      <c r="O569" s="4997"/>
      <c r="P569" s="4997"/>
      <c r="Q569" s="4997"/>
      <c r="R569" s="4997"/>
      <c r="S569" s="4997"/>
      <c r="T569" s="4997"/>
      <c r="U569" s="4997"/>
      <c r="V569" s="4997"/>
      <c r="W569" s="4997"/>
      <c r="X569" s="4997"/>
      <c r="Y569" s="4997"/>
      <c r="Z569" s="4997"/>
      <c r="AA569" s="4997"/>
      <c r="AB569" s="4997"/>
      <c r="AC569" s="4997"/>
      <c r="AD569" s="4997"/>
    </row>
    <row r="570" spans="1:30" ht="12.75" customHeight="1" x14ac:dyDescent="0.2">
      <c r="A570" s="2029">
        <v>211</v>
      </c>
      <c r="B570" s="4998"/>
      <c r="C570" s="4997"/>
      <c r="D570" s="4997"/>
      <c r="E570" s="4997"/>
      <c r="F570" s="4997"/>
      <c r="G570" s="4997"/>
      <c r="H570" s="4997"/>
      <c r="I570" s="4997"/>
      <c r="J570" s="4997"/>
      <c r="K570" s="4997"/>
      <c r="L570" s="4997"/>
      <c r="M570" s="4997"/>
      <c r="N570" s="4997"/>
      <c r="O570" s="4997"/>
      <c r="P570" s="4997"/>
      <c r="Q570" s="4997"/>
      <c r="R570" s="4997"/>
      <c r="S570" s="4997"/>
      <c r="T570" s="4997"/>
      <c r="U570" s="4997"/>
      <c r="V570" s="4997"/>
      <c r="W570" s="4997"/>
      <c r="X570" s="4997"/>
      <c r="Y570" s="4997"/>
      <c r="Z570" s="4997"/>
      <c r="AA570" s="4997"/>
      <c r="AB570" s="4997"/>
      <c r="AC570" s="4997"/>
      <c r="AD570" s="4997"/>
    </row>
    <row r="571" spans="1:30" ht="12.75" customHeight="1" thickBot="1" x14ac:dyDescent="0.25">
      <c r="A571" s="2029">
        <v>211</v>
      </c>
      <c r="B571" s="4998"/>
      <c r="H571" s="413"/>
      <c r="I571" s="1761"/>
      <c r="N571" s="413"/>
      <c r="O571" s="2112"/>
      <c r="AA571" s="1761"/>
      <c r="AB571" s="413"/>
      <c r="AC571" s="2795"/>
    </row>
    <row r="572" spans="1:30" ht="12.75" customHeight="1" thickBot="1" x14ac:dyDescent="0.25">
      <c r="A572" s="2029">
        <v>211</v>
      </c>
      <c r="B572" s="4998"/>
      <c r="C572" s="5197" t="s">
        <v>1458</v>
      </c>
      <c r="D572" s="5197"/>
      <c r="E572" s="5197"/>
      <c r="F572" s="5197"/>
      <c r="G572" s="5197"/>
      <c r="H572" s="5197"/>
      <c r="I572" s="5197"/>
      <c r="J572" s="5197"/>
      <c r="K572" s="5197"/>
      <c r="L572" s="5197"/>
      <c r="M572" s="5197"/>
      <c r="N572" s="5197"/>
      <c r="O572" s="5197"/>
      <c r="P572" s="5197"/>
      <c r="Q572" s="5197"/>
      <c r="R572" s="5197"/>
      <c r="T572" s="5072" t="s">
        <v>1511</v>
      </c>
      <c r="U572" s="5072"/>
      <c r="X572" s="4130" t="s">
        <v>3079</v>
      </c>
      <c r="Y572" s="3984"/>
      <c r="Z572" s="3984"/>
      <c r="AA572" s="4126"/>
      <c r="AB572" s="413"/>
      <c r="AC572" s="5179" t="s">
        <v>1452</v>
      </c>
    </row>
    <row r="573" spans="1:30" ht="12.75" customHeight="1" thickBot="1" x14ac:dyDescent="0.25">
      <c r="A573" s="2029">
        <v>211</v>
      </c>
      <c r="B573" s="4998"/>
      <c r="C573" s="5197"/>
      <c r="D573" s="5197"/>
      <c r="E573" s="5197"/>
      <c r="F573" s="5197"/>
      <c r="G573" s="5197"/>
      <c r="H573" s="5197"/>
      <c r="I573" s="5197"/>
      <c r="J573" s="5197"/>
      <c r="K573" s="5197"/>
      <c r="L573" s="5197"/>
      <c r="M573" s="5197"/>
      <c r="N573" s="5197"/>
      <c r="O573" s="5197"/>
      <c r="P573" s="5197"/>
      <c r="Q573" s="5197"/>
      <c r="R573" s="5197"/>
      <c r="T573" s="418" t="s">
        <v>2562</v>
      </c>
      <c r="U573" s="420" t="s">
        <v>1512</v>
      </c>
      <c r="X573" s="5001"/>
      <c r="Y573" s="5002"/>
      <c r="Z573" s="5002"/>
      <c r="AA573" s="5003"/>
      <c r="AB573" s="413"/>
      <c r="AC573" s="5179"/>
    </row>
    <row r="574" spans="1:30" ht="12.75" customHeight="1" thickBot="1" x14ac:dyDescent="0.25">
      <c r="A574" s="2029">
        <v>211</v>
      </c>
      <c r="B574" s="4998"/>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98"/>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98"/>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98"/>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98"/>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98"/>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98"/>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47" t="s">
        <v>9198</v>
      </c>
      <c r="U580" s="5048"/>
      <c r="V580" s="5049"/>
      <c r="X580" s="2642" t="s">
        <v>3091</v>
      </c>
      <c r="Y580" s="1590">
        <v>50</v>
      </c>
      <c r="Z580" s="2627" t="s">
        <v>3092</v>
      </c>
      <c r="AA580" s="2006"/>
      <c r="AB580" s="413"/>
      <c r="AC580" s="2845" t="s">
        <v>1456</v>
      </c>
    </row>
    <row r="581" spans="1:30" ht="12.75" customHeight="1" x14ac:dyDescent="0.2">
      <c r="A581" s="2029">
        <v>211</v>
      </c>
      <c r="B581" s="4998"/>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65" t="s">
        <v>1842</v>
      </c>
      <c r="U581" s="4805"/>
      <c r="V581" s="2391" t="s">
        <v>2740</v>
      </c>
      <c r="X581" s="5004" t="str">
        <f>X580</f>
        <v>Tabla de armas arquetípicas</v>
      </c>
      <c r="Y581" s="5005"/>
      <c r="Z581" s="5005"/>
      <c r="AA581" s="5006"/>
      <c r="AB581" s="413"/>
      <c r="AC581" s="2845" t="s">
        <v>1457</v>
      </c>
    </row>
    <row r="582" spans="1:30" ht="12.75" customHeight="1" thickBot="1" x14ac:dyDescent="0.25">
      <c r="A582" s="2029">
        <v>211</v>
      </c>
      <c r="B582" s="4998"/>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45" t="s">
        <v>1966</v>
      </c>
      <c r="U582" s="5046"/>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98"/>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45" t="s">
        <v>1969</v>
      </c>
      <c r="U583" s="5046"/>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98"/>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45" t="s">
        <v>2601</v>
      </c>
      <c r="U584" s="5046"/>
      <c r="V584" s="2394">
        <f>COUNTIF(Personalización!$W$9:$Y$10,Tablas!$T584)</f>
        <v>0</v>
      </c>
      <c r="X584" s="2524" t="str">
        <f>IF(Personalización!AE36=0,"Tabla personalizada #3",Personalización!AE36)</f>
        <v>Tabla personalizada #3</v>
      </c>
      <c r="Y584" s="516"/>
      <c r="Z584" s="516"/>
      <c r="AA584" s="2453">
        <f>COUNTIF(PDs!$Y$40:$AA$45,Tablas!X584)</f>
        <v>0</v>
      </c>
      <c r="AB584" s="413"/>
      <c r="AC584" s="5083" t="s">
        <v>1486</v>
      </c>
    </row>
    <row r="585" spans="1:30" ht="12.75" customHeight="1" thickBot="1" x14ac:dyDescent="0.25">
      <c r="A585" s="2029">
        <v>211</v>
      </c>
      <c r="B585" s="4998"/>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45" t="s">
        <v>9199</v>
      </c>
      <c r="U585" s="5046"/>
      <c r="V585" s="2394">
        <f>COUNTIF(Personalización!$W$9:$Y$10,Tablas!$T585)</f>
        <v>0</v>
      </c>
      <c r="X585" s="2524" t="str">
        <f>IF(Personalización!AH36=0,"Tabla personalizada #4",Personalización!AH36)</f>
        <v>Tabla personalizada #4</v>
      </c>
      <c r="Y585" s="516"/>
      <c r="Z585" s="516"/>
      <c r="AA585" s="2453">
        <f>COUNTIF(PDs!$Y$40:$AA$45,Tablas!X585)</f>
        <v>0</v>
      </c>
      <c r="AB585" s="413"/>
      <c r="AC585" s="5083"/>
    </row>
    <row r="586" spans="1:30" ht="12.75" customHeight="1" x14ac:dyDescent="0.2">
      <c r="A586" s="2029">
        <v>211</v>
      </c>
      <c r="B586" s="4998"/>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45" t="s">
        <v>9200</v>
      </c>
      <c r="U586" s="5046"/>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98"/>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45" t="s">
        <v>9201</v>
      </c>
      <c r="U587" s="5046"/>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98"/>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45" t="s">
        <v>9202</v>
      </c>
      <c r="U588" s="5046"/>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98"/>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45" t="s">
        <v>9203</v>
      </c>
      <c r="U589" s="5046"/>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98"/>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61" t="s">
        <v>9204</v>
      </c>
      <c r="U590" s="5062"/>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98"/>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98"/>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47" t="s">
        <v>9206</v>
      </c>
      <c r="U592" s="5048"/>
      <c r="V592" s="5049"/>
      <c r="X592" s="2524" t="s">
        <v>2523</v>
      </c>
      <c r="Y592" s="516"/>
      <c r="Z592" s="516" t="s">
        <v>3105</v>
      </c>
      <c r="AA592" s="2453">
        <f>COUNTIF(PDs!$Y$40:$AA$45,Tablas!X592)</f>
        <v>0</v>
      </c>
      <c r="AB592" s="413"/>
      <c r="AC592" s="547">
        <v>20</v>
      </c>
    </row>
    <row r="593" spans="1:30" ht="12.75" customHeight="1" x14ac:dyDescent="0.2">
      <c r="A593" s="2029">
        <v>211</v>
      </c>
      <c r="B593" s="4998"/>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50" t="s">
        <v>8389</v>
      </c>
      <c r="U593" s="5051"/>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98"/>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50" t="s">
        <v>9208</v>
      </c>
      <c r="U594" s="5051"/>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98"/>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50" t="s">
        <v>135</v>
      </c>
      <c r="U595" s="5051"/>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98"/>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50" t="s">
        <v>9211</v>
      </c>
      <c r="U596" s="5051"/>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98"/>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50" t="s">
        <v>9213</v>
      </c>
      <c r="U597" s="5051"/>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98"/>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85" t="s">
        <v>9215</v>
      </c>
      <c r="U598" s="5086"/>
      <c r="V598" s="2397">
        <f>COUNTIF(Combate!$X$55:$AC$64,$E$980)*COUNTIF(Personalización!$AB$8:$AE$10,Tablas!$T598)</f>
        <v>0</v>
      </c>
      <c r="X598" s="5004" t="str">
        <f>X578</f>
        <v>Tabla de tipología</v>
      </c>
      <c r="Y598" s="5005"/>
      <c r="Z598" s="5005"/>
      <c r="AA598" s="5006"/>
      <c r="AB598" s="413"/>
      <c r="AC598" s="2795"/>
      <c r="AD598" s="1761"/>
    </row>
    <row r="599" spans="1:30" ht="12.75" customHeight="1" thickBot="1" x14ac:dyDescent="0.25">
      <c r="A599" s="2029">
        <v>211</v>
      </c>
      <c r="B599" s="4998"/>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98"/>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47" t="s">
        <v>9205</v>
      </c>
      <c r="U600" s="5049"/>
      <c r="X600" s="2524" t="s">
        <v>2573</v>
      </c>
      <c r="Y600" s="516"/>
      <c r="Z600" s="516" t="s">
        <v>10485</v>
      </c>
      <c r="AA600" s="2453">
        <f>COUNTIF(PDs!$Y$40:$AA$45,Tablas!X600)</f>
        <v>0</v>
      </c>
      <c r="AB600" s="413"/>
      <c r="AC600" s="2795"/>
      <c r="AD600" s="1761"/>
    </row>
    <row r="601" spans="1:30" ht="12.75" customHeight="1" x14ac:dyDescent="0.2">
      <c r="A601" s="2029">
        <v>211</v>
      </c>
      <c r="B601" s="4998"/>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10486</v>
      </c>
      <c r="AA601" s="2453">
        <f>COUNTIF(PDs!$Y$40:$AA$45,Tablas!X601)</f>
        <v>0</v>
      </c>
      <c r="AB601" s="413"/>
      <c r="AC601" s="2795"/>
      <c r="AD601" s="1761"/>
    </row>
    <row r="602" spans="1:30" ht="12.75" customHeight="1" x14ac:dyDescent="0.2">
      <c r="A602" s="2029">
        <v>211</v>
      </c>
      <c r="B602" s="4998"/>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10487</v>
      </c>
      <c r="AA602" s="2453">
        <f>COUNTIF(PDs!$Y$40:$AA$45,Tablas!X602)</f>
        <v>0</v>
      </c>
      <c r="AB602" s="413"/>
      <c r="AC602" s="2795"/>
      <c r="AD602" s="1761"/>
    </row>
    <row r="603" spans="1:30" ht="12.75" customHeight="1" x14ac:dyDescent="0.2">
      <c r="A603" s="2029">
        <v>211</v>
      </c>
      <c r="B603" s="4998"/>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10488</v>
      </c>
      <c r="AA603" s="2453">
        <f>COUNTIF(PDs!$Y$40:$AA$45,Tablas!X603)</f>
        <v>0</v>
      </c>
      <c r="AB603" s="413"/>
      <c r="AC603" s="2795"/>
      <c r="AD603" s="1761"/>
    </row>
    <row r="604" spans="1:30" ht="12.75" customHeight="1" x14ac:dyDescent="0.2">
      <c r="A604" s="2029">
        <v>211</v>
      </c>
      <c r="B604" s="4998"/>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10489</v>
      </c>
      <c r="AA604" s="2453">
        <f>COUNTIF(PDs!$Y$40:$AA$45,Tablas!X604)</f>
        <v>0</v>
      </c>
      <c r="AB604" s="413"/>
      <c r="AC604" s="2795"/>
      <c r="AD604" s="1761"/>
    </row>
    <row r="605" spans="1:30" ht="12.75" customHeight="1" x14ac:dyDescent="0.2">
      <c r="A605" s="2029">
        <v>211</v>
      </c>
      <c r="B605" s="4998"/>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10490</v>
      </c>
      <c r="AA605" s="2453">
        <f>COUNTIF(PDs!$Y$40:$AA$45,Tablas!X605)</f>
        <v>0</v>
      </c>
      <c r="AB605" s="413"/>
      <c r="AC605" s="517"/>
    </row>
    <row r="606" spans="1:30" ht="12.75" customHeight="1" thickBot="1" x14ac:dyDescent="0.25">
      <c r="A606" s="2029">
        <v>211</v>
      </c>
      <c r="B606" s="4998"/>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10491</v>
      </c>
      <c r="AA606" s="2453">
        <f>COUNTIF(PDs!$Y$40:$AA$45,Tablas!X606)</f>
        <v>0</v>
      </c>
      <c r="AB606" s="413"/>
      <c r="AC606" s="517"/>
    </row>
    <row r="607" spans="1:30" ht="12.75" customHeight="1" x14ac:dyDescent="0.2">
      <c r="A607" s="2029">
        <v>211</v>
      </c>
      <c r="B607" s="4998"/>
      <c r="C607" s="5218" t="s">
        <v>9451</v>
      </c>
      <c r="D607" s="5219"/>
      <c r="E607" s="5219"/>
      <c r="F607" s="5219"/>
      <c r="G607" s="5220"/>
      <c r="H607" s="413"/>
      <c r="I607" s="1761"/>
      <c r="N607" s="413"/>
      <c r="O607" s="2112"/>
      <c r="X607" s="2524" t="s">
        <v>2609</v>
      </c>
      <c r="Y607" s="516"/>
      <c r="Z607" s="516" t="s">
        <v>10492</v>
      </c>
      <c r="AA607" s="2453">
        <f>COUNTIF(PDs!$Y$40:$AA$45,Tablas!X607)</f>
        <v>0</v>
      </c>
      <c r="AB607" s="413"/>
      <c r="AC607" s="517"/>
    </row>
    <row r="608" spans="1:30" ht="12.75" customHeight="1" thickBot="1" x14ac:dyDescent="0.25">
      <c r="A608" s="2029">
        <v>211</v>
      </c>
      <c r="B608" s="4998"/>
      <c r="H608" s="413"/>
      <c r="I608" s="1761"/>
      <c r="N608" s="413"/>
      <c r="O608" s="2112"/>
      <c r="X608" s="2524" t="s">
        <v>2578</v>
      </c>
      <c r="Y608" s="516"/>
      <c r="Z608" s="516" t="s">
        <v>10493</v>
      </c>
      <c r="AA608" s="2453">
        <f>COUNTIF(PDs!$Y$40:$AA$45,Tablas!X608)</f>
        <v>0</v>
      </c>
      <c r="AB608" s="413"/>
      <c r="AC608" s="517"/>
    </row>
    <row r="609" spans="1:469" ht="12.75" customHeight="1" x14ac:dyDescent="0.2">
      <c r="A609" s="2029">
        <v>211</v>
      </c>
      <c r="B609" s="4998"/>
      <c r="C609" s="5039" t="s">
        <v>1487</v>
      </c>
      <c r="D609" s="5039"/>
      <c r="E609" s="5039"/>
      <c r="F609" s="5039"/>
      <c r="G609" s="5039"/>
      <c r="H609" s="5039"/>
      <c r="I609" s="5039"/>
      <c r="J609" s="5039"/>
      <c r="K609" s="5039"/>
      <c r="L609" s="5039"/>
      <c r="M609" s="5039"/>
      <c r="N609" s="5039"/>
      <c r="O609" s="5039"/>
      <c r="P609" s="5039"/>
      <c r="Q609" s="5039"/>
      <c r="X609" s="2524" t="s">
        <v>2677</v>
      </c>
      <c r="Y609" s="516"/>
      <c r="Z609" s="516" t="s">
        <v>10516</v>
      </c>
      <c r="AA609" s="2453">
        <f>COUNTIF(PDs!$Y$40:$AA$45,Tablas!X609)</f>
        <v>0</v>
      </c>
      <c r="AB609" s="413"/>
      <c r="AC609" s="2795"/>
      <c r="AD609" s="1761"/>
    </row>
    <row r="610" spans="1:469" ht="12.75" customHeight="1" thickBot="1" x14ac:dyDescent="0.25">
      <c r="A610" s="2029">
        <v>211</v>
      </c>
      <c r="B610" s="4998"/>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10494</v>
      </c>
      <c r="AA610" s="2455">
        <f>COUNTIF(PDs!$Y$40:$AA$45,Tablas!X610)</f>
        <v>0</v>
      </c>
      <c r="AB610" s="413"/>
      <c r="AD610" s="1761"/>
    </row>
    <row r="611" spans="1:469" ht="12.75" customHeight="1" thickBot="1" x14ac:dyDescent="0.25">
      <c r="A611" s="2029">
        <v>211</v>
      </c>
      <c r="B611" s="4998"/>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98"/>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5001" t="s">
        <v>9387</v>
      </c>
      <c r="T612" s="5002"/>
      <c r="U612" s="5002"/>
      <c r="V612" s="5002"/>
      <c r="W612" s="5002"/>
      <c r="X612" s="5002"/>
      <c r="Y612" s="5002"/>
      <c r="Z612" s="5002"/>
      <c r="AA612" s="5002"/>
      <c r="AC612" s="5054" t="s">
        <v>1497</v>
      </c>
      <c r="AD612" s="5054"/>
      <c r="AE612" s="5054"/>
      <c r="AF612" s="5054"/>
      <c r="AG612" s="5054"/>
      <c r="AH612" s="5054"/>
      <c r="AI612" s="5054"/>
    </row>
    <row r="613" spans="1:469" ht="12.75" customHeight="1" thickBot="1" x14ac:dyDescent="0.25">
      <c r="A613" s="2029">
        <v>211</v>
      </c>
      <c r="B613" s="4998"/>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5001"/>
      <c r="T613" s="5002"/>
      <c r="U613" s="5002"/>
      <c r="V613" s="5002"/>
      <c r="W613" s="5002"/>
      <c r="X613" s="5002"/>
      <c r="Y613" s="5002"/>
      <c r="Z613" s="5002"/>
      <c r="AA613" s="5002"/>
      <c r="AC613" s="550" t="s">
        <v>1498</v>
      </c>
      <c r="AD613" s="551" t="s">
        <v>1499</v>
      </c>
      <c r="AE613" s="551" t="s">
        <v>1500</v>
      </c>
      <c r="AF613" s="551" t="s">
        <v>1501</v>
      </c>
      <c r="AG613" s="551" t="s">
        <v>1502</v>
      </c>
      <c r="AH613" s="551" t="s">
        <v>1503</v>
      </c>
      <c r="AI613" s="1868" t="s">
        <v>1504</v>
      </c>
    </row>
    <row r="614" spans="1:469" ht="12.75" customHeight="1" x14ac:dyDescent="0.2">
      <c r="A614" s="2029">
        <v>211</v>
      </c>
      <c r="B614" s="4998"/>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229" t="s">
        <v>10496</v>
      </c>
      <c r="T614" s="5230"/>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98"/>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157" t="s">
        <v>10500</v>
      </c>
      <c r="T615" s="5158"/>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98"/>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157" t="s">
        <v>10497</v>
      </c>
      <c r="T616" s="5158"/>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98"/>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157" t="s">
        <v>10498</v>
      </c>
      <c r="T617" s="5158"/>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98"/>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157" t="s">
        <v>10499</v>
      </c>
      <c r="T618" s="5158"/>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98"/>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159" t="s">
        <v>4684</v>
      </c>
      <c r="T619" s="5160"/>
      <c r="U619" s="2887" t="str">
        <f>U614&amp;U615&amp;U616&amp;U617&amp;U618</f>
        <v>Desarmado</v>
      </c>
      <c r="V619" s="2888"/>
      <c r="W619" s="2888"/>
      <c r="X619" s="2888"/>
      <c r="Y619" s="2888"/>
      <c r="Z619" s="2888"/>
      <c r="AA619" s="2889"/>
    </row>
    <row r="620" spans="1:469" ht="12.75" customHeight="1" thickBot="1" x14ac:dyDescent="0.25">
      <c r="A620" s="2029">
        <v>211</v>
      </c>
      <c r="B620" s="4998"/>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98"/>
    </row>
    <row r="622" spans="1:469" ht="12.75" customHeight="1" x14ac:dyDescent="0.2">
      <c r="A622" s="2029">
        <v>211</v>
      </c>
      <c r="B622" s="4998"/>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98"/>
    </row>
    <row r="624" spans="1:469" ht="12.75" customHeight="1" x14ac:dyDescent="0.2">
      <c r="A624" s="2029">
        <v>211</v>
      </c>
      <c r="B624" s="4998"/>
    </row>
    <row r="625" spans="1:31" ht="12.75" customHeight="1" thickBot="1" x14ac:dyDescent="0.25">
      <c r="A625" s="2029">
        <v>211</v>
      </c>
      <c r="B625" s="4998"/>
    </row>
    <row r="626" spans="1:31" ht="12.75" customHeight="1" thickBot="1" x14ac:dyDescent="0.25">
      <c r="A626" s="2029">
        <v>211</v>
      </c>
      <c r="B626" s="4998"/>
      <c r="C626" s="5010" t="s">
        <v>2557</v>
      </c>
      <c r="D626" s="5011"/>
      <c r="E626" s="5011"/>
      <c r="F626" s="5011"/>
      <c r="G626" s="5011"/>
      <c r="H626" s="5011"/>
      <c r="I626" s="5011"/>
      <c r="J626" s="5011"/>
      <c r="K626" s="5011"/>
      <c r="L626" s="5011"/>
      <c r="M626" s="5011"/>
      <c r="N626" s="5011"/>
      <c r="O626" s="5011"/>
      <c r="P626" s="5011"/>
      <c r="Q626" s="5011"/>
      <c r="R626" s="5011"/>
      <c r="S626" s="5011"/>
      <c r="T626" s="5011"/>
      <c r="U626" s="5011"/>
      <c r="V626" s="5011"/>
      <c r="W626" s="5011"/>
      <c r="X626" s="5012"/>
      <c r="AB626" s="413"/>
      <c r="AC626" s="2795"/>
    </row>
    <row r="627" spans="1:31" ht="12.75" customHeight="1" thickBot="1" x14ac:dyDescent="0.25">
      <c r="A627" s="2029">
        <v>211</v>
      </c>
      <c r="B627" s="4998"/>
      <c r="C627" s="5013"/>
      <c r="D627" s="5014"/>
      <c r="E627" s="5014"/>
      <c r="F627" s="5014"/>
      <c r="G627" s="5014"/>
      <c r="H627" s="5014"/>
      <c r="I627" s="5014"/>
      <c r="J627" s="5014"/>
      <c r="K627" s="5014"/>
      <c r="L627" s="5014"/>
      <c r="M627" s="5014"/>
      <c r="N627" s="5014"/>
      <c r="O627" s="5014"/>
      <c r="P627" s="5014"/>
      <c r="Q627" s="5014"/>
      <c r="R627" s="5014"/>
      <c r="S627" s="5014"/>
      <c r="T627" s="5014"/>
      <c r="U627" s="5014"/>
      <c r="V627" s="5014"/>
      <c r="W627" s="5014"/>
      <c r="X627" s="5015"/>
      <c r="Z627" s="5177" t="s">
        <v>9357</v>
      </c>
      <c r="AB627" s="413"/>
      <c r="AC627" s="2795"/>
    </row>
    <row r="628" spans="1:31" ht="12.75" customHeight="1" x14ac:dyDescent="0.2">
      <c r="A628" s="2029">
        <v>211</v>
      </c>
      <c r="B628" s="4998"/>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178"/>
      <c r="AB628" s="4130" t="s">
        <v>1509</v>
      </c>
      <c r="AC628" s="3984"/>
      <c r="AD628" s="3984"/>
      <c r="AE628" s="4126"/>
    </row>
    <row r="629" spans="1:31" ht="12.75" customHeight="1" thickBot="1" x14ac:dyDescent="0.25">
      <c r="A629" s="2029">
        <v>211</v>
      </c>
      <c r="B629" s="4998"/>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1"/>
      <c r="AC629" s="5002"/>
      <c r="AD629" s="5002"/>
      <c r="AE629" s="5003"/>
    </row>
    <row r="630" spans="1:31" ht="12.75" customHeight="1" thickBot="1" x14ac:dyDescent="0.25">
      <c r="A630" s="2029">
        <v>211</v>
      </c>
      <c r="B630" s="4998"/>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98"/>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98"/>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98"/>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98"/>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98"/>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98"/>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98"/>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98"/>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98"/>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98"/>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98"/>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98"/>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98"/>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98"/>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98"/>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98"/>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98"/>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98"/>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98"/>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98"/>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10512</v>
      </c>
      <c r="AE650" s="2850"/>
    </row>
    <row r="651" spans="1:31" ht="12.75" customHeight="1" x14ac:dyDescent="0.2">
      <c r="A651" s="2029">
        <v>211</v>
      </c>
      <c r="B651" s="4998"/>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10513</v>
      </c>
      <c r="AE651" s="2850"/>
    </row>
    <row r="652" spans="1:31" ht="12.75" customHeight="1" x14ac:dyDescent="0.2">
      <c r="A652" s="2029">
        <v>211</v>
      </c>
      <c r="B652" s="4998"/>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10514</v>
      </c>
      <c r="AE652" s="2850"/>
    </row>
    <row r="653" spans="1:31" ht="12.75" customHeight="1" x14ac:dyDescent="0.2">
      <c r="A653" s="2029">
        <v>211</v>
      </c>
      <c r="B653" s="4998"/>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10515</v>
      </c>
      <c r="AE653" s="2850"/>
    </row>
    <row r="654" spans="1:31" ht="12.75" customHeight="1" x14ac:dyDescent="0.2">
      <c r="A654" s="2029">
        <v>211</v>
      </c>
      <c r="B654" s="4998"/>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98"/>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98"/>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98"/>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98"/>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98"/>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98"/>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98"/>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98"/>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98"/>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98"/>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98"/>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98"/>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98"/>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98"/>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98"/>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98"/>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98"/>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98"/>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98"/>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98"/>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98"/>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98"/>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98"/>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98"/>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98"/>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98"/>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98"/>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98"/>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98"/>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98"/>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98"/>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98"/>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98"/>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98"/>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98"/>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98"/>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98"/>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98"/>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98"/>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98"/>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98"/>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98"/>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98"/>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98"/>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98"/>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98"/>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98"/>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98"/>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98"/>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98"/>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98"/>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98"/>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98"/>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98"/>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2" t="s">
        <v>1769</v>
      </c>
      <c r="W708" s="5052"/>
      <c r="X708" s="5053"/>
      <c r="Z708" s="2881" t="str">
        <f t="shared" si="67"/>
        <v/>
      </c>
      <c r="AB708" s="2403" t="s">
        <v>2666</v>
      </c>
      <c r="AC708" s="19"/>
      <c r="AD708" s="19"/>
      <c r="AE708" s="2850"/>
    </row>
    <row r="709" spans="1:31" ht="12.75" customHeight="1" x14ac:dyDescent="0.2">
      <c r="A709" s="2029">
        <v>211</v>
      </c>
      <c r="B709" s="4998"/>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2" t="s">
        <v>1769</v>
      </c>
      <c r="W709" s="5052"/>
      <c r="X709" s="5053"/>
      <c r="Z709" s="2881" t="str">
        <f t="shared" si="67"/>
        <v/>
      </c>
      <c r="AB709" s="2405" t="s">
        <v>2667</v>
      </c>
      <c r="AC709" s="19"/>
      <c r="AD709" s="19"/>
      <c r="AE709" s="2850"/>
    </row>
    <row r="710" spans="1:31" ht="12.75" customHeight="1" x14ac:dyDescent="0.2">
      <c r="A710" s="2029">
        <v>211</v>
      </c>
      <c r="B710" s="4998"/>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2" t="s">
        <v>1769</v>
      </c>
      <c r="W710" s="5052"/>
      <c r="X710" s="5053"/>
      <c r="Z710" s="2881" t="str">
        <f t="shared" si="67"/>
        <v/>
      </c>
      <c r="AB710" s="2403" t="s">
        <v>2668</v>
      </c>
      <c r="AC710" s="19"/>
      <c r="AD710" s="19"/>
      <c r="AE710" s="2850"/>
    </row>
    <row r="711" spans="1:31" ht="12.75" customHeight="1" x14ac:dyDescent="0.2">
      <c r="A711" s="2029">
        <v>211</v>
      </c>
      <c r="B711" s="4998"/>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98"/>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2" t="s">
        <v>2649</v>
      </c>
      <c r="W712" s="5052"/>
      <c r="X712" s="5053"/>
      <c r="Z712" s="2881" t="str">
        <f t="shared" si="67"/>
        <v/>
      </c>
      <c r="AB712" s="2405" t="s">
        <v>2671</v>
      </c>
      <c r="AC712" s="19"/>
      <c r="AD712" s="19"/>
      <c r="AE712" s="2850"/>
    </row>
    <row r="713" spans="1:31" ht="12.75" customHeight="1" x14ac:dyDescent="0.2">
      <c r="A713" s="2029">
        <v>211</v>
      </c>
      <c r="B713" s="4998"/>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52" t="s">
        <v>2651</v>
      </c>
      <c r="W713" s="5052"/>
      <c r="X713" s="5053"/>
      <c r="Z713" s="2881" t="str">
        <f t="shared" si="67"/>
        <v/>
      </c>
      <c r="AB713" s="2405" t="s">
        <v>2673</v>
      </c>
      <c r="AC713" s="19"/>
      <c r="AD713" s="19"/>
      <c r="AE713" s="2850"/>
    </row>
    <row r="714" spans="1:31" ht="12.75" customHeight="1" x14ac:dyDescent="0.2">
      <c r="A714" s="2029">
        <v>211</v>
      </c>
      <c r="B714" s="4998"/>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52" t="s">
        <v>2653</v>
      </c>
      <c r="W714" s="5052"/>
      <c r="X714" s="5053"/>
      <c r="Z714" s="2881" t="str">
        <f t="shared" si="67"/>
        <v/>
      </c>
      <c r="AB714" s="2405" t="s">
        <v>2674</v>
      </c>
      <c r="AC714" s="19"/>
      <c r="AD714" s="19"/>
      <c r="AE714" s="2850"/>
    </row>
    <row r="715" spans="1:31" ht="12.75" customHeight="1" x14ac:dyDescent="0.2">
      <c r="A715" s="2029">
        <v>211</v>
      </c>
      <c r="B715" s="4998"/>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52" t="s">
        <v>2655</v>
      </c>
      <c r="W715" s="5052"/>
      <c r="X715" s="5053"/>
      <c r="Z715" s="2881" t="str">
        <f t="shared" si="67"/>
        <v/>
      </c>
      <c r="AB715" s="2405" t="s">
        <v>9059</v>
      </c>
      <c r="AC715" s="19"/>
      <c r="AD715" s="19"/>
      <c r="AE715" s="2850"/>
    </row>
    <row r="716" spans="1:31" ht="12.75" customHeight="1" x14ac:dyDescent="0.2">
      <c r="A716" s="2029">
        <v>211</v>
      </c>
      <c r="B716" s="4998"/>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52" t="s">
        <v>1769</v>
      </c>
      <c r="W716" s="5052"/>
      <c r="X716" s="5053"/>
      <c r="Z716" s="2881" t="str">
        <f t="shared" si="67"/>
        <v/>
      </c>
      <c r="AB716" s="2405" t="s">
        <v>9076</v>
      </c>
      <c r="AC716" s="19"/>
      <c r="AD716" s="19"/>
      <c r="AE716" s="2850"/>
    </row>
    <row r="717" spans="1:31" ht="12.75" customHeight="1" x14ac:dyDescent="0.2">
      <c r="A717" s="2029">
        <v>211</v>
      </c>
      <c r="B717" s="4998"/>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52" t="s">
        <v>2597</v>
      </c>
      <c r="W717" s="5052"/>
      <c r="X717" s="5053"/>
      <c r="Z717" s="2881" t="str">
        <f t="shared" si="67"/>
        <v/>
      </c>
      <c r="AB717" s="2406" t="s">
        <v>9077</v>
      </c>
      <c r="AC717" s="19"/>
      <c r="AD717" s="19"/>
      <c r="AE717" s="2850"/>
    </row>
    <row r="718" spans="1:31" ht="12.75" customHeight="1" x14ac:dyDescent="0.2">
      <c r="A718" s="2029">
        <v>211</v>
      </c>
      <c r="B718" s="4998"/>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081" t="s">
        <v>2659</v>
      </c>
      <c r="W718" s="5081"/>
      <c r="X718" s="5082"/>
      <c r="Z718" s="2881" t="str">
        <f t="shared" si="67"/>
        <v/>
      </c>
      <c r="AB718" s="2406" t="s">
        <v>9078</v>
      </c>
      <c r="AC718" s="19"/>
      <c r="AD718" s="19"/>
      <c r="AE718" s="2850"/>
    </row>
    <row r="719" spans="1:31" ht="12.75" customHeight="1" x14ac:dyDescent="0.2">
      <c r="A719" s="2029">
        <v>211</v>
      </c>
      <c r="B719" s="4998"/>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52" t="s">
        <v>2661</v>
      </c>
      <c r="W719" s="5052"/>
      <c r="X719" s="5053"/>
      <c r="Z719" s="2881" t="str">
        <f t="shared" si="67"/>
        <v/>
      </c>
      <c r="AB719" s="2405" t="s">
        <v>9079</v>
      </c>
      <c r="AC719" s="19"/>
      <c r="AD719" s="19"/>
      <c r="AE719" s="2850"/>
    </row>
    <row r="720" spans="1:31" ht="12.75" customHeight="1" x14ac:dyDescent="0.2">
      <c r="A720" s="2029">
        <v>211</v>
      </c>
      <c r="B720" s="4998"/>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081" t="s">
        <v>2664</v>
      </c>
      <c r="W720" s="5081"/>
      <c r="X720" s="5082"/>
      <c r="Z720" s="2881" t="str">
        <f t="shared" si="67"/>
        <v/>
      </c>
      <c r="AB720" s="2405" t="s">
        <v>9080</v>
      </c>
      <c r="AC720" s="19"/>
      <c r="AD720" s="19"/>
      <c r="AE720" s="2850"/>
    </row>
    <row r="721" spans="1:31" ht="12.75" customHeight="1" x14ac:dyDescent="0.2">
      <c r="A721" s="2029">
        <v>211</v>
      </c>
      <c r="B721" s="4998"/>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52" t="s">
        <v>2597</v>
      </c>
      <c r="W721" s="5052"/>
      <c r="X721" s="5053"/>
      <c r="Z721" s="2881" t="str">
        <f t="shared" si="67"/>
        <v/>
      </c>
      <c r="AB721" s="2405" t="s">
        <v>9081</v>
      </c>
      <c r="AC721" s="19"/>
      <c r="AD721" s="19"/>
      <c r="AE721" s="2850"/>
    </row>
    <row r="722" spans="1:31" ht="12.75" customHeight="1" x14ac:dyDescent="0.2">
      <c r="A722" s="2029">
        <v>211</v>
      </c>
      <c r="B722" s="4998"/>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52" t="s">
        <v>1769</v>
      </c>
      <c r="W722" s="5052"/>
      <c r="X722" s="5053"/>
      <c r="Z722" s="2881" t="str">
        <f t="shared" si="67"/>
        <v/>
      </c>
      <c r="AB722" s="2405" t="s">
        <v>9082</v>
      </c>
      <c r="AC722" s="19"/>
      <c r="AD722" s="19"/>
      <c r="AE722" s="2850"/>
    </row>
    <row r="723" spans="1:31" ht="12.75" customHeight="1" x14ac:dyDescent="0.2">
      <c r="A723" s="2029">
        <v>211</v>
      </c>
      <c r="B723" s="4998"/>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52" t="s">
        <v>2597</v>
      </c>
      <c r="W723" s="5052"/>
      <c r="X723" s="5053"/>
      <c r="Z723" s="2881" t="str">
        <f t="shared" si="67"/>
        <v/>
      </c>
      <c r="AB723" s="2405" t="s">
        <v>9083</v>
      </c>
      <c r="AC723" s="19"/>
      <c r="AD723" s="19"/>
      <c r="AE723" s="2850"/>
    </row>
    <row r="724" spans="1:31" ht="12.75" customHeight="1" x14ac:dyDescent="0.2">
      <c r="A724" s="2029">
        <v>211</v>
      </c>
      <c r="B724" s="4998"/>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52" t="s">
        <v>2669</v>
      </c>
      <c r="W724" s="5052"/>
      <c r="X724" s="5053"/>
      <c r="Z724" s="2881" t="str">
        <f t="shared" si="67"/>
        <v/>
      </c>
      <c r="AB724" s="2403" t="s">
        <v>9062</v>
      </c>
      <c r="AC724" s="19"/>
      <c r="AD724" s="19"/>
      <c r="AE724" s="2850"/>
    </row>
    <row r="725" spans="1:31" ht="12.75" customHeight="1" x14ac:dyDescent="0.2">
      <c r="A725" s="2029">
        <v>211</v>
      </c>
      <c r="B725" s="4998"/>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52" t="s">
        <v>2623</v>
      </c>
      <c r="W725" s="5052"/>
      <c r="X725" s="5053"/>
      <c r="Z725" s="2881" t="str">
        <f t="shared" si="67"/>
        <v/>
      </c>
      <c r="AB725" s="2405" t="s">
        <v>9084</v>
      </c>
      <c r="AC725" s="19"/>
      <c r="AD725" s="19"/>
      <c r="AE725" s="2850"/>
    </row>
    <row r="726" spans="1:31" ht="12.75" customHeight="1" x14ac:dyDescent="0.2">
      <c r="A726" s="2029">
        <v>211</v>
      </c>
      <c r="B726" s="4998"/>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52" t="s">
        <v>2672</v>
      </c>
      <c r="W726" s="5052"/>
      <c r="X726" s="5053"/>
      <c r="Z726" s="2881" t="str">
        <f t="shared" si="67"/>
        <v/>
      </c>
      <c r="AB726" s="2405" t="s">
        <v>9064</v>
      </c>
      <c r="AC726" s="19"/>
      <c r="AD726" s="19"/>
      <c r="AE726" s="2850"/>
    </row>
    <row r="727" spans="1:31" ht="12.75" customHeight="1" x14ac:dyDescent="0.2">
      <c r="A727" s="2029">
        <v>211</v>
      </c>
      <c r="B727" s="4998"/>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52" t="s">
        <v>2601</v>
      </c>
      <c r="W727" s="5052"/>
      <c r="X727" s="5053"/>
      <c r="Z727" s="2881" t="str">
        <f t="shared" si="67"/>
        <v/>
      </c>
      <c r="AB727" s="2405" t="s">
        <v>9085</v>
      </c>
      <c r="AC727" s="19"/>
      <c r="AD727" s="19"/>
      <c r="AE727" s="2850"/>
    </row>
    <row r="728" spans="1:31" ht="12.75" customHeight="1" x14ac:dyDescent="0.2">
      <c r="A728" s="2029">
        <v>211</v>
      </c>
      <c r="B728" s="4998"/>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52" t="s">
        <v>2601</v>
      </c>
      <c r="W728" s="5052"/>
      <c r="X728" s="5053"/>
      <c r="Z728" s="2881" t="str">
        <f t="shared" si="67"/>
        <v/>
      </c>
      <c r="AB728" s="2405" t="s">
        <v>9067</v>
      </c>
      <c r="AC728" s="19"/>
      <c r="AD728" s="19"/>
      <c r="AE728" s="2850"/>
    </row>
    <row r="729" spans="1:31" ht="12.75" customHeight="1" x14ac:dyDescent="0.2">
      <c r="A729" s="2029">
        <v>211</v>
      </c>
      <c r="B729" s="4998"/>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98"/>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98"/>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98"/>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98"/>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98"/>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98"/>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98"/>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98"/>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98"/>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98"/>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98"/>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98"/>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98"/>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98"/>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98"/>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98"/>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98"/>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98"/>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98"/>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98"/>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98"/>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98"/>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98"/>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98"/>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98"/>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98"/>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98"/>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98"/>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98"/>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98"/>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98"/>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98"/>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98"/>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98"/>
      <c r="C763" s="2942"/>
      <c r="D763" s="19" t="s">
        <v>10512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98"/>
      <c r="C764" s="2942"/>
      <c r="D764" s="19" t="s">
        <v>10513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98"/>
      <c r="C765" s="2942"/>
      <c r="D765" s="19" t="s">
        <v>10514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98"/>
      <c r="C766" s="2942"/>
      <c r="D766" s="19" t="s">
        <v>10515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98"/>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98"/>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52" t="s">
        <v>2691</v>
      </c>
      <c r="W768" s="5052"/>
      <c r="X768" s="5053"/>
      <c r="Z768" s="2881" t="str">
        <f t="shared" si="73"/>
        <v/>
      </c>
      <c r="AA768" s="2620"/>
      <c r="AB768" s="413"/>
      <c r="AC768" s="2839"/>
    </row>
    <row r="769" spans="1:29" ht="12.75" customHeight="1" x14ac:dyDescent="0.2">
      <c r="A769" s="2029">
        <v>211</v>
      </c>
      <c r="B769" s="4998"/>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52" t="s">
        <v>2693</v>
      </c>
      <c r="W769" s="5052"/>
      <c r="X769" s="5053"/>
      <c r="Z769" s="2881" t="str">
        <f t="shared" si="73"/>
        <v/>
      </c>
      <c r="AA769" s="2620"/>
      <c r="AB769" s="413"/>
      <c r="AC769" s="2839"/>
    </row>
    <row r="770" spans="1:29" ht="12.75" customHeight="1" x14ac:dyDescent="0.2">
      <c r="A770" s="2029">
        <v>211</v>
      </c>
      <c r="B770" s="4998"/>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52" t="s">
        <v>2695</v>
      </c>
      <c r="W770" s="5052"/>
      <c r="X770" s="5053"/>
      <c r="Z770" s="2881" t="str">
        <f t="shared" si="73"/>
        <v/>
      </c>
      <c r="AA770" s="2620"/>
      <c r="AB770" s="413"/>
      <c r="AC770" s="2839"/>
    </row>
    <row r="771" spans="1:29" ht="12.75" customHeight="1" x14ac:dyDescent="0.2">
      <c r="A771" s="2029">
        <v>211</v>
      </c>
      <c r="B771" s="4998"/>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52" t="s">
        <v>2697</v>
      </c>
      <c r="W771" s="5052"/>
      <c r="X771" s="5053"/>
      <c r="Z771" s="2881" t="str">
        <f t="shared" si="73"/>
        <v/>
      </c>
      <c r="AA771" s="2620"/>
      <c r="AB771" s="413"/>
      <c r="AC771" s="2839"/>
    </row>
    <row r="772" spans="1:29" ht="12.75" customHeight="1" x14ac:dyDescent="0.2">
      <c r="A772" s="2029">
        <v>211</v>
      </c>
      <c r="B772" s="4998"/>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52" t="s">
        <v>2699</v>
      </c>
      <c r="W772" s="5052"/>
      <c r="X772" s="5053"/>
      <c r="Z772" s="2881" t="str">
        <f t="shared" si="73"/>
        <v/>
      </c>
      <c r="AA772" s="2620"/>
      <c r="AB772" s="413"/>
      <c r="AC772" s="2839"/>
    </row>
    <row r="773" spans="1:29" ht="12.75" customHeight="1" x14ac:dyDescent="0.2">
      <c r="A773" s="2029">
        <v>211</v>
      </c>
      <c r="B773" s="4998"/>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52" t="s">
        <v>2701</v>
      </c>
      <c r="W773" s="5052"/>
      <c r="X773" s="5053"/>
      <c r="Z773" s="2881" t="str">
        <f t="shared" si="73"/>
        <v/>
      </c>
      <c r="AA773" s="2620"/>
      <c r="AB773" s="413"/>
      <c r="AC773" s="2839"/>
    </row>
    <row r="774" spans="1:29" ht="12.75" customHeight="1" x14ac:dyDescent="0.2">
      <c r="A774" s="2029">
        <v>211</v>
      </c>
      <c r="B774" s="4998"/>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52" t="s">
        <v>2703</v>
      </c>
      <c r="W774" s="5052"/>
      <c r="X774" s="5053"/>
      <c r="Z774" s="2881" t="str">
        <f t="shared" si="73"/>
        <v/>
      </c>
      <c r="AA774" s="2620"/>
      <c r="AB774" s="413"/>
      <c r="AC774" s="2839"/>
    </row>
    <row r="775" spans="1:29" ht="12.75" customHeight="1" x14ac:dyDescent="0.2">
      <c r="A775" s="2029">
        <v>211</v>
      </c>
      <c r="B775" s="4998"/>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52" t="s">
        <v>2705</v>
      </c>
      <c r="W775" s="5052"/>
      <c r="X775" s="5053"/>
      <c r="Z775" s="2881" t="str">
        <f t="shared" si="73"/>
        <v/>
      </c>
      <c r="AA775" s="2620"/>
      <c r="AB775" s="413"/>
      <c r="AC775" s="2839"/>
    </row>
    <row r="776" spans="1:29" ht="12.75" customHeight="1" x14ac:dyDescent="0.2">
      <c r="A776" s="2029">
        <v>211</v>
      </c>
      <c r="B776" s="4998"/>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52" t="s">
        <v>2707</v>
      </c>
      <c r="W776" s="5052"/>
      <c r="X776" s="5053"/>
      <c r="Z776" s="2881" t="str">
        <f t="shared" si="73"/>
        <v/>
      </c>
      <c r="AA776" s="2620"/>
      <c r="AB776" s="413"/>
      <c r="AC776" s="2839"/>
    </row>
    <row r="777" spans="1:29" ht="12.75" customHeight="1" x14ac:dyDescent="0.2">
      <c r="A777" s="2029">
        <v>211</v>
      </c>
      <c r="B777" s="4998"/>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52" t="s">
        <v>2709</v>
      </c>
      <c r="W777" s="5052"/>
      <c r="X777" s="5053"/>
      <c r="Z777" s="2881" t="str">
        <f t="shared" si="73"/>
        <v/>
      </c>
      <c r="AA777" s="2620"/>
      <c r="AB777" s="413"/>
      <c r="AC777" s="2839"/>
    </row>
    <row r="778" spans="1:29" ht="12.75" customHeight="1" x14ac:dyDescent="0.2">
      <c r="A778" s="2029">
        <v>211</v>
      </c>
      <c r="B778" s="4998"/>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98"/>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98"/>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98"/>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98"/>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98"/>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98"/>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98"/>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98"/>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98"/>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98"/>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98"/>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98"/>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98"/>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98"/>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98"/>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98"/>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98"/>
      <c r="C795" s="2950"/>
      <c r="D795" s="2951" t="s">
        <v>2737</v>
      </c>
      <c r="E795" s="2952">
        <f>80-Bono_Fue</f>
        <v>80</v>
      </c>
      <c r="F795" s="2952">
        <v>10</v>
      </c>
      <c r="G795" s="2952">
        <v>0</v>
      </c>
      <c r="H795" s="2952">
        <v>0</v>
      </c>
      <c r="I795" s="2952" t="s">
        <v>1868</v>
      </c>
      <c r="J795" s="2952" t="s">
        <v>1869</v>
      </c>
      <c r="K795" s="2953" t="s">
        <v>10495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98"/>
      <c r="H796" s="413"/>
      <c r="I796" s="1761"/>
      <c r="N796" s="413"/>
      <c r="O796" s="2112"/>
      <c r="AB796" s="413"/>
      <c r="AC796" s="2795"/>
    </row>
    <row r="797" spans="1:31" ht="12.75" customHeight="1" x14ac:dyDescent="0.2">
      <c r="A797" s="2029">
        <v>211</v>
      </c>
      <c r="B797" s="4998"/>
      <c r="H797" s="413"/>
      <c r="I797" s="1761"/>
      <c r="N797" s="413"/>
      <c r="O797" s="2112"/>
      <c r="AB797" s="413"/>
      <c r="AC797" s="2795"/>
    </row>
    <row r="798" spans="1:31" ht="12.75" customHeight="1" x14ac:dyDescent="0.2">
      <c r="A798" s="2029">
        <v>211</v>
      </c>
      <c r="B798" s="4998"/>
      <c r="C798" s="4997" t="s">
        <v>9442</v>
      </c>
      <c r="D798" s="4997"/>
      <c r="E798" s="4997"/>
      <c r="F798" s="4997"/>
      <c r="G798" s="4997"/>
      <c r="H798" s="4997"/>
      <c r="I798" s="4997"/>
      <c r="J798" s="4997"/>
      <c r="K798" s="4997"/>
      <c r="L798" s="4997"/>
      <c r="M798" s="4997"/>
      <c r="N798" s="4997"/>
      <c r="O798" s="4997"/>
      <c r="P798" s="4997"/>
      <c r="Q798" s="4997"/>
      <c r="R798" s="4997"/>
      <c r="S798" s="4997"/>
      <c r="T798" s="4997"/>
      <c r="U798" s="4997"/>
      <c r="V798" s="4997"/>
      <c r="W798" s="4997"/>
      <c r="X798" s="4997"/>
      <c r="Y798" s="4997"/>
      <c r="Z798" s="4997"/>
      <c r="AA798" s="4997"/>
      <c r="AB798" s="4997"/>
      <c r="AC798" s="4997"/>
      <c r="AD798" s="4997"/>
      <c r="AE798" s="4997"/>
    </row>
    <row r="799" spans="1:31" ht="12.75" customHeight="1" x14ac:dyDescent="0.2">
      <c r="A799" s="2029">
        <v>211</v>
      </c>
      <c r="B799" s="4998"/>
      <c r="C799" s="4997"/>
      <c r="D799" s="4997"/>
      <c r="E799" s="4997"/>
      <c r="F799" s="4997"/>
      <c r="G799" s="4997"/>
      <c r="H799" s="4997"/>
      <c r="I799" s="4997"/>
      <c r="J799" s="4997"/>
      <c r="K799" s="4997"/>
      <c r="L799" s="4997"/>
      <c r="M799" s="4997"/>
      <c r="N799" s="4997"/>
      <c r="O799" s="4997"/>
      <c r="P799" s="4997"/>
      <c r="Q799" s="4997"/>
      <c r="R799" s="4997"/>
      <c r="S799" s="4997"/>
      <c r="T799" s="4997"/>
      <c r="U799" s="4997"/>
      <c r="V799" s="4997"/>
      <c r="W799" s="4997"/>
      <c r="X799" s="4997"/>
      <c r="Y799" s="4997"/>
      <c r="Z799" s="4997"/>
      <c r="AA799" s="4997"/>
      <c r="AB799" s="4997"/>
      <c r="AC799" s="4997"/>
      <c r="AD799" s="4997"/>
      <c r="AE799" s="4997"/>
    </row>
    <row r="800" spans="1:31" ht="12.75" customHeight="1" x14ac:dyDescent="0.2">
      <c r="A800" s="2029">
        <v>211</v>
      </c>
      <c r="B800" s="4998"/>
      <c r="C800" s="4997"/>
      <c r="D800" s="4997"/>
      <c r="E800" s="4997"/>
      <c r="F800" s="4997"/>
      <c r="G800" s="4997"/>
      <c r="H800" s="4997"/>
      <c r="I800" s="4997"/>
      <c r="J800" s="4997"/>
      <c r="K800" s="4997"/>
      <c r="L800" s="4997"/>
      <c r="M800" s="4997"/>
      <c r="N800" s="4997"/>
      <c r="O800" s="4997"/>
      <c r="P800" s="4997"/>
      <c r="Q800" s="4997"/>
      <c r="R800" s="4997"/>
      <c r="S800" s="4997"/>
      <c r="T800" s="4997"/>
      <c r="U800" s="4997"/>
      <c r="V800" s="4997"/>
      <c r="W800" s="4997"/>
      <c r="X800" s="4997"/>
      <c r="Y800" s="4997"/>
      <c r="Z800" s="4997"/>
      <c r="AA800" s="4997"/>
      <c r="AB800" s="4997"/>
      <c r="AC800" s="4997"/>
      <c r="AD800" s="4997"/>
      <c r="AE800" s="4997"/>
    </row>
    <row r="801" spans="1:30" ht="12.75" customHeight="1" thickBot="1" x14ac:dyDescent="0.25">
      <c r="A801" s="2029">
        <v>211</v>
      </c>
      <c r="B801" s="4998"/>
      <c r="C801" s="2028"/>
      <c r="H801" s="413"/>
      <c r="N801" s="413"/>
      <c r="AB801" s="413"/>
      <c r="AC801" s="2795"/>
    </row>
    <row r="802" spans="1:30" ht="12.75" customHeight="1" thickBot="1" x14ac:dyDescent="0.25">
      <c r="A802" s="2029">
        <v>211</v>
      </c>
      <c r="B802" s="4998"/>
      <c r="C802" s="5200" t="s">
        <v>1127</v>
      </c>
      <c r="D802" s="5201"/>
      <c r="E802" s="5201"/>
      <c r="F802" s="5201"/>
      <c r="G802" s="5201"/>
      <c r="H802" s="5201"/>
      <c r="I802" s="5201"/>
      <c r="J802" s="5201"/>
      <c r="K802" s="5201"/>
      <c r="L802" s="5201"/>
      <c r="M802" s="5201"/>
      <c r="N802" s="5201"/>
      <c r="O802" s="5201"/>
      <c r="P802" s="5201"/>
      <c r="Q802" s="5201"/>
      <c r="R802" s="5201"/>
      <c r="S802" s="5201"/>
      <c r="T802" s="5201"/>
      <c r="U802" s="5201"/>
      <c r="V802" s="5201"/>
      <c r="W802" s="5201"/>
      <c r="X802" s="5201"/>
      <c r="Y802" s="2922"/>
      <c r="Z802" s="2922"/>
      <c r="AA802" s="2772"/>
      <c r="AB802" s="413"/>
    </row>
    <row r="803" spans="1:30" ht="12.75" customHeight="1" thickBot="1" x14ac:dyDescent="0.25">
      <c r="A803" s="2029">
        <v>211</v>
      </c>
      <c r="B803" s="4998"/>
      <c r="C803" s="5202"/>
      <c r="D803" s="5203"/>
      <c r="E803" s="5203"/>
      <c r="F803" s="5203"/>
      <c r="G803" s="5203"/>
      <c r="H803" s="5203"/>
      <c r="I803" s="5203"/>
      <c r="J803" s="5203"/>
      <c r="K803" s="5203"/>
      <c r="L803" s="5203"/>
      <c r="M803" s="5203"/>
      <c r="N803" s="5203"/>
      <c r="O803" s="5203"/>
      <c r="P803" s="5203"/>
      <c r="Q803" s="5203"/>
      <c r="R803" s="5203"/>
      <c r="S803" s="5203"/>
      <c r="T803" s="5203"/>
      <c r="U803" s="5203"/>
      <c r="V803" s="5203"/>
      <c r="W803" s="5203"/>
      <c r="X803" s="5203"/>
      <c r="Y803" s="4995" t="s">
        <v>10510</v>
      </c>
      <c r="Z803" s="4995"/>
      <c r="AA803" s="4996"/>
      <c r="AB803" s="413"/>
      <c r="AC803" s="2738" t="s">
        <v>10511</v>
      </c>
      <c r="AD803" s="2929" t="s">
        <v>9262</v>
      </c>
    </row>
    <row r="804" spans="1:30" ht="12.75" customHeight="1" x14ac:dyDescent="0.2">
      <c r="A804" s="2029">
        <v>211</v>
      </c>
      <c r="B804" s="4998"/>
      <c r="C804" s="5159">
        <v>1</v>
      </c>
      <c r="D804" s="5160"/>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4995"/>
      <c r="Z804" s="4995"/>
      <c r="AA804" s="4996"/>
      <c r="AB804" s="413"/>
      <c r="AC804" s="241" t="s">
        <v>1138</v>
      </c>
      <c r="AD804" s="1807" t="s">
        <v>1677</v>
      </c>
    </row>
    <row r="805" spans="1:30" ht="12.75" customHeight="1" x14ac:dyDescent="0.2">
      <c r="A805" s="2029">
        <v>211</v>
      </c>
      <c r="B805" s="4998"/>
      <c r="C805" s="5174" t="s">
        <v>1128</v>
      </c>
      <c r="D805" s="5175"/>
      <c r="E805" s="2756" t="s">
        <v>1129</v>
      </c>
      <c r="F805" s="2756" t="s">
        <v>1130</v>
      </c>
      <c r="G805" s="2756" t="s">
        <v>1815</v>
      </c>
      <c r="H805" s="2756" t="s">
        <v>1131</v>
      </c>
      <c r="I805" s="2756" t="s">
        <v>9311</v>
      </c>
      <c r="J805" s="2756" t="s">
        <v>9312</v>
      </c>
      <c r="K805" s="2756" t="s">
        <v>1132</v>
      </c>
      <c r="L805" s="3962" t="s">
        <v>1791</v>
      </c>
      <c r="M805" s="3962"/>
      <c r="N805" s="3962"/>
      <c r="O805" s="3962"/>
      <c r="P805" s="3962"/>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98"/>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98"/>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98"/>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98"/>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98"/>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98"/>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98"/>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98"/>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98"/>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98"/>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98"/>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98"/>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98"/>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98"/>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98"/>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98"/>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98"/>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98"/>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98"/>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98"/>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98"/>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98"/>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98"/>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98"/>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98"/>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98"/>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98"/>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98"/>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98"/>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98"/>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98"/>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98"/>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98"/>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98"/>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98"/>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98"/>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98"/>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98"/>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98"/>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98"/>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98"/>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98"/>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98"/>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98"/>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98"/>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98"/>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98"/>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98"/>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98"/>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98"/>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98"/>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98"/>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98"/>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98"/>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98"/>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98"/>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98"/>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98"/>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98"/>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98"/>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98"/>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98"/>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98"/>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98"/>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98"/>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98"/>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98"/>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98"/>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98"/>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98"/>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98"/>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98"/>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98"/>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98"/>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98"/>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98"/>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98"/>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98"/>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98"/>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98"/>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98"/>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98"/>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98"/>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98"/>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98"/>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98"/>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98"/>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98"/>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98"/>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98"/>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98"/>
      <c r="F896" s="5198">
        <f>SUMPRODUCT($F$807:$F$895,$W$807:$W$895)</f>
        <v>0</v>
      </c>
      <c r="G896" s="5113" t="s">
        <v>1300</v>
      </c>
      <c r="H896" s="511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1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05">
        <f>Tablas!$K$862*Tablas!$W$862+Tablas!K811*Tablas!$W$811+Tablas!K810*Tablas!$W$810+Tablas!K812*Tablas!$W$812+Tablas!K867*Tablas!$W$867+Tablas!K866*Tablas!$W$866+Tablas!K875*Tablas!$W$875+Tablas!K874*Tablas!$W$874</f>
        <v>0</v>
      </c>
      <c r="N896" s="413"/>
      <c r="O896" s="2112"/>
      <c r="T896" s="5107" t="s">
        <v>1301</v>
      </c>
      <c r="U896" s="5109">
        <f>+MAX(Tablas!S863*Tablas!W863,Tablas!S865*Tablas!W865,Tablas!S867*Tablas!W867,Tablas!S869*Tablas!W869,Tablas!S871*Tablas!W871,Tablas!S873*Tablas!W873,Tablas!S875*Tablas!W875,Tablas!S877*Tablas!W877,Tablas!S881*Tablas!W881,Tablas!S883*Tablas!W883,Tablas!S889*Tablas!W889,Tablas!S893*Tablas!W893)</f>
        <v>0</v>
      </c>
      <c r="V896" s="5111">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98"/>
      <c r="F897" s="5199"/>
      <c r="G897" s="5114"/>
      <c r="H897" s="5116"/>
      <c r="I897" s="5118"/>
      <c r="J897" s="5116"/>
      <c r="K897" s="5106"/>
      <c r="N897" s="413"/>
      <c r="O897" s="2112"/>
      <c r="T897" s="5108"/>
      <c r="U897" s="5110"/>
      <c r="V897" s="5112"/>
      <c r="W897" s="2555">
        <f>MAX(Tablas!$U$806:$U$895)</f>
        <v>0</v>
      </c>
    </row>
    <row r="898" spans="1:23" ht="12.75" customHeight="1" x14ac:dyDescent="0.2">
      <c r="A898" s="2029">
        <v>211</v>
      </c>
      <c r="B898" s="4998"/>
      <c r="H898" s="413"/>
      <c r="I898" s="1761"/>
      <c r="N898" s="413"/>
      <c r="O898" s="2112"/>
    </row>
    <row r="899" spans="1:23" ht="12.75" customHeight="1" thickBot="1" x14ac:dyDescent="0.25">
      <c r="A899" s="2029">
        <v>211</v>
      </c>
      <c r="B899" s="4998"/>
      <c r="H899" s="413"/>
      <c r="I899" s="1761"/>
      <c r="N899" s="413"/>
      <c r="O899" s="2112"/>
    </row>
    <row r="900" spans="1:23" ht="12.75" customHeight="1" thickBot="1" x14ac:dyDescent="0.25">
      <c r="A900" s="2029">
        <v>211</v>
      </c>
      <c r="B900" s="4998"/>
      <c r="C900" s="5007" t="s">
        <v>9352</v>
      </c>
      <c r="D900" s="5008"/>
      <c r="E900" s="5008"/>
      <c r="F900" s="5008"/>
      <c r="G900" s="5008"/>
      <c r="H900" s="5008"/>
      <c r="I900" s="5008"/>
      <c r="J900" s="5008"/>
      <c r="K900" s="5008"/>
      <c r="L900" s="5008"/>
      <c r="M900" s="5008"/>
      <c r="N900" s="5009"/>
      <c r="P900" s="5039" t="s">
        <v>3116</v>
      </c>
      <c r="Q900" s="5039"/>
      <c r="R900" s="5039"/>
      <c r="S900" s="5039"/>
      <c r="T900" s="5039"/>
      <c r="U900" s="5039"/>
      <c r="V900" s="5039"/>
      <c r="W900" s="5039"/>
    </row>
    <row r="901" spans="1:23" ht="12.75" customHeight="1" x14ac:dyDescent="0.2">
      <c r="A901" s="2029">
        <v>211</v>
      </c>
      <c r="B901" s="4998"/>
      <c r="C901" s="2692"/>
      <c r="D901" s="2596"/>
      <c r="E901" s="2596">
        <v>1</v>
      </c>
      <c r="F901" s="2596">
        <v>2</v>
      </c>
      <c r="G901" s="2596">
        <v>3</v>
      </c>
      <c r="H901" s="2596">
        <v>4</v>
      </c>
      <c r="I901" s="2596">
        <v>5</v>
      </c>
      <c r="J901" s="2596">
        <v>6</v>
      </c>
      <c r="K901" s="2596">
        <v>7</v>
      </c>
      <c r="L901" s="2596">
        <v>8</v>
      </c>
      <c r="M901" s="2596">
        <v>9</v>
      </c>
      <c r="N901" s="2693">
        <v>10</v>
      </c>
      <c r="P901" s="5039"/>
      <c r="Q901" s="5039"/>
      <c r="R901" s="5039"/>
      <c r="S901" s="5039"/>
      <c r="T901" s="5039"/>
      <c r="U901" s="5039"/>
      <c r="V901" s="5039"/>
      <c r="W901" s="5039"/>
    </row>
    <row r="902" spans="1:23" ht="12.75" customHeight="1" thickBot="1" x14ac:dyDescent="0.25">
      <c r="A902" s="2029">
        <v>211</v>
      </c>
      <c r="B902" s="4998"/>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98"/>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98"/>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98"/>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98"/>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98"/>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98"/>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98"/>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98"/>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98"/>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98"/>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98"/>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98"/>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98"/>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98"/>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98"/>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98"/>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98"/>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98"/>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98"/>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98"/>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98"/>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98"/>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98"/>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98"/>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98"/>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98"/>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98"/>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98"/>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98"/>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98"/>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98"/>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98"/>
      <c r="H934" s="413"/>
      <c r="N934" s="413"/>
    </row>
    <row r="935" spans="1:18" ht="12.75" customHeight="1" x14ac:dyDescent="0.2">
      <c r="A935" s="2029">
        <v>211</v>
      </c>
      <c r="B935" s="4998"/>
      <c r="H935" s="413"/>
      <c r="N935" s="413"/>
    </row>
    <row r="936" spans="1:18" ht="12.75" customHeight="1" x14ac:dyDescent="0.2">
      <c r="A936" s="2029">
        <v>211</v>
      </c>
      <c r="B936" s="4998"/>
      <c r="H936" s="413"/>
      <c r="N936" s="413"/>
    </row>
    <row r="937" spans="1:18" ht="12.75" customHeight="1" thickBot="1" x14ac:dyDescent="0.25">
      <c r="A937" s="2029">
        <v>211</v>
      </c>
      <c r="B937" s="4998"/>
      <c r="H937" s="413"/>
      <c r="N937" s="413"/>
    </row>
    <row r="938" spans="1:18" ht="12.75" customHeight="1" thickBot="1" x14ac:dyDescent="0.25">
      <c r="A938" s="2029">
        <v>211</v>
      </c>
      <c r="B938" s="4998"/>
      <c r="C938" s="5104" t="s">
        <v>1331</v>
      </c>
      <c r="D938" s="5104"/>
      <c r="E938" s="5104"/>
      <c r="F938" s="5104"/>
      <c r="G938" s="5104"/>
      <c r="H938" s="5104"/>
      <c r="I938" s="5104"/>
      <c r="J938" s="5104"/>
      <c r="K938" s="5104"/>
      <c r="L938" s="5104"/>
      <c r="M938" s="5104"/>
      <c r="N938" s="5104"/>
      <c r="O938" s="5104"/>
      <c r="P938" s="5104"/>
      <c r="Q938" s="5104"/>
      <c r="R938" s="5104"/>
    </row>
    <row r="939" spans="1:18" ht="12.75" customHeight="1" x14ac:dyDescent="0.2">
      <c r="A939" s="2029">
        <v>211</v>
      </c>
      <c r="B939" s="4998"/>
      <c r="C939" s="5104"/>
      <c r="D939" s="5104"/>
      <c r="E939" s="5104"/>
      <c r="F939" s="5104"/>
      <c r="G939" s="5104"/>
      <c r="H939" s="5104"/>
      <c r="I939" s="5104"/>
      <c r="J939" s="5104"/>
      <c r="K939" s="5104"/>
      <c r="L939" s="5104"/>
      <c r="M939" s="5104"/>
      <c r="N939" s="5104"/>
      <c r="O939" s="5104"/>
      <c r="P939" s="5104"/>
      <c r="Q939" s="5104"/>
      <c r="R939" s="5104"/>
    </row>
    <row r="940" spans="1:18" ht="12.75" customHeight="1" thickBot="1" x14ac:dyDescent="0.25">
      <c r="A940" s="2029">
        <v>211</v>
      </c>
      <c r="B940" s="4998"/>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98"/>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98"/>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98"/>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98"/>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98"/>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98"/>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98"/>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98"/>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98"/>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98"/>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98"/>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98"/>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98"/>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98"/>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98"/>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98"/>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98"/>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98"/>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98"/>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98"/>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98"/>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98"/>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98"/>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98"/>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98"/>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98"/>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98"/>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98"/>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98"/>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98"/>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98"/>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98"/>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98"/>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98"/>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98"/>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98"/>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98"/>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98"/>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98"/>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98"/>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98"/>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98"/>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98"/>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98"/>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98"/>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98"/>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98"/>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98"/>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98"/>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98"/>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98"/>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98"/>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98"/>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98"/>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98"/>
      <c r="H995" s="413"/>
      <c r="N995" s="413"/>
    </row>
    <row r="996" spans="1:29" ht="12.75" customHeight="1" thickBot="1" x14ac:dyDescent="0.25">
      <c r="A996" s="2029">
        <v>211</v>
      </c>
      <c r="B996" s="4998"/>
      <c r="C996" s="5039" t="s">
        <v>1436</v>
      </c>
      <c r="D996" s="5039"/>
      <c r="E996" s="5039"/>
      <c r="F996" s="5039"/>
      <c r="G996" s="5039"/>
      <c r="H996" s="5039"/>
      <c r="I996" s="5039"/>
      <c r="J996" s="5039"/>
      <c r="K996" s="5039"/>
      <c r="L996" s="5039"/>
      <c r="N996" s="413"/>
    </row>
    <row r="997" spans="1:29" ht="12.75" customHeight="1" x14ac:dyDescent="0.2">
      <c r="A997" s="2029">
        <v>211</v>
      </c>
      <c r="B997" s="4998"/>
      <c r="C997" s="5039"/>
      <c r="D997" s="5039"/>
      <c r="E997" s="5039"/>
      <c r="F997" s="5039"/>
      <c r="G997" s="5039"/>
      <c r="H997" s="5039"/>
      <c r="I997" s="5039"/>
      <c r="J997" s="5039"/>
      <c r="K997" s="5039"/>
      <c r="L997" s="5039"/>
      <c r="N997" s="413"/>
    </row>
    <row r="998" spans="1:29" ht="12.75" customHeight="1" thickBot="1" x14ac:dyDescent="0.25">
      <c r="A998" s="2029">
        <v>211</v>
      </c>
      <c r="B998" s="4998"/>
      <c r="C998" s="5172" t="s">
        <v>3080</v>
      </c>
      <c r="D998" s="5172"/>
      <c r="E998" s="5172"/>
      <c r="F998" s="419" t="s">
        <v>1804</v>
      </c>
      <c r="G998" s="5173" t="s">
        <v>1866</v>
      </c>
      <c r="H998" s="5173"/>
      <c r="I998" s="5173"/>
      <c r="J998" s="5173"/>
      <c r="K998" s="5173"/>
      <c r="L998" s="5173"/>
      <c r="N998" s="413"/>
    </row>
    <row r="999" spans="1:29" ht="12.75" customHeight="1" x14ac:dyDescent="0.2">
      <c r="A999" s="2029">
        <v>211</v>
      </c>
      <c r="B999" s="4998"/>
      <c r="C999" s="258"/>
      <c r="D999" s="128"/>
      <c r="E999" s="531" t="s">
        <v>1437</v>
      </c>
      <c r="F999" s="441">
        <v>75</v>
      </c>
      <c r="G999" s="532" t="s">
        <v>1438</v>
      </c>
      <c r="H999" s="128"/>
      <c r="I999" s="1859"/>
      <c r="J999" s="128"/>
      <c r="K999" s="128"/>
      <c r="L999" s="259"/>
      <c r="N999" s="413"/>
    </row>
    <row r="1000" spans="1:29" ht="12.75" customHeight="1" x14ac:dyDescent="0.2">
      <c r="A1000" s="2029">
        <v>211</v>
      </c>
      <c r="B1000" s="4998"/>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98"/>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98"/>
      <c r="H1002" s="413"/>
      <c r="I1002" s="1761"/>
      <c r="N1002" s="413"/>
      <c r="O1002" s="2112"/>
      <c r="AB1002" s="413"/>
      <c r="AC1002" s="2795"/>
    </row>
    <row r="1003" spans="1:29" ht="12.75" customHeight="1" x14ac:dyDescent="0.2">
      <c r="A1003" s="2029">
        <v>211</v>
      </c>
      <c r="B1003" s="4998"/>
      <c r="H1003" s="413"/>
      <c r="I1003" s="1761"/>
      <c r="N1003" s="413"/>
      <c r="O1003" s="2112"/>
      <c r="AB1003" s="413"/>
      <c r="AC1003" s="2795"/>
    </row>
    <row r="1004" spans="1:29" ht="12.75" customHeight="1" x14ac:dyDescent="0.2">
      <c r="A1004" s="2029">
        <v>211</v>
      </c>
      <c r="B1004" s="4998"/>
      <c r="H1004" s="413"/>
      <c r="I1004" s="1761"/>
      <c r="N1004" s="413"/>
      <c r="O1004" s="2112"/>
      <c r="AB1004" s="413"/>
      <c r="AC1004" s="2028"/>
    </row>
    <row r="1005" spans="1:29" ht="12.75" customHeight="1" x14ac:dyDescent="0.2">
      <c r="A1005" s="2029">
        <v>211</v>
      </c>
      <c r="B1005" s="4998"/>
      <c r="H1005" s="413"/>
      <c r="I1005" s="1761"/>
      <c r="N1005" s="413"/>
      <c r="O1005" s="2112"/>
      <c r="AB1005" s="413"/>
      <c r="AC1005" s="2028"/>
    </row>
    <row r="1006" spans="1:29" ht="12.75" customHeight="1" x14ac:dyDescent="0.2">
      <c r="A1006" s="2029">
        <v>211</v>
      </c>
      <c r="B1006" s="4998"/>
      <c r="C1006" s="4997" t="s">
        <v>9443</v>
      </c>
      <c r="D1006" s="4997"/>
      <c r="E1006" s="4997"/>
      <c r="F1006" s="4997"/>
      <c r="G1006" s="4997"/>
      <c r="H1006" s="4997"/>
      <c r="I1006" s="4997"/>
      <c r="J1006" s="4997"/>
      <c r="K1006" s="4997"/>
      <c r="L1006" s="4997"/>
      <c r="M1006" s="4997"/>
      <c r="N1006" s="4997"/>
      <c r="O1006" s="4997"/>
      <c r="P1006" s="4997"/>
      <c r="Q1006" s="4997"/>
      <c r="R1006" s="4997"/>
      <c r="S1006" s="4997"/>
      <c r="T1006" s="4997"/>
      <c r="U1006" s="4997"/>
      <c r="V1006" s="4997"/>
      <c r="W1006" s="4997"/>
      <c r="AB1006" s="413"/>
      <c r="AC1006" s="2028"/>
    </row>
    <row r="1007" spans="1:29" ht="12.75" customHeight="1" x14ac:dyDescent="0.2">
      <c r="A1007" s="2029">
        <v>211</v>
      </c>
      <c r="B1007" s="4998"/>
      <c r="C1007" s="4997"/>
      <c r="D1007" s="4997"/>
      <c r="E1007" s="4997"/>
      <c r="F1007" s="4997"/>
      <c r="G1007" s="4997"/>
      <c r="H1007" s="4997"/>
      <c r="I1007" s="4997"/>
      <c r="J1007" s="4997"/>
      <c r="K1007" s="4997"/>
      <c r="L1007" s="4997"/>
      <c r="M1007" s="4997"/>
      <c r="N1007" s="4997"/>
      <c r="O1007" s="4997"/>
      <c r="P1007" s="4997"/>
      <c r="Q1007" s="4997"/>
      <c r="R1007" s="4997"/>
      <c r="S1007" s="4997"/>
      <c r="T1007" s="4997"/>
      <c r="U1007" s="4997"/>
      <c r="V1007" s="4997"/>
      <c r="W1007" s="4997"/>
      <c r="AB1007" s="413"/>
      <c r="AC1007" s="2028"/>
    </row>
    <row r="1008" spans="1:29" ht="12.75" customHeight="1" x14ac:dyDescent="0.2">
      <c r="A1008" s="2029">
        <v>211</v>
      </c>
      <c r="B1008" s="4998"/>
      <c r="C1008" s="4997"/>
      <c r="D1008" s="4997"/>
      <c r="E1008" s="4997"/>
      <c r="F1008" s="4997"/>
      <c r="G1008" s="4997"/>
      <c r="H1008" s="4997"/>
      <c r="I1008" s="4997"/>
      <c r="J1008" s="4997"/>
      <c r="K1008" s="4997"/>
      <c r="L1008" s="4997"/>
      <c r="M1008" s="4997"/>
      <c r="N1008" s="4997"/>
      <c r="O1008" s="4997"/>
      <c r="P1008" s="4997"/>
      <c r="Q1008" s="4997"/>
      <c r="R1008" s="4997"/>
      <c r="S1008" s="4997"/>
      <c r="T1008" s="4997"/>
      <c r="U1008" s="4997"/>
      <c r="V1008" s="4997"/>
      <c r="W1008" s="4997"/>
      <c r="AB1008" s="413"/>
      <c r="AC1008" s="2028"/>
    </row>
    <row r="1009" spans="1:29" ht="12.75" customHeight="1" thickBot="1" x14ac:dyDescent="0.25">
      <c r="A1009" s="2029">
        <v>211</v>
      </c>
      <c r="B1009" s="4998"/>
      <c r="H1009" s="413"/>
      <c r="I1009" s="1761"/>
      <c r="N1009" s="413"/>
      <c r="O1009" s="2112"/>
      <c r="S1009" s="2795"/>
      <c r="AB1009" s="413"/>
      <c r="AC1009" s="2028"/>
    </row>
    <row r="1010" spans="1:29" ht="12.75" customHeight="1" thickBot="1" x14ac:dyDescent="0.25">
      <c r="A1010" s="2029">
        <v>211</v>
      </c>
      <c r="B1010" s="4998"/>
      <c r="C1010" s="5151" t="s">
        <v>1517</v>
      </c>
      <c r="D1010" s="5151"/>
      <c r="E1010" s="5151"/>
      <c r="F1010" s="5151"/>
      <c r="G1010" s="5151"/>
      <c r="H1010" s="5151"/>
      <c r="I1010" s="5151"/>
      <c r="J1010" s="5151"/>
      <c r="K1010" s="5151"/>
      <c r="L1010" s="5151"/>
      <c r="M1010" s="5151"/>
      <c r="N1010" s="413"/>
      <c r="O1010" s="2112"/>
      <c r="S1010" s="2795"/>
      <c r="AB1010" s="413"/>
      <c r="AC1010" s="2028"/>
    </row>
    <row r="1011" spans="1:29" ht="12.75" customHeight="1" x14ac:dyDescent="0.2">
      <c r="A1011" s="2029">
        <v>211</v>
      </c>
      <c r="B1011" s="4998"/>
      <c r="C1011" s="5151"/>
      <c r="D1011" s="5151"/>
      <c r="E1011" s="5151"/>
      <c r="F1011" s="5151"/>
      <c r="G1011" s="5151"/>
      <c r="H1011" s="5151"/>
      <c r="I1011" s="5151"/>
      <c r="J1011" s="5151"/>
      <c r="K1011" s="5151"/>
      <c r="L1011" s="5151"/>
      <c r="M1011" s="5151"/>
      <c r="N1011" s="413"/>
      <c r="O1011" s="2112"/>
      <c r="S1011" s="2795"/>
      <c r="AB1011" s="413"/>
      <c r="AC1011" s="2028"/>
    </row>
    <row r="1012" spans="1:29" ht="12.75" customHeight="1" thickBot="1" x14ac:dyDescent="0.25">
      <c r="A1012" s="2029">
        <v>211</v>
      </c>
      <c r="B1012" s="4998"/>
      <c r="C1012" s="5149" t="s">
        <v>1967</v>
      </c>
      <c r="D1012" s="5149"/>
      <c r="E1012" s="456" t="s">
        <v>1804</v>
      </c>
      <c r="F1012" s="5150" t="s">
        <v>1866</v>
      </c>
      <c r="G1012" s="5150"/>
      <c r="H1012" s="5150"/>
      <c r="I1012" s="5150"/>
      <c r="J1012" s="5150"/>
      <c r="K1012" s="5150"/>
      <c r="L1012" s="5150"/>
      <c r="M1012" s="5150"/>
      <c r="N1012" s="413"/>
      <c r="O1012" s="2112"/>
      <c r="S1012" s="2795"/>
      <c r="AB1012" s="413"/>
      <c r="AC1012" s="2028"/>
    </row>
    <row r="1013" spans="1:29" ht="12.75" customHeight="1" x14ac:dyDescent="0.2">
      <c r="A1013" s="2029">
        <v>211</v>
      </c>
      <c r="B1013" s="4998"/>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98"/>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98"/>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98"/>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98"/>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98"/>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98"/>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98"/>
      <c r="H1020" s="413"/>
      <c r="I1020" s="1761"/>
      <c r="L1020" s="555"/>
      <c r="N1020" s="413"/>
      <c r="O1020" s="2112"/>
      <c r="S1020" s="2795"/>
      <c r="AB1020" s="413"/>
      <c r="AC1020" s="2028"/>
    </row>
    <row r="1021" spans="1:29" ht="12.75" customHeight="1" thickBot="1" x14ac:dyDescent="0.25">
      <c r="A1021" s="2029">
        <v>211</v>
      </c>
      <c r="B1021" s="4998"/>
      <c r="C1021" s="5166" t="s">
        <v>1532</v>
      </c>
      <c r="E1021" s="5147" t="s">
        <v>8900</v>
      </c>
      <c r="G1021" s="4130" t="s">
        <v>8904</v>
      </c>
      <c r="H1021" s="3984"/>
      <c r="I1021" s="5152" t="s">
        <v>8234</v>
      </c>
      <c r="K1021" s="3183" t="s">
        <v>1536</v>
      </c>
      <c r="L1021" s="555"/>
      <c r="M1021" s="5054" t="s">
        <v>1450</v>
      </c>
      <c r="N1021" s="5054"/>
      <c r="O1021" s="2112"/>
      <c r="P1021" s="3222" t="s">
        <v>1443</v>
      </c>
      <c r="Q1021" s="3222"/>
      <c r="S1021" s="3222" t="s">
        <v>94</v>
      </c>
      <c r="T1021" s="3222"/>
      <c r="U1021" s="3222"/>
      <c r="AB1021" s="413"/>
      <c r="AC1021" s="2028"/>
    </row>
    <row r="1022" spans="1:29" ht="12.75" customHeight="1" thickBot="1" x14ac:dyDescent="0.25">
      <c r="A1022" s="2029">
        <v>211</v>
      </c>
      <c r="B1022" s="4998"/>
      <c r="C1022" s="5166"/>
      <c r="E1022" s="5148"/>
      <c r="G1022" s="5102"/>
      <c r="H1022" s="5187"/>
      <c r="I1022" s="5153" t="s">
        <v>8234</v>
      </c>
      <c r="K1022" s="3183"/>
      <c r="M1022" s="5054"/>
      <c r="N1022" s="5054"/>
      <c r="O1022" s="2112"/>
      <c r="P1022" s="3222"/>
      <c r="Q1022" s="3222"/>
      <c r="S1022" s="3222"/>
      <c r="T1022" s="3222"/>
      <c r="U1022" s="3222"/>
      <c r="AB1022" s="413"/>
      <c r="AC1022" s="2028"/>
    </row>
    <row r="1023" spans="1:29" ht="12.75" customHeight="1" thickBot="1" x14ac:dyDescent="0.25">
      <c r="A1023" s="2029">
        <v>211</v>
      </c>
      <c r="B1023" s="4998"/>
      <c r="C1023" s="565" t="s">
        <v>2029</v>
      </c>
      <c r="E1023" s="2045" t="s">
        <v>8906</v>
      </c>
      <c r="G1023" s="4130" t="s">
        <v>8938</v>
      </c>
      <c r="H1023" s="3984"/>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98"/>
      <c r="C1024" s="565" t="s">
        <v>2030</v>
      </c>
      <c r="E1024" s="2045" t="s">
        <v>8901</v>
      </c>
      <c r="G1024" s="5001"/>
      <c r="H1024" s="5002"/>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98"/>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98"/>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98"/>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98"/>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98"/>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98"/>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98"/>
      <c r="C1031" s="5147"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98"/>
      <c r="C1032" s="5148"/>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98"/>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98"/>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98"/>
      <c r="C1035" s="2357" t="s">
        <v>1938</v>
      </c>
      <c r="E1035" s="5167"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98"/>
      <c r="C1036" s="2357" t="s">
        <v>1934</v>
      </c>
      <c r="E1036" s="5168"/>
      <c r="F1036" s="2893" t="s">
        <v>9412</v>
      </c>
      <c r="G1036" s="2797"/>
      <c r="H1036" s="5035" t="s">
        <v>9415</v>
      </c>
      <c r="I1036" s="5035"/>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98"/>
      <c r="C1037" s="2357" t="s">
        <v>1931</v>
      </c>
      <c r="E1037" s="2801" t="s">
        <v>2029</v>
      </c>
      <c r="F1037" s="1762" t="str">
        <f>E1038&amp;", "&amp;$E$1047</f>
        <v>Oscuridad, Nigromancia</v>
      </c>
      <c r="G1037" s="2695"/>
      <c r="H1037" s="4999">
        <f t="shared" ref="H1037:H1047" si="92">VLOOKUP(E1037,Tabla_VíasDesarolladas,5,FALSE)+IF(SUMPRODUCT(--ISNUMBER(SEARCH($E1037,$E$403:$E$413)),$G$403:$G$413)&gt;0,40,0)</f>
        <v>0</v>
      </c>
      <c r="I1037" s="4999"/>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98"/>
      <c r="C1038" s="2357" t="s">
        <v>2034</v>
      </c>
      <c r="E1038" s="2801" t="s">
        <v>2030</v>
      </c>
      <c r="F1038" s="1762" t="str">
        <f>E1037&amp;", "&amp;$E$1047</f>
        <v>Luz, Nigromancia</v>
      </c>
      <c r="G1038" s="2695"/>
      <c r="H1038" s="4999">
        <f t="shared" si="92"/>
        <v>0</v>
      </c>
      <c r="I1038" s="4999"/>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98"/>
      <c r="C1039" s="2357" t="s">
        <v>2036</v>
      </c>
      <c r="E1039" s="2801" t="s">
        <v>1938</v>
      </c>
      <c r="F1039" s="1762" t="str">
        <f>E1040&amp;", "&amp;$E$1047</f>
        <v>Agua, Nigromancia</v>
      </c>
      <c r="G1039" s="2695"/>
      <c r="H1039" s="4999">
        <f t="shared" si="92"/>
        <v>0</v>
      </c>
      <c r="I1039" s="4999"/>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98"/>
      <c r="C1040" s="2357" t="s">
        <v>2037</v>
      </c>
      <c r="E1040" s="2801" t="s">
        <v>1934</v>
      </c>
      <c r="F1040" s="1762" t="str">
        <f>E1039&amp;", "&amp;$E$1047</f>
        <v>Fuego, Nigromancia</v>
      </c>
      <c r="G1040" s="2695"/>
      <c r="H1040" s="4999">
        <f t="shared" si="92"/>
        <v>0</v>
      </c>
      <c r="I1040" s="4999"/>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98"/>
      <c r="C1041" s="2357" t="s">
        <v>2039</v>
      </c>
      <c r="E1041" s="2801" t="s">
        <v>1931</v>
      </c>
      <c r="F1041" s="1762" t="str">
        <f>E1042&amp;", "&amp;$E$1047</f>
        <v>Tierra, Nigromancia</v>
      </c>
      <c r="G1041" s="2695"/>
      <c r="H1041" s="4999">
        <f t="shared" si="92"/>
        <v>0</v>
      </c>
      <c r="I1041" s="4999"/>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98"/>
      <c r="C1042" s="2357" t="s">
        <v>2041</v>
      </c>
      <c r="E1042" s="2801" t="s">
        <v>2034</v>
      </c>
      <c r="F1042" s="1762" t="str">
        <f>E1041&amp;", "&amp;$E$1047</f>
        <v>Aire, Nigromancia</v>
      </c>
      <c r="G1042" s="2695"/>
      <c r="H1042" s="4999">
        <f t="shared" si="92"/>
        <v>0</v>
      </c>
      <c r="I1042" s="4999"/>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98"/>
      <c r="C1043" s="2357" t="s">
        <v>2043</v>
      </c>
      <c r="E1043" s="2801" t="s">
        <v>2036</v>
      </c>
      <c r="F1043" s="1762" t="str">
        <f>E1044&amp;", "&amp;$E$1047</f>
        <v>Destrucción, Nigromancia</v>
      </c>
      <c r="G1043" s="2695"/>
      <c r="H1043" s="4999">
        <f t="shared" si="92"/>
        <v>0</v>
      </c>
      <c r="I1043" s="4999"/>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98"/>
      <c r="C1044" s="2358" t="s">
        <v>1535</v>
      </c>
      <c r="E1044" s="2801" t="s">
        <v>2037</v>
      </c>
      <c r="F1044" s="1762" t="str">
        <f>E1043&amp;", "&amp;$E$1047</f>
        <v>Creación, Nigromancia</v>
      </c>
      <c r="G1044" s="2695"/>
      <c r="H1044" s="4999">
        <f t="shared" si="92"/>
        <v>0</v>
      </c>
      <c r="I1044" s="4999"/>
      <c r="J1044" s="2799">
        <f>IF(OR($H1044&lt;$H1043,$H1044&lt;$H$1047),2,1)</f>
        <v>1</v>
      </c>
      <c r="K1044" s="2688" t="s">
        <v>9416</v>
      </c>
      <c r="N1044" s="413"/>
      <c r="O1044" s="2112"/>
      <c r="S1044" s="2795"/>
      <c r="W1044" s="2392"/>
      <c r="AB1044" s="413"/>
      <c r="AC1044" s="2028"/>
    </row>
    <row r="1045" spans="1:29" ht="12.75" customHeight="1" x14ac:dyDescent="0.2">
      <c r="A1045" s="2029">
        <v>211</v>
      </c>
      <c r="B1045" s="4998"/>
      <c r="C1045" s="2359" t="s">
        <v>81</v>
      </c>
      <c r="E1045" s="2801" t="s">
        <v>2039</v>
      </c>
      <c r="F1045" s="1762" t="str">
        <f>E1046&amp;", "&amp;$E$1047</f>
        <v>Ilusión, Nigromancia</v>
      </c>
      <c r="G1045" s="2695"/>
      <c r="H1045" s="4999">
        <f t="shared" si="92"/>
        <v>0</v>
      </c>
      <c r="I1045" s="4999"/>
      <c r="J1045" s="2799">
        <f>IF(OR($H1045&lt;$H1046,$H1045&lt;$H$1047),2,1)</f>
        <v>1</v>
      </c>
      <c r="K1045" s="2892" t="str">
        <f>MID(K1043,3,LEN(K1043))</f>
        <v/>
      </c>
      <c r="N1045" s="413"/>
      <c r="O1045" s="2112"/>
      <c r="P1045" s="5194" t="s">
        <v>1547</v>
      </c>
      <c r="Q1045" s="5194"/>
      <c r="S1045" s="2795"/>
      <c r="W1045" s="2392"/>
      <c r="AB1045" s="413"/>
      <c r="AC1045" s="2028"/>
    </row>
    <row r="1046" spans="1:29" ht="12.75" customHeight="1" thickBot="1" x14ac:dyDescent="0.25">
      <c r="A1046" s="2029">
        <v>211</v>
      </c>
      <c r="B1046" s="4998"/>
      <c r="C1046" s="2360" t="s">
        <v>82</v>
      </c>
      <c r="E1046" s="2801" t="s">
        <v>2041</v>
      </c>
      <c r="F1046" s="1762" t="str">
        <f>E1045&amp;", "&amp;$E$1047</f>
        <v>Esencia, Nigromancia</v>
      </c>
      <c r="G1046" s="2695"/>
      <c r="H1046" s="4999">
        <f t="shared" si="92"/>
        <v>0</v>
      </c>
      <c r="I1046" s="4999"/>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98"/>
      <c r="C1047" s="2360" t="s">
        <v>83</v>
      </c>
      <c r="E1047" s="2801" t="s">
        <v>2043</v>
      </c>
      <c r="F1047" s="2894" t="s">
        <v>9413</v>
      </c>
      <c r="G1047" s="2528"/>
      <c r="H1047" s="5000">
        <f t="shared" si="92"/>
        <v>0</v>
      </c>
      <c r="I1047" s="5000"/>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98"/>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98"/>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98"/>
      <c r="C1050" s="2360" t="s">
        <v>86</v>
      </c>
      <c r="E1050" s="5194" t="s">
        <v>1542</v>
      </c>
      <c r="F1050" s="5194"/>
      <c r="H1050" s="5194" t="s">
        <v>1544</v>
      </c>
      <c r="I1050" s="5194"/>
      <c r="K1050" s="5231" t="s">
        <v>1549</v>
      </c>
      <c r="L1050" s="5231"/>
      <c r="N1050" s="413"/>
      <c r="O1050" s="2112"/>
      <c r="P1050" s="443">
        <v>4</v>
      </c>
      <c r="Q1050" s="284">
        <v>0</v>
      </c>
      <c r="S1050" s="2795"/>
      <c r="W1050" s="2392"/>
      <c r="AB1050" s="413"/>
      <c r="AC1050" s="2028"/>
    </row>
    <row r="1051" spans="1:29" ht="12.75" customHeight="1" thickBot="1" x14ac:dyDescent="0.25">
      <c r="A1051" s="2029">
        <v>211</v>
      </c>
      <c r="B1051" s="4998"/>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98"/>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98"/>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98"/>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98"/>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98"/>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98"/>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98"/>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98"/>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98"/>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98"/>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98"/>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98"/>
      <c r="H1063" s="573" t="s">
        <v>1546</v>
      </c>
      <c r="I1063" s="481">
        <f>Tablas!G431</f>
        <v>0</v>
      </c>
      <c r="N1063" s="413"/>
      <c r="O1063" s="2112"/>
      <c r="P1063" s="444">
        <v>17</v>
      </c>
      <c r="Q1063" s="284">
        <v>160</v>
      </c>
      <c r="S1063" s="2795"/>
      <c r="AB1063" s="413"/>
      <c r="AC1063" s="2028"/>
    </row>
    <row r="1064" spans="1:29" ht="12.75" customHeight="1" x14ac:dyDescent="0.2">
      <c r="A1064" s="2029">
        <v>211</v>
      </c>
      <c r="B1064" s="4998"/>
      <c r="H1064" s="413"/>
      <c r="I1064" s="1761"/>
      <c r="N1064" s="413"/>
      <c r="O1064" s="2112"/>
      <c r="P1064" s="444">
        <v>18</v>
      </c>
      <c r="Q1064" s="284">
        <v>180</v>
      </c>
      <c r="S1064" s="2795"/>
      <c r="AB1064" s="413"/>
      <c r="AC1064" s="2028"/>
    </row>
    <row r="1065" spans="1:29" ht="12.75" customHeight="1" x14ac:dyDescent="0.2">
      <c r="A1065" s="2029">
        <v>211</v>
      </c>
      <c r="B1065" s="4998"/>
      <c r="H1065" s="413"/>
      <c r="N1065" s="413"/>
      <c r="O1065" s="2112"/>
      <c r="P1065" s="445">
        <v>19</v>
      </c>
      <c r="Q1065" s="284">
        <v>200</v>
      </c>
      <c r="S1065" s="2795"/>
      <c r="AB1065" s="413"/>
      <c r="AC1065" s="2028"/>
    </row>
    <row r="1066" spans="1:29" ht="12.75" customHeight="1" thickBot="1" x14ac:dyDescent="0.25">
      <c r="A1066" s="2029">
        <v>211</v>
      </c>
      <c r="B1066" s="4998"/>
      <c r="H1066" s="413"/>
      <c r="I1066" s="1761"/>
      <c r="N1066" s="413"/>
      <c r="O1066" s="2112"/>
      <c r="P1066" s="446">
        <v>20</v>
      </c>
      <c r="Q1066" s="431">
        <v>220</v>
      </c>
      <c r="S1066" s="2795"/>
      <c r="AB1066" s="413"/>
      <c r="AC1066" s="2028"/>
    </row>
    <row r="1067" spans="1:29" ht="12.75" customHeight="1" x14ac:dyDescent="0.2">
      <c r="A1067" s="2029">
        <v>211</v>
      </c>
      <c r="B1067" s="4998"/>
      <c r="H1067" s="413"/>
      <c r="I1067" s="1761"/>
      <c r="N1067" s="413"/>
      <c r="O1067" s="2112"/>
      <c r="AB1067" s="413"/>
      <c r="AC1067" s="2028"/>
    </row>
    <row r="1068" spans="1:29" ht="12.75" customHeight="1" thickBot="1" x14ac:dyDescent="0.25">
      <c r="A1068" s="2029">
        <v>211</v>
      </c>
      <c r="B1068" s="4998"/>
      <c r="H1068" s="413"/>
      <c r="I1068" s="1761"/>
      <c r="N1068" s="413"/>
      <c r="O1068" s="2112"/>
      <c r="AB1068" s="413"/>
      <c r="AC1068" s="2028"/>
    </row>
    <row r="1069" spans="1:29" ht="12.75" customHeight="1" thickBot="1" x14ac:dyDescent="0.25">
      <c r="A1069" s="2029">
        <v>211</v>
      </c>
      <c r="B1069" s="4998"/>
      <c r="C1069" s="5151" t="s">
        <v>30</v>
      </c>
      <c r="D1069" s="5151"/>
      <c r="E1069" s="5151"/>
      <c r="F1069" s="5151"/>
      <c r="G1069" s="5151"/>
      <c r="H1069" s="5151"/>
      <c r="I1069" s="5151"/>
      <c r="J1069" s="5151"/>
      <c r="K1069" s="5151"/>
      <c r="L1069" s="5151"/>
      <c r="M1069" s="5151"/>
      <c r="N1069" s="5151"/>
      <c r="O1069" s="5151"/>
      <c r="P1069" s="5151"/>
      <c r="Q1069" s="5151"/>
      <c r="R1069" s="5151"/>
      <c r="S1069" s="5151"/>
      <c r="T1069" s="5151"/>
      <c r="U1069" s="5151"/>
      <c r="V1069" s="5151"/>
      <c r="W1069" s="5151"/>
      <c r="AB1069" s="413"/>
      <c r="AC1069" s="2028"/>
    </row>
    <row r="1070" spans="1:29" ht="12.75" customHeight="1" x14ac:dyDescent="0.2">
      <c r="A1070" s="2029">
        <v>211</v>
      </c>
      <c r="B1070" s="4998"/>
      <c r="C1070" s="5151"/>
      <c r="D1070" s="5151"/>
      <c r="E1070" s="5151"/>
      <c r="F1070" s="5151"/>
      <c r="G1070" s="5151"/>
      <c r="H1070" s="5151"/>
      <c r="I1070" s="5151"/>
      <c r="J1070" s="5151"/>
      <c r="K1070" s="5151"/>
      <c r="L1070" s="5151"/>
      <c r="M1070" s="5151"/>
      <c r="N1070" s="5151"/>
      <c r="O1070" s="5151"/>
      <c r="P1070" s="5151"/>
      <c r="Q1070" s="5151"/>
      <c r="R1070" s="5151"/>
      <c r="S1070" s="5151"/>
      <c r="T1070" s="5151"/>
      <c r="U1070" s="5151"/>
      <c r="V1070" s="5151"/>
      <c r="W1070" s="5151"/>
      <c r="AB1070" s="413"/>
      <c r="AC1070" s="2028"/>
    </row>
    <row r="1071" spans="1:29" ht="12.75" customHeight="1" thickBot="1" x14ac:dyDescent="0.25">
      <c r="A1071" s="2029">
        <v>211</v>
      </c>
      <c r="B1071" s="4998"/>
      <c r="C1071" s="5149" t="s">
        <v>31</v>
      </c>
      <c r="D1071" s="5149"/>
      <c r="E1071" s="456" t="s">
        <v>1804</v>
      </c>
      <c r="F1071" s="456" t="s">
        <v>2181</v>
      </c>
      <c r="G1071" s="577" t="s">
        <v>1866</v>
      </c>
      <c r="H1071" s="578"/>
      <c r="I1071" s="1831"/>
      <c r="J1071" s="5169" t="s">
        <v>1512</v>
      </c>
      <c r="K1071" s="5169"/>
      <c r="L1071" s="5169"/>
      <c r="M1071" s="5169"/>
      <c r="N1071" s="5169"/>
      <c r="O1071" s="5169"/>
      <c r="P1071" s="5169"/>
      <c r="Q1071" s="5169"/>
      <c r="R1071" s="5150" t="s">
        <v>1300</v>
      </c>
      <c r="S1071" s="5150"/>
      <c r="T1071" s="5150"/>
      <c r="U1071" s="5150"/>
      <c r="V1071" s="5150"/>
      <c r="W1071" s="5150"/>
      <c r="AB1071" s="413"/>
      <c r="AC1071" s="2028"/>
    </row>
    <row r="1072" spans="1:29" ht="12.75" customHeight="1" x14ac:dyDescent="0.2">
      <c r="A1072" s="2029">
        <v>211</v>
      </c>
      <c r="B1072" s="4998"/>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98"/>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98"/>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98"/>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98"/>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98"/>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98"/>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98"/>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98"/>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98"/>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98"/>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98"/>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98"/>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98"/>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98"/>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98"/>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98"/>
      <c r="H1088" s="413"/>
      <c r="I1088" s="1761"/>
      <c r="N1088" s="413"/>
      <c r="O1088" s="2112"/>
      <c r="AB1088" s="413"/>
      <c r="AC1088" s="2028"/>
    </row>
    <row r="1089" spans="1:36" ht="12.75" customHeight="1" x14ac:dyDescent="0.2">
      <c r="A1089" s="2029">
        <v>211</v>
      </c>
      <c r="B1089" s="4998"/>
      <c r="C1089" s="5206" t="s">
        <v>80</v>
      </c>
      <c r="D1089" s="5207"/>
      <c r="E1089" s="5207"/>
      <c r="F1089" s="5207"/>
      <c r="G1089" s="5207"/>
      <c r="H1089" s="5207"/>
      <c r="I1089" s="5207"/>
      <c r="J1089" s="5208"/>
      <c r="K1089" s="5154" t="s">
        <v>9015</v>
      </c>
      <c r="M1089" s="3149" t="s">
        <v>9016</v>
      </c>
      <c r="N1089" s="3150"/>
      <c r="O1089" s="3150"/>
      <c r="P1089" s="3150"/>
      <c r="Q1089" s="3150"/>
      <c r="R1089" s="3150"/>
      <c r="S1089" s="3150"/>
      <c r="T1089" s="3150"/>
      <c r="U1089" s="3150"/>
      <c r="V1089" s="3150"/>
      <c r="W1089" s="3151"/>
      <c r="AB1089" s="413"/>
      <c r="AC1089" s="2028"/>
    </row>
    <row r="1090" spans="1:36" ht="12.75" customHeight="1" thickBot="1" x14ac:dyDescent="0.25">
      <c r="A1090" s="2029">
        <v>211</v>
      </c>
      <c r="B1090" s="4998"/>
      <c r="C1090" s="5191" t="s">
        <v>9017</v>
      </c>
      <c r="D1090" s="5192"/>
      <c r="E1090" s="5192"/>
      <c r="F1090" s="5192"/>
      <c r="G1090" s="5192"/>
      <c r="H1090" s="5192"/>
      <c r="I1090" s="5192"/>
      <c r="J1090" s="5193"/>
      <c r="K1090" s="5154"/>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98"/>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98"/>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98"/>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98"/>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98"/>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98"/>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98"/>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98"/>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98"/>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98"/>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98"/>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98"/>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98"/>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98"/>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98"/>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98"/>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98"/>
      <c r="H1107" s="413"/>
      <c r="I1107" s="1761"/>
      <c r="N1107" s="413"/>
      <c r="O1107" s="2112"/>
      <c r="AB1107" s="413"/>
      <c r="AC1107" s="2028"/>
    </row>
    <row r="1108" spans="1:29" ht="12.75" customHeight="1" thickBot="1" x14ac:dyDescent="0.25">
      <c r="A1108" s="2029">
        <v>211</v>
      </c>
      <c r="B1108" s="4998"/>
      <c r="H1108" s="413"/>
      <c r="I1108" s="1761"/>
      <c r="N1108" s="413"/>
      <c r="O1108" s="2112"/>
      <c r="AB1108" s="413"/>
      <c r="AC1108" s="2795"/>
    </row>
    <row r="1109" spans="1:29" ht="12.75" customHeight="1" thickBot="1" x14ac:dyDescent="0.25">
      <c r="A1109" s="2029">
        <v>211</v>
      </c>
      <c r="B1109" s="4998"/>
      <c r="C1109" s="3273" t="s">
        <v>2124</v>
      </c>
      <c r="D1109" s="3274"/>
      <c r="E1109" s="3274"/>
      <c r="F1109" s="3274"/>
      <c r="G1109" s="3274"/>
      <c r="H1109" s="3274"/>
      <c r="I1109" s="3274"/>
      <c r="J1109" s="3274"/>
      <c r="K1109" s="3274"/>
      <c r="L1109" s="3274"/>
      <c r="M1109" s="3274"/>
      <c r="N1109" s="3275"/>
      <c r="P1109" s="3183" t="s">
        <v>98</v>
      </c>
      <c r="Q1109" s="3183"/>
      <c r="R1109" s="3183"/>
      <c r="S1109" s="3183"/>
      <c r="T1109" s="3183"/>
      <c r="U1109" s="3183"/>
      <c r="V1109" s="3183"/>
      <c r="W1109" s="3183"/>
      <c r="AB1109" s="413"/>
      <c r="AC1109" s="2795"/>
    </row>
    <row r="1110" spans="1:29" ht="12.75" customHeight="1" thickBot="1" x14ac:dyDescent="0.25">
      <c r="A1110" s="2029">
        <v>211</v>
      </c>
      <c r="B1110" s="4998"/>
      <c r="C1110" s="5209"/>
      <c r="D1110" s="5210"/>
      <c r="E1110" s="5210"/>
      <c r="F1110" s="5210"/>
      <c r="G1110" s="5210"/>
      <c r="H1110" s="5210"/>
      <c r="I1110" s="5210"/>
      <c r="J1110" s="5210"/>
      <c r="K1110" s="5210"/>
      <c r="L1110" s="5210"/>
      <c r="M1110" s="5210"/>
      <c r="N1110" s="5211"/>
      <c r="P1110" s="3183"/>
      <c r="Q1110" s="3183"/>
      <c r="R1110" s="3183"/>
      <c r="S1110" s="3183"/>
      <c r="T1110" s="3183"/>
      <c r="U1110" s="3183"/>
      <c r="V1110" s="3183"/>
      <c r="W1110" s="3183"/>
      <c r="AB1110" s="413"/>
      <c r="AC1110" s="2795"/>
    </row>
    <row r="1111" spans="1:29" ht="12.75" customHeight="1" x14ac:dyDescent="0.2">
      <c r="A1111" s="2029">
        <v>211</v>
      </c>
      <c r="B1111" s="4998"/>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98"/>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98"/>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98"/>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98"/>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98"/>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98"/>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98"/>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98"/>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98"/>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98"/>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98"/>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98"/>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98"/>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98"/>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98"/>
      <c r="C1126" s="5054" t="s">
        <v>255</v>
      </c>
      <c r="D1126" s="5054"/>
      <c r="E1126" s="5054"/>
      <c r="F1126" s="5054"/>
      <c r="G1126" s="5054"/>
      <c r="H1126" s="413"/>
      <c r="I1126" s="5054" t="s">
        <v>2125</v>
      </c>
      <c r="J1126" s="5054"/>
      <c r="K1126" s="5054"/>
      <c r="L1126" s="5054"/>
      <c r="M1126" s="5054"/>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98"/>
      <c r="C1127" s="5054"/>
      <c r="D1127" s="5054"/>
      <c r="E1127" s="5054"/>
      <c r="F1127" s="5054"/>
      <c r="G1127" s="5054"/>
      <c r="H1127" s="413"/>
      <c r="I1127" s="5054"/>
      <c r="J1127" s="5054"/>
      <c r="K1127" s="5054"/>
      <c r="L1127" s="5054"/>
      <c r="M1127" s="5054"/>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98"/>
      <c r="C1128" s="5145" t="s">
        <v>1754</v>
      </c>
      <c r="D1128" s="5145"/>
      <c r="E1128" s="5145"/>
      <c r="F1128" s="419" t="s">
        <v>2024</v>
      </c>
      <c r="G1128" s="420" t="s">
        <v>1715</v>
      </c>
      <c r="H1128" s="413"/>
      <c r="I1128" s="5145" t="s">
        <v>1754</v>
      </c>
      <c r="J1128" s="5145"/>
      <c r="K1128" s="5145"/>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98"/>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98"/>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98"/>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98"/>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98"/>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98"/>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98"/>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98"/>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98"/>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98"/>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98"/>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98"/>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98"/>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98"/>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98"/>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98"/>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98"/>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98"/>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98"/>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98"/>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98"/>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98"/>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98"/>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98"/>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98"/>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98"/>
      <c r="C1154" s="65"/>
      <c r="D1154" s="68"/>
      <c r="E1154" s="594" t="s">
        <v>278</v>
      </c>
      <c r="F1154" s="601">
        <v>62</v>
      </c>
      <c r="G1154" s="593" t="s">
        <v>2029</v>
      </c>
      <c r="H1154" s="413"/>
      <c r="I1154" s="65"/>
      <c r="J1154" s="68"/>
      <c r="K1154" s="594" t="s">
        <v>145</v>
      </c>
      <c r="L1154" s="595" t="s">
        <v>101</v>
      </c>
      <c r="M1154" s="593">
        <v>2</v>
      </c>
      <c r="N1154" s="413"/>
      <c r="P1154" s="5054" t="s">
        <v>918</v>
      </c>
      <c r="Q1154" s="5054"/>
      <c r="R1154" s="5054"/>
      <c r="S1154" s="5054"/>
      <c r="T1154" s="5054"/>
      <c r="AB1154" s="413"/>
      <c r="AC1154" s="2795"/>
    </row>
    <row r="1155" spans="1:29" ht="12.75" customHeight="1" x14ac:dyDescent="0.2">
      <c r="A1155" s="2029">
        <v>211</v>
      </c>
      <c r="B1155" s="4998"/>
      <c r="C1155" s="65"/>
      <c r="D1155" s="68"/>
      <c r="E1155" s="594" t="s">
        <v>279</v>
      </c>
      <c r="F1155" s="601">
        <v>66</v>
      </c>
      <c r="G1155" s="593" t="s">
        <v>2029</v>
      </c>
      <c r="H1155" s="413"/>
      <c r="I1155" s="65"/>
      <c r="J1155" s="68"/>
      <c r="K1155" s="594" t="s">
        <v>146</v>
      </c>
      <c r="L1155" s="595" t="s">
        <v>101</v>
      </c>
      <c r="M1155" s="593">
        <v>2</v>
      </c>
      <c r="N1155" s="413"/>
      <c r="P1155" s="5054"/>
      <c r="Q1155" s="5054"/>
      <c r="R1155" s="5054"/>
      <c r="S1155" s="5054"/>
      <c r="T1155" s="5054"/>
      <c r="AB1155" s="413"/>
      <c r="AC1155" s="2795"/>
    </row>
    <row r="1156" spans="1:29" ht="12.75" customHeight="1" thickBot="1" x14ac:dyDescent="0.25">
      <c r="A1156" s="2029">
        <v>211</v>
      </c>
      <c r="B1156" s="4998"/>
      <c r="C1156" s="65"/>
      <c r="D1156" s="68"/>
      <c r="E1156" s="594" t="s">
        <v>280</v>
      </c>
      <c r="F1156" s="601">
        <v>68</v>
      </c>
      <c r="G1156" s="593" t="s">
        <v>2029</v>
      </c>
      <c r="H1156" s="413"/>
      <c r="I1156" s="65"/>
      <c r="J1156" s="68"/>
      <c r="K1156" s="594" t="s">
        <v>147</v>
      </c>
      <c r="L1156" s="595" t="s">
        <v>101</v>
      </c>
      <c r="M1156" s="593">
        <v>2</v>
      </c>
      <c r="N1156" s="413"/>
      <c r="P1156" s="5145" t="s">
        <v>1754</v>
      </c>
      <c r="Q1156" s="5145"/>
      <c r="R1156" s="5145"/>
      <c r="S1156" s="419" t="s">
        <v>1668</v>
      </c>
      <c r="T1156" s="420" t="s">
        <v>1824</v>
      </c>
      <c r="AB1156" s="413"/>
      <c r="AC1156" s="2795"/>
    </row>
    <row r="1157" spans="1:29" ht="12.75" customHeight="1" x14ac:dyDescent="0.2">
      <c r="A1157" s="2029">
        <v>211</v>
      </c>
      <c r="B1157" s="4998"/>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98"/>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98"/>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98"/>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98"/>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98"/>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98"/>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98"/>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98"/>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98"/>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98"/>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98"/>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98"/>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98"/>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98"/>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98"/>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98"/>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98"/>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98"/>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98"/>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98"/>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98"/>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98"/>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98"/>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98"/>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98"/>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98"/>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98"/>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98"/>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98"/>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98"/>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98"/>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98"/>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98"/>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98"/>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98"/>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98"/>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98"/>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98"/>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98"/>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98"/>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98"/>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98"/>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98"/>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98"/>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98"/>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98"/>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98"/>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98"/>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98"/>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98"/>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98"/>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98"/>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98"/>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98"/>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98"/>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98"/>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98"/>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98"/>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98"/>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98"/>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98"/>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98"/>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98"/>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98"/>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98"/>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98"/>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98"/>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98"/>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98"/>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98"/>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98"/>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98"/>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98"/>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98"/>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98"/>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98"/>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98"/>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98"/>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98"/>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98"/>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98"/>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98"/>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98"/>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98"/>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98"/>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98"/>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98"/>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98"/>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98"/>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98"/>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98"/>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98"/>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98"/>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98"/>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98"/>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98"/>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98"/>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98"/>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98"/>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98"/>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98"/>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98"/>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98"/>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98"/>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98"/>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98"/>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98"/>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98"/>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98"/>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98"/>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98"/>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98"/>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98"/>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98"/>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98"/>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98"/>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98"/>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98"/>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98"/>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98"/>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98"/>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98"/>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98"/>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98"/>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98"/>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98"/>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98"/>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98"/>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98"/>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98"/>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98"/>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98"/>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98"/>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98"/>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98"/>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98"/>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98"/>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98"/>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98"/>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98"/>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98"/>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98"/>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98"/>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98"/>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98"/>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98"/>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98"/>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98"/>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98"/>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98"/>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98"/>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98"/>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98"/>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98"/>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98"/>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98"/>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98"/>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98"/>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98"/>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98"/>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98"/>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98"/>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98"/>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98"/>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98"/>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98"/>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98"/>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98"/>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98"/>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98"/>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98"/>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98"/>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98"/>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98"/>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98"/>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98"/>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98"/>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98"/>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98"/>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98"/>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98"/>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98"/>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98"/>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98"/>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98"/>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98"/>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98"/>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98"/>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98"/>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98"/>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98"/>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98"/>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98"/>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98"/>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98"/>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98"/>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98"/>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98"/>
      <c r="C1355" s="65"/>
      <c r="D1355" s="68"/>
      <c r="E1355" s="594" t="s">
        <v>480</v>
      </c>
      <c r="F1355" s="601"/>
      <c r="G1355" s="593"/>
      <c r="H1355" s="413"/>
      <c r="I1355" s="2112"/>
      <c r="N1355" s="413"/>
      <c r="T1355" s="2028"/>
      <c r="AB1355" s="413"/>
      <c r="AC1355" s="2795"/>
    </row>
    <row r="1356" spans="1:29" ht="12.75" customHeight="1" x14ac:dyDescent="0.2">
      <c r="A1356" s="2029">
        <v>211</v>
      </c>
      <c r="B1356" s="4998"/>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98"/>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98"/>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98"/>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98"/>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98"/>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98"/>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98"/>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98"/>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98"/>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98"/>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98"/>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98"/>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98"/>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98"/>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98"/>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98"/>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98"/>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98"/>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98"/>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98"/>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98"/>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98"/>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98"/>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98"/>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98"/>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98"/>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98"/>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98"/>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98"/>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98"/>
      <c r="C1386" s="65"/>
      <c r="D1386" s="68"/>
      <c r="E1386" s="594" t="s">
        <v>511</v>
      </c>
      <c r="F1386" s="601"/>
      <c r="G1386" s="593"/>
      <c r="H1386" s="413"/>
      <c r="I1386" s="2112"/>
      <c r="N1386" s="413"/>
      <c r="T1386" s="2028"/>
      <c r="AB1386" s="413"/>
      <c r="AC1386" s="2795"/>
    </row>
    <row r="1387" spans="1:29" ht="12.75" customHeight="1" x14ac:dyDescent="0.2">
      <c r="A1387" s="2029">
        <v>211</v>
      </c>
      <c r="B1387" s="4998"/>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98"/>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98"/>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98"/>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98"/>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98"/>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98"/>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98"/>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98"/>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98"/>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98"/>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98"/>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98"/>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98"/>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98"/>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98"/>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98"/>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98"/>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98"/>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98"/>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98"/>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98"/>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98"/>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98"/>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98"/>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98"/>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98"/>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98"/>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98"/>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98"/>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98"/>
      <c r="C1417" s="65"/>
      <c r="D1417" s="68"/>
      <c r="E1417" s="594" t="s">
        <v>542</v>
      </c>
      <c r="F1417" s="601"/>
      <c r="G1417" s="593"/>
      <c r="H1417" s="413"/>
      <c r="I1417" s="2112"/>
      <c r="N1417" s="413"/>
      <c r="T1417" s="2028"/>
      <c r="AB1417" s="413"/>
      <c r="AC1417" s="2795"/>
    </row>
    <row r="1418" spans="1:29" ht="12.75" customHeight="1" x14ac:dyDescent="0.2">
      <c r="A1418" s="2029">
        <v>211</v>
      </c>
      <c r="B1418" s="4998"/>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98"/>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98"/>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98"/>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98"/>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98"/>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98"/>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98"/>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98"/>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98"/>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98"/>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98"/>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98"/>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98"/>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98"/>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98"/>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98"/>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98"/>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98"/>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98"/>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98"/>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98"/>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98"/>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98"/>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98"/>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98"/>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98"/>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98"/>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98"/>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98"/>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98"/>
      <c r="C1448" s="65"/>
      <c r="D1448" s="68"/>
      <c r="E1448" s="594" t="s">
        <v>573</v>
      </c>
      <c r="F1448" s="601"/>
      <c r="G1448" s="593"/>
      <c r="H1448" s="413"/>
      <c r="I1448" s="2112"/>
      <c r="N1448" s="413"/>
      <c r="T1448" s="2028"/>
      <c r="AB1448" s="413"/>
      <c r="AC1448" s="2795"/>
    </row>
    <row r="1449" spans="1:29" ht="12.75" customHeight="1" x14ac:dyDescent="0.2">
      <c r="A1449" s="2029">
        <v>211</v>
      </c>
      <c r="B1449" s="4998"/>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98"/>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98"/>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98"/>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98"/>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98"/>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98"/>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98"/>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98"/>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98"/>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98"/>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98"/>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98"/>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98"/>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98"/>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98"/>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98"/>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98"/>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98"/>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98"/>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98"/>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98"/>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98"/>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98"/>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98"/>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98"/>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98"/>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98"/>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98"/>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98"/>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98"/>
      <c r="C1479" s="65"/>
      <c r="D1479" s="68"/>
      <c r="E1479" s="594" t="s">
        <v>605</v>
      </c>
      <c r="F1479" s="601"/>
      <c r="G1479" s="593"/>
      <c r="H1479" s="413"/>
      <c r="I1479" s="2112"/>
      <c r="N1479" s="413"/>
      <c r="T1479" s="2028"/>
      <c r="AB1479" s="413"/>
      <c r="AC1479" s="2795"/>
    </row>
    <row r="1480" spans="1:29" ht="12.75" customHeight="1" x14ac:dyDescent="0.2">
      <c r="A1480" s="2029">
        <v>211</v>
      </c>
      <c r="B1480" s="4998"/>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98"/>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98"/>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98"/>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98"/>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98"/>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98"/>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98"/>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98"/>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98"/>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98"/>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98"/>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98"/>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98"/>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98"/>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98"/>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98"/>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98"/>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98"/>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98"/>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98"/>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98"/>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98"/>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98"/>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98"/>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98"/>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98"/>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98"/>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98"/>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98"/>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98"/>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98"/>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98"/>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98"/>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98"/>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98"/>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98"/>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98"/>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98"/>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98"/>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98"/>
      <c r="C1520" s="65"/>
      <c r="D1520" s="68"/>
      <c r="E1520" s="594" t="s">
        <v>646</v>
      </c>
      <c r="F1520" s="601"/>
      <c r="G1520" s="593"/>
      <c r="H1520" s="413"/>
      <c r="I1520" s="2112"/>
      <c r="N1520" s="413"/>
      <c r="T1520" s="2028"/>
      <c r="AB1520" s="413"/>
      <c r="AC1520" s="2795"/>
    </row>
    <row r="1521" spans="1:29" ht="12.75" customHeight="1" x14ac:dyDescent="0.2">
      <c r="A1521" s="2029">
        <v>211</v>
      </c>
      <c r="B1521" s="4998"/>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98"/>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98"/>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98"/>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98"/>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98"/>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98"/>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98"/>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98"/>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98"/>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98"/>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98"/>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98"/>
      <c r="C1533" s="65"/>
      <c r="D1533" s="68"/>
      <c r="E1533" s="594" t="s">
        <v>658</v>
      </c>
      <c r="F1533" s="601"/>
      <c r="G1533" s="593"/>
      <c r="H1533" s="413"/>
      <c r="I1533" s="2112"/>
      <c r="N1533" s="413"/>
      <c r="T1533" s="2028"/>
      <c r="AB1533" s="413"/>
      <c r="AC1533" s="2795"/>
    </row>
    <row r="1534" spans="1:29" ht="12.75" customHeight="1" x14ac:dyDescent="0.2">
      <c r="A1534" s="2029">
        <v>211</v>
      </c>
      <c r="B1534" s="4998"/>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98"/>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98"/>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98"/>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98"/>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98"/>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98"/>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98"/>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98"/>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98"/>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98"/>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98"/>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98"/>
      <c r="C1546" s="65"/>
      <c r="D1546" s="68"/>
      <c r="E1546" s="594" t="s">
        <v>669</v>
      </c>
      <c r="F1546" s="601"/>
      <c r="G1546" s="593"/>
      <c r="H1546" s="413"/>
      <c r="I1546" s="2112"/>
      <c r="N1546" s="413"/>
      <c r="T1546" s="2028"/>
      <c r="AB1546" s="413"/>
      <c r="AC1546" s="2795"/>
    </row>
    <row r="1547" spans="1:29" ht="12.75" customHeight="1" x14ac:dyDescent="0.2">
      <c r="A1547" s="2029">
        <v>211</v>
      </c>
      <c r="B1547" s="4998"/>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98"/>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98"/>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98"/>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98"/>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98"/>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98"/>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98"/>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98"/>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98"/>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98"/>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98"/>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98"/>
      <c r="C1559" s="65"/>
      <c r="D1559" s="68"/>
      <c r="E1559" s="594" t="s">
        <v>680</v>
      </c>
      <c r="F1559" s="601"/>
      <c r="G1559" s="593"/>
      <c r="H1559" s="413"/>
      <c r="I1559" s="2112"/>
      <c r="N1559" s="413"/>
      <c r="T1559" s="2028"/>
      <c r="AB1559" s="413"/>
      <c r="AC1559" s="2795"/>
    </row>
    <row r="1560" spans="1:29" ht="12.75" customHeight="1" x14ac:dyDescent="0.2">
      <c r="A1560" s="2029">
        <v>211</v>
      </c>
      <c r="B1560" s="4998"/>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98"/>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98"/>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98"/>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98"/>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98"/>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98"/>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98"/>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98"/>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98"/>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98"/>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98"/>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98"/>
      <c r="C1572" s="65"/>
      <c r="D1572" s="68"/>
      <c r="E1572" s="594" t="s">
        <v>692</v>
      </c>
      <c r="F1572" s="601"/>
      <c r="G1572" s="593"/>
      <c r="H1572" s="413"/>
      <c r="I1572" s="2112"/>
      <c r="N1572" s="413"/>
      <c r="T1572" s="2028"/>
      <c r="AB1572" s="413"/>
      <c r="AC1572" s="2795"/>
    </row>
    <row r="1573" spans="1:29" ht="12.75" customHeight="1" x14ac:dyDescent="0.2">
      <c r="A1573" s="2029">
        <v>211</v>
      </c>
      <c r="B1573" s="4998"/>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98"/>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98"/>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98"/>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98"/>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98"/>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98"/>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98"/>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98"/>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98"/>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98"/>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98"/>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98"/>
      <c r="C1585" s="65"/>
      <c r="D1585" s="68"/>
      <c r="E1585" s="594" t="s">
        <v>705</v>
      </c>
      <c r="F1585" s="601"/>
      <c r="G1585" s="593"/>
      <c r="H1585" s="413"/>
      <c r="I1585" s="2112"/>
      <c r="N1585" s="413"/>
      <c r="T1585" s="2028"/>
      <c r="AB1585" s="413"/>
      <c r="AC1585" s="2795"/>
    </row>
    <row r="1586" spans="1:29" ht="12.75" customHeight="1" x14ac:dyDescent="0.2">
      <c r="A1586" s="2029">
        <v>211</v>
      </c>
      <c r="B1586" s="4998"/>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98"/>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98"/>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98"/>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98"/>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98"/>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98"/>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98"/>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98"/>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98"/>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98"/>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98"/>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98"/>
      <c r="C1598" s="65"/>
      <c r="D1598" s="68"/>
      <c r="E1598" s="594" t="s">
        <v>718</v>
      </c>
      <c r="F1598" s="601"/>
      <c r="G1598" s="593"/>
      <c r="H1598" s="413"/>
      <c r="I1598" s="2112"/>
      <c r="N1598" s="413"/>
      <c r="T1598" s="2028"/>
      <c r="AB1598" s="413"/>
      <c r="AC1598" s="2795"/>
    </row>
    <row r="1599" spans="1:29" ht="12.75" customHeight="1" x14ac:dyDescent="0.2">
      <c r="A1599" s="2029">
        <v>211</v>
      </c>
      <c r="B1599" s="4998"/>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98"/>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98"/>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98"/>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98"/>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98"/>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98"/>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98"/>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98"/>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98"/>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98"/>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98"/>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98"/>
      <c r="C1611" s="65"/>
      <c r="D1611" s="68"/>
      <c r="E1611" s="594" t="s">
        <v>730</v>
      </c>
      <c r="F1611" s="601"/>
      <c r="G1611" s="593"/>
      <c r="H1611" s="413"/>
      <c r="I1611" s="2112"/>
      <c r="N1611" s="413"/>
      <c r="T1611" s="2028"/>
      <c r="AB1611" s="413"/>
      <c r="AC1611" s="2795"/>
    </row>
    <row r="1612" spans="1:29" ht="12.75" customHeight="1" x14ac:dyDescent="0.2">
      <c r="A1612" s="2029">
        <v>211</v>
      </c>
      <c r="B1612" s="4998"/>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98"/>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98"/>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98"/>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98"/>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98"/>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98"/>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98"/>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98"/>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98"/>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98"/>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98"/>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98"/>
      <c r="C1624" s="65"/>
      <c r="D1624" s="68"/>
      <c r="E1624" s="594" t="s">
        <v>738</v>
      </c>
      <c r="F1624" s="601"/>
      <c r="G1624" s="593"/>
      <c r="H1624" s="413"/>
      <c r="I1624" s="2112"/>
      <c r="N1624" s="413"/>
      <c r="T1624" s="2028"/>
      <c r="AB1624" s="413"/>
      <c r="AC1624" s="2795"/>
    </row>
    <row r="1625" spans="1:29" ht="12.75" customHeight="1" x14ac:dyDescent="0.2">
      <c r="A1625" s="2029">
        <v>211</v>
      </c>
      <c r="B1625" s="4998"/>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98"/>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98"/>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98"/>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98"/>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98"/>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98"/>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98"/>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98"/>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98"/>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98"/>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98"/>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98"/>
      <c r="C1637" s="65"/>
      <c r="D1637" s="68"/>
      <c r="E1637" s="594" t="s">
        <v>749</v>
      </c>
      <c r="F1637" s="601"/>
      <c r="G1637" s="593"/>
      <c r="H1637" s="413"/>
      <c r="I1637" s="2112"/>
      <c r="N1637" s="413"/>
      <c r="T1637" s="2028"/>
      <c r="AB1637" s="413"/>
      <c r="AC1637" s="2795"/>
    </row>
    <row r="1638" spans="1:29" ht="12.75" customHeight="1" x14ac:dyDescent="0.2">
      <c r="A1638" s="2029">
        <v>211</v>
      </c>
      <c r="B1638" s="4998"/>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98"/>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98"/>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98"/>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98"/>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98"/>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98"/>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98"/>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98"/>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98"/>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98"/>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98"/>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98"/>
      <c r="C1650" s="65"/>
      <c r="D1650" s="68"/>
      <c r="E1650" s="594" t="s">
        <v>762</v>
      </c>
      <c r="F1650" s="601"/>
      <c r="G1650" s="593"/>
      <c r="H1650" s="413"/>
      <c r="I1650" s="2112"/>
      <c r="N1650" s="413"/>
      <c r="T1650" s="2028"/>
      <c r="AB1650" s="413"/>
      <c r="AC1650" s="2795"/>
    </row>
    <row r="1651" spans="1:29" ht="12.75" customHeight="1" x14ac:dyDescent="0.2">
      <c r="A1651" s="2029">
        <v>211</v>
      </c>
      <c r="B1651" s="4998"/>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98"/>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98"/>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98"/>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98"/>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98"/>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98"/>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98"/>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98"/>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98"/>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98"/>
      <c r="C1661" s="65"/>
      <c r="D1661" s="68"/>
      <c r="E1661" s="594" t="s">
        <v>773</v>
      </c>
      <c r="F1661" s="601"/>
      <c r="G1661" s="593"/>
      <c r="H1661" s="413"/>
      <c r="I1661" s="2112"/>
      <c r="N1661" s="413"/>
      <c r="T1661" s="2028"/>
      <c r="AB1661" s="413"/>
      <c r="AC1661" s="2795"/>
    </row>
    <row r="1662" spans="1:29" ht="12.75" customHeight="1" x14ac:dyDescent="0.2">
      <c r="A1662" s="2029">
        <v>211</v>
      </c>
      <c r="B1662" s="4998"/>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98"/>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98"/>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98"/>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98"/>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98"/>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98"/>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98"/>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98"/>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98"/>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98"/>
      <c r="C1672" s="65"/>
      <c r="D1672" s="68"/>
      <c r="E1672" s="594" t="s">
        <v>784</v>
      </c>
      <c r="F1672" s="601"/>
      <c r="G1672" s="593"/>
      <c r="H1672" s="413"/>
      <c r="I1672" s="2112"/>
      <c r="N1672" s="413"/>
      <c r="T1672" s="2028"/>
      <c r="AB1672" s="413"/>
      <c r="AC1672" s="2795"/>
    </row>
    <row r="1673" spans="1:29" ht="12.75" customHeight="1" x14ac:dyDescent="0.2">
      <c r="A1673" s="2029">
        <v>211</v>
      </c>
      <c r="B1673" s="4998"/>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98"/>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98"/>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98"/>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98"/>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98"/>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98"/>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98"/>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98"/>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98"/>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98"/>
      <c r="C1683" s="65"/>
      <c r="D1683" s="68"/>
      <c r="E1683" s="594" t="s">
        <v>795</v>
      </c>
      <c r="F1683" s="601"/>
      <c r="G1683" s="593"/>
      <c r="H1683" s="413"/>
      <c r="I1683" s="2112"/>
      <c r="N1683" s="413"/>
      <c r="T1683" s="2028"/>
      <c r="AB1683" s="413"/>
      <c r="AC1683" s="2795"/>
    </row>
    <row r="1684" spans="1:29" ht="12.75" customHeight="1" x14ac:dyDescent="0.2">
      <c r="A1684" s="2029">
        <v>211</v>
      </c>
      <c r="B1684" s="4998"/>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98"/>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98"/>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98"/>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98"/>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98"/>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98"/>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98"/>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98"/>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98"/>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98"/>
      <c r="C1694" s="65"/>
      <c r="D1694" s="68"/>
      <c r="E1694" s="594" t="s">
        <v>805</v>
      </c>
      <c r="F1694" s="601"/>
      <c r="G1694" s="593"/>
      <c r="H1694" s="413"/>
      <c r="I1694" s="2112"/>
      <c r="N1694" s="413"/>
      <c r="T1694" s="2028"/>
      <c r="AB1694" s="413"/>
      <c r="AC1694" s="2795"/>
    </row>
    <row r="1695" spans="1:29" ht="12.75" customHeight="1" x14ac:dyDescent="0.2">
      <c r="A1695" s="2029">
        <v>211</v>
      </c>
      <c r="B1695" s="4998"/>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98"/>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98"/>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98"/>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98"/>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98"/>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98"/>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98"/>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98"/>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98"/>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98"/>
      <c r="C1705" s="65"/>
      <c r="D1705" s="68"/>
      <c r="E1705" s="594" t="s">
        <v>816</v>
      </c>
      <c r="F1705" s="601"/>
      <c r="G1705" s="593"/>
      <c r="H1705" s="413"/>
      <c r="I1705" s="2112"/>
      <c r="N1705" s="413"/>
      <c r="T1705" s="2028"/>
      <c r="AB1705" s="413"/>
      <c r="AC1705" s="2795"/>
    </row>
    <row r="1706" spans="1:29" ht="12.75" customHeight="1" x14ac:dyDescent="0.2">
      <c r="A1706" s="2029">
        <v>211</v>
      </c>
      <c r="B1706" s="4998"/>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98"/>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98"/>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98"/>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98"/>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98"/>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98"/>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98"/>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98"/>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98"/>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98"/>
      <c r="C1716" s="65"/>
      <c r="D1716" s="68"/>
      <c r="E1716" s="594" t="s">
        <v>827</v>
      </c>
      <c r="F1716" s="601"/>
      <c r="G1716" s="593"/>
      <c r="H1716" s="413"/>
      <c r="I1716" s="2112"/>
      <c r="N1716" s="413"/>
      <c r="T1716" s="2028"/>
      <c r="AB1716" s="413"/>
      <c r="AC1716" s="2795"/>
    </row>
    <row r="1717" spans="1:29" ht="12.75" customHeight="1" x14ac:dyDescent="0.2">
      <c r="A1717" s="2029">
        <v>211</v>
      </c>
      <c r="B1717" s="4998"/>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98"/>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98"/>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98"/>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98"/>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98"/>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98"/>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98"/>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98"/>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98"/>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98"/>
      <c r="C1727" s="65"/>
      <c r="D1727" s="68"/>
      <c r="E1727" s="594" t="s">
        <v>838</v>
      </c>
      <c r="F1727" s="601"/>
      <c r="G1727" s="593"/>
      <c r="H1727" s="413"/>
      <c r="I1727" s="2112"/>
      <c r="N1727" s="413"/>
      <c r="T1727" s="2028"/>
      <c r="AB1727" s="413"/>
      <c r="AC1727" s="2795"/>
    </row>
    <row r="1728" spans="1:29" ht="12.75" customHeight="1" x14ac:dyDescent="0.2">
      <c r="A1728" s="2029">
        <v>211</v>
      </c>
      <c r="B1728" s="4998"/>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98"/>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98"/>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98"/>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98"/>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98"/>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98"/>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98"/>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98"/>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98"/>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98"/>
      <c r="C1738" s="65"/>
      <c r="D1738" s="68"/>
      <c r="E1738" s="594" t="s">
        <v>849</v>
      </c>
      <c r="F1738" s="601"/>
      <c r="G1738" s="593"/>
      <c r="H1738" s="413"/>
      <c r="I1738" s="2112"/>
      <c r="N1738" s="413"/>
      <c r="T1738" s="2028"/>
      <c r="AB1738" s="413"/>
      <c r="AC1738" s="2795"/>
    </row>
    <row r="1739" spans="1:29" ht="12.75" customHeight="1" x14ac:dyDescent="0.2">
      <c r="A1739" s="2029">
        <v>211</v>
      </c>
      <c r="B1739" s="4998"/>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98"/>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98"/>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98"/>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98"/>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98"/>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98"/>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98"/>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98"/>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98"/>
      <c r="C1748" s="65"/>
      <c r="D1748" s="68"/>
      <c r="E1748" s="594" t="s">
        <v>858</v>
      </c>
      <c r="F1748" s="601">
        <v>94</v>
      </c>
      <c r="G1748" s="593"/>
      <c r="H1748" s="413"/>
      <c r="I1748" s="2112"/>
      <c r="N1748" s="413"/>
      <c r="T1748" s="2028"/>
      <c r="AB1748" s="413"/>
      <c r="AC1748" s="2795"/>
    </row>
    <row r="1749" spans="1:29" ht="12.75" customHeight="1" x14ac:dyDescent="0.2">
      <c r="A1749" s="2029">
        <v>211</v>
      </c>
      <c r="B1749" s="4998"/>
      <c r="C1749" s="65"/>
      <c r="D1749" s="68"/>
      <c r="E1749" s="594" t="s">
        <v>859</v>
      </c>
      <c r="F1749" s="601"/>
      <c r="G1749" s="593"/>
      <c r="H1749" s="413"/>
      <c r="I1749" s="2112"/>
      <c r="N1749" s="413"/>
      <c r="T1749" s="2028"/>
      <c r="AB1749" s="413"/>
      <c r="AC1749" s="2795"/>
    </row>
    <row r="1750" spans="1:29" ht="12.75" customHeight="1" x14ac:dyDescent="0.2">
      <c r="A1750" s="2029">
        <v>211</v>
      </c>
      <c r="B1750" s="4998"/>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98"/>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98"/>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98"/>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98"/>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98"/>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98"/>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98"/>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98"/>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98"/>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98"/>
      <c r="C1760" s="65"/>
      <c r="D1760" s="68"/>
      <c r="E1760" s="594" t="s">
        <v>869</v>
      </c>
      <c r="F1760" s="601"/>
      <c r="G1760" s="593"/>
      <c r="H1760" s="413"/>
      <c r="I1760" s="2112"/>
      <c r="N1760" s="413"/>
      <c r="T1760" s="2028"/>
      <c r="AB1760" s="413"/>
      <c r="AC1760" s="2795"/>
    </row>
    <row r="1761" spans="1:29" ht="12.75" customHeight="1" x14ac:dyDescent="0.2">
      <c r="A1761" s="2029">
        <v>211</v>
      </c>
      <c r="B1761" s="4998"/>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98"/>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98"/>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98"/>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98"/>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98"/>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98"/>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98"/>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98"/>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98"/>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98"/>
      <c r="C1771" s="65"/>
      <c r="D1771" s="68"/>
      <c r="E1771" s="594" t="s">
        <v>880</v>
      </c>
      <c r="F1771" s="601"/>
      <c r="G1771" s="593"/>
      <c r="H1771" s="413"/>
      <c r="I1771" s="2112"/>
      <c r="N1771" s="413"/>
      <c r="T1771" s="2028"/>
      <c r="AB1771" s="413"/>
      <c r="AC1771" s="2795"/>
    </row>
    <row r="1772" spans="1:29" ht="12.75" customHeight="1" x14ac:dyDescent="0.2">
      <c r="A1772" s="2029">
        <v>211</v>
      </c>
      <c r="B1772" s="4998"/>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98"/>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98"/>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98"/>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98"/>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98"/>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98"/>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98"/>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98"/>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98"/>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98"/>
      <c r="C1782" s="65"/>
      <c r="D1782" s="68"/>
      <c r="E1782" s="594" t="s">
        <v>891</v>
      </c>
      <c r="F1782" s="601"/>
      <c r="G1782" s="593"/>
      <c r="H1782" s="413"/>
      <c r="I1782" s="2112"/>
      <c r="N1782" s="413"/>
      <c r="T1782" s="2028"/>
      <c r="AB1782" s="413"/>
      <c r="AC1782" s="2795"/>
    </row>
    <row r="1783" spans="1:29" ht="12.75" customHeight="1" x14ac:dyDescent="0.2">
      <c r="A1783" s="2029">
        <v>211</v>
      </c>
      <c r="B1783" s="4998"/>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98"/>
      <c r="C1784" s="65"/>
      <c r="D1784" s="68"/>
      <c r="E1784" s="594" t="s">
        <v>893</v>
      </c>
      <c r="F1784" s="601">
        <v>14</v>
      </c>
      <c r="G1784" s="593" t="s">
        <v>2536</v>
      </c>
      <c r="H1784" s="413"/>
      <c r="I1784" s="2112"/>
      <c r="N1784" s="413"/>
      <c r="AB1784" s="413"/>
      <c r="AC1784" s="2795"/>
    </row>
    <row r="1785" spans="1:29" ht="12.75" customHeight="1" x14ac:dyDescent="0.2">
      <c r="A1785" s="2029">
        <v>211</v>
      </c>
      <c r="B1785" s="4998"/>
      <c r="C1785" s="65"/>
      <c r="D1785" s="68"/>
      <c r="E1785" s="594" t="s">
        <v>894</v>
      </c>
      <c r="F1785" s="601">
        <v>24</v>
      </c>
      <c r="G1785" s="593" t="s">
        <v>2536</v>
      </c>
      <c r="H1785" s="413"/>
      <c r="I1785" s="2112"/>
      <c r="N1785" s="413"/>
      <c r="AB1785" s="413"/>
      <c r="AC1785" s="2795"/>
    </row>
    <row r="1786" spans="1:29" ht="12.75" customHeight="1" x14ac:dyDescent="0.2">
      <c r="A1786" s="2029">
        <v>211</v>
      </c>
      <c r="B1786" s="4998"/>
      <c r="C1786" s="65"/>
      <c r="D1786" s="68"/>
      <c r="E1786" s="594" t="s">
        <v>895</v>
      </c>
      <c r="F1786" s="601">
        <v>34</v>
      </c>
      <c r="G1786" s="593" t="s">
        <v>2536</v>
      </c>
      <c r="H1786" s="413"/>
      <c r="I1786" s="2112"/>
      <c r="N1786" s="413"/>
      <c r="AB1786" s="413"/>
      <c r="AC1786" s="2795"/>
    </row>
    <row r="1787" spans="1:29" ht="12.75" customHeight="1" x14ac:dyDescent="0.2">
      <c r="A1787" s="2029">
        <v>211</v>
      </c>
      <c r="B1787" s="4998"/>
      <c r="C1787" s="65"/>
      <c r="D1787" s="68"/>
      <c r="E1787" s="594" t="s">
        <v>896</v>
      </c>
      <c r="F1787" s="601">
        <v>44</v>
      </c>
      <c r="G1787" s="593" t="s">
        <v>2536</v>
      </c>
      <c r="H1787" s="413"/>
      <c r="I1787" s="2112"/>
      <c r="N1787" s="413"/>
      <c r="AB1787" s="413"/>
      <c r="AC1787" s="2795"/>
    </row>
    <row r="1788" spans="1:29" ht="12.75" customHeight="1" x14ac:dyDescent="0.2">
      <c r="A1788" s="2029">
        <v>211</v>
      </c>
      <c r="B1788" s="4998"/>
      <c r="C1788" s="65"/>
      <c r="D1788" s="68"/>
      <c r="E1788" s="594" t="s">
        <v>897</v>
      </c>
      <c r="F1788" s="601">
        <v>54</v>
      </c>
      <c r="G1788" s="593" t="s">
        <v>2536</v>
      </c>
      <c r="H1788" s="413"/>
      <c r="I1788" s="2112"/>
      <c r="N1788" s="413"/>
      <c r="AB1788" s="413"/>
      <c r="AC1788" s="2795"/>
    </row>
    <row r="1789" spans="1:29" ht="12.75" customHeight="1" x14ac:dyDescent="0.2">
      <c r="A1789" s="2029">
        <v>211</v>
      </c>
      <c r="B1789" s="4998"/>
      <c r="C1789" s="65"/>
      <c r="D1789" s="68"/>
      <c r="E1789" s="594" t="s">
        <v>898</v>
      </c>
      <c r="F1789" s="601">
        <v>64</v>
      </c>
      <c r="G1789" s="593" t="s">
        <v>2536</v>
      </c>
      <c r="H1789" s="413"/>
      <c r="I1789" s="2112"/>
      <c r="N1789" s="413"/>
      <c r="AB1789" s="413"/>
      <c r="AC1789" s="2795"/>
    </row>
    <row r="1790" spans="1:29" ht="12.75" customHeight="1" x14ac:dyDescent="0.2">
      <c r="A1790" s="2029">
        <v>211</v>
      </c>
      <c r="B1790" s="4998"/>
      <c r="C1790" s="65"/>
      <c r="D1790" s="68"/>
      <c r="E1790" s="594" t="s">
        <v>899</v>
      </c>
      <c r="F1790" s="601">
        <v>74</v>
      </c>
      <c r="G1790" s="593" t="s">
        <v>2536</v>
      </c>
      <c r="H1790" s="413"/>
      <c r="I1790" s="2112"/>
      <c r="N1790" s="413"/>
      <c r="AB1790" s="413"/>
      <c r="AC1790" s="2795"/>
    </row>
    <row r="1791" spans="1:29" ht="12.75" customHeight="1" x14ac:dyDescent="0.2">
      <c r="A1791" s="2029">
        <v>211</v>
      </c>
      <c r="B1791" s="4998"/>
      <c r="C1791" s="65"/>
      <c r="D1791" s="68"/>
      <c r="E1791" s="594" t="s">
        <v>900</v>
      </c>
      <c r="F1791" s="601">
        <v>84</v>
      </c>
      <c r="G1791" s="593" t="s">
        <v>2536</v>
      </c>
      <c r="H1791" s="413"/>
      <c r="I1791" s="2112"/>
      <c r="N1791" s="413"/>
      <c r="AB1791" s="413"/>
      <c r="AC1791" s="2795"/>
    </row>
    <row r="1792" spans="1:29" ht="12.75" customHeight="1" x14ac:dyDescent="0.2">
      <c r="A1792" s="2029">
        <v>211</v>
      </c>
      <c r="B1792" s="4998"/>
      <c r="C1792" s="65"/>
      <c r="D1792" s="68"/>
      <c r="E1792" s="594" t="s">
        <v>901</v>
      </c>
      <c r="F1792" s="601">
        <v>94</v>
      </c>
      <c r="G1792" s="593" t="s">
        <v>2536</v>
      </c>
      <c r="H1792" s="413"/>
      <c r="I1792" s="2112"/>
      <c r="N1792" s="413"/>
      <c r="AB1792" s="413"/>
      <c r="AC1792" s="2795"/>
    </row>
    <row r="1793" spans="1:79" ht="12.75" customHeight="1" x14ac:dyDescent="0.2">
      <c r="A1793" s="2029">
        <v>211</v>
      </c>
      <c r="B1793" s="4998"/>
      <c r="C1793" s="65"/>
      <c r="D1793" s="68"/>
      <c r="E1793" s="594" t="s">
        <v>902</v>
      </c>
      <c r="F1793" s="601"/>
      <c r="G1793" s="593"/>
      <c r="H1793" s="413"/>
      <c r="I1793" s="2112"/>
      <c r="N1793" s="413"/>
      <c r="AB1793" s="413"/>
      <c r="AC1793" s="2795"/>
    </row>
    <row r="1794" spans="1:79" ht="12.75" customHeight="1" x14ac:dyDescent="0.2">
      <c r="A1794" s="2029">
        <v>211</v>
      </c>
      <c r="B1794" s="4998"/>
      <c r="C1794" s="65"/>
      <c r="D1794" s="68"/>
      <c r="E1794" s="594" t="s">
        <v>903</v>
      </c>
      <c r="F1794" s="601">
        <v>4</v>
      </c>
      <c r="G1794" s="593" t="s">
        <v>93</v>
      </c>
      <c r="H1794" s="413"/>
      <c r="I1794" s="2112"/>
      <c r="N1794" s="413"/>
      <c r="AB1794" s="413"/>
      <c r="AC1794" s="2795"/>
    </row>
    <row r="1795" spans="1:79" ht="12.75" customHeight="1" x14ac:dyDescent="0.2">
      <c r="A1795" s="2029">
        <v>211</v>
      </c>
      <c r="B1795" s="4998"/>
      <c r="C1795" s="65"/>
      <c r="D1795" s="68"/>
      <c r="E1795" s="594" t="s">
        <v>904</v>
      </c>
      <c r="F1795" s="601">
        <v>14</v>
      </c>
      <c r="G1795" s="593" t="s">
        <v>93</v>
      </c>
      <c r="H1795" s="413"/>
      <c r="I1795" s="2112"/>
      <c r="N1795" s="413"/>
      <c r="AB1795" s="413"/>
      <c r="AC1795" s="2795"/>
    </row>
    <row r="1796" spans="1:79" ht="12.75" customHeight="1" x14ac:dyDescent="0.2">
      <c r="A1796" s="2029">
        <v>211</v>
      </c>
      <c r="B1796" s="4998"/>
      <c r="C1796" s="65"/>
      <c r="D1796" s="68"/>
      <c r="E1796" s="594" t="s">
        <v>905</v>
      </c>
      <c r="F1796" s="601">
        <v>24</v>
      </c>
      <c r="G1796" s="593" t="s">
        <v>93</v>
      </c>
      <c r="H1796" s="413"/>
      <c r="I1796" s="2112"/>
      <c r="N1796" s="413"/>
      <c r="AB1796" s="413"/>
      <c r="AC1796" s="2795"/>
    </row>
    <row r="1797" spans="1:79" ht="12.75" customHeight="1" x14ac:dyDescent="0.2">
      <c r="A1797" s="2029">
        <v>211</v>
      </c>
      <c r="B1797" s="4998"/>
      <c r="C1797" s="65"/>
      <c r="D1797" s="68"/>
      <c r="E1797" s="594" t="s">
        <v>906</v>
      </c>
      <c r="F1797" s="601">
        <v>34</v>
      </c>
      <c r="G1797" s="593" t="s">
        <v>93</v>
      </c>
      <c r="H1797" s="413"/>
      <c r="I1797" s="2112"/>
      <c r="N1797" s="413"/>
      <c r="AB1797" s="413"/>
      <c r="AC1797" s="2795"/>
    </row>
    <row r="1798" spans="1:79" ht="12.75" customHeight="1" x14ac:dyDescent="0.2">
      <c r="A1798" s="2029">
        <v>211</v>
      </c>
      <c r="B1798" s="4998"/>
      <c r="C1798" s="65"/>
      <c r="D1798" s="68"/>
      <c r="E1798" s="594" t="s">
        <v>907</v>
      </c>
      <c r="F1798" s="601">
        <v>44</v>
      </c>
      <c r="G1798" s="593" t="s">
        <v>93</v>
      </c>
      <c r="H1798" s="413"/>
      <c r="I1798" s="2112"/>
      <c r="N1798" s="413"/>
      <c r="AB1798" s="413"/>
      <c r="AC1798" s="2795"/>
    </row>
    <row r="1799" spans="1:79" ht="12.75" customHeight="1" x14ac:dyDescent="0.2">
      <c r="A1799" s="2029">
        <v>211</v>
      </c>
      <c r="B1799" s="4998"/>
      <c r="C1799" s="65"/>
      <c r="D1799" s="68"/>
      <c r="E1799" s="594" t="s">
        <v>908</v>
      </c>
      <c r="F1799" s="601">
        <v>54</v>
      </c>
      <c r="G1799" s="593" t="s">
        <v>93</v>
      </c>
      <c r="H1799" s="413"/>
      <c r="I1799" s="2112"/>
      <c r="N1799" s="413"/>
      <c r="AB1799" s="413"/>
      <c r="AC1799" s="2795"/>
    </row>
    <row r="1800" spans="1:79" ht="12.75" customHeight="1" x14ac:dyDescent="0.2">
      <c r="A1800" s="2029">
        <v>211</v>
      </c>
      <c r="B1800" s="4998"/>
      <c r="C1800" s="65"/>
      <c r="D1800" s="68"/>
      <c r="E1800" s="594" t="s">
        <v>909</v>
      </c>
      <c r="F1800" s="601">
        <v>64</v>
      </c>
      <c r="G1800" s="593" t="s">
        <v>93</v>
      </c>
      <c r="H1800" s="413"/>
      <c r="I1800" s="2112"/>
      <c r="N1800" s="413"/>
      <c r="AB1800" s="413"/>
      <c r="AC1800" s="2795"/>
    </row>
    <row r="1801" spans="1:79" ht="12.75" customHeight="1" x14ac:dyDescent="0.2">
      <c r="A1801" s="2029">
        <v>211</v>
      </c>
      <c r="B1801" s="4998"/>
      <c r="C1801" s="65"/>
      <c r="D1801" s="68"/>
      <c r="E1801" s="594" t="s">
        <v>910</v>
      </c>
      <c r="F1801" s="601">
        <v>74</v>
      </c>
      <c r="G1801" s="593" t="s">
        <v>93</v>
      </c>
      <c r="H1801" s="413"/>
      <c r="I1801" s="2112"/>
      <c r="N1801" s="413"/>
      <c r="AB1801" s="413"/>
      <c r="AC1801" s="2795"/>
    </row>
    <row r="1802" spans="1:79" ht="12.75" customHeight="1" x14ac:dyDescent="0.2">
      <c r="A1802" s="2029">
        <v>211</v>
      </c>
      <c r="B1802" s="4998"/>
      <c r="C1802" s="65"/>
      <c r="D1802" s="68"/>
      <c r="E1802" s="594" t="s">
        <v>911</v>
      </c>
      <c r="F1802" s="601">
        <v>84</v>
      </c>
      <c r="G1802" s="593" t="s">
        <v>93</v>
      </c>
      <c r="H1802" s="413"/>
      <c r="I1802" s="2112"/>
      <c r="N1802" s="413"/>
      <c r="AB1802" s="413"/>
      <c r="AC1802" s="2795"/>
    </row>
    <row r="1803" spans="1:79" ht="12.75" customHeight="1" thickBot="1" x14ac:dyDescent="0.25">
      <c r="A1803" s="2029">
        <v>211</v>
      </c>
      <c r="B1803" s="4998"/>
      <c r="C1803" s="198"/>
      <c r="D1803" s="199"/>
      <c r="E1803" s="598" t="s">
        <v>912</v>
      </c>
      <c r="F1803" s="602">
        <v>94</v>
      </c>
      <c r="G1803" s="600" t="s">
        <v>93</v>
      </c>
      <c r="H1803" s="413"/>
      <c r="I1803" s="2112"/>
      <c r="N1803" s="413"/>
      <c r="AB1803" s="413"/>
      <c r="AC1803" s="2795"/>
    </row>
    <row r="1804" spans="1:79" ht="12.75" customHeight="1" x14ac:dyDescent="0.2">
      <c r="A1804" s="2029">
        <v>211</v>
      </c>
      <c r="B1804" s="4998"/>
      <c r="H1804" s="413"/>
      <c r="N1804" s="413"/>
      <c r="AB1804" s="413"/>
      <c r="AC1804" s="2795"/>
    </row>
    <row r="1805" spans="1:79" ht="12.75" customHeight="1" x14ac:dyDescent="0.2">
      <c r="A1805" s="2029">
        <v>211</v>
      </c>
      <c r="B1805" s="4998"/>
      <c r="F1805" s="2112"/>
      <c r="H1805" s="413"/>
      <c r="N1805" s="413"/>
      <c r="AB1805" s="413"/>
      <c r="AC1805" s="2795"/>
    </row>
    <row r="1806" spans="1:79" ht="12.75" customHeight="1" x14ac:dyDescent="0.2">
      <c r="A1806" s="2029">
        <v>211</v>
      </c>
      <c r="B1806" s="4998"/>
      <c r="F1806" s="2112"/>
      <c r="H1806" s="413"/>
      <c r="N1806" s="413"/>
      <c r="W1806" s="2795"/>
      <c r="AB1806" s="413"/>
    </row>
    <row r="1807" spans="1:79" ht="12.75" customHeight="1" x14ac:dyDescent="0.2">
      <c r="A1807" s="2029">
        <v>211</v>
      </c>
      <c r="B1807" s="4998"/>
      <c r="H1807" s="413"/>
      <c r="I1807" s="1761"/>
      <c r="N1807" s="413"/>
      <c r="O1807" s="2112"/>
      <c r="W1807" s="2795"/>
      <c r="AB1807" s="413"/>
    </row>
    <row r="1808" spans="1:79" ht="12.75" customHeight="1" x14ac:dyDescent="0.2">
      <c r="A1808" s="2029">
        <v>211</v>
      </c>
      <c r="B1808" s="4998"/>
      <c r="C1808" s="5176" t="s">
        <v>9444</v>
      </c>
      <c r="D1808" s="5176"/>
      <c r="E1808" s="5176"/>
      <c r="F1808" s="5176"/>
      <c r="G1808" s="5176"/>
      <c r="H1808" s="5176"/>
      <c r="I1808" s="5176"/>
      <c r="J1808" s="5176"/>
      <c r="K1808" s="5176"/>
      <c r="L1808" s="5176"/>
      <c r="M1808" s="5176"/>
      <c r="N1808" s="5176"/>
      <c r="O1808" s="5176"/>
      <c r="P1808" s="5176"/>
      <c r="Q1808" s="5176"/>
      <c r="R1808" s="5176"/>
      <c r="S1808" s="5176"/>
      <c r="T1808" s="5176"/>
      <c r="U1808" s="5176"/>
      <c r="V1808" s="5176"/>
      <c r="W1808" s="5176"/>
      <c r="X1808" s="5176"/>
      <c r="Y1808" s="5176"/>
      <c r="Z1808" s="5176"/>
      <c r="AA1808" s="5176"/>
      <c r="AB1808" s="5176"/>
      <c r="AC1808" s="5176"/>
      <c r="AD1808" s="5176"/>
      <c r="AE1808" s="5176"/>
      <c r="AF1808" s="5176"/>
      <c r="AG1808" s="5176"/>
      <c r="AH1808" s="5176"/>
      <c r="AI1808" s="5176"/>
      <c r="AJ1808" s="5176"/>
      <c r="AK1808" s="5176"/>
      <c r="AL1808" s="5176"/>
      <c r="AM1808" s="5176"/>
      <c r="AN1808" s="5176"/>
      <c r="AO1808" s="5176"/>
      <c r="AP1808" s="5176"/>
      <c r="AQ1808" s="5176"/>
      <c r="AR1808" s="5176"/>
      <c r="AS1808" s="5176"/>
      <c r="AT1808" s="5176"/>
      <c r="AU1808" s="5176"/>
      <c r="AV1808" s="5176"/>
      <c r="AW1808" s="5176"/>
      <c r="AX1808" s="5176"/>
      <c r="AY1808" s="5176"/>
      <c r="AZ1808" s="5176"/>
      <c r="BA1808" s="5176"/>
      <c r="BB1808" s="5176"/>
      <c r="BC1808" s="5176"/>
      <c r="BD1808" s="5176"/>
      <c r="BE1808" s="5176"/>
      <c r="BF1808" s="5176"/>
      <c r="BG1808" s="5176"/>
      <c r="BH1808" s="5176"/>
      <c r="BI1808" s="5176"/>
      <c r="BJ1808" s="5176"/>
      <c r="BK1808" s="5176"/>
      <c r="BL1808" s="5176"/>
      <c r="BM1808" s="5176"/>
      <c r="BN1808" s="5176"/>
      <c r="BO1808" s="5176"/>
      <c r="BP1808" s="5176"/>
      <c r="BQ1808" s="5176"/>
      <c r="BR1808" s="5176"/>
      <c r="BS1808" s="5176"/>
      <c r="BT1808" s="5176"/>
      <c r="BU1808" s="5176"/>
      <c r="BV1808" s="5176"/>
      <c r="BW1808" s="5176"/>
      <c r="BX1808" s="5176"/>
      <c r="BY1808" s="5176"/>
      <c r="BZ1808" s="5176"/>
      <c r="CA1808" s="5176"/>
    </row>
    <row r="1809" spans="1:79" ht="12.75" customHeight="1" x14ac:dyDescent="0.2">
      <c r="A1809" s="2029">
        <v>211</v>
      </c>
      <c r="B1809" s="4998"/>
      <c r="C1809" s="5176"/>
      <c r="D1809" s="5176"/>
      <c r="E1809" s="5176"/>
      <c r="F1809" s="5176"/>
      <c r="G1809" s="5176"/>
      <c r="H1809" s="5176"/>
      <c r="I1809" s="5176"/>
      <c r="J1809" s="5176"/>
      <c r="K1809" s="5176"/>
      <c r="L1809" s="5176"/>
      <c r="M1809" s="5176"/>
      <c r="N1809" s="5176"/>
      <c r="O1809" s="5176"/>
      <c r="P1809" s="5176"/>
      <c r="Q1809" s="5176"/>
      <c r="R1809" s="5176"/>
      <c r="S1809" s="5176"/>
      <c r="T1809" s="5176"/>
      <c r="U1809" s="5176"/>
      <c r="V1809" s="5176"/>
      <c r="W1809" s="5176"/>
      <c r="X1809" s="5176"/>
      <c r="Y1809" s="5176"/>
      <c r="Z1809" s="5176"/>
      <c r="AA1809" s="5176"/>
      <c r="AB1809" s="5176"/>
      <c r="AC1809" s="5176"/>
      <c r="AD1809" s="5176"/>
      <c r="AE1809" s="5176"/>
      <c r="AF1809" s="5176"/>
      <c r="AG1809" s="5176"/>
      <c r="AH1809" s="5176"/>
      <c r="AI1809" s="5176"/>
      <c r="AJ1809" s="5176"/>
      <c r="AK1809" s="5176"/>
      <c r="AL1809" s="5176"/>
      <c r="AM1809" s="5176"/>
      <c r="AN1809" s="5176"/>
      <c r="AO1809" s="5176"/>
      <c r="AP1809" s="5176"/>
      <c r="AQ1809" s="5176"/>
      <c r="AR1809" s="5176"/>
      <c r="AS1809" s="5176"/>
      <c r="AT1809" s="5176"/>
      <c r="AU1809" s="5176"/>
      <c r="AV1809" s="5176"/>
      <c r="AW1809" s="5176"/>
      <c r="AX1809" s="5176"/>
      <c r="AY1809" s="5176"/>
      <c r="AZ1809" s="5176"/>
      <c r="BA1809" s="5176"/>
      <c r="BB1809" s="5176"/>
      <c r="BC1809" s="5176"/>
      <c r="BD1809" s="5176"/>
      <c r="BE1809" s="5176"/>
      <c r="BF1809" s="5176"/>
      <c r="BG1809" s="5176"/>
      <c r="BH1809" s="5176"/>
      <c r="BI1809" s="5176"/>
      <c r="BJ1809" s="5176"/>
      <c r="BK1809" s="5176"/>
      <c r="BL1809" s="5176"/>
      <c r="BM1809" s="5176"/>
      <c r="BN1809" s="5176"/>
      <c r="BO1809" s="5176"/>
      <c r="BP1809" s="5176"/>
      <c r="BQ1809" s="5176"/>
      <c r="BR1809" s="5176"/>
      <c r="BS1809" s="5176"/>
      <c r="BT1809" s="5176"/>
      <c r="BU1809" s="5176"/>
      <c r="BV1809" s="5176"/>
      <c r="BW1809" s="5176"/>
      <c r="BX1809" s="5176"/>
      <c r="BY1809" s="5176"/>
      <c r="BZ1809" s="5176"/>
      <c r="CA1809" s="5176"/>
    </row>
    <row r="1810" spans="1:79" ht="12.75" customHeight="1" x14ac:dyDescent="0.2">
      <c r="A1810" s="2029">
        <v>211</v>
      </c>
      <c r="B1810" s="4998"/>
      <c r="C1810" s="5176"/>
      <c r="D1810" s="5176"/>
      <c r="E1810" s="5176"/>
      <c r="F1810" s="5176"/>
      <c r="G1810" s="5176"/>
      <c r="H1810" s="5176"/>
      <c r="I1810" s="5176"/>
      <c r="J1810" s="5176"/>
      <c r="K1810" s="5176"/>
      <c r="L1810" s="5176"/>
      <c r="M1810" s="5176"/>
      <c r="N1810" s="5176"/>
      <c r="O1810" s="5176"/>
      <c r="P1810" s="5176"/>
      <c r="Q1810" s="5176"/>
      <c r="R1810" s="5176"/>
      <c r="S1810" s="5176"/>
      <c r="T1810" s="5176"/>
      <c r="U1810" s="5176"/>
      <c r="V1810" s="5176"/>
      <c r="W1810" s="5176"/>
      <c r="X1810" s="5176"/>
      <c r="Y1810" s="5176"/>
      <c r="Z1810" s="5176"/>
      <c r="AA1810" s="5176"/>
      <c r="AB1810" s="5176"/>
      <c r="AC1810" s="5176"/>
      <c r="AD1810" s="5176"/>
      <c r="AE1810" s="5176"/>
      <c r="AF1810" s="5176"/>
      <c r="AG1810" s="5176"/>
      <c r="AH1810" s="5176"/>
      <c r="AI1810" s="5176"/>
      <c r="AJ1810" s="5176"/>
      <c r="AK1810" s="5176"/>
      <c r="AL1810" s="5176"/>
      <c r="AM1810" s="5176"/>
      <c r="AN1810" s="5176"/>
      <c r="AO1810" s="5176"/>
      <c r="AP1810" s="5176"/>
      <c r="AQ1810" s="5176"/>
      <c r="AR1810" s="5176"/>
      <c r="AS1810" s="5176"/>
      <c r="AT1810" s="5176"/>
      <c r="AU1810" s="5176"/>
      <c r="AV1810" s="5176"/>
      <c r="AW1810" s="5176"/>
      <c r="AX1810" s="5176"/>
      <c r="AY1810" s="5176"/>
      <c r="AZ1810" s="5176"/>
      <c r="BA1810" s="5176"/>
      <c r="BB1810" s="5176"/>
      <c r="BC1810" s="5176"/>
      <c r="BD1810" s="5176"/>
      <c r="BE1810" s="5176"/>
      <c r="BF1810" s="5176"/>
      <c r="BG1810" s="5176"/>
      <c r="BH1810" s="5176"/>
      <c r="BI1810" s="5176"/>
      <c r="BJ1810" s="5176"/>
      <c r="BK1810" s="5176"/>
      <c r="BL1810" s="5176"/>
      <c r="BM1810" s="5176"/>
      <c r="BN1810" s="5176"/>
      <c r="BO1810" s="5176"/>
      <c r="BP1810" s="5176"/>
      <c r="BQ1810" s="5176"/>
      <c r="BR1810" s="5176"/>
      <c r="BS1810" s="5176"/>
      <c r="BT1810" s="5176"/>
      <c r="BU1810" s="5176"/>
      <c r="BV1810" s="5176"/>
      <c r="BW1810" s="5176"/>
      <c r="BX1810" s="5176"/>
      <c r="BY1810" s="5176"/>
      <c r="BZ1810" s="5176"/>
      <c r="CA1810" s="5176"/>
    </row>
    <row r="1811" spans="1:79" ht="12.75" customHeight="1" thickBot="1" x14ac:dyDescent="0.25">
      <c r="A1811" s="2029">
        <v>211</v>
      </c>
      <c r="B1811" s="4998"/>
      <c r="H1811" s="413"/>
      <c r="I1811" s="1761"/>
      <c r="N1811" s="413"/>
      <c r="O1811" s="2112"/>
      <c r="AB1811" s="413"/>
      <c r="AC1811" s="2795"/>
    </row>
    <row r="1812" spans="1:79" ht="12.75" customHeight="1" x14ac:dyDescent="0.2">
      <c r="A1812" s="2029">
        <v>211</v>
      </c>
      <c r="B1812" s="4998"/>
      <c r="C1812" s="5091" t="s">
        <v>1552</v>
      </c>
      <c r="D1812" s="5092"/>
      <c r="E1812" s="5092"/>
      <c r="F1812" s="5092"/>
      <c r="G1812" s="5092"/>
      <c r="H1812" s="5092"/>
      <c r="I1812" s="5092"/>
      <c r="J1812" s="5092"/>
      <c r="K1812" s="5093"/>
      <c r="M1812" s="4130" t="s">
        <v>1752</v>
      </c>
      <c r="N1812" s="3984"/>
      <c r="O1812" s="3984"/>
      <c r="P1812" s="3984"/>
      <c r="Q1812" s="3984"/>
      <c r="R1812" s="3984"/>
      <c r="S1812" s="3984"/>
      <c r="T1812" s="4126"/>
      <c r="V1812" s="5223" t="s">
        <v>1754</v>
      </c>
      <c r="W1812" s="4150"/>
      <c r="X1812" s="5221" t="s">
        <v>9455</v>
      </c>
      <c r="Y1812" s="5226" t="s">
        <v>9461</v>
      </c>
      <c r="Z1812" s="5221"/>
      <c r="AA1812" s="5221"/>
      <c r="AB1812" s="5221"/>
      <c r="AC1812" s="5221"/>
      <c r="AD1812" s="5221"/>
      <c r="AE1812" s="5221"/>
      <c r="AF1812" s="5221"/>
      <c r="AG1812" s="5221"/>
      <c r="AH1812" s="5221"/>
      <c r="AI1812" s="5221"/>
      <c r="AJ1812" s="5221"/>
      <c r="AK1812" s="5221"/>
      <c r="AL1812" s="5221"/>
      <c r="AM1812" s="5221"/>
      <c r="AN1812" s="5221"/>
      <c r="AO1812" s="5221"/>
      <c r="AP1812" s="5221"/>
      <c r="AQ1812" s="5221"/>
      <c r="AR1812" s="5221"/>
      <c r="AS1812" s="5221"/>
      <c r="AT1812" s="5221"/>
      <c r="AU1812" s="5221"/>
      <c r="AV1812" s="5221"/>
      <c r="AW1812" s="5221"/>
      <c r="AX1812" s="5221"/>
      <c r="AY1812" s="5221"/>
      <c r="AZ1812" s="5221"/>
      <c r="BA1812" s="5221"/>
      <c r="BB1812" s="5221"/>
      <c r="BC1812" s="5221"/>
      <c r="BD1812" s="5221"/>
      <c r="BE1812" s="5221"/>
      <c r="BF1812" s="5221"/>
      <c r="BG1812" s="5221"/>
      <c r="BH1812" s="5221"/>
      <c r="BI1812" s="5221"/>
      <c r="BJ1812" s="5221"/>
      <c r="BK1812" s="5221"/>
      <c r="BL1812" s="5221"/>
      <c r="BM1812" s="5221"/>
      <c r="BN1812" s="5221"/>
      <c r="BO1812" s="5221"/>
      <c r="BP1812" s="5221"/>
      <c r="BQ1812" s="5221"/>
      <c r="BR1812" s="5221"/>
      <c r="BS1812" s="5221"/>
      <c r="BT1812" s="5221"/>
      <c r="BU1812" s="5221"/>
      <c r="BV1812" s="5221"/>
      <c r="BW1812" s="5221"/>
      <c r="BX1812" s="5221"/>
      <c r="BY1812" s="5221"/>
      <c r="BZ1812" s="5221"/>
      <c r="CA1812" s="5227"/>
    </row>
    <row r="1813" spans="1:79" ht="12.75" customHeight="1" x14ac:dyDescent="0.2">
      <c r="A1813" s="2029">
        <v>211</v>
      </c>
      <c r="B1813" s="4998"/>
      <c r="C1813" s="5094"/>
      <c r="D1813" s="5095"/>
      <c r="E1813" s="5095"/>
      <c r="F1813" s="5095"/>
      <c r="G1813" s="5095"/>
      <c r="H1813" s="5095"/>
      <c r="I1813" s="5095"/>
      <c r="J1813" s="5095"/>
      <c r="K1813" s="5096"/>
      <c r="M1813" s="5001"/>
      <c r="N1813" s="5002"/>
      <c r="O1813" s="5002"/>
      <c r="P1813" s="5002"/>
      <c r="Q1813" s="5002"/>
      <c r="R1813" s="5002"/>
      <c r="S1813" s="5002"/>
      <c r="T1813" s="5003"/>
      <c r="V1813" s="5224"/>
      <c r="W1813" s="4000"/>
      <c r="X1813" s="5222"/>
      <c r="Y1813" s="5228"/>
      <c r="Z1813" s="5222"/>
      <c r="AA1813" s="5222"/>
      <c r="AB1813" s="5222"/>
      <c r="AC1813" s="5222"/>
      <c r="AD1813" s="5222"/>
      <c r="AE1813" s="5222"/>
      <c r="AF1813" s="5222"/>
      <c r="AG1813" s="5222"/>
      <c r="AH1813" s="5222"/>
      <c r="AI1813" s="5222"/>
      <c r="AJ1813" s="5222"/>
      <c r="AK1813" s="5222"/>
      <c r="AL1813" s="5222"/>
      <c r="AM1813" s="5222"/>
      <c r="AN1813" s="5222"/>
      <c r="AO1813" s="5222"/>
      <c r="AP1813" s="5222"/>
      <c r="AQ1813" s="5222"/>
      <c r="AR1813" s="5222"/>
      <c r="AS1813" s="5222"/>
      <c r="AT1813" s="5222"/>
      <c r="AU1813" s="5222"/>
      <c r="AV1813" s="5222"/>
      <c r="AW1813" s="5222"/>
      <c r="AX1813" s="5222"/>
      <c r="AY1813" s="5222"/>
      <c r="AZ1813" s="5222"/>
      <c r="BA1813" s="5222"/>
      <c r="BB1813" s="5222"/>
      <c r="BC1813" s="5222"/>
      <c r="BD1813" s="5222"/>
      <c r="BE1813" s="5222"/>
      <c r="BF1813" s="5222"/>
      <c r="BG1813" s="5222"/>
      <c r="BH1813" s="5222"/>
      <c r="BI1813" s="5222"/>
      <c r="BJ1813" s="5222"/>
      <c r="BK1813" s="5222"/>
      <c r="BL1813" s="5222"/>
      <c r="BM1813" s="5222"/>
      <c r="BN1813" s="5222"/>
      <c r="BO1813" s="5222"/>
      <c r="BP1813" s="5222"/>
      <c r="BQ1813" s="5222"/>
      <c r="BR1813" s="5222"/>
      <c r="BS1813" s="5222"/>
      <c r="BT1813" s="5222"/>
      <c r="BU1813" s="5222"/>
      <c r="BV1813" s="5222"/>
      <c r="BW1813" s="5222"/>
      <c r="BX1813" s="5222"/>
      <c r="BY1813" s="5222"/>
      <c r="BZ1813" s="5222"/>
      <c r="CA1813" s="5225"/>
    </row>
    <row r="1814" spans="1:79" ht="12.75" customHeight="1" x14ac:dyDescent="0.2">
      <c r="A1814" s="2029">
        <v>211</v>
      </c>
      <c r="B1814" s="4998"/>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98"/>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98"/>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98"/>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98"/>
      <c r="C1818" s="2813"/>
      <c r="D1818" s="260"/>
      <c r="E1818" s="2816" t="s">
        <v>2760</v>
      </c>
      <c r="F1818" s="218">
        <v>5</v>
      </c>
      <c r="G1818" s="218">
        <v>30</v>
      </c>
      <c r="H1818" s="218">
        <f>COUNTIF(HabilidadesEsenciales_Adquiridas,Tablas!E1818)</f>
        <v>0</v>
      </c>
      <c r="I1818" s="2818">
        <v>2</v>
      </c>
      <c r="J1818" s="422"/>
      <c r="K1818" s="2809"/>
      <c r="M1818" s="1959"/>
      <c r="N1818" s="100"/>
      <c r="O1818" s="468" t="s">
        <v>9813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98"/>
      <c r="C1819" s="2813"/>
      <c r="D1819" s="260"/>
      <c r="E1819" s="2816" t="s">
        <v>1556</v>
      </c>
      <c r="F1819" s="218">
        <v>5</v>
      </c>
      <c r="G1819" s="218">
        <v>15</v>
      </c>
      <c r="H1819" s="218">
        <f>COUNTIF(HabilidadesEsenciales_Adquiridas,Tablas!E1819)</f>
        <v>0</v>
      </c>
      <c r="I1819" s="2818"/>
      <c r="J1819" s="422"/>
      <c r="K1819" s="2809"/>
      <c r="M1819" s="1959"/>
      <c r="N1819" s="100"/>
      <c r="O1819" s="468" t="s">
        <v>9814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98"/>
      <c r="C1820" s="2813"/>
      <c r="D1820" s="260"/>
      <c r="E1820" s="2816" t="s">
        <v>1557</v>
      </c>
      <c r="F1820" s="218">
        <v>5</v>
      </c>
      <c r="G1820" s="218">
        <v>30</v>
      </c>
      <c r="H1820" s="218">
        <f>COUNTIF(HabilidadesEsenciales_Adquiridas,Tablas!E1820)</f>
        <v>0</v>
      </c>
      <c r="I1820" s="2818"/>
      <c r="J1820" s="422"/>
      <c r="K1820" s="2809"/>
      <c r="M1820" s="1959"/>
      <c r="N1820" s="100"/>
      <c r="O1820" s="468" t="s">
        <v>9815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98"/>
      <c r="C1821" s="2813"/>
      <c r="D1821" s="260"/>
      <c r="E1821" s="2816" t="s">
        <v>1558</v>
      </c>
      <c r="F1821" s="218">
        <v>0</v>
      </c>
      <c r="G1821" s="218">
        <v>10</v>
      </c>
      <c r="H1821" s="218">
        <f>COUNTIF(HabilidadesEsenciales_Adquiridas,Tablas!E1821)</f>
        <v>0</v>
      </c>
      <c r="I1821" s="2818"/>
      <c r="J1821" s="422"/>
      <c r="K1821" s="2809"/>
      <c r="M1821" s="1959"/>
      <c r="N1821" s="100"/>
      <c r="O1821" s="468" t="s">
        <v>9816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98"/>
      <c r="C1822" s="2813"/>
      <c r="D1822" s="260"/>
      <c r="E1822" s="2816" t="s">
        <v>1559</v>
      </c>
      <c r="F1822" s="218">
        <v>5</v>
      </c>
      <c r="G1822" s="218">
        <v>10</v>
      </c>
      <c r="H1822" s="218">
        <f>COUNTIF(HabilidadesEsenciales_Adquiridas,Tablas!E1822)</f>
        <v>0</v>
      </c>
      <c r="I1822" s="2818"/>
      <c r="J1822" s="422"/>
      <c r="K1822" s="2809"/>
      <c r="M1822" s="1959"/>
      <c r="N1822" s="100"/>
      <c r="O1822" s="468" t="s">
        <v>9817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98"/>
      <c r="C1823" s="2813"/>
      <c r="D1823" s="260"/>
      <c r="E1823" s="2816" t="s">
        <v>1560</v>
      </c>
      <c r="F1823" s="218">
        <v>0</v>
      </c>
      <c r="G1823" s="218">
        <v>20</v>
      </c>
      <c r="H1823" s="218">
        <f>COUNTIF(HabilidadesEsenciales_Adquiridas,Tablas!E1823)</f>
        <v>0</v>
      </c>
      <c r="I1823" s="2818">
        <v>1</v>
      </c>
      <c r="J1823" s="422">
        <f>IF(H1827&gt;0,20,IF(H1825&gt;0,15,IF(H1823&gt;0,13,10)))</f>
        <v>10</v>
      </c>
      <c r="K1823" s="2809" t="s">
        <v>10506</v>
      </c>
      <c r="M1823" s="1959"/>
      <c r="N1823" s="100"/>
      <c r="O1823" s="468" t="s">
        <v>9818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98"/>
      <c r="C1824" s="2813"/>
      <c r="D1824" s="260"/>
      <c r="E1824" s="2816" t="s">
        <v>1561</v>
      </c>
      <c r="F1824" s="218">
        <v>5</v>
      </c>
      <c r="G1824" s="218">
        <v>20</v>
      </c>
      <c r="H1824" s="218">
        <f>COUNTIF(HabilidadesEsenciales_Adquiridas,Tablas!E1824)</f>
        <v>0</v>
      </c>
      <c r="I1824" s="2818">
        <v>1</v>
      </c>
      <c r="J1824" s="422">
        <f>IF(H1828&gt;0,20,IF(H1826&gt;0,15,IF(H1824&gt;0,13,10)))</f>
        <v>10</v>
      </c>
      <c r="K1824" s="2809" t="s">
        <v>10507</v>
      </c>
      <c r="M1824" s="1959"/>
      <c r="N1824" s="100"/>
      <c r="O1824" s="468" t="s">
        <v>9819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98"/>
      <c r="C1825" s="2813"/>
      <c r="D1825" s="260"/>
      <c r="E1825" s="2816" t="s">
        <v>1562</v>
      </c>
      <c r="F1825" s="218">
        <v>20</v>
      </c>
      <c r="G1825" s="218">
        <v>40</v>
      </c>
      <c r="H1825" s="218">
        <f>COUNTIF(HabilidadesEsenciales_Adquiridas,Tablas!E1825)</f>
        <v>0</v>
      </c>
      <c r="I1825" s="2818">
        <v>1</v>
      </c>
      <c r="J1825" s="422"/>
      <c r="K1825" s="2809"/>
      <c r="M1825" s="1959"/>
      <c r="N1825" s="100"/>
      <c r="O1825" s="468" t="s">
        <v>9820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98"/>
      <c r="C1826" s="2813"/>
      <c r="D1826" s="260"/>
      <c r="E1826" s="2816" t="s">
        <v>1563</v>
      </c>
      <c r="F1826" s="218">
        <v>20</v>
      </c>
      <c r="G1826" s="218">
        <v>40</v>
      </c>
      <c r="H1826" s="218">
        <f>COUNTIF(HabilidadesEsenciales_Adquiridas,Tablas!E1826)</f>
        <v>0</v>
      </c>
      <c r="I1826" s="2818">
        <v>1</v>
      </c>
      <c r="J1826" s="422"/>
      <c r="K1826" s="2809"/>
      <c r="M1826" s="1959"/>
      <c r="N1826" s="100"/>
      <c r="O1826" s="468" t="s">
        <v>9821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98"/>
      <c r="C1827" s="2813"/>
      <c r="D1827" s="260"/>
      <c r="E1827" s="2816" t="s">
        <v>1564</v>
      </c>
      <c r="F1827" s="218">
        <v>30</v>
      </c>
      <c r="G1827" s="218">
        <v>80</v>
      </c>
      <c r="H1827" s="218">
        <f>COUNTIF(HabilidadesEsenciales_Adquiridas,Tablas!E1827)</f>
        <v>0</v>
      </c>
      <c r="I1827" s="2818">
        <v>1</v>
      </c>
      <c r="J1827" s="422"/>
      <c r="K1827" s="2809"/>
      <c r="M1827" s="1959"/>
      <c r="N1827" s="100"/>
      <c r="O1827" s="468" t="s">
        <v>9822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98"/>
      <c r="C1828" s="2813"/>
      <c r="D1828" s="260"/>
      <c r="E1828" s="2816" t="s">
        <v>1565</v>
      </c>
      <c r="F1828" s="218">
        <v>35</v>
      </c>
      <c r="G1828" s="218">
        <v>80</v>
      </c>
      <c r="H1828" s="218">
        <f>COUNTIF(HabilidadesEsenciales_Adquiridas,Tablas!E1828)</f>
        <v>0</v>
      </c>
      <c r="I1828" s="2818">
        <v>1</v>
      </c>
      <c r="J1828" s="422"/>
      <c r="K1828" s="2809"/>
      <c r="M1828" s="1959"/>
      <c r="N1828" s="100"/>
      <c r="O1828" s="468" t="s">
        <v>9823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98"/>
      <c r="C1829" s="2813"/>
      <c r="D1829" s="260"/>
      <c r="E1829" s="2816" t="s">
        <v>10274</v>
      </c>
      <c r="F1829" s="218">
        <v>0</v>
      </c>
      <c r="G1829" s="218">
        <v>20</v>
      </c>
      <c r="H1829" s="218">
        <f>COUNTIF(HabilidadesEsenciales_Adquiridas,Tablas!E1829)</f>
        <v>0</v>
      </c>
      <c r="I1829" s="2818">
        <v>1</v>
      </c>
      <c r="J1829" s="422">
        <f t="array" ref="J1829">MAX({1;2;3;4;5}*H1829:H1833)</f>
        <v>0</v>
      </c>
      <c r="K1829" s="2809" t="s">
        <v>1685</v>
      </c>
      <c r="M1829" s="1959"/>
      <c r="N1829" s="100"/>
      <c r="O1829" s="468" t="s">
        <v>9824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98"/>
      <c r="C1830" s="2813"/>
      <c r="D1830" s="260"/>
      <c r="E1830" s="2816" t="s">
        <v>10275</v>
      </c>
      <c r="F1830" s="218">
        <v>5</v>
      </c>
      <c r="G1830" s="218">
        <v>40</v>
      </c>
      <c r="H1830" s="218">
        <f>COUNTIF(HabilidadesEsenciales_Adquiridas,Tablas!E1830)</f>
        <v>0</v>
      </c>
      <c r="I1830" s="2818">
        <v>1</v>
      </c>
      <c r="J1830" s="422">
        <f t="array" ref="J1830">MAX({1;2;3;4;5}*H1834:H1838)</f>
        <v>0</v>
      </c>
      <c r="K1830" s="2809" t="s">
        <v>1813</v>
      </c>
      <c r="M1830" s="1959"/>
      <c r="N1830" s="100"/>
      <c r="O1830" s="468" t="s">
        <v>9825</v>
      </c>
      <c r="P1830" s="2811">
        <v>10</v>
      </c>
      <c r="Q1830" s="575">
        <v>60</v>
      </c>
      <c r="R1830" s="2818">
        <f>COUNTIF(PoderesDeCriatura_Adquiridos,Tablas!O1830)</f>
        <v>0</v>
      </c>
      <c r="S1830" s="422"/>
      <c r="T1830" s="2809"/>
      <c r="V1830" s="2868" t="s">
        <v>9506</v>
      </c>
      <c r="W1830" s="2836"/>
      <c r="X1830" s="2340" t="str">
        <f t="shared" si="108"/>
        <v>PodHab_Tipodemovimiento</v>
      </c>
      <c r="Y1830" s="2855" t="str">
        <f>"+"&amp;A1</f>
        <v>+1</v>
      </c>
      <c r="Z1830" s="2852" t="str">
        <f t="shared" ref="Z1830:AN1830" si="109">"+"&amp;B1</f>
        <v>+2</v>
      </c>
      <c r="AA1830" s="2852" t="str">
        <f t="shared" si="109"/>
        <v>+3</v>
      </c>
      <c r="AB1830" s="2852" t="str">
        <f t="shared" si="109"/>
        <v>+4</v>
      </c>
      <c r="AC1830" s="2852" t="str">
        <f t="shared" si="109"/>
        <v>+5</v>
      </c>
      <c r="AD1830" s="2852" t="str">
        <f t="shared" si="109"/>
        <v>+6</v>
      </c>
      <c r="AE1830" s="2852" t="str">
        <f t="shared" si="109"/>
        <v>+7</v>
      </c>
      <c r="AF1830" s="2852" t="str">
        <f t="shared" si="109"/>
        <v>+8</v>
      </c>
      <c r="AG1830" s="2852" t="str">
        <f t="shared" si="109"/>
        <v>+9</v>
      </c>
      <c r="AH1830" s="2852" t="str">
        <f t="shared" si="109"/>
        <v>+10</v>
      </c>
      <c r="AI1830" s="2852" t="str">
        <f t="shared" si="109"/>
        <v>+11</v>
      </c>
      <c r="AJ1830" s="2852" t="str">
        <f t="shared" si="109"/>
        <v>+12</v>
      </c>
      <c r="AK1830" s="2852" t="str">
        <f t="shared" si="109"/>
        <v>+13</v>
      </c>
      <c r="AL1830" s="2852" t="str">
        <f t="shared" si="109"/>
        <v>+14</v>
      </c>
      <c r="AM1830" s="2852" t="str">
        <f t="shared" si="109"/>
        <v>+15</v>
      </c>
      <c r="AN1830" s="2852" t="str">
        <f t="shared" si="109"/>
        <v>+16</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98"/>
      <c r="C1831" s="2813"/>
      <c r="D1831" s="260"/>
      <c r="E1831" s="2816" t="s">
        <v>10276</v>
      </c>
      <c r="F1831" s="218">
        <v>15</v>
      </c>
      <c r="G1831" s="218">
        <v>60</v>
      </c>
      <c r="H1831" s="218">
        <f>COUNTIF(HabilidadesEsenciales_Adquiridas,Tablas!E1831)</f>
        <v>0</v>
      </c>
      <c r="I1831" s="2818">
        <v>1</v>
      </c>
      <c r="J1831" s="422">
        <f t="array" ref="J1831">MAX({1;2;3;4;5}*H1839:H1843)</f>
        <v>0</v>
      </c>
      <c r="K1831" s="2809" t="s">
        <v>1690</v>
      </c>
      <c r="M1831" s="1959"/>
      <c r="N1831" s="100"/>
      <c r="O1831" s="468" t="s">
        <v>9826</v>
      </c>
      <c r="P1831" s="2811">
        <v>20</v>
      </c>
      <c r="Q1831" s="575">
        <v>80</v>
      </c>
      <c r="R1831" s="2818">
        <f>COUNTIF(PoderesDeCriatura_Adquiridos,Tablas!O1831)</f>
        <v>0</v>
      </c>
      <c r="S1831" s="422"/>
      <c r="T1831" s="2809"/>
      <c r="V1831" s="2868" t="s">
        <v>9469</v>
      </c>
      <c r="W1831" s="2836"/>
      <c r="X1831" s="2340" t="str">
        <f t="shared" si="108"/>
        <v>PodHab_Vuelonatural</v>
      </c>
      <c r="Y1831" s="2855" t="s">
        <v>9615</v>
      </c>
      <c r="Z1831" s="2852" t="s">
        <v>9616</v>
      </c>
      <c r="AA1831" s="2852" t="s">
        <v>9617</v>
      </c>
      <c r="AB1831" s="2852" t="s">
        <v>9618</v>
      </c>
      <c r="AC1831" s="2852" t="s">
        <v>9619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98"/>
      <c r="C1832" s="2813"/>
      <c r="D1832" s="260"/>
      <c r="E1832" s="2816" t="s">
        <v>10277</v>
      </c>
      <c r="F1832" s="218">
        <v>20</v>
      </c>
      <c r="G1832" s="218">
        <v>120</v>
      </c>
      <c r="H1832" s="218">
        <f>COUNTIF(HabilidadesEsenciales_Adquiridas,Tablas!E1832)</f>
        <v>0</v>
      </c>
      <c r="I1832" s="2818"/>
      <c r="J1832" s="422">
        <f t="array" ref="J1832">MAX({1;2;3;4;5}*H1844:H1848)</f>
        <v>0</v>
      </c>
      <c r="K1832" s="2809" t="s">
        <v>1695</v>
      </c>
      <c r="M1832" s="1959"/>
      <c r="N1832" s="100"/>
      <c r="O1832" s="468" t="s">
        <v>9827</v>
      </c>
      <c r="P1832" s="2811">
        <v>25</v>
      </c>
      <c r="Q1832" s="575">
        <v>100</v>
      </c>
      <c r="R1832" s="2818">
        <f>COUNTIF(PoderesDeCriatura_Adquiridos,Tablas!O1832)</f>
        <v>0</v>
      </c>
      <c r="S1832" s="422"/>
      <c r="T1832" s="2809"/>
      <c r="V1832" s="2868" t="s">
        <v>9470</v>
      </c>
      <c r="W1832" s="2836"/>
      <c r="X1832" s="2340" t="str">
        <f t="shared" si="108"/>
        <v>PodHab_Vuelomístico</v>
      </c>
      <c r="Y1832" s="2855" t="s">
        <v>9620</v>
      </c>
      <c r="Z1832" s="2852" t="s">
        <v>9615</v>
      </c>
      <c r="AA1832" s="2852" t="s">
        <v>9616</v>
      </c>
      <c r="AB1832" s="2852" t="s">
        <v>9617</v>
      </c>
      <c r="AC1832" s="2852" t="s">
        <v>9618</v>
      </c>
      <c r="AD1832" s="2852" t="s">
        <v>9619</v>
      </c>
      <c r="AE1832" s="2852" t="s">
        <v>9621</v>
      </c>
      <c r="AF1832" s="2852" t="s">
        <v>9622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98"/>
      <c r="C1833" s="2813"/>
      <c r="D1833" s="260"/>
      <c r="E1833" s="2816" t="s">
        <v>10278</v>
      </c>
      <c r="F1833" s="218">
        <v>25</v>
      </c>
      <c r="G1833" s="218">
        <v>180</v>
      </c>
      <c r="H1833" s="218">
        <f>COUNTIF(HabilidadesEsenciales_Adquiridas,Tablas!E1833)</f>
        <v>0</v>
      </c>
      <c r="I1833" s="2818"/>
      <c r="J1833" s="422">
        <f t="array" ref="J1833">MAX({1;2;3;4;5}*H1849:H1853)</f>
        <v>0</v>
      </c>
      <c r="K1833" s="2809" t="s">
        <v>1698</v>
      </c>
      <c r="M1833" s="1959"/>
      <c r="N1833" s="100"/>
      <c r="O1833" s="468" t="s">
        <v>9828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98"/>
      <c r="C1834" s="2813"/>
      <c r="D1834" s="260"/>
      <c r="E1834" s="2816" t="s">
        <v>10279</v>
      </c>
      <c r="F1834" s="218">
        <v>0</v>
      </c>
      <c r="G1834" s="218">
        <v>20</v>
      </c>
      <c r="H1834" s="218">
        <f>COUNTIF(HabilidadesEsenciales_Adquiridas,Tablas!E1834)</f>
        <v>0</v>
      </c>
      <c r="I1834" s="2818">
        <v>1</v>
      </c>
      <c r="J1834" s="422">
        <f t="array" ref="J1834">MAX({1;2;3;4;5}*H1854:H1858)</f>
        <v>0</v>
      </c>
      <c r="K1834" s="2809" t="s">
        <v>1701</v>
      </c>
      <c r="M1834" s="1959"/>
      <c r="N1834" s="100"/>
      <c r="O1834" s="468" t="s">
        <v>9829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9623</v>
      </c>
      <c r="Z1834" s="2852" t="s">
        <v>3281</v>
      </c>
      <c r="AA1834" s="2852" t="s">
        <v>9624</v>
      </c>
      <c r="AB1834" s="2852" t="s">
        <v>9625</v>
      </c>
      <c r="AC1834" s="2852" t="s">
        <v>9626</v>
      </c>
      <c r="AD1834" s="2852" t="s">
        <v>9627</v>
      </c>
      <c r="AE1834" s="2852" t="s">
        <v>9628</v>
      </c>
      <c r="AF1834" s="2852" t="s">
        <v>9629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98"/>
      <c r="C1835" s="2813"/>
      <c r="D1835" s="260"/>
      <c r="E1835" s="2816" t="s">
        <v>10280</v>
      </c>
      <c r="F1835" s="218">
        <v>5</v>
      </c>
      <c r="G1835" s="218">
        <v>40</v>
      </c>
      <c r="H1835" s="218">
        <f>COUNTIF(HabilidadesEsenciales_Adquiridas,Tablas!E1835)</f>
        <v>0</v>
      </c>
      <c r="I1835" s="2818">
        <v>1</v>
      </c>
      <c r="J1835" s="422">
        <f t="array" ref="J1835">MAX({1;2;3;4;5}*H1859:H1863)</f>
        <v>0</v>
      </c>
      <c r="K1835" s="2809" t="s">
        <v>1703</v>
      </c>
      <c r="M1835" s="1959"/>
      <c r="N1835" s="100"/>
      <c r="O1835" s="468" t="s">
        <v>9830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9630</v>
      </c>
      <c r="Z1835" s="2852" t="s">
        <v>9631</v>
      </c>
      <c r="AA1835" s="2852" t="s">
        <v>9632</v>
      </c>
      <c r="AB1835" s="2852" t="s">
        <v>9633</v>
      </c>
      <c r="AC1835" s="2852" t="s">
        <v>9634</v>
      </c>
      <c r="AD1835" s="2852" t="s">
        <v>9635</v>
      </c>
      <c r="AE1835" s="2852" t="s">
        <v>9636</v>
      </c>
      <c r="AF1835" s="2852" t="s">
        <v>9637</v>
      </c>
      <c r="AG1835" s="2852" t="s">
        <v>9638</v>
      </c>
      <c r="AH1835" s="2852" t="s">
        <v>9639</v>
      </c>
      <c r="AI1835" s="2852" t="s">
        <v>9640</v>
      </c>
      <c r="AJ1835" s="2852" t="s">
        <v>9641</v>
      </c>
      <c r="AK1835" s="2852" t="s">
        <v>9642</v>
      </c>
      <c r="AL1835" s="2852" t="s">
        <v>9643</v>
      </c>
      <c r="AM1835" s="2852" t="s">
        <v>9644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98"/>
      <c r="C1836" s="2813"/>
      <c r="D1836" s="260"/>
      <c r="E1836" s="2816" t="s">
        <v>10281</v>
      </c>
      <c r="F1836" s="218">
        <v>15</v>
      </c>
      <c r="G1836" s="218">
        <v>60</v>
      </c>
      <c r="H1836" s="218">
        <f>COUNTIF(HabilidadesEsenciales_Adquiridas,Tablas!E1836)</f>
        <v>0</v>
      </c>
      <c r="I1836" s="2818">
        <v>1</v>
      </c>
      <c r="J1836" s="422">
        <f t="array" ref="J1836">MAX({1;2;3;4;5}*H1864:H1868)</f>
        <v>0</v>
      </c>
      <c r="K1836" s="2809" t="s">
        <v>1704</v>
      </c>
      <c r="M1836" s="1959"/>
      <c r="N1836" s="100"/>
      <c r="O1836" s="468" t="s">
        <v>9831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9645</v>
      </c>
      <c r="Z1836" s="2852" t="s">
        <v>9646</v>
      </c>
      <c r="AA1836" s="2852" t="s">
        <v>9647</v>
      </c>
      <c r="AB1836" s="2852" t="s">
        <v>9648</v>
      </c>
      <c r="AC1836" s="2852" t="s">
        <v>9649</v>
      </c>
      <c r="AD1836" s="2852" t="s">
        <v>9650</v>
      </c>
      <c r="AE1836" s="2852" t="s">
        <v>9651</v>
      </c>
      <c r="AF1836" s="2852" t="s">
        <v>9652</v>
      </c>
      <c r="AG1836" s="2852" t="s">
        <v>9653</v>
      </c>
      <c r="AH1836" s="2852" t="s">
        <v>9654</v>
      </c>
      <c r="AI1836" s="2852" t="s">
        <v>9655</v>
      </c>
      <c r="AJ1836" s="2852" t="s">
        <v>9656</v>
      </c>
      <c r="AK1836" s="2852" t="s">
        <v>9657</v>
      </c>
      <c r="AL1836" s="2852" t="s">
        <v>9658</v>
      </c>
      <c r="AM1836" s="2852" t="s">
        <v>9659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98"/>
      <c r="C1837" s="2813"/>
      <c r="D1837" s="260"/>
      <c r="E1837" s="2816" t="s">
        <v>10282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9660</v>
      </c>
      <c r="Z1837" s="2852" t="s">
        <v>9620</v>
      </c>
      <c r="AA1837" s="2852" t="s">
        <v>9615</v>
      </c>
      <c r="AB1837" s="2852" t="s">
        <v>9616</v>
      </c>
      <c r="AC1837" s="2852" t="s">
        <v>9617</v>
      </c>
      <c r="AD1837" s="2852" t="s">
        <v>9618</v>
      </c>
      <c r="AE1837" s="2852" t="s">
        <v>9619</v>
      </c>
      <c r="AF1837" s="2852" t="s">
        <v>9621</v>
      </c>
      <c r="AG1837" s="2852" t="s">
        <v>9661</v>
      </c>
      <c r="AH1837" s="2852" t="s">
        <v>9662</v>
      </c>
      <c r="AI1837" s="2852" t="s">
        <v>9663</v>
      </c>
      <c r="AJ1837" s="2852" t="s">
        <v>9664</v>
      </c>
      <c r="AK1837" s="2852" t="s">
        <v>9665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98"/>
      <c r="C1838" s="2813"/>
      <c r="D1838" s="260"/>
      <c r="E1838" s="2816" t="s">
        <v>10283</v>
      </c>
      <c r="F1838" s="218">
        <v>25</v>
      </c>
      <c r="G1838" s="218">
        <v>180</v>
      </c>
      <c r="H1838" s="218">
        <f>COUNTIF(HabilidadesEsenciales_Adquiridas,Tablas!E1838)</f>
        <v>0</v>
      </c>
      <c r="I1838" s="2818"/>
      <c r="J1838" s="422"/>
      <c r="K1838" s="2809"/>
      <c r="M1838" s="1959"/>
      <c r="N1838" s="100"/>
      <c r="O1838" s="468" t="s">
        <v>9832</v>
      </c>
      <c r="P1838" s="2811">
        <v>0</v>
      </c>
      <c r="Q1838" s="575">
        <v>10</v>
      </c>
      <c r="R1838" s="2818">
        <f>COUNTIF(PoderesDeCriatura_Adquiridos,Tablas!O1838)</f>
        <v>0</v>
      </c>
      <c r="S1838" s="422"/>
      <c r="T1838" s="2809"/>
      <c r="V1838" s="2868" t="s">
        <v>9471</v>
      </c>
      <c r="W1838" s="2836"/>
      <c r="X1838" s="2340" t="str">
        <f t="shared" si="108"/>
        <v>PodHab_Degeneración</v>
      </c>
      <c r="Y1838" s="2855" t="s">
        <v>9666</v>
      </c>
      <c r="Z1838" s="2852" t="s">
        <v>9667</v>
      </c>
      <c r="AA1838" s="2852" t="s">
        <v>9668</v>
      </c>
      <c r="AB1838" s="2852" t="s">
        <v>9669</v>
      </c>
      <c r="AC1838" s="2852" t="s">
        <v>9670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98"/>
      <c r="C1839" s="2813"/>
      <c r="D1839" s="260"/>
      <c r="E1839" s="2816" t="s">
        <v>10284</v>
      </c>
      <c r="F1839" s="218">
        <v>0</v>
      </c>
      <c r="G1839" s="218">
        <v>20</v>
      </c>
      <c r="H1839" s="218">
        <f>COUNTIF(HabilidadesEsenciales_Adquiridas,Tablas!E1839)</f>
        <v>0</v>
      </c>
      <c r="I1839" s="2818">
        <v>1</v>
      </c>
      <c r="J1839" s="422"/>
      <c r="K1839" s="2809"/>
      <c r="M1839" s="1959"/>
      <c r="N1839" s="100"/>
      <c r="O1839" s="468" t="s">
        <v>9833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98"/>
      <c r="C1840" s="2813"/>
      <c r="D1840" s="260"/>
      <c r="E1840" s="2816" t="s">
        <v>10285</v>
      </c>
      <c r="F1840" s="218">
        <v>5</v>
      </c>
      <c r="G1840" s="218">
        <v>40</v>
      </c>
      <c r="H1840" s="218">
        <f>COUNTIF(HabilidadesEsenciales_Adquiridas,Tablas!E1840)</f>
        <v>0</v>
      </c>
      <c r="I1840" s="2818">
        <v>1</v>
      </c>
      <c r="J1840" s="422"/>
      <c r="K1840" s="2809"/>
      <c r="M1840" s="1959"/>
      <c r="N1840" s="100"/>
      <c r="O1840" s="468" t="s">
        <v>9834</v>
      </c>
      <c r="P1840" s="2811">
        <v>15</v>
      </c>
      <c r="Q1840" s="575">
        <v>20</v>
      </c>
      <c r="R1840" s="2818">
        <f>COUNTIF(PoderesDeCriatura_Adquiridos,Tablas!O1840)</f>
        <v>0</v>
      </c>
      <c r="S1840" s="422"/>
      <c r="T1840" s="2809"/>
      <c r="V1840" s="2868" t="s">
        <v>196</v>
      </c>
      <c r="W1840" s="2836"/>
      <c r="X1840" s="2340" t="str">
        <f t="shared" si="108"/>
        <v>PodHab_Inmunidad</v>
      </c>
      <c r="Y1840" s="2855" t="s">
        <v>9671</v>
      </c>
      <c r="Z1840" s="2852" t="s">
        <v>9672</v>
      </c>
      <c r="AA1840" s="2852" t="s">
        <v>9673</v>
      </c>
      <c r="AB1840" s="2852" t="s">
        <v>9674</v>
      </c>
      <c r="AC1840" s="2852" t="s">
        <v>9675</v>
      </c>
      <c r="AD1840" s="2852" t="s">
        <v>9676</v>
      </c>
      <c r="AE1840" s="2852" t="s">
        <v>9677</v>
      </c>
      <c r="AF1840" s="2852" t="s">
        <v>9678</v>
      </c>
      <c r="AG1840" s="2852" t="s">
        <v>9679</v>
      </c>
      <c r="AH1840" s="2852" t="s">
        <v>9680</v>
      </c>
      <c r="AI1840" s="2852" t="s">
        <v>9681</v>
      </c>
      <c r="AJ1840" s="2852" t="s">
        <v>9682</v>
      </c>
      <c r="AK1840" s="2852" t="s">
        <v>9683</v>
      </c>
      <c r="AL1840" s="2852" t="s">
        <v>9684</v>
      </c>
      <c r="AM1840" s="2852" t="s">
        <v>9685</v>
      </c>
      <c r="AN1840" s="2852" t="s">
        <v>9686</v>
      </c>
      <c r="AO1840" s="2852" t="s">
        <v>9687</v>
      </c>
      <c r="AP1840" s="2852" t="s">
        <v>9688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98"/>
      <c r="C1841" s="2813"/>
      <c r="D1841" s="260"/>
      <c r="E1841" s="2816" t="s">
        <v>10286</v>
      </c>
      <c r="F1841" s="218">
        <v>15</v>
      </c>
      <c r="G1841" s="218">
        <v>60</v>
      </c>
      <c r="H1841" s="218">
        <f>COUNTIF(HabilidadesEsenciales_Adquiridas,Tablas!E1841)</f>
        <v>0</v>
      </c>
      <c r="I1841" s="2818">
        <v>1</v>
      </c>
      <c r="J1841" s="422"/>
      <c r="K1841" s="2809"/>
      <c r="M1841" s="1959"/>
      <c r="N1841" s="100"/>
      <c r="O1841" s="468" t="s">
        <v>9835</v>
      </c>
      <c r="P1841" s="2811">
        <v>20</v>
      </c>
      <c r="Q1841" s="575">
        <v>25</v>
      </c>
      <c r="R1841" s="2818">
        <f>COUNTIF(PoderesDeCriatura_Adquiridos,Tablas!O1841)</f>
        <v>0</v>
      </c>
      <c r="S1841" s="422"/>
      <c r="T1841" s="2809"/>
      <c r="V1841" s="2868" t="s">
        <v>9472</v>
      </c>
      <c r="W1841" s="2836"/>
      <c r="X1841" s="2340" t="str">
        <f t="shared" si="108"/>
        <v>PodHab_Vulnerabilidadextrema</v>
      </c>
      <c r="Y1841" s="2855" t="s">
        <v>9689</v>
      </c>
      <c r="Z1841" s="2852" t="s">
        <v>9690</v>
      </c>
      <c r="AA1841" s="2852" t="s">
        <v>9691</v>
      </c>
      <c r="AB1841" s="2852" t="s">
        <v>9692</v>
      </c>
      <c r="AC1841" s="2852" t="s">
        <v>9693</v>
      </c>
      <c r="AD1841" s="2852" t="s">
        <v>9694</v>
      </c>
      <c r="AE1841" s="2852" t="s">
        <v>9695</v>
      </c>
      <c r="AF1841" s="2852" t="s">
        <v>9696</v>
      </c>
      <c r="AG1841" s="2852" t="s">
        <v>9696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98"/>
      <c r="C1842" s="2813"/>
      <c r="D1842" s="260"/>
      <c r="E1842" s="2816" t="s">
        <v>10287</v>
      </c>
      <c r="F1842" s="218">
        <v>20</v>
      </c>
      <c r="G1842" s="218">
        <v>120</v>
      </c>
      <c r="H1842" s="218">
        <f>COUNTIF(HabilidadesEsenciales_Adquiridas,Tablas!E1842)</f>
        <v>0</v>
      </c>
      <c r="I1842" s="2818"/>
      <c r="J1842" s="422"/>
      <c r="K1842" s="2809"/>
      <c r="M1842" s="1959"/>
      <c r="N1842" s="100"/>
      <c r="O1842" s="468" t="s">
        <v>9836</v>
      </c>
      <c r="P1842" s="2811">
        <v>25</v>
      </c>
      <c r="Q1842" s="575">
        <v>30</v>
      </c>
      <c r="R1842" s="2818">
        <f>COUNTIF(PoderesDeCriatura_Adquiridos,Tablas!O1842)</f>
        <v>0</v>
      </c>
      <c r="S1842" s="422"/>
      <c r="T1842" s="2809"/>
      <c r="V1842" s="2868" t="s">
        <v>9473</v>
      </c>
      <c r="W1842" s="2836"/>
      <c r="X1842" s="2340" t="str">
        <f t="shared" si="108"/>
        <v>PodHab_Barreradedaño</v>
      </c>
      <c r="Y1842" s="2855" t="s">
        <v>9697</v>
      </c>
      <c r="Z1842" s="2852" t="s">
        <v>9698</v>
      </c>
      <c r="AA1842" s="2852" t="s">
        <v>9699</v>
      </c>
      <c r="AB1842" s="2852" t="s">
        <v>9700</v>
      </c>
      <c r="AC1842" s="2852" t="s">
        <v>9701</v>
      </c>
      <c r="AD1842" s="2852" t="s">
        <v>9702</v>
      </c>
      <c r="AE1842" s="2852" t="s">
        <v>9703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98"/>
      <c r="C1843" s="2813"/>
      <c r="D1843" s="260"/>
      <c r="E1843" s="2816" t="s">
        <v>10288</v>
      </c>
      <c r="F1843" s="218">
        <v>25</v>
      </c>
      <c r="G1843" s="218">
        <v>180</v>
      </c>
      <c r="H1843" s="218">
        <f>COUNTIF(HabilidadesEsenciales_Adquiridas,Tablas!E1843)</f>
        <v>0</v>
      </c>
      <c r="I1843" s="2818"/>
      <c r="J1843" s="422"/>
      <c r="K1843" s="2809"/>
      <c r="M1843" s="1959"/>
      <c r="N1843" s="100"/>
      <c r="O1843" s="468" t="s">
        <v>9837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98"/>
      <c r="C1844" s="2813"/>
      <c r="D1844" s="260"/>
      <c r="E1844" s="2816" t="s">
        <v>10289</v>
      </c>
      <c r="F1844" s="218">
        <v>0</v>
      </c>
      <c r="G1844" s="218">
        <v>20</v>
      </c>
      <c r="H1844" s="218">
        <f>COUNTIF(HabilidadesEsenciales_Adquiridas,Tablas!E1844)</f>
        <v>0</v>
      </c>
      <c r="I1844" s="2818">
        <v>1</v>
      </c>
      <c r="J1844" s="422"/>
      <c r="K1844" s="2809"/>
      <c r="M1844" s="1959"/>
      <c r="N1844" s="100"/>
      <c r="O1844" s="468" t="s">
        <v>9838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9704</v>
      </c>
      <c r="AB1844" s="2852" t="s">
        <v>6000</v>
      </c>
      <c r="AC1844" s="2852" t="s">
        <v>9705</v>
      </c>
      <c r="AD1844" s="2852" t="s">
        <v>6001</v>
      </c>
      <c r="AE1844" s="2852" t="s">
        <v>9706</v>
      </c>
      <c r="AF1844" s="2852" t="s">
        <v>6002</v>
      </c>
      <c r="AG1844" s="2852" t="s">
        <v>9707</v>
      </c>
      <c r="AH1844" s="2852" t="s">
        <v>7696</v>
      </c>
      <c r="AI1844" s="2852" t="s">
        <v>7697</v>
      </c>
      <c r="AJ1844" s="2852" t="s">
        <v>9708</v>
      </c>
      <c r="AK1844" s="2852" t="s">
        <v>9709</v>
      </c>
      <c r="AL1844" s="2852" t="s">
        <v>9710</v>
      </c>
      <c r="AM1844" s="2852" t="s">
        <v>9711</v>
      </c>
      <c r="AN1844" s="2852" t="s">
        <v>9712</v>
      </c>
      <c r="AO1844" s="2852" t="s">
        <v>9713</v>
      </c>
      <c r="AP1844" s="2852" t="s">
        <v>9714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98"/>
      <c r="C1845" s="2813"/>
      <c r="D1845" s="260"/>
      <c r="E1845" s="2816" t="s">
        <v>10290</v>
      </c>
      <c r="F1845" s="218">
        <v>5</v>
      </c>
      <c r="G1845" s="218">
        <v>40</v>
      </c>
      <c r="H1845" s="218">
        <f>COUNTIF(HabilidadesEsenciales_Adquiridas,Tablas!E1845)</f>
        <v>0</v>
      </c>
      <c r="I1845" s="2818">
        <v>1</v>
      </c>
      <c r="J1845" s="422"/>
      <c r="K1845" s="2809"/>
      <c r="M1845" s="1959"/>
      <c r="N1845" s="100"/>
      <c r="O1845" s="468" t="s">
        <v>9839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9704</v>
      </c>
      <c r="AB1845" s="2852" t="s">
        <v>6000</v>
      </c>
      <c r="AC1845" s="2852" t="s">
        <v>9705</v>
      </c>
      <c r="AD1845" s="2852" t="s">
        <v>6001</v>
      </c>
      <c r="AE1845" s="2852" t="s">
        <v>9706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98"/>
      <c r="C1846" s="2813"/>
      <c r="D1846" s="260"/>
      <c r="E1846" s="2816" t="s">
        <v>10291</v>
      </c>
      <c r="F1846" s="218">
        <v>15</v>
      </c>
      <c r="G1846" s="218">
        <v>60</v>
      </c>
      <c r="H1846" s="218">
        <f>COUNTIF(HabilidadesEsenciales_Adquiridas,Tablas!E1846)</f>
        <v>0</v>
      </c>
      <c r="I1846" s="2818">
        <v>1</v>
      </c>
      <c r="J1846" s="422"/>
      <c r="K1846" s="2809"/>
      <c r="M1846" s="1959"/>
      <c r="N1846" s="100"/>
      <c r="O1846" s="468" t="s">
        <v>9840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98"/>
      <c r="C1847" s="2813"/>
      <c r="D1847" s="260"/>
      <c r="E1847" s="2816" t="s">
        <v>10292</v>
      </c>
      <c r="F1847" s="218">
        <v>20</v>
      </c>
      <c r="G1847" s="218">
        <v>120</v>
      </c>
      <c r="H1847" s="218">
        <f>COUNTIF(HabilidadesEsenciales_Adquiridas,Tablas!E1847)</f>
        <v>0</v>
      </c>
      <c r="I1847" s="2818"/>
      <c r="J1847" s="422"/>
      <c r="K1847" s="2809"/>
      <c r="M1847" s="1959"/>
      <c r="N1847" s="100"/>
      <c r="O1847" s="468" t="s">
        <v>9841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9715</v>
      </c>
      <c r="Z1847" s="2852" t="s">
        <v>9716</v>
      </c>
      <c r="AA1847" s="2852" t="s">
        <v>9717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98"/>
      <c r="C1848" s="2813"/>
      <c r="D1848" s="260"/>
      <c r="E1848" s="2816" t="s">
        <v>10293</v>
      </c>
      <c r="F1848" s="218">
        <v>25</v>
      </c>
      <c r="G1848" s="218">
        <v>180</v>
      </c>
      <c r="H1848" s="218">
        <f>COUNTIF(HabilidadesEsenciales_Adquiridas,Tablas!E1848)</f>
        <v>0</v>
      </c>
      <c r="I1848" s="2818"/>
      <c r="J1848" s="422"/>
      <c r="K1848" s="2809"/>
      <c r="M1848" s="1959"/>
      <c r="N1848" s="100"/>
      <c r="O1848" s="468" t="s">
        <v>9842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98"/>
      <c r="C1849" s="2813"/>
      <c r="D1849" s="260"/>
      <c r="E1849" s="2816" t="s">
        <v>10294</v>
      </c>
      <c r="F1849" s="218">
        <v>0</v>
      </c>
      <c r="G1849" s="218">
        <v>20</v>
      </c>
      <c r="H1849" s="218">
        <f>COUNTIF(HabilidadesEsenciales_Adquiridas,Tablas!E1849)</f>
        <v>0</v>
      </c>
      <c r="I1849" s="2818">
        <v>1</v>
      </c>
      <c r="J1849" s="422"/>
      <c r="K1849" s="2809"/>
      <c r="M1849" s="1959"/>
      <c r="N1849" s="100"/>
      <c r="O1849" s="468" t="s">
        <v>9843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9718</v>
      </c>
      <c r="BF1849" s="2852" t="s">
        <v>9595</v>
      </c>
      <c r="BG1849" s="2852" t="s">
        <v>9719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98"/>
      <c r="C1850" s="2813"/>
      <c r="D1850" s="260"/>
      <c r="E1850" s="2816" t="s">
        <v>10295</v>
      </c>
      <c r="F1850" s="218">
        <v>5</v>
      </c>
      <c r="G1850" s="218">
        <v>40</v>
      </c>
      <c r="H1850" s="218">
        <f>COUNTIF(HabilidadesEsenciales_Adquiridas,Tablas!E1850)</f>
        <v>0</v>
      </c>
      <c r="I1850" s="2818">
        <v>1</v>
      </c>
      <c r="J1850" s="422"/>
      <c r="K1850" s="2809"/>
      <c r="M1850" s="1959"/>
      <c r="N1850" s="100"/>
      <c r="O1850" s="468" t="s">
        <v>9844</v>
      </c>
      <c r="P1850" s="2811">
        <v>40</v>
      </c>
      <c r="Q1850" s="575">
        <v>80</v>
      </c>
      <c r="R1850" s="2818">
        <f>COUNTIF(PoderesDeCriatura_Adquiridos,Tablas!O1850)</f>
        <v>0</v>
      </c>
      <c r="S1850" s="422"/>
      <c r="T1850" s="2809"/>
      <c r="V1850" s="2868" t="s">
        <v>9474</v>
      </c>
      <c r="W1850" s="2836"/>
      <c r="X1850" s="2340" t="str">
        <f t="shared" si="108"/>
        <v>PodHab_Forma</v>
      </c>
      <c r="Y1850" s="2855" t="s">
        <v>9720</v>
      </c>
      <c r="Z1850" s="2852" t="s">
        <v>9721</v>
      </c>
      <c r="AA1850" s="2852" t="s">
        <v>626</v>
      </c>
      <c r="AB1850" s="2852" t="s">
        <v>9722</v>
      </c>
      <c r="AC1850" s="2852" t="s">
        <v>9688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98"/>
      <c r="C1851" s="2813"/>
      <c r="D1851" s="260"/>
      <c r="E1851" s="2816" t="s">
        <v>10296</v>
      </c>
      <c r="F1851" s="218">
        <v>15</v>
      </c>
      <c r="G1851" s="218">
        <v>60</v>
      </c>
      <c r="H1851" s="218">
        <f>COUNTIF(HabilidadesEsenciales_Adquiridas,Tablas!E1851)</f>
        <v>0</v>
      </c>
      <c r="I1851" s="2818">
        <v>1</v>
      </c>
      <c r="J1851" s="422"/>
      <c r="K1851" s="2809"/>
      <c r="M1851" s="1959"/>
      <c r="N1851" s="100"/>
      <c r="O1851" s="468" t="s">
        <v>9845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9723</v>
      </c>
      <c r="Z1851" s="2852" t="s">
        <v>9724</v>
      </c>
      <c r="AA1851" s="2852" t="s">
        <v>9725</v>
      </c>
      <c r="AB1851" s="2852" t="s">
        <v>9726</v>
      </c>
      <c r="AC1851" s="2852" t="s">
        <v>2</v>
      </c>
      <c r="AD1851" s="2852" t="s">
        <v>9727</v>
      </c>
      <c r="AE1851" s="2852" t="s">
        <v>3</v>
      </c>
      <c r="AF1851" s="2852" t="s">
        <v>9728</v>
      </c>
      <c r="AG1851" s="2852" t="s">
        <v>4</v>
      </c>
      <c r="AH1851" s="2852" t="s">
        <v>9729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98"/>
      <c r="C1852" s="2813"/>
      <c r="D1852" s="260"/>
      <c r="E1852" s="2816" t="s">
        <v>10297</v>
      </c>
      <c r="F1852" s="218">
        <v>20</v>
      </c>
      <c r="G1852" s="218">
        <v>120</v>
      </c>
      <c r="H1852" s="218">
        <f>COUNTIF(HabilidadesEsenciales_Adquiridas,Tablas!E1852)</f>
        <v>0</v>
      </c>
      <c r="I1852" s="2818">
        <v>1</v>
      </c>
      <c r="J1852" s="422"/>
      <c r="K1852" s="2809"/>
      <c r="M1852" s="1959"/>
      <c r="N1852" s="100"/>
      <c r="O1852" s="468" t="s">
        <v>9846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9730</v>
      </c>
      <c r="Z1852" s="2852" t="s">
        <v>9731</v>
      </c>
      <c r="AA1852" s="2852" t="s">
        <v>9545</v>
      </c>
      <c r="AB1852" s="2852" t="s">
        <v>9732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98"/>
      <c r="C1853" s="2813"/>
      <c r="D1853" s="260"/>
      <c r="E1853" s="2816" t="s">
        <v>10298</v>
      </c>
      <c r="F1853" s="218">
        <v>25</v>
      </c>
      <c r="G1853" s="218">
        <v>180</v>
      </c>
      <c r="H1853" s="218">
        <f>COUNTIF(HabilidadesEsenciales_Adquiridas,Tablas!E1853)</f>
        <v>0</v>
      </c>
      <c r="I1853" s="2818">
        <v>1</v>
      </c>
      <c r="J1853" s="422"/>
      <c r="K1853" s="2809"/>
      <c r="M1853" s="1959"/>
      <c r="N1853" s="100"/>
      <c r="O1853" s="468" t="s">
        <v>9847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9733</v>
      </c>
      <c r="Z1853" s="2852" t="s">
        <v>9731</v>
      </c>
      <c r="AA1853" s="2852" t="s">
        <v>9545</v>
      </c>
      <c r="AB1853" s="2852" t="s">
        <v>9732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98"/>
      <c r="C1854" s="2813"/>
      <c r="D1854" s="260"/>
      <c r="E1854" s="2816" t="s">
        <v>10299</v>
      </c>
      <c r="F1854" s="218">
        <v>0</v>
      </c>
      <c r="G1854" s="218">
        <v>20</v>
      </c>
      <c r="H1854" s="218">
        <f>COUNTIF(HabilidadesEsenciales_Adquiridas,Tablas!E1854)</f>
        <v>0</v>
      </c>
      <c r="I1854" s="2818">
        <v>1</v>
      </c>
      <c r="J1854" s="422"/>
      <c r="K1854" s="2809"/>
      <c r="M1854" s="1959"/>
      <c r="N1854" s="100"/>
      <c r="O1854" s="468" t="s">
        <v>9848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9734</v>
      </c>
      <c r="Z1854" s="2852" t="s">
        <v>2062</v>
      </c>
      <c r="AA1854" s="2852" t="s">
        <v>4706</v>
      </c>
      <c r="AB1854" s="2852" t="s">
        <v>9732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98"/>
      <c r="C1855" s="2813"/>
      <c r="D1855" s="260"/>
      <c r="E1855" s="2816" t="s">
        <v>10300</v>
      </c>
      <c r="F1855" s="218">
        <v>5</v>
      </c>
      <c r="G1855" s="218">
        <v>40</v>
      </c>
      <c r="H1855" s="218">
        <f>COUNTIF(HabilidadesEsenciales_Adquiridas,Tablas!E1855)</f>
        <v>0</v>
      </c>
      <c r="I1855" s="2818">
        <v>1</v>
      </c>
      <c r="J1855" s="422"/>
      <c r="K1855" s="2809"/>
      <c r="M1855" s="1959"/>
      <c r="N1855" s="100"/>
      <c r="O1855" s="468" t="s">
        <v>9849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98"/>
      <c r="C1856" s="2813"/>
      <c r="D1856" s="260"/>
      <c r="E1856" s="2816" t="s">
        <v>10301</v>
      </c>
      <c r="F1856" s="218">
        <v>15</v>
      </c>
      <c r="G1856" s="218">
        <v>60</v>
      </c>
      <c r="H1856" s="218">
        <f>COUNTIF(HabilidadesEsenciales_Adquiridas,Tablas!E1856)</f>
        <v>0</v>
      </c>
      <c r="I1856" s="2818">
        <v>1</v>
      </c>
      <c r="J1856" s="422"/>
      <c r="K1856" s="2809"/>
      <c r="M1856" s="1959"/>
      <c r="N1856" s="100"/>
      <c r="O1856" s="468" t="s">
        <v>9850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9735</v>
      </c>
      <c r="AD1856" s="2852" t="s">
        <v>9736</v>
      </c>
      <c r="AE1856" s="2852" t="s">
        <v>9737</v>
      </c>
      <c r="AF1856" s="2852" t="s">
        <v>5200</v>
      </c>
      <c r="AG1856" s="2852" t="s">
        <v>5157</v>
      </c>
      <c r="AH1856" s="2852" t="s">
        <v>4834</v>
      </c>
      <c r="AI1856" s="2852" t="s">
        <v>5381</v>
      </c>
      <c r="AJ1856" s="2852" t="s">
        <v>6420</v>
      </c>
      <c r="AK1856" s="2852" t="s">
        <v>9738</v>
      </c>
      <c r="AL1856" s="2852" t="s">
        <v>9739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98"/>
      <c r="C1857" s="2813"/>
      <c r="D1857" s="260"/>
      <c r="E1857" s="2816" t="s">
        <v>10302</v>
      </c>
      <c r="F1857" s="218">
        <v>20</v>
      </c>
      <c r="G1857" s="218">
        <v>120</v>
      </c>
      <c r="H1857" s="218">
        <f>COUNTIF(HabilidadesEsenciales_Adquiridas,Tablas!E1857)</f>
        <v>0</v>
      </c>
      <c r="I1857" s="2818"/>
      <c r="J1857" s="422"/>
      <c r="K1857" s="2809"/>
      <c r="M1857" s="1959"/>
      <c r="N1857" s="100"/>
      <c r="O1857" s="468" t="s">
        <v>9851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98"/>
      <c r="C1858" s="2813"/>
      <c r="D1858" s="260"/>
      <c r="E1858" s="2816" t="s">
        <v>10303</v>
      </c>
      <c r="F1858" s="218">
        <v>25</v>
      </c>
      <c r="G1858" s="218">
        <v>180</v>
      </c>
      <c r="H1858" s="218">
        <f>COUNTIF(HabilidadesEsenciales_Adquiridas,Tablas!E1858)</f>
        <v>0</v>
      </c>
      <c r="I1858" s="2818"/>
      <c r="J1858" s="422"/>
      <c r="K1858" s="2809"/>
      <c r="M1858" s="1959"/>
      <c r="N1858" s="100"/>
      <c r="O1858" s="468" t="s">
        <v>9852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98"/>
      <c r="C1859" s="2813"/>
      <c r="D1859" s="260"/>
      <c r="E1859" s="2816" t="s">
        <v>10304</v>
      </c>
      <c r="F1859" s="218">
        <v>0</v>
      </c>
      <c r="G1859" s="218">
        <v>20</v>
      </c>
      <c r="H1859" s="218">
        <f>COUNTIF(HabilidadesEsenciales_Adquiridas,Tablas!E1859)</f>
        <v>0</v>
      </c>
      <c r="I1859" s="2818">
        <v>1</v>
      </c>
      <c r="J1859" s="422"/>
      <c r="K1859" s="2809"/>
      <c r="M1859" s="1959"/>
      <c r="N1859" s="100"/>
      <c r="O1859" s="468" t="s">
        <v>9853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9740</v>
      </c>
      <c r="Z1859" s="2852" t="s">
        <v>9741</v>
      </c>
      <c r="AA1859" s="2852" t="s">
        <v>9742</v>
      </c>
      <c r="AB1859" s="2852" t="s">
        <v>9743</v>
      </c>
      <c r="AC1859" s="2852" t="s">
        <v>9744</v>
      </c>
      <c r="AD1859" s="2852" t="s">
        <v>9745</v>
      </c>
      <c r="AE1859" s="2852" t="s">
        <v>9746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98"/>
      <c r="C1860" s="2813"/>
      <c r="D1860" s="260"/>
      <c r="E1860" s="2816" t="s">
        <v>10305</v>
      </c>
      <c r="F1860" s="218">
        <v>5</v>
      </c>
      <c r="G1860" s="218">
        <v>40</v>
      </c>
      <c r="H1860" s="218">
        <f>COUNTIF(HabilidadesEsenciales_Adquiridas,Tablas!E1860)</f>
        <v>0</v>
      </c>
      <c r="I1860" s="2818">
        <v>1</v>
      </c>
      <c r="J1860" s="422"/>
      <c r="K1860" s="2809"/>
      <c r="M1860" s="1959"/>
      <c r="N1860" s="100"/>
      <c r="O1860" s="468" t="s">
        <v>9854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98"/>
      <c r="C1861" s="2813"/>
      <c r="D1861" s="260"/>
      <c r="E1861" s="2816" t="s">
        <v>10306</v>
      </c>
      <c r="F1861" s="218">
        <v>15</v>
      </c>
      <c r="G1861" s="218">
        <v>60</v>
      </c>
      <c r="H1861" s="218">
        <f>COUNTIF(HabilidadesEsenciales_Adquiridas,Tablas!E1861)</f>
        <v>0</v>
      </c>
      <c r="I1861" s="2818">
        <v>1</v>
      </c>
      <c r="J1861" s="422"/>
      <c r="K1861" s="2809"/>
      <c r="M1861" s="1959"/>
      <c r="N1861" s="100"/>
      <c r="O1861" s="468" t="s">
        <v>9855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9747</v>
      </c>
      <c r="Z1861" s="2852" t="s">
        <v>9748</v>
      </c>
      <c r="AA1861" s="2852" t="s">
        <v>9749</v>
      </c>
      <c r="AB1861" s="2852" t="s">
        <v>9750</v>
      </c>
      <c r="AC1861" s="2852" t="s">
        <v>9751</v>
      </c>
      <c r="AD1861" s="2852" t="s">
        <v>9752</v>
      </c>
      <c r="AE1861" s="2340" t="s">
        <v>1134</v>
      </c>
      <c r="AF1861" s="2852" t="s">
        <v>84</v>
      </c>
      <c r="AG1861" s="2852" t="s">
        <v>2629</v>
      </c>
      <c r="AH1861" s="2852" t="s">
        <v>9753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98"/>
      <c r="C1862" s="2813"/>
      <c r="D1862" s="260"/>
      <c r="E1862" s="2816" t="s">
        <v>10307</v>
      </c>
      <c r="F1862" s="218">
        <v>20</v>
      </c>
      <c r="G1862" s="218">
        <v>120</v>
      </c>
      <c r="H1862" s="218">
        <f>COUNTIF(HabilidadesEsenciales_Adquiridas,Tablas!E1862)</f>
        <v>0</v>
      </c>
      <c r="I1862" s="2818"/>
      <c r="J1862" s="422"/>
      <c r="K1862" s="2809"/>
      <c r="M1862" s="1959"/>
      <c r="N1862" s="100"/>
      <c r="O1862" s="468" t="s">
        <v>9856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98"/>
      <c r="C1863" s="2813"/>
      <c r="D1863" s="260"/>
      <c r="E1863" s="2816" t="s">
        <v>10308</v>
      </c>
      <c r="F1863" s="218">
        <v>25</v>
      </c>
      <c r="G1863" s="218">
        <v>180</v>
      </c>
      <c r="H1863" s="218">
        <f>COUNTIF(HabilidadesEsenciales_Adquiridas,Tablas!E1863)</f>
        <v>0</v>
      </c>
      <c r="I1863" s="2818"/>
      <c r="J1863" s="422"/>
      <c r="K1863" s="2809"/>
      <c r="M1863" s="1959"/>
      <c r="N1863" s="100"/>
      <c r="O1863" s="468" t="s">
        <v>9857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9754</v>
      </c>
      <c r="Z1863" s="2852" t="s">
        <v>9755</v>
      </c>
      <c r="AA1863" s="2852" t="s">
        <v>9756</v>
      </c>
      <c r="AB1863" s="2852" t="s">
        <v>9757</v>
      </c>
      <c r="AC1863" s="2852" t="s">
        <v>9758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98"/>
      <c r="C1864" s="2813"/>
      <c r="D1864" s="260"/>
      <c r="E1864" s="2816" t="s">
        <v>10309</v>
      </c>
      <c r="F1864" s="218">
        <v>0</v>
      </c>
      <c r="G1864" s="218">
        <v>20</v>
      </c>
      <c r="H1864" s="218">
        <f>COUNTIF(HabilidadesEsenciales_Adquiridas,Tablas!E1864)</f>
        <v>0</v>
      </c>
      <c r="I1864" s="2818">
        <v>1</v>
      </c>
      <c r="J1864" s="422"/>
      <c r="K1864" s="2809"/>
      <c r="M1864" s="1959"/>
      <c r="N1864" s="100"/>
      <c r="O1864" s="468" t="s">
        <v>9858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9759</v>
      </c>
      <c r="Z1864" s="2852" t="s">
        <v>9760</v>
      </c>
      <c r="AA1864" s="2852" t="s">
        <v>9761</v>
      </c>
      <c r="AB1864" s="2852" t="s">
        <v>9762</v>
      </c>
      <c r="AC1864" s="2852" t="s">
        <v>9763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98"/>
      <c r="C1865" s="2813"/>
      <c r="D1865" s="260"/>
      <c r="E1865" s="2816" t="s">
        <v>10310</v>
      </c>
      <c r="F1865" s="218">
        <v>5</v>
      </c>
      <c r="G1865" s="218">
        <v>40</v>
      </c>
      <c r="H1865" s="218">
        <f>COUNTIF(HabilidadesEsenciales_Adquiridas,Tablas!E1865)</f>
        <v>0</v>
      </c>
      <c r="I1865" s="2818">
        <v>1</v>
      </c>
      <c r="J1865" s="422"/>
      <c r="K1865" s="2809"/>
      <c r="M1865" s="1959"/>
      <c r="N1865" s="100"/>
      <c r="O1865" s="468" t="s">
        <v>9859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9764</v>
      </c>
      <c r="Z1865" s="2852" t="s">
        <v>9765</v>
      </c>
      <c r="AA1865" s="2852" t="s">
        <v>9766</v>
      </c>
      <c r="AB1865" s="2852" t="s">
        <v>9767</v>
      </c>
      <c r="AC1865" s="2852" t="s">
        <v>9768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98"/>
      <c r="C1866" s="2813"/>
      <c r="D1866" s="260"/>
      <c r="E1866" s="2816" t="s">
        <v>10311</v>
      </c>
      <c r="F1866" s="218">
        <v>15</v>
      </c>
      <c r="G1866" s="218">
        <v>60</v>
      </c>
      <c r="H1866" s="218">
        <f>COUNTIF(HabilidadesEsenciales_Adquiridas,Tablas!E1866)</f>
        <v>0</v>
      </c>
      <c r="I1866" s="2818">
        <v>1</v>
      </c>
      <c r="J1866" s="422"/>
      <c r="K1866" s="2809"/>
      <c r="M1866" s="1959"/>
      <c r="N1866" s="100"/>
      <c r="O1866" s="468" t="s">
        <v>9860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9769</v>
      </c>
      <c r="Z1866" s="2852" t="s">
        <v>9770</v>
      </c>
      <c r="AA1866" s="2852" t="s">
        <v>9771</v>
      </c>
      <c r="AB1866" s="2852" t="s">
        <v>9772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98"/>
      <c r="C1867" s="2813"/>
      <c r="D1867" s="260"/>
      <c r="E1867" s="2816" t="s">
        <v>10312</v>
      </c>
      <c r="F1867" s="218">
        <v>20</v>
      </c>
      <c r="G1867" s="218">
        <v>120</v>
      </c>
      <c r="H1867" s="218">
        <f>COUNTIF(HabilidadesEsenciales_Adquiridas,Tablas!E1867)</f>
        <v>0</v>
      </c>
      <c r="I1867" s="2818"/>
      <c r="J1867" s="422"/>
      <c r="K1867" s="2809"/>
      <c r="M1867" s="1959"/>
      <c r="N1867" s="100"/>
      <c r="O1867" s="468" t="s">
        <v>9861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9773</v>
      </c>
      <c r="Z1867" s="2852" t="s">
        <v>9774</v>
      </c>
      <c r="AA1867" s="2852" t="s">
        <v>9775</v>
      </c>
      <c r="AB1867" s="2852" t="s">
        <v>9747</v>
      </c>
      <c r="AC1867" s="2852" t="s">
        <v>9748</v>
      </c>
      <c r="AD1867" s="2852" t="s">
        <v>9749</v>
      </c>
      <c r="AE1867" s="2852" t="s">
        <v>9776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98"/>
      <c r="C1868" s="2813"/>
      <c r="D1868" s="260"/>
      <c r="E1868" s="2816" t="s">
        <v>10313</v>
      </c>
      <c r="F1868" s="218">
        <v>25</v>
      </c>
      <c r="G1868" s="218">
        <v>180</v>
      </c>
      <c r="H1868" s="218">
        <f>COUNTIF(HabilidadesEsenciales_Adquiridas,Tablas!E1868)</f>
        <v>0</v>
      </c>
      <c r="I1868" s="2818"/>
      <c r="J1868" s="422"/>
      <c r="K1868" s="2809"/>
      <c r="M1868" s="1959"/>
      <c r="N1868" s="100"/>
      <c r="O1868" s="468" t="s">
        <v>9862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98"/>
      <c r="C1869" s="2813"/>
      <c r="D1869" s="260"/>
      <c r="E1869" s="2816" t="s">
        <v>2791</v>
      </c>
      <c r="F1869" s="218">
        <v>0</v>
      </c>
      <c r="G1869" s="218">
        <v>10</v>
      </c>
      <c r="H1869" s="218">
        <f>COUNTIF(HabilidadesEsenciales_Adquiridas,Tablas!E1869)</f>
        <v>0</v>
      </c>
      <c r="I1869" s="2818">
        <v>1</v>
      </c>
      <c r="J1869" s="422"/>
      <c r="K1869" s="2809"/>
      <c r="M1869" s="1959"/>
      <c r="N1869" s="100"/>
      <c r="O1869" s="468" t="s">
        <v>9863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98"/>
      <c r="C1870" s="2813"/>
      <c r="D1870" s="260"/>
      <c r="E1870" s="2816" t="s">
        <v>2792</v>
      </c>
      <c r="F1870" s="218">
        <v>0</v>
      </c>
      <c r="G1870" s="218">
        <v>10</v>
      </c>
      <c r="H1870" s="218">
        <f>COUNTIF(HabilidadesEsenciales_Adquiridas,Tablas!E1870)</f>
        <v>0</v>
      </c>
      <c r="I1870" s="2818">
        <v>1</v>
      </c>
      <c r="J1870" s="422">
        <f t="array" ref="J1870">MAX({1;2;3;4;5;-1;-2;-3;-4;-5}*H1869:H1878)</f>
        <v>0</v>
      </c>
      <c r="K1870" s="2809" t="s">
        <v>2246</v>
      </c>
      <c r="M1870" s="1959"/>
      <c r="N1870" s="100"/>
      <c r="O1870" s="468" t="s">
        <v>9864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9777</v>
      </c>
      <c r="AC1870" s="2852" t="s">
        <v>9778</v>
      </c>
      <c r="AD1870" s="2852" t="s">
        <v>9779</v>
      </c>
      <c r="AE1870" s="2852" t="s">
        <v>9780</v>
      </c>
      <c r="AF1870" s="2852" t="s">
        <v>9781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98"/>
      <c r="C1871" s="2813"/>
      <c r="D1871" s="260"/>
      <c r="E1871" s="2816" t="s">
        <v>2793</v>
      </c>
      <c r="F1871" s="218">
        <v>0</v>
      </c>
      <c r="G1871" s="218">
        <v>10</v>
      </c>
      <c r="H1871" s="218">
        <f>COUNTIF(HabilidadesEsenciales_Adquiridas,Tablas!E1871)</f>
        <v>0</v>
      </c>
      <c r="I1871" s="2818">
        <v>1</v>
      </c>
      <c r="J1871" s="422"/>
      <c r="K1871" s="2809"/>
      <c r="M1871" s="1959"/>
      <c r="N1871" s="100"/>
      <c r="O1871" s="468" t="s">
        <v>9865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98"/>
      <c r="C1872" s="2813"/>
      <c r="D1872" s="260"/>
      <c r="E1872" s="2816" t="s">
        <v>2794</v>
      </c>
      <c r="F1872" s="218">
        <v>0</v>
      </c>
      <c r="G1872" s="218">
        <v>10</v>
      </c>
      <c r="H1872" s="218">
        <f>COUNTIF(HabilidadesEsenciales_Adquiridas,Tablas!E1872)</f>
        <v>0</v>
      </c>
      <c r="I1872" s="2818">
        <v>1</v>
      </c>
      <c r="J1872" s="422"/>
      <c r="K1872" s="2809"/>
      <c r="M1872" s="1959"/>
      <c r="N1872" s="100"/>
      <c r="O1872" s="468" t="s">
        <v>9866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98"/>
      <c r="C1873" s="2813"/>
      <c r="D1873" s="260"/>
      <c r="E1873" s="2816" t="s">
        <v>2795</v>
      </c>
      <c r="F1873" s="218">
        <v>0</v>
      </c>
      <c r="G1873" s="218">
        <v>10</v>
      </c>
      <c r="H1873" s="218">
        <f>COUNTIF(HabilidadesEsenciales_Adquiridas,Tablas!E1873)</f>
        <v>0</v>
      </c>
      <c r="I1873" s="2818">
        <v>1</v>
      </c>
      <c r="J1873" s="422"/>
      <c r="K1873" s="2809"/>
      <c r="M1873" s="1959"/>
      <c r="N1873" s="100"/>
      <c r="O1873" s="468" t="s">
        <v>9867</v>
      </c>
      <c r="P1873" s="2827">
        <v>5</v>
      </c>
      <c r="Q1873" s="2695">
        <v>-50</v>
      </c>
      <c r="R1873" s="2818">
        <f>COUNTIF(PoderesDeCriatura_Adquiridos,Tablas!O1873)</f>
        <v>0</v>
      </c>
      <c r="S1873" s="422"/>
      <c r="T1873" s="2809"/>
      <c r="V1873" s="2868" t="s">
        <v>9214</v>
      </c>
      <c r="W1873" s="2836"/>
      <c r="X1873" s="2340" t="str">
        <f t="shared" si="108"/>
        <v>PodHab_Imparable</v>
      </c>
      <c r="Y1873" s="2855" t="s">
        <v>9782</v>
      </c>
      <c r="Z1873" s="2852" t="s">
        <v>9783</v>
      </c>
      <c r="AA1873" s="2852" t="s">
        <v>9784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98"/>
      <c r="C1874" s="2813"/>
      <c r="D1874" s="260"/>
      <c r="E1874" s="2816" t="s">
        <v>2796</v>
      </c>
      <c r="F1874" s="218">
        <v>0</v>
      </c>
      <c r="G1874" s="218">
        <v>10</v>
      </c>
      <c r="H1874" s="218">
        <f>COUNTIF(HabilidadesEsenciales_Adquiridas,Tablas!E1874)</f>
        <v>0</v>
      </c>
      <c r="I1874" s="2818">
        <v>1</v>
      </c>
      <c r="J1874" s="422"/>
      <c r="K1874" s="2809"/>
      <c r="M1874" s="1959"/>
      <c r="N1874" s="100"/>
      <c r="O1874" s="2825" t="s">
        <v>9868</v>
      </c>
      <c r="P1874" s="2811">
        <v>0</v>
      </c>
      <c r="Q1874" s="575">
        <v>10</v>
      </c>
      <c r="R1874" s="2818">
        <f>COUNTIF(PoderesDeCriatura_Adquiridos,Tablas!O1874)</f>
        <v>0</v>
      </c>
      <c r="S1874" s="422"/>
      <c r="T1874" s="2809"/>
      <c r="V1874" s="2868" t="s">
        <v>9482</v>
      </c>
      <c r="W1874" s="2836"/>
      <c r="X1874" s="2340" t="str">
        <f t="shared" si="108"/>
        <v>PodHab_Reduccióndedaño</v>
      </c>
      <c r="Y1874" s="2855" t="s">
        <v>9785</v>
      </c>
      <c r="Z1874" s="2852" t="s">
        <v>9786</v>
      </c>
      <c r="AA1874" s="2852" t="s">
        <v>9787</v>
      </c>
      <c r="AB1874" s="2852" t="s">
        <v>9788</v>
      </c>
      <c r="AC1874" s="2852" t="s">
        <v>9789</v>
      </c>
      <c r="AD1874" s="2852" t="s">
        <v>9790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98"/>
      <c r="C1875" s="2813"/>
      <c r="D1875" s="260"/>
      <c r="E1875" s="2816" t="s">
        <v>2797</v>
      </c>
      <c r="F1875" s="218">
        <v>0</v>
      </c>
      <c r="G1875" s="218">
        <v>10</v>
      </c>
      <c r="H1875" s="218">
        <f>COUNTIF(HabilidadesEsenciales_Adquiridas,Tablas!E1875)</f>
        <v>0</v>
      </c>
      <c r="I1875" s="2818">
        <v>1</v>
      </c>
      <c r="J1875" s="422"/>
      <c r="K1875" s="2809"/>
      <c r="M1875" s="1959"/>
      <c r="N1875" s="100"/>
      <c r="O1875" s="2825" t="s">
        <v>9869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9791</v>
      </c>
      <c r="AA1875" s="2852" t="s">
        <v>9792</v>
      </c>
      <c r="AB1875" s="2852" t="s">
        <v>9793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98"/>
      <c r="C1876" s="2813"/>
      <c r="D1876" s="260"/>
      <c r="E1876" s="2816" t="s">
        <v>2798</v>
      </c>
      <c r="F1876" s="218">
        <v>0</v>
      </c>
      <c r="G1876" s="218">
        <v>10</v>
      </c>
      <c r="H1876" s="218">
        <f>COUNTIF(HabilidadesEsenciales_Adquiridas,Tablas!E1876)</f>
        <v>0</v>
      </c>
      <c r="I1876" s="2818">
        <v>1</v>
      </c>
      <c r="J1876" s="422"/>
      <c r="K1876" s="2809"/>
      <c r="M1876" s="1959"/>
      <c r="N1876" s="100"/>
      <c r="O1876" s="2825" t="s">
        <v>9870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9623</v>
      </c>
      <c r="AA1876" s="2852" t="s">
        <v>9794</v>
      </c>
      <c r="AB1876" s="2852" t="s">
        <v>3281</v>
      </c>
      <c r="AC1876" s="2852" t="s">
        <v>9795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98"/>
      <c r="C1877" s="2813"/>
      <c r="D1877" s="260"/>
      <c r="E1877" s="2816" t="s">
        <v>2799</v>
      </c>
      <c r="F1877" s="218">
        <v>0</v>
      </c>
      <c r="G1877" s="218">
        <v>10</v>
      </c>
      <c r="H1877" s="218">
        <f>COUNTIF(HabilidadesEsenciales_Adquiridas,Tablas!E1877)</f>
        <v>0</v>
      </c>
      <c r="I1877" s="2818">
        <v>1</v>
      </c>
      <c r="J1877" s="422"/>
      <c r="K1877" s="2809"/>
      <c r="M1877" s="1959"/>
      <c r="N1877" s="100"/>
      <c r="O1877" s="2825" t="s">
        <v>9871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98"/>
      <c r="C1878" s="2813"/>
      <c r="D1878" s="260"/>
      <c r="E1878" s="2816" t="s">
        <v>2800</v>
      </c>
      <c r="F1878" s="218">
        <v>0</v>
      </c>
      <c r="G1878" s="218">
        <v>10</v>
      </c>
      <c r="H1878" s="218">
        <f>COUNTIF(HabilidadesEsenciales_Adquiridas,Tablas!E1878)</f>
        <v>0</v>
      </c>
      <c r="I1878" s="2818">
        <v>1</v>
      </c>
      <c r="J1878" s="422"/>
      <c r="K1878" s="2809"/>
      <c r="M1878" s="1959"/>
      <c r="N1878" s="100"/>
      <c r="O1878" s="2825" t="s">
        <v>9872</v>
      </c>
      <c r="P1878" s="2811">
        <v>0</v>
      </c>
      <c r="Q1878" s="575">
        <v>50</v>
      </c>
      <c r="R1878" s="2818">
        <f>COUNTIF(PoderesDeCriatura_Adquiridos,Tablas!O1878)</f>
        <v>0</v>
      </c>
      <c r="S1878" s="422"/>
      <c r="T1878" s="2809"/>
      <c r="V1878" s="2868" t="s">
        <v>9499</v>
      </c>
      <c r="W1878" s="2836"/>
      <c r="X1878" s="2340" t="str">
        <f t="shared" si="108"/>
        <v>PodHab_Efectopermanente</v>
      </c>
      <c r="Y1878" s="2855" t="s">
        <v>9796</v>
      </c>
      <c r="Z1878" s="2852" t="s">
        <v>9797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98"/>
      <c r="C1879" s="2813"/>
      <c r="D1879" s="260"/>
      <c r="E1879" s="2816" t="s">
        <v>1566</v>
      </c>
      <c r="F1879" s="218">
        <v>0</v>
      </c>
      <c r="G1879" s="218">
        <v>30</v>
      </c>
      <c r="H1879" s="218">
        <f>COUNTIF(HabilidadesEsenciales_Adquiridas,Tablas!E1879)</f>
        <v>0</v>
      </c>
      <c r="I1879" s="2818">
        <v>1</v>
      </c>
      <c r="J1879" s="422"/>
      <c r="K1879" s="2809"/>
      <c r="M1879" s="1959"/>
      <c r="N1879" s="100"/>
      <c r="O1879" s="2825" t="s">
        <v>9873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98"/>
      <c r="C1880" s="2813"/>
      <c r="D1880" s="260"/>
      <c r="E1880" s="2816" t="s">
        <v>2011</v>
      </c>
      <c r="F1880" s="218">
        <v>0</v>
      </c>
      <c r="G1880" s="218">
        <v>10</v>
      </c>
      <c r="H1880" s="218">
        <f>COUNTIF(HabilidadesEsenciales_Adquiridas,Tablas!E1880)</f>
        <v>0</v>
      </c>
      <c r="I1880" s="2818">
        <v>2</v>
      </c>
      <c r="J1880" s="422"/>
      <c r="K1880" s="2809"/>
      <c r="M1880" s="1959"/>
      <c r="N1880" s="100"/>
      <c r="O1880" s="2825" t="s">
        <v>9874</v>
      </c>
      <c r="P1880" s="2828">
        <v>0</v>
      </c>
      <c r="Q1880" s="575">
        <v>80</v>
      </c>
      <c r="R1880" s="2818">
        <f>COUNTIF(PoderesDeCriatura_Adquiridos,Tablas!O1880)</f>
        <v>0</v>
      </c>
      <c r="S1880" s="422"/>
      <c r="T1880" s="2809"/>
      <c r="V1880" s="2868" t="s">
        <v>9498</v>
      </c>
      <c r="W1880" s="2836"/>
      <c r="X1880" s="2340" t="str">
        <f t="shared" ref="X1880:X1891" si="110">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98"/>
      <c r="C1881" s="2813"/>
      <c r="D1881" s="260"/>
      <c r="E1881" s="2816" t="s">
        <v>2012</v>
      </c>
      <c r="F1881" s="218">
        <v>25</v>
      </c>
      <c r="G1881" s="218">
        <v>20</v>
      </c>
      <c r="H1881" s="218">
        <f>COUNTIF(HabilidadesEsenciales_Adquiridas,Tablas!E1881)</f>
        <v>0</v>
      </c>
      <c r="I1881" s="2818">
        <v>2</v>
      </c>
      <c r="J1881" s="422"/>
      <c r="K1881" s="2809"/>
      <c r="M1881" s="1959"/>
      <c r="N1881" s="100"/>
      <c r="O1881" s="2825" t="s">
        <v>9875</v>
      </c>
      <c r="P1881" s="2828">
        <v>10</v>
      </c>
      <c r="Q1881" s="575">
        <v>100</v>
      </c>
      <c r="R1881" s="2818">
        <f>COUNTIF(PoderesDeCriatura_Adquiridos,Tablas!O1881)</f>
        <v>0</v>
      </c>
      <c r="S1881" s="422"/>
      <c r="T1881" s="2809"/>
      <c r="V1881" s="2868" t="s">
        <v>2359</v>
      </c>
      <c r="W1881" s="2836"/>
      <c r="X1881" s="2340" t="str">
        <f t="shared" si="110"/>
        <v>PodHab_Transformación</v>
      </c>
      <c r="Y1881" s="2855" t="s">
        <v>9798</v>
      </c>
      <c r="Z1881" s="2852" t="s">
        <v>9799</v>
      </c>
      <c r="AA1881" s="2852" t="s">
        <v>9800</v>
      </c>
      <c r="AB1881" s="2852" t="s">
        <v>9801</v>
      </c>
      <c r="AC1881" s="2852" t="s">
        <v>9802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98"/>
      <c r="C1882" s="2813"/>
      <c r="D1882" s="260"/>
      <c r="E1882" s="2816" t="s">
        <v>1567</v>
      </c>
      <c r="F1882" s="218">
        <v>0</v>
      </c>
      <c r="G1882" s="218">
        <v>10</v>
      </c>
      <c r="H1882" s="218">
        <f>COUNTIF(HabilidadesEsenciales_Adquiridas,Tablas!E1882)</f>
        <v>0</v>
      </c>
      <c r="I1882" s="2818"/>
      <c r="J1882" s="422"/>
      <c r="K1882" s="2809"/>
      <c r="M1882" s="1959"/>
      <c r="N1882" s="100"/>
      <c r="O1882" s="2825" t="s">
        <v>9876</v>
      </c>
      <c r="P1882" s="2828">
        <v>20</v>
      </c>
      <c r="Q1882" s="575">
        <v>140</v>
      </c>
      <c r="R1882" s="2818">
        <f>COUNTIF(PoderesDeCriatura_Adquiridos,Tablas!O1882)</f>
        <v>0</v>
      </c>
      <c r="S1882" s="422"/>
      <c r="T1882" s="2809"/>
      <c r="V1882" s="2868" t="s">
        <v>23</v>
      </c>
      <c r="W1882" s="2131"/>
      <c r="X1882" s="2340" t="str">
        <f t="shared" si="110"/>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98"/>
      <c r="C1883" s="2813"/>
      <c r="D1883" s="260"/>
      <c r="E1883" s="2816" t="s">
        <v>1568</v>
      </c>
      <c r="F1883" s="218">
        <v>5</v>
      </c>
      <c r="G1883" s="218">
        <v>10</v>
      </c>
      <c r="H1883" s="218">
        <f>COUNTIF(HabilidadesEsenciales_Adquiridas,Tablas!E1883)</f>
        <v>0</v>
      </c>
      <c r="I1883" s="2818"/>
      <c r="J1883" s="422"/>
      <c r="K1883" s="2809"/>
      <c r="M1883" s="1959"/>
      <c r="N1883" s="100"/>
      <c r="O1883" s="2825" t="s">
        <v>9877</v>
      </c>
      <c r="P1883" s="2828">
        <v>30</v>
      </c>
      <c r="Q1883" s="575">
        <v>180</v>
      </c>
      <c r="R1883" s="2818">
        <f>COUNTIF(PoderesDeCriatura_Adquiridos,Tablas!O1883)</f>
        <v>0</v>
      </c>
      <c r="S1883" s="422"/>
      <c r="T1883" s="2809"/>
      <c r="V1883" s="2868" t="s">
        <v>9500</v>
      </c>
      <c r="W1883" s="2836"/>
      <c r="X1883" s="2340" t="str">
        <f t="shared" si="110"/>
        <v>PodHab_Maestríasobrenatural</v>
      </c>
      <c r="Y1883" s="2855" t="s">
        <v>9803</v>
      </c>
      <c r="Z1883" s="2852" t="s">
        <v>9804</v>
      </c>
      <c r="AA1883" s="2852" t="s">
        <v>9805</v>
      </c>
      <c r="AB1883" s="2852" t="s">
        <v>9806</v>
      </c>
      <c r="AC1883" s="2852" t="s">
        <v>9807</v>
      </c>
      <c r="AD1883" s="2852" t="s">
        <v>9808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98"/>
      <c r="C1884" s="2813"/>
      <c r="D1884" s="260"/>
      <c r="E1884" s="2816" t="s">
        <v>1569</v>
      </c>
      <c r="F1884" s="218">
        <v>15</v>
      </c>
      <c r="G1884" s="218">
        <v>20</v>
      </c>
      <c r="H1884" s="218">
        <f>COUNTIF(HabilidadesEsenciales_Adquiridas,Tablas!E1884)</f>
        <v>0</v>
      </c>
      <c r="I1884" s="2818">
        <v>1</v>
      </c>
      <c r="J1884" s="422"/>
      <c r="K1884" s="2809"/>
      <c r="M1884" s="1959"/>
      <c r="N1884" s="100"/>
      <c r="O1884" s="468" t="s">
        <v>9878</v>
      </c>
      <c r="P1884" s="2811">
        <v>5</v>
      </c>
      <c r="Q1884" s="575">
        <v>20</v>
      </c>
      <c r="R1884" s="2818">
        <f>COUNTIF(PoderesDeCriatura_Adquiridos,Tablas!O1884)</f>
        <v>0</v>
      </c>
      <c r="S1884" s="422"/>
      <c r="T1884" s="2809"/>
      <c r="V1884" s="2868" t="s">
        <v>8946</v>
      </c>
      <c r="W1884" s="2836"/>
      <c r="X1884" s="2340" t="str">
        <f t="shared" si="110"/>
        <v>PodHab_Magianatural</v>
      </c>
      <c r="Y1884" s="2855" t="s">
        <v>9809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98"/>
      <c r="C1885" s="2813"/>
      <c r="D1885" s="260"/>
      <c r="E1885" s="2816" t="s">
        <v>1570</v>
      </c>
      <c r="F1885" s="218">
        <v>15</v>
      </c>
      <c r="G1885" s="218">
        <v>10</v>
      </c>
      <c r="H1885" s="218">
        <f>COUNTIF(HabilidadesEsenciales_Adquiridas,Tablas!E1885)</f>
        <v>0</v>
      </c>
      <c r="I1885" s="2818"/>
      <c r="J1885" s="422"/>
      <c r="K1885" s="2809"/>
      <c r="M1885" s="1959"/>
      <c r="N1885" s="100"/>
      <c r="O1885" s="468" t="s">
        <v>9879</v>
      </c>
      <c r="P1885" s="2811">
        <v>10</v>
      </c>
      <c r="Q1885" s="575">
        <v>30</v>
      </c>
      <c r="R1885" s="2818">
        <f>COUNTIF(PoderesDeCriatura_Adquiridos,Tablas!O1885)</f>
        <v>0</v>
      </c>
      <c r="S1885" s="422"/>
      <c r="T1885" s="2809"/>
      <c r="V1885" s="2868" t="s">
        <v>24</v>
      </c>
      <c r="W1885" s="2836"/>
      <c r="X1885" s="2340" t="str">
        <f t="shared" si="110"/>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98"/>
      <c r="C1886" s="2813"/>
      <c r="D1886" s="260"/>
      <c r="E1886" s="2816" t="s">
        <v>1571</v>
      </c>
      <c r="F1886" s="218">
        <v>15</v>
      </c>
      <c r="G1886" s="218">
        <v>10</v>
      </c>
      <c r="H1886" s="218">
        <f>COUNTIF(HabilidadesEsenciales_Adquiridas,Tablas!E1886)</f>
        <v>0</v>
      </c>
      <c r="I1886" s="2818"/>
      <c r="J1886" s="422"/>
      <c r="K1886" s="2809"/>
      <c r="M1886" s="1959"/>
      <c r="N1886" s="100"/>
      <c r="O1886" s="468" t="s">
        <v>9880</v>
      </c>
      <c r="P1886" s="2828">
        <v>15</v>
      </c>
      <c r="Q1886" s="575">
        <v>40</v>
      </c>
      <c r="R1886" s="2818">
        <f>COUNTIF(PoderesDeCriatura_Adquiridos,Tablas!O1886)</f>
        <v>0</v>
      </c>
      <c r="S1886" s="422"/>
      <c r="T1886" s="2809"/>
      <c r="V1886" s="2868" t="s">
        <v>25</v>
      </c>
      <c r="W1886" s="2131"/>
      <c r="X1886" s="2340" t="str">
        <f t="shared" si="110"/>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98"/>
      <c r="C1887" s="2813"/>
      <c r="D1887" s="260"/>
      <c r="E1887" s="2816" t="s">
        <v>1572</v>
      </c>
      <c r="F1887" s="218">
        <v>15</v>
      </c>
      <c r="G1887" s="218">
        <v>10</v>
      </c>
      <c r="H1887" s="218">
        <f>COUNTIF(HabilidadesEsenciales_Adquiridas,Tablas!E1887)</f>
        <v>0</v>
      </c>
      <c r="I1887" s="2818"/>
      <c r="J1887" s="422"/>
      <c r="K1887" s="2809"/>
      <c r="M1887" s="1959"/>
      <c r="N1887" s="100"/>
      <c r="O1887" s="468" t="s">
        <v>9881</v>
      </c>
      <c r="P1887" s="2828">
        <v>15</v>
      </c>
      <c r="Q1887" s="575">
        <v>50</v>
      </c>
      <c r="R1887" s="2818">
        <f>COUNTIF(PoderesDeCriatura_Adquiridos,Tablas!O1887)</f>
        <v>0</v>
      </c>
      <c r="S1887" s="422"/>
      <c r="T1887" s="2809"/>
      <c r="V1887" s="2868" t="s">
        <v>27</v>
      </c>
      <c r="W1887" s="2852"/>
      <c r="X1887" s="2340" t="str">
        <f t="shared" si="110"/>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98"/>
      <c r="C1888" s="2813"/>
      <c r="D1888" s="260"/>
      <c r="E1888" s="2816" t="s">
        <v>1573</v>
      </c>
      <c r="F1888" s="218">
        <v>20</v>
      </c>
      <c r="G1888" s="218">
        <v>20</v>
      </c>
      <c r="H1888" s="218">
        <f>COUNTIF(HabilidadesEsenciales_Adquiridas,Tablas!E1888)</f>
        <v>0</v>
      </c>
      <c r="I1888" s="2818"/>
      <c r="J1888" s="422"/>
      <c r="K1888" s="2809"/>
      <c r="M1888" s="1959"/>
      <c r="N1888" s="100"/>
      <c r="O1888" s="468" t="s">
        <v>9882</v>
      </c>
      <c r="P1888" s="2828">
        <v>20</v>
      </c>
      <c r="Q1888" s="575">
        <v>60</v>
      </c>
      <c r="R1888" s="2818">
        <f>COUNTIF(PoderesDeCriatura_Adquiridos,Tablas!O1888)</f>
        <v>0</v>
      </c>
      <c r="S1888" s="422"/>
      <c r="T1888" s="2809"/>
      <c r="V1888" s="2868" t="s">
        <v>28</v>
      </c>
      <c r="W1888" s="2852"/>
      <c r="X1888" s="2340" t="str">
        <f t="shared" si="110"/>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98"/>
      <c r="C1889" s="2813"/>
      <c r="D1889" s="260"/>
      <c r="E1889" s="2816" t="s">
        <v>1574</v>
      </c>
      <c r="F1889" s="218">
        <v>20</v>
      </c>
      <c r="G1889" s="218">
        <v>10</v>
      </c>
      <c r="H1889" s="218">
        <f>COUNTIF(HabilidadesEsenciales_Adquiridas,Tablas!E1889)</f>
        <v>0</v>
      </c>
      <c r="I1889" s="2818"/>
      <c r="J1889" s="422"/>
      <c r="K1889" s="2809"/>
      <c r="M1889" s="1959"/>
      <c r="N1889" s="100"/>
      <c r="O1889" s="468" t="s">
        <v>9883</v>
      </c>
      <c r="P1889" s="2828">
        <v>25</v>
      </c>
      <c r="Q1889" s="575">
        <v>80</v>
      </c>
      <c r="R1889" s="2818">
        <f>COUNTIF(PoderesDeCriatura_Adquiridos,Tablas!O1889)</f>
        <v>0</v>
      </c>
      <c r="S1889" s="422"/>
      <c r="T1889" s="2809"/>
      <c r="V1889" s="2868" t="s">
        <v>9502</v>
      </c>
      <c r="W1889" s="2836"/>
      <c r="X1889" s="2340" t="str">
        <f t="shared" si="110"/>
        <v>PodHab_Espaciocerrado</v>
      </c>
      <c r="Y1889" s="2855" t="s">
        <v>9810</v>
      </c>
      <c r="Z1889" s="2852" t="s">
        <v>9811</v>
      </c>
      <c r="AA1889" s="2852" t="s">
        <v>9812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98"/>
      <c r="C1890" s="2813"/>
      <c r="D1890" s="260"/>
      <c r="E1890" s="2816" t="s">
        <v>1575</v>
      </c>
      <c r="F1890" s="218">
        <v>15</v>
      </c>
      <c r="G1890" s="218">
        <v>10</v>
      </c>
      <c r="H1890" s="218">
        <f>COUNTIF(HabilidadesEsenciales_Adquiridas,Tablas!E1890)</f>
        <v>0</v>
      </c>
      <c r="I1890" s="2818"/>
      <c r="J1890" s="422"/>
      <c r="K1890" s="2809"/>
      <c r="M1890" s="1959"/>
      <c r="N1890" s="100"/>
      <c r="O1890" s="468" t="s">
        <v>9884</v>
      </c>
      <c r="P1890" s="2828">
        <v>30</v>
      </c>
      <c r="Q1890" s="575">
        <v>100</v>
      </c>
      <c r="R1890" s="2818">
        <f>COUNTIF(PoderesDeCriatura_Adquiridos,Tablas!O1890)</f>
        <v>0</v>
      </c>
      <c r="S1890" s="422"/>
      <c r="T1890" s="2809"/>
      <c r="V1890" s="2868" t="s">
        <v>9501</v>
      </c>
      <c r="W1890" s="2836"/>
      <c r="X1890" s="2340" t="str">
        <f t="shared" si="110"/>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98"/>
      <c r="C1891" s="2813"/>
      <c r="D1891" s="260"/>
      <c r="E1891" s="2816" t="s">
        <v>1576</v>
      </c>
      <c r="F1891" s="218">
        <v>20</v>
      </c>
      <c r="G1891" s="218">
        <v>50</v>
      </c>
      <c r="H1891" s="218">
        <f>COUNTIF(HabilidadesEsenciales_Adquiridas,Tablas!E1891)</f>
        <v>0</v>
      </c>
      <c r="I1891" s="2818">
        <v>2</v>
      </c>
      <c r="J1891" s="422"/>
      <c r="K1891" s="2809"/>
      <c r="M1891" s="1959"/>
      <c r="N1891" s="100"/>
      <c r="O1891" s="468" t="s">
        <v>9885</v>
      </c>
      <c r="P1891" s="2828">
        <v>35</v>
      </c>
      <c r="Q1891" s="575">
        <v>120</v>
      </c>
      <c r="R1891" s="2818">
        <f>COUNTIF(PoderesDeCriatura_Adquiridos,Tablas!O1891)</f>
        <v>0</v>
      </c>
      <c r="S1891" s="422"/>
      <c r="T1891" s="2809"/>
      <c r="V1891" s="2868" t="s">
        <v>26</v>
      </c>
      <c r="W1891" s="2852"/>
      <c r="X1891" s="2340" t="str">
        <f t="shared" si="110"/>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98"/>
      <c r="C1892" s="2813"/>
      <c r="D1892" s="260"/>
      <c r="E1892" s="2816" t="s">
        <v>10314</v>
      </c>
      <c r="F1892" s="218">
        <v>20</v>
      </c>
      <c r="G1892" s="218">
        <v>10</v>
      </c>
      <c r="H1892" s="218">
        <f>COUNTIF(HabilidadesEsenciales_Adquiridas,Tablas!E1892)</f>
        <v>0</v>
      </c>
      <c r="I1892" s="2818"/>
      <c r="J1892" s="422"/>
      <c r="K1892" s="2809"/>
      <c r="M1892" s="1959"/>
      <c r="N1892" s="100"/>
      <c r="O1892" s="468" t="s">
        <v>9886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98"/>
      <c r="C1893" s="2813"/>
      <c r="D1893" s="260"/>
      <c r="E1893" s="2816" t="s">
        <v>9456</v>
      </c>
      <c r="F1893" s="218">
        <v>25</v>
      </c>
      <c r="G1893" s="218">
        <v>30</v>
      </c>
      <c r="H1893" s="218">
        <f>COUNTIF(HabilidadesEsenciales_Adquiridas,Tablas!E1893)</f>
        <v>0</v>
      </c>
      <c r="I1893" s="2818"/>
      <c r="J1893" s="422"/>
      <c r="K1893" s="2809"/>
      <c r="M1893" s="1959"/>
      <c r="N1893" s="100"/>
      <c r="O1893" s="468" t="s">
        <v>9887</v>
      </c>
      <c r="P1893" s="2811">
        <v>10</v>
      </c>
      <c r="Q1893" s="575">
        <f>20+IF(OR(TipoDeCriatura="Entre mundos, Elemental",TipoDeCriatura="Ánima, Elemental"),10,0)</f>
        <v>20</v>
      </c>
      <c r="R1893" s="2818">
        <f>COUNTIF(PoderesDeCriatura_Adquiridos,Tablas!O1893)</f>
        <v>0</v>
      </c>
      <c r="S1893" s="422"/>
      <c r="T1893" s="2809"/>
      <c r="V1893" s="2868" t="str">
        <f t="shared" ref="V1893:V1902" si="111">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98"/>
      <c r="C1894" s="2813"/>
      <c r="D1894" s="260"/>
      <c r="E1894" s="2816" t="s">
        <v>1579</v>
      </c>
      <c r="F1894" s="218">
        <v>10</v>
      </c>
      <c r="G1894" s="218">
        <v>20</v>
      </c>
      <c r="H1894" s="218">
        <f>COUNTIF(HabilidadesEsenciales_Adquiridas,Tablas!E1894)</f>
        <v>0</v>
      </c>
      <c r="I1894" s="2818"/>
      <c r="J1894" s="422"/>
      <c r="K1894" s="2809"/>
      <c r="M1894" s="1959"/>
      <c r="N1894" s="100"/>
      <c r="O1894" s="468" t="s">
        <v>9888</v>
      </c>
      <c r="P1894" s="2811">
        <v>20</v>
      </c>
      <c r="Q1894" s="575">
        <f>20+IF(OR(TipoDeCriatura="Entre mundos, Elemental",TipoDeCriatura="Ánima, Elemental"),10,0)</f>
        <v>20</v>
      </c>
      <c r="R1894" s="2818">
        <f>COUNTIF(PoderesDeCriatura_Adquiridos,Tablas!O1894)</f>
        <v>0</v>
      </c>
      <c r="S1894" s="422"/>
      <c r="T1894" s="2809"/>
      <c r="V1894" s="2868" t="str">
        <f t="shared" si="111"/>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98"/>
      <c r="C1895" s="2813"/>
      <c r="D1895" s="260"/>
      <c r="E1895" s="2816" t="s">
        <v>1580</v>
      </c>
      <c r="F1895" s="218">
        <v>0</v>
      </c>
      <c r="G1895" s="218">
        <v>0</v>
      </c>
      <c r="H1895" s="218"/>
      <c r="I1895" s="2818"/>
      <c r="J1895" s="422"/>
      <c r="K1895" s="2809"/>
      <c r="M1895" s="1959"/>
      <c r="N1895" s="100"/>
      <c r="O1895" s="468" t="s">
        <v>9889</v>
      </c>
      <c r="P1895" s="2828">
        <v>10</v>
      </c>
      <c r="Q1895" s="575">
        <f>20+IF(OR(TipoDeCriatura="Entre mundos, Elemental",TipoDeCriatura="Ánima, Elemental"),10,0)</f>
        <v>20</v>
      </c>
      <c r="R1895" s="2818">
        <f>COUNTIF(PoderesDeCriatura_Adquiridos,Tablas!O1895)</f>
        <v>0</v>
      </c>
      <c r="S1895" s="422"/>
      <c r="T1895" s="2809"/>
      <c r="V1895" s="2868" t="str">
        <f t="shared" si="111"/>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98"/>
      <c r="C1896" s="2813"/>
      <c r="D1896" s="260"/>
      <c r="E1896" s="2816" t="s">
        <v>1581</v>
      </c>
      <c r="F1896" s="218">
        <v>5</v>
      </c>
      <c r="G1896" s="218">
        <v>30</v>
      </c>
      <c r="H1896" s="218">
        <f>COUNTIF(HabilidadesEsenciales_Adquiridas,Tablas!E1896)</f>
        <v>0</v>
      </c>
      <c r="I1896" s="2818">
        <v>1</v>
      </c>
      <c r="J1896" s="422"/>
      <c r="K1896" s="2809"/>
      <c r="M1896" s="1959"/>
      <c r="N1896" s="100"/>
      <c r="O1896" s="468" t="s">
        <v>9890</v>
      </c>
      <c r="P1896" s="2828">
        <v>20</v>
      </c>
      <c r="Q1896" s="575">
        <f>40+IF(OR(TipoDeCriatura="Entre mundos, Elemental",TipoDeCriatura="Ánima, Elemental"),10,0)</f>
        <v>40</v>
      </c>
      <c r="R1896" s="2818">
        <f>COUNTIF(PoderesDeCriatura_Adquiridos,Tablas!O1896)</f>
        <v>0</v>
      </c>
      <c r="S1896" s="422"/>
      <c r="T1896" s="2809"/>
      <c r="V1896" s="2868" t="str">
        <f t="shared" si="111"/>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98"/>
      <c r="C1897" s="2813"/>
      <c r="D1897" s="260"/>
      <c r="E1897" s="2816" t="s">
        <v>10315</v>
      </c>
      <c r="F1897" s="218">
        <v>10</v>
      </c>
      <c r="G1897" s="218">
        <v>10</v>
      </c>
      <c r="H1897" s="218">
        <f>COUNTIF(HabilidadesEsenciales_Adquiridas,Tablas!E1897)</f>
        <v>0</v>
      </c>
      <c r="I1897" s="2818">
        <v>1</v>
      </c>
      <c r="J1897" s="422"/>
      <c r="K1897" s="2809"/>
      <c r="M1897" s="1959"/>
      <c r="N1897" s="100"/>
      <c r="O1897" s="468" t="s">
        <v>9891</v>
      </c>
      <c r="P1897" s="2828">
        <v>10</v>
      </c>
      <c r="Q1897" s="575">
        <f>50+IF(OR(TipoDeCriatura="Entre mundos, Elemental",TipoDeCriatura="Ánima, Elemental"),10,0)</f>
        <v>50</v>
      </c>
      <c r="R1897" s="2818">
        <f>COUNTIF(PoderesDeCriatura_Adquiridos,Tablas!O1897)</f>
        <v>0</v>
      </c>
      <c r="S1897" s="422"/>
      <c r="T1897" s="2809"/>
      <c r="V1897" s="2868" t="str">
        <f t="shared" si="111"/>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98"/>
      <c r="C1898" s="2813"/>
      <c r="D1898" s="260"/>
      <c r="E1898" s="2816" t="s">
        <v>10316</v>
      </c>
      <c r="F1898" s="218">
        <v>15</v>
      </c>
      <c r="G1898" s="218">
        <v>20</v>
      </c>
      <c r="H1898" s="218">
        <f>COUNTIF(HabilidadesEsenciales_Adquiridas,Tablas!E1898)</f>
        <v>0</v>
      </c>
      <c r="I1898" s="2818">
        <v>1</v>
      </c>
      <c r="J1898" s="422"/>
      <c r="K1898" s="2809"/>
      <c r="M1898" s="1959"/>
      <c r="N1898" s="100"/>
      <c r="O1898" s="468" t="s">
        <v>9892</v>
      </c>
      <c r="P1898" s="2828">
        <v>20</v>
      </c>
      <c r="Q1898" s="575">
        <f>40+IF(OR(TipoDeCriatura="Entre mundos, Elemental",TipoDeCriatura="Ánima, Elemental"),10,0)</f>
        <v>40</v>
      </c>
      <c r="R1898" s="2818">
        <f>COUNTIF(PoderesDeCriatura_Adquiridos,Tablas!O1898)</f>
        <v>0</v>
      </c>
      <c r="S1898" s="422"/>
      <c r="T1898" s="2809"/>
      <c r="V1898" s="2868" t="str">
        <f t="shared" si="111"/>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98"/>
      <c r="C1899" s="2813"/>
      <c r="D1899" s="260"/>
      <c r="E1899" s="2816" t="s">
        <v>10317</v>
      </c>
      <c r="F1899" s="218">
        <v>20</v>
      </c>
      <c r="G1899" s="218">
        <v>30</v>
      </c>
      <c r="H1899" s="218">
        <f>COUNTIF(HabilidadesEsenciales_Adquiridas,Tablas!E1899)</f>
        <v>0</v>
      </c>
      <c r="I1899" s="2818">
        <v>1</v>
      </c>
      <c r="J1899" s="422"/>
      <c r="K1899" s="2809"/>
      <c r="M1899" s="1959"/>
      <c r="N1899" s="100"/>
      <c r="O1899" s="468" t="s">
        <v>9893</v>
      </c>
      <c r="P1899" s="2828">
        <v>20</v>
      </c>
      <c r="Q1899" s="575">
        <f>80+IF(OR(TipoDeCriatura="Entre mundos, Elemental",TipoDeCriatura="Ánima, Elemental"),10,0)</f>
        <v>80</v>
      </c>
      <c r="R1899" s="2818">
        <f>COUNTIF(PoderesDeCriatura_Adquiridos,Tablas!O1899)</f>
        <v>0</v>
      </c>
      <c r="S1899" s="422"/>
      <c r="T1899" s="2809"/>
      <c r="V1899" s="2868" t="str">
        <f t="shared" si="111"/>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98"/>
      <c r="C1900" s="2813"/>
      <c r="D1900" s="260"/>
      <c r="E1900" s="2816" t="s">
        <v>10318</v>
      </c>
      <c r="F1900" s="218">
        <v>25</v>
      </c>
      <c r="G1900" s="218">
        <v>40</v>
      </c>
      <c r="H1900" s="218">
        <f>COUNTIF(HabilidadesEsenciales_Adquiridas,Tablas!E1900)</f>
        <v>0</v>
      </c>
      <c r="I1900" s="2818">
        <v>1</v>
      </c>
      <c r="J1900" s="422"/>
      <c r="K1900" s="2809"/>
      <c r="M1900" s="1959"/>
      <c r="N1900" s="100"/>
      <c r="O1900" s="468" t="s">
        <v>9894</v>
      </c>
      <c r="P1900" s="2828">
        <v>20</v>
      </c>
      <c r="Q1900" s="575">
        <f>20+IF(OR(TipoDeCriatura="Entre mundos, Elemental",TipoDeCriatura="Ánima, Elemental"),10,0)</f>
        <v>20</v>
      </c>
      <c r="R1900" s="2818">
        <f>COUNTIF(PoderesDeCriatura_Adquiridos,Tablas!O1900)</f>
        <v>0</v>
      </c>
      <c r="S1900" s="422"/>
      <c r="T1900" s="2809"/>
      <c r="V1900" s="2868" t="str">
        <f t="shared" si="111"/>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98"/>
      <c r="C1901" s="2813"/>
      <c r="D1901" s="260"/>
      <c r="E1901" s="2816" t="s">
        <v>10319</v>
      </c>
      <c r="F1901" s="218">
        <v>30</v>
      </c>
      <c r="G1901" s="218">
        <v>50</v>
      </c>
      <c r="H1901" s="218">
        <f>COUNTIF(HabilidadesEsenciales_Adquiridas,Tablas!E1901)</f>
        <v>0</v>
      </c>
      <c r="I1901" s="2818">
        <v>1</v>
      </c>
      <c r="J1901" s="422"/>
      <c r="K1901" s="2809"/>
      <c r="M1901" s="1959"/>
      <c r="N1901" s="100"/>
      <c r="O1901" s="468" t="s">
        <v>9895</v>
      </c>
      <c r="P1901" s="2828">
        <v>10</v>
      </c>
      <c r="Q1901" s="575">
        <f>50+IF(OR(TipoDeCriatura="Entre mundos, Elemental",TipoDeCriatura="Ánima, Elemental"),10,0)</f>
        <v>50</v>
      </c>
      <c r="R1901" s="2818">
        <f>COUNTIF(PoderesDeCriatura_Adquiridos,Tablas!O1901)</f>
        <v>0</v>
      </c>
      <c r="S1901" s="422"/>
      <c r="T1901" s="2809"/>
      <c r="V1901" s="2868" t="str">
        <f t="shared" si="111"/>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98"/>
      <c r="C1902" s="2813"/>
      <c r="D1902" s="260"/>
      <c r="E1902" s="2816" t="s">
        <v>10320</v>
      </c>
      <c r="F1902" s="218">
        <v>10</v>
      </c>
      <c r="G1902" s="218">
        <v>10</v>
      </c>
      <c r="H1902" s="218">
        <f>COUNTIF(HabilidadesEsenciales_Adquiridas,Tablas!E1902)</f>
        <v>0</v>
      </c>
      <c r="I1902" s="2818">
        <v>1</v>
      </c>
      <c r="J1902" s="422"/>
      <c r="K1902" s="2809"/>
      <c r="M1902" s="1959"/>
      <c r="N1902" s="100"/>
      <c r="O1902" s="468" t="s">
        <v>9896</v>
      </c>
      <c r="P1902" s="2828">
        <v>10</v>
      </c>
      <c r="Q1902" s="575">
        <f>10+IF(OR(TipoDeCriatura="Entre mundos, Elemental",TipoDeCriatura="Ánima, Elemental"),10,0)</f>
        <v>10</v>
      </c>
      <c r="R1902" s="2818">
        <f>COUNTIF(PoderesDeCriatura_Adquiridos,Tablas!O1902)</f>
        <v>0</v>
      </c>
      <c r="S1902" s="422"/>
      <c r="T1902" s="2809"/>
      <c r="V1902" s="2868" t="str">
        <f t="shared" si="111"/>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98"/>
      <c r="C1903" s="2813"/>
      <c r="D1903" s="260"/>
      <c r="E1903" s="2816" t="s">
        <v>10321</v>
      </c>
      <c r="F1903" s="218">
        <v>15</v>
      </c>
      <c r="G1903" s="218">
        <v>20</v>
      </c>
      <c r="H1903" s="218">
        <f>COUNTIF(HabilidadesEsenciales_Adquiridas,Tablas!E1903)</f>
        <v>0</v>
      </c>
      <c r="I1903" s="2818">
        <v>1</v>
      </c>
      <c r="J1903" s="422"/>
      <c r="K1903" s="2809"/>
      <c r="M1903" s="1959"/>
      <c r="N1903" s="100"/>
      <c r="O1903" s="468" t="s">
        <v>9897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5222"/>
      <c r="BK1903" s="5222"/>
      <c r="BL1903" s="5222"/>
      <c r="BM1903" s="5222"/>
      <c r="BN1903" s="5222"/>
      <c r="BO1903" s="5222"/>
      <c r="BP1903" s="5222"/>
      <c r="BQ1903" s="5222"/>
      <c r="BR1903" s="5222"/>
      <c r="BS1903" s="5222"/>
      <c r="BT1903" s="5222"/>
      <c r="BU1903" s="5222"/>
      <c r="BV1903" s="5222"/>
      <c r="BW1903" s="5222"/>
      <c r="BX1903" s="5222"/>
      <c r="BY1903" s="5222"/>
      <c r="BZ1903" s="5222"/>
      <c r="CA1903" s="5225"/>
    </row>
    <row r="1904" spans="1:79" ht="12.75" customHeight="1" x14ac:dyDescent="0.2">
      <c r="A1904" s="2029">
        <v>211</v>
      </c>
      <c r="B1904" s="4998"/>
      <c r="C1904" s="2813"/>
      <c r="D1904" s="260"/>
      <c r="E1904" s="2816" t="s">
        <v>10322</v>
      </c>
      <c r="F1904" s="218">
        <v>20</v>
      </c>
      <c r="G1904" s="218">
        <v>30</v>
      </c>
      <c r="H1904" s="218">
        <f>COUNTIF(HabilidadesEsenciales_Adquiridas,Tablas!E1904)</f>
        <v>0</v>
      </c>
      <c r="I1904" s="2818">
        <v>1</v>
      </c>
      <c r="J1904" s="422"/>
      <c r="K1904" s="2809"/>
      <c r="M1904" s="1959"/>
      <c r="N1904" s="100"/>
      <c r="O1904" s="468" t="s">
        <v>9898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98"/>
      <c r="C1905" s="2813"/>
      <c r="D1905" s="260"/>
      <c r="E1905" s="2816" t="s">
        <v>10323</v>
      </c>
      <c r="F1905" s="218">
        <v>25</v>
      </c>
      <c r="G1905" s="218">
        <v>40</v>
      </c>
      <c r="H1905" s="218">
        <f>COUNTIF(HabilidadesEsenciales_Adquiridas,Tablas!E1905)</f>
        <v>0</v>
      </c>
      <c r="I1905" s="2818">
        <v>1</v>
      </c>
      <c r="J1905" s="422"/>
      <c r="K1905" s="2809"/>
      <c r="M1905" s="1959"/>
      <c r="N1905" s="100"/>
      <c r="O1905" s="468" t="s">
        <v>9899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2">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98"/>
      <c r="C1906" s="2813"/>
      <c r="D1906" s="260"/>
      <c r="E1906" s="2816" t="s">
        <v>10324</v>
      </c>
      <c r="F1906" s="218">
        <v>30</v>
      </c>
      <c r="G1906" s="218">
        <v>50</v>
      </c>
      <c r="H1906" s="218">
        <f>COUNTIF(HabilidadesEsenciales_Adquiridas,Tablas!E1906)</f>
        <v>0</v>
      </c>
      <c r="I1906" s="2818">
        <v>1</v>
      </c>
      <c r="J1906" s="422"/>
      <c r="K1906" s="2809"/>
      <c r="M1906" s="1959"/>
      <c r="N1906" s="100"/>
      <c r="O1906" s="468" t="s">
        <v>9900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2"/>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98"/>
      <c r="C1907" s="2813"/>
      <c r="D1907" s="260"/>
      <c r="E1907" s="2816" t="s">
        <v>10325</v>
      </c>
      <c r="F1907" s="218">
        <v>10</v>
      </c>
      <c r="G1907" s="218">
        <v>10</v>
      </c>
      <c r="H1907" s="218">
        <f>COUNTIF(HabilidadesEsenciales_Adquiridas,Tablas!E1907)</f>
        <v>0</v>
      </c>
      <c r="I1907" s="2818">
        <v>1</v>
      </c>
      <c r="J1907" s="422"/>
      <c r="K1907" s="2809"/>
      <c r="M1907" s="1959"/>
      <c r="N1907" s="100"/>
      <c r="O1907" s="468" t="s">
        <v>9901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2"/>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98"/>
      <c r="C1908" s="2813"/>
      <c r="D1908" s="260"/>
      <c r="E1908" s="2816" t="s">
        <v>10326</v>
      </c>
      <c r="F1908" s="218">
        <v>15</v>
      </c>
      <c r="G1908" s="218">
        <v>20</v>
      </c>
      <c r="H1908" s="218">
        <f>COUNTIF(HabilidadesEsenciales_Adquiridas,Tablas!E1908)</f>
        <v>0</v>
      </c>
      <c r="I1908" s="2818">
        <v>1</v>
      </c>
      <c r="J1908" s="422"/>
      <c r="K1908" s="2809"/>
      <c r="M1908" s="1959"/>
      <c r="N1908" s="100"/>
      <c r="O1908" s="468" t="s">
        <v>9902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2"/>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98"/>
      <c r="C1909" s="2813"/>
      <c r="D1909" s="260"/>
      <c r="E1909" s="2816" t="s">
        <v>10327</v>
      </c>
      <c r="F1909" s="218">
        <v>20</v>
      </c>
      <c r="G1909" s="218">
        <v>30</v>
      </c>
      <c r="H1909" s="218">
        <f>COUNTIF(HabilidadesEsenciales_Adquiridas,Tablas!E1909)</f>
        <v>0</v>
      </c>
      <c r="I1909" s="2818">
        <v>1</v>
      </c>
      <c r="J1909" s="422"/>
      <c r="K1909" s="2809"/>
      <c r="M1909" s="1959"/>
      <c r="N1909" s="100"/>
      <c r="O1909" s="468" t="s">
        <v>9903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2"/>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98"/>
      <c r="C1910" s="2813"/>
      <c r="D1910" s="260"/>
      <c r="E1910" s="2816" t="s">
        <v>10328</v>
      </c>
      <c r="F1910" s="218">
        <v>25</v>
      </c>
      <c r="G1910" s="218">
        <v>40</v>
      </c>
      <c r="H1910" s="218">
        <f>COUNTIF(HabilidadesEsenciales_Adquiridas,Tablas!E1910)</f>
        <v>0</v>
      </c>
      <c r="I1910" s="2818">
        <v>1</v>
      </c>
      <c r="J1910" s="422"/>
      <c r="K1910" s="2809"/>
      <c r="M1910" s="1959"/>
      <c r="N1910" s="100"/>
      <c r="O1910" s="468" t="s">
        <v>9904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2"/>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98"/>
      <c r="C1911" s="2813"/>
      <c r="D1911" s="260"/>
      <c r="E1911" s="2816" t="s">
        <v>10329</v>
      </c>
      <c r="F1911" s="218">
        <v>30</v>
      </c>
      <c r="G1911" s="218">
        <v>50</v>
      </c>
      <c r="H1911" s="218">
        <f>COUNTIF(HabilidadesEsenciales_Adquiridas,Tablas!E1911)</f>
        <v>0</v>
      </c>
      <c r="I1911" s="2818">
        <v>1</v>
      </c>
      <c r="J1911" s="422"/>
      <c r="K1911" s="2809"/>
      <c r="M1911" s="1959"/>
      <c r="N1911" s="100"/>
      <c r="O1911" s="468" t="s">
        <v>9905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2"/>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98"/>
      <c r="C1912" s="2813"/>
      <c r="D1912" s="260"/>
      <c r="E1912" s="2816" t="s">
        <v>10330</v>
      </c>
      <c r="F1912" s="218">
        <v>10</v>
      </c>
      <c r="G1912" s="218">
        <v>10</v>
      </c>
      <c r="H1912" s="218">
        <f>COUNTIF(HabilidadesEsenciales_Adquiridas,Tablas!E1912)</f>
        <v>0</v>
      </c>
      <c r="I1912" s="2818">
        <v>1</v>
      </c>
      <c r="J1912" s="422"/>
      <c r="K1912" s="2809"/>
      <c r="M1912" s="1959"/>
      <c r="N1912" s="100"/>
      <c r="O1912" s="468" t="s">
        <v>9906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2"/>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98"/>
      <c r="C1913" s="2813"/>
      <c r="D1913" s="260"/>
      <c r="E1913" s="2816" t="s">
        <v>10331</v>
      </c>
      <c r="F1913" s="218">
        <v>15</v>
      </c>
      <c r="G1913" s="218">
        <v>20</v>
      </c>
      <c r="H1913" s="218">
        <f>COUNTIF(HabilidadesEsenciales_Adquiridas,Tablas!E1913)</f>
        <v>0</v>
      </c>
      <c r="I1913" s="2818">
        <v>1</v>
      </c>
      <c r="J1913" s="422"/>
      <c r="K1913" s="2809"/>
      <c r="M1913" s="1959"/>
      <c r="N1913" s="100"/>
      <c r="O1913" s="468" t="s">
        <v>9907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2"/>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98"/>
      <c r="C1914" s="2813"/>
      <c r="D1914" s="260"/>
      <c r="E1914" s="2816" t="s">
        <v>10332</v>
      </c>
      <c r="F1914" s="218">
        <v>20</v>
      </c>
      <c r="G1914" s="218">
        <v>30</v>
      </c>
      <c r="H1914" s="218">
        <f>COUNTIF(HabilidadesEsenciales_Adquiridas,Tablas!E1914)</f>
        <v>0</v>
      </c>
      <c r="I1914" s="2818">
        <v>1</v>
      </c>
      <c r="J1914" s="422"/>
      <c r="K1914" s="2809"/>
      <c r="M1914" s="1959"/>
      <c r="N1914" s="100"/>
      <c r="O1914" s="468" t="s">
        <v>9908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2"/>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98"/>
      <c r="C1915" s="2813"/>
      <c r="D1915" s="260"/>
      <c r="E1915" s="2816" t="s">
        <v>10333</v>
      </c>
      <c r="F1915" s="218">
        <v>25</v>
      </c>
      <c r="G1915" s="218">
        <v>40</v>
      </c>
      <c r="H1915" s="218">
        <f>COUNTIF(HabilidadesEsenciales_Adquiridas,Tablas!E1915)</f>
        <v>0</v>
      </c>
      <c r="I1915" s="2818">
        <v>1</v>
      </c>
      <c r="J1915" s="422"/>
      <c r="K1915" s="2809"/>
      <c r="M1915" s="1959"/>
      <c r="N1915" s="100"/>
      <c r="O1915" s="468" t="s">
        <v>9909</v>
      </c>
      <c r="P1915" s="2828">
        <v>25</v>
      </c>
      <c r="Q1915" s="575">
        <f>120+IF(OR(TipoDeCriatura="Entre mundos, Elemental",TipoDeCriatura="Ánima, Elemental"),10,0)</f>
        <v>120</v>
      </c>
      <c r="R1915" s="2818">
        <f>COUNTIF(PoderesDeCriatura_Adquiridos,Tablas!O1915)</f>
        <v>0</v>
      </c>
      <c r="S1915" s="422"/>
      <c r="T1915" s="2809"/>
      <c r="U1915" s="500"/>
      <c r="V1915" s="2871" t="s">
        <v>10271</v>
      </c>
      <c r="W1915" s="2838"/>
      <c r="X1915" s="2340" t="str">
        <f t="shared" si="112"/>
        <v>PodHab_CaracterísticaIncrementada</v>
      </c>
      <c r="Y1915" s="2852" t="s">
        <v>10383</v>
      </c>
      <c r="Z1915" s="2852" t="s">
        <v>10384</v>
      </c>
      <c r="AA1915" s="2852" t="s">
        <v>10385</v>
      </c>
      <c r="AB1915" s="2852" t="s">
        <v>10386</v>
      </c>
      <c r="AC1915" s="2852" t="s">
        <v>10387</v>
      </c>
      <c r="AD1915" s="2852" t="s">
        <v>10388</v>
      </c>
      <c r="AE1915" s="2852" t="s">
        <v>10389</v>
      </c>
      <c r="AF1915" s="2852" t="s">
        <v>10390</v>
      </c>
      <c r="AG1915" s="2852" t="s">
        <v>10391</v>
      </c>
      <c r="AH1915" s="2852" t="s">
        <v>10392</v>
      </c>
      <c r="AI1915" s="2852" t="s">
        <v>10393</v>
      </c>
      <c r="AJ1915" s="2852" t="s">
        <v>10394</v>
      </c>
      <c r="AK1915" s="2852" t="s">
        <v>10395</v>
      </c>
      <c r="AL1915" s="2852" t="s">
        <v>10396</v>
      </c>
      <c r="AM1915" s="2852" t="s">
        <v>10397</v>
      </c>
      <c r="AN1915" s="2852" t="s">
        <v>10398</v>
      </c>
      <c r="AO1915" s="2852" t="s">
        <v>10399</v>
      </c>
      <c r="AP1915" s="2852" t="s">
        <v>10400</v>
      </c>
      <c r="AQ1915" s="2852" t="s">
        <v>10401</v>
      </c>
      <c r="AR1915" s="2852" t="s">
        <v>10402</v>
      </c>
      <c r="AS1915" s="2852" t="s">
        <v>10403</v>
      </c>
      <c r="AT1915" s="2852" t="s">
        <v>10404</v>
      </c>
      <c r="AU1915" s="2852" t="s">
        <v>10405</v>
      </c>
      <c r="AV1915" s="2852" t="s">
        <v>10406</v>
      </c>
      <c r="AW1915" s="2852" t="s">
        <v>10407</v>
      </c>
      <c r="AX1915" s="2852" t="s">
        <v>10408</v>
      </c>
      <c r="AY1915" s="2852" t="s">
        <v>10409</v>
      </c>
      <c r="AZ1915" s="2852" t="s">
        <v>10410</v>
      </c>
      <c r="BA1915" s="2852" t="s">
        <v>10411</v>
      </c>
      <c r="BB1915" s="2852" t="s">
        <v>10412</v>
      </c>
      <c r="BC1915" s="2852" t="s">
        <v>10413</v>
      </c>
      <c r="BD1915" s="2852" t="s">
        <v>10414</v>
      </c>
      <c r="BE1915" s="2852" t="s">
        <v>10415</v>
      </c>
      <c r="BF1915" s="2852" t="s">
        <v>10416</v>
      </c>
      <c r="BG1915" s="2852" t="s">
        <v>10417</v>
      </c>
      <c r="BH1915" s="2852" t="s">
        <v>10418</v>
      </c>
      <c r="BI1915" s="2852" t="s">
        <v>10419</v>
      </c>
      <c r="BJ1915" s="2852" t="s">
        <v>10420</v>
      </c>
      <c r="BK1915" s="2852" t="s">
        <v>10421</v>
      </c>
      <c r="BL1915" s="2852" t="s">
        <v>10422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98"/>
      <c r="C1916" s="2813"/>
      <c r="D1916" s="260"/>
      <c r="E1916" s="2816" t="s">
        <v>10334</v>
      </c>
      <c r="F1916" s="218">
        <v>30</v>
      </c>
      <c r="G1916" s="218">
        <v>50</v>
      </c>
      <c r="H1916" s="218">
        <f>COUNTIF(HabilidadesEsenciales_Adquiridas,Tablas!E1916)</f>
        <v>0</v>
      </c>
      <c r="I1916" s="2818">
        <v>1</v>
      </c>
      <c r="J1916" s="422"/>
      <c r="K1916" s="2809"/>
      <c r="M1916" s="1959"/>
      <c r="N1916" s="100"/>
      <c r="O1916" s="468" t="s">
        <v>9910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98"/>
      <c r="C1917" s="2813"/>
      <c r="D1917" s="260"/>
      <c r="E1917" s="2816" t="s">
        <v>10335</v>
      </c>
      <c r="F1917" s="218">
        <v>10</v>
      </c>
      <c r="G1917" s="218">
        <v>10</v>
      </c>
      <c r="H1917" s="218">
        <f>COUNTIF(HabilidadesEsenciales_Adquiridas,Tablas!E1917)</f>
        <v>0</v>
      </c>
      <c r="I1917" s="2818">
        <v>1</v>
      </c>
      <c r="J1917" s="422"/>
      <c r="K1917" s="2809"/>
      <c r="M1917" s="1959"/>
      <c r="N1917" s="100"/>
      <c r="O1917" s="468" t="s">
        <v>9911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2"/>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98"/>
      <c r="C1918" s="2813"/>
      <c r="D1918" s="260"/>
      <c r="E1918" s="2816" t="s">
        <v>10336</v>
      </c>
      <c r="F1918" s="218">
        <v>15</v>
      </c>
      <c r="G1918" s="218">
        <v>20</v>
      </c>
      <c r="H1918" s="218">
        <f>COUNTIF(HabilidadesEsenciales_Adquiridas,Tablas!E1918)</f>
        <v>0</v>
      </c>
      <c r="I1918" s="2818">
        <v>1</v>
      </c>
      <c r="J1918" s="422"/>
      <c r="K1918" s="2809"/>
      <c r="M1918" s="1959"/>
      <c r="N1918" s="100"/>
      <c r="O1918" s="468" t="s">
        <v>9912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2"/>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98"/>
      <c r="C1919" s="2813"/>
      <c r="D1919" s="260"/>
      <c r="E1919" s="2816" t="s">
        <v>10337</v>
      </c>
      <c r="F1919" s="218">
        <v>20</v>
      </c>
      <c r="G1919" s="218">
        <v>30</v>
      </c>
      <c r="H1919" s="218">
        <f>COUNTIF(HabilidadesEsenciales_Adquiridas,Tablas!E1919)</f>
        <v>0</v>
      </c>
      <c r="I1919" s="2818">
        <v>1</v>
      </c>
      <c r="J1919" s="422"/>
      <c r="K1919" s="2809"/>
      <c r="M1919" s="1959"/>
      <c r="N1919" s="100"/>
      <c r="O1919" s="468" t="s">
        <v>9913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2"/>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98"/>
      <c r="C1920" s="2813"/>
      <c r="D1920" s="260"/>
      <c r="E1920" s="2816" t="s">
        <v>10338</v>
      </c>
      <c r="F1920" s="218">
        <v>25</v>
      </c>
      <c r="G1920" s="218">
        <v>40</v>
      </c>
      <c r="H1920" s="218">
        <f>COUNTIF(HabilidadesEsenciales_Adquiridas,Tablas!E1920)</f>
        <v>0</v>
      </c>
      <c r="I1920" s="2818">
        <v>1</v>
      </c>
      <c r="J1920" s="422"/>
      <c r="K1920" s="2809"/>
      <c r="M1920" s="1959"/>
      <c r="N1920" s="100"/>
      <c r="O1920" s="468" t="s">
        <v>9914</v>
      </c>
      <c r="P1920" s="2811">
        <v>10</v>
      </c>
      <c r="Q1920" s="575">
        <v>-20</v>
      </c>
      <c r="R1920" s="2818">
        <f>COUNTIF(PoderesDeCriatura_Adquiridos,Tablas!O1920)</f>
        <v>0</v>
      </c>
      <c r="S1920" s="422"/>
      <c r="T1920" s="2809"/>
      <c r="U1920" s="500"/>
      <c r="V1920" s="2868" t="s">
        <v>1578</v>
      </c>
      <c r="W1920" s="2838"/>
      <c r="X1920" s="2340" t="str">
        <f t="shared" si="112"/>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98"/>
      <c r="C1921" s="2813"/>
      <c r="D1921" s="260"/>
      <c r="E1921" s="2816" t="s">
        <v>10339</v>
      </c>
      <c r="F1921" s="218">
        <v>30</v>
      </c>
      <c r="G1921" s="218">
        <v>50</v>
      </c>
      <c r="H1921" s="218">
        <f>COUNTIF(HabilidadesEsenciales_Adquiridas,Tablas!E1921)</f>
        <v>0</v>
      </c>
      <c r="I1921" s="2818">
        <v>1</v>
      </c>
      <c r="J1921" s="422"/>
      <c r="K1921" s="2809"/>
      <c r="M1921" s="1959"/>
      <c r="N1921" s="100"/>
      <c r="O1921" s="2825" t="s">
        <v>9915</v>
      </c>
      <c r="P1921" s="2828">
        <v>0</v>
      </c>
      <c r="Q1921" s="575">
        <v>10</v>
      </c>
      <c r="R1921" s="2818">
        <f>COUNTIF(PoderesDeCriatura_Adquiridos,Tablas!O1921)</f>
        <v>0</v>
      </c>
      <c r="S1921" s="422"/>
      <c r="T1921" s="2809"/>
      <c r="U1921" s="500"/>
      <c r="V1921" s="2868" t="s">
        <v>1577</v>
      </c>
      <c r="W1921" s="2838"/>
      <c r="X1921" s="2340" t="str">
        <f t="shared" si="112"/>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98"/>
      <c r="C1922" s="2813"/>
      <c r="D1922" s="260"/>
      <c r="E1922" s="2816" t="s">
        <v>10340</v>
      </c>
      <c r="F1922" s="218">
        <v>10</v>
      </c>
      <c r="G1922" s="218">
        <v>10</v>
      </c>
      <c r="H1922" s="218">
        <f>COUNTIF(HabilidadesEsenciales_Adquiridas,Tablas!E1922)</f>
        <v>0</v>
      </c>
      <c r="I1922" s="2818">
        <v>1</v>
      </c>
      <c r="J1922" s="422"/>
      <c r="K1922" s="2809"/>
      <c r="M1922" s="1959"/>
      <c r="N1922" s="100"/>
      <c r="O1922" s="468" t="s">
        <v>9916</v>
      </c>
      <c r="P1922" s="2828">
        <v>0</v>
      </c>
      <c r="Q1922" s="575">
        <v>20</v>
      </c>
      <c r="R1922" s="2818">
        <f>COUNTIF(PoderesDeCriatura_Adquiridos,Tablas!O1922)</f>
        <v>0</v>
      </c>
      <c r="S1922" s="422"/>
      <c r="T1922" s="2809"/>
      <c r="U1922" s="500"/>
      <c r="V1922" s="2868" t="s">
        <v>1574</v>
      </c>
      <c r="W1922" s="2838"/>
      <c r="X1922" s="2340" t="str">
        <f t="shared" si="112"/>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98"/>
      <c r="C1923" s="2813"/>
      <c r="D1923" s="260"/>
      <c r="E1923" s="2816" t="s">
        <v>10341</v>
      </c>
      <c r="F1923" s="218">
        <v>15</v>
      </c>
      <c r="G1923" s="218">
        <v>20</v>
      </c>
      <c r="H1923" s="218">
        <f>COUNTIF(HabilidadesEsenciales_Adquiridas,Tablas!E1923)</f>
        <v>0</v>
      </c>
      <c r="I1923" s="2818">
        <v>1</v>
      </c>
      <c r="J1923" s="422"/>
      <c r="K1923" s="2809"/>
      <c r="M1923" s="1959"/>
      <c r="N1923" s="100"/>
      <c r="O1923" s="468" t="s">
        <v>9917</v>
      </c>
      <c r="P1923" s="2828">
        <v>0</v>
      </c>
      <c r="Q1923" s="575">
        <v>30</v>
      </c>
      <c r="R1923" s="2818">
        <f>COUNTIF(PoderesDeCriatura_Adquiridos,Tablas!O1923)</f>
        <v>0</v>
      </c>
      <c r="S1923" s="422"/>
      <c r="T1923" s="2809"/>
      <c r="U1923" s="500"/>
      <c r="V1923" s="2868" t="s">
        <v>1575</v>
      </c>
      <c r="W1923" s="2838"/>
      <c r="X1923" s="2340" t="str">
        <f t="shared" si="112"/>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98"/>
      <c r="C1924" s="2813"/>
      <c r="D1924" s="260"/>
      <c r="E1924" s="2816" t="s">
        <v>10342</v>
      </c>
      <c r="F1924" s="218">
        <v>20</v>
      </c>
      <c r="G1924" s="218">
        <v>30</v>
      </c>
      <c r="H1924" s="218">
        <f>COUNTIF(HabilidadesEsenciales_Adquiridas,Tablas!E1924)</f>
        <v>0</v>
      </c>
      <c r="I1924" s="2818">
        <v>1</v>
      </c>
      <c r="J1924" s="422"/>
      <c r="K1924" s="2809"/>
      <c r="M1924" s="1959"/>
      <c r="N1924" s="100"/>
      <c r="O1924" s="468" t="s">
        <v>9918</v>
      </c>
      <c r="P1924" s="2828">
        <v>5</v>
      </c>
      <c r="Q1924" s="575">
        <v>40</v>
      </c>
      <c r="R1924" s="2818">
        <f>COUNTIF(PoderesDeCriatura_Adquiridos,Tablas!O1924)</f>
        <v>0</v>
      </c>
      <c r="S1924" s="422"/>
      <c r="T1924" s="2809"/>
      <c r="U1924" s="500"/>
      <c r="V1924" s="2868" t="s">
        <v>1573</v>
      </c>
      <c r="W1924" s="2838"/>
      <c r="X1924" s="2340" t="str">
        <f t="shared" si="112"/>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98"/>
      <c r="C1925" s="2813"/>
      <c r="D1925" s="260"/>
      <c r="E1925" s="2816" t="s">
        <v>10343</v>
      </c>
      <c r="F1925" s="218">
        <v>25</v>
      </c>
      <c r="G1925" s="218">
        <v>40</v>
      </c>
      <c r="H1925" s="218">
        <f>COUNTIF(HabilidadesEsenciales_Adquiridas,Tablas!E1925)</f>
        <v>0</v>
      </c>
      <c r="I1925" s="2818">
        <v>1</v>
      </c>
      <c r="J1925" s="422"/>
      <c r="K1925" s="2809"/>
      <c r="M1925" s="1959"/>
      <c r="N1925" s="100"/>
      <c r="O1925" s="468" t="s">
        <v>9919</v>
      </c>
      <c r="P1925" s="2828">
        <v>5</v>
      </c>
      <c r="Q1925" s="575">
        <v>50</v>
      </c>
      <c r="R1925" s="2818">
        <f>COUNTIF(PoderesDeCriatura_Adquiridos,Tablas!O1925)</f>
        <v>0</v>
      </c>
      <c r="S1925" s="422"/>
      <c r="T1925" s="2809"/>
      <c r="U1925" s="500"/>
      <c r="V1925" s="2868" t="s">
        <v>1579</v>
      </c>
      <c r="W1925" s="2838"/>
      <c r="X1925" s="2340" t="str">
        <f t="shared" si="112"/>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98"/>
      <c r="C1926" s="2813"/>
      <c r="D1926" s="260"/>
      <c r="E1926" s="2816" t="s">
        <v>10344</v>
      </c>
      <c r="F1926" s="218">
        <v>30</v>
      </c>
      <c r="G1926" s="218">
        <v>50</v>
      </c>
      <c r="H1926" s="218">
        <f>COUNTIF(HabilidadesEsenciales_Adquiridas,Tablas!E1926)</f>
        <v>0</v>
      </c>
      <c r="I1926" s="2818">
        <v>1</v>
      </c>
      <c r="J1926" s="422"/>
      <c r="K1926" s="2809"/>
      <c r="M1926" s="1959"/>
      <c r="N1926" s="100"/>
      <c r="O1926" s="468" t="s">
        <v>9920</v>
      </c>
      <c r="P1926" s="2828">
        <v>10</v>
      </c>
      <c r="Q1926" s="575">
        <v>60</v>
      </c>
      <c r="R1926" s="2818">
        <f>COUNTIF(PoderesDeCriatura_Adquiridos,Tablas!O1926)</f>
        <v>0</v>
      </c>
      <c r="S1926" s="422"/>
      <c r="T1926" s="2809"/>
      <c r="U1926" s="500"/>
      <c r="V1926" s="2868" t="s">
        <v>1572</v>
      </c>
      <c r="W1926" s="2838"/>
      <c r="X1926" s="2340" t="str">
        <f t="shared" si="112"/>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98"/>
      <c r="C1927" s="2813"/>
      <c r="D1927" s="260"/>
      <c r="E1927" s="2816" t="s">
        <v>10345</v>
      </c>
      <c r="F1927" s="218">
        <v>10</v>
      </c>
      <c r="G1927" s="218">
        <v>10</v>
      </c>
      <c r="H1927" s="218">
        <f>COUNTIF(HabilidadesEsenciales_Adquiridas,Tablas!E1927)</f>
        <v>0</v>
      </c>
      <c r="I1927" s="2818">
        <v>1</v>
      </c>
      <c r="J1927" s="422"/>
      <c r="K1927" s="2809"/>
      <c r="M1927" s="1959"/>
      <c r="N1927" s="100"/>
      <c r="O1927" s="468" t="s">
        <v>9921</v>
      </c>
      <c r="P1927" s="2828">
        <v>20</v>
      </c>
      <c r="Q1927" s="575">
        <v>70</v>
      </c>
      <c r="R1927" s="2818">
        <f>COUNTIF(PoderesDeCriatura_Adquiridos,Tablas!O1927)</f>
        <v>0</v>
      </c>
      <c r="S1927" s="422"/>
      <c r="T1927" s="2809"/>
      <c r="U1927" s="500"/>
      <c r="V1927" s="2868" t="s">
        <v>1570</v>
      </c>
      <c r="W1927" s="2838"/>
      <c r="X1927" s="2340" t="str">
        <f t="shared" si="112"/>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98"/>
      <c r="C1928" s="2813"/>
      <c r="D1928" s="260"/>
      <c r="E1928" s="2816" t="s">
        <v>10346</v>
      </c>
      <c r="F1928" s="218">
        <v>15</v>
      </c>
      <c r="G1928" s="218">
        <v>20</v>
      </c>
      <c r="H1928" s="218">
        <f>COUNTIF(HabilidadesEsenciales_Adquiridas,Tablas!E1928)</f>
        <v>0</v>
      </c>
      <c r="I1928" s="2818">
        <v>1</v>
      </c>
      <c r="J1928" s="422"/>
      <c r="K1928" s="2809"/>
      <c r="M1928" s="1959"/>
      <c r="N1928" s="100"/>
      <c r="O1928" s="468" t="s">
        <v>9922</v>
      </c>
      <c r="P1928" s="2828">
        <v>30</v>
      </c>
      <c r="Q1928" s="575">
        <v>80</v>
      </c>
      <c r="R1928" s="2818">
        <f>COUNTIF(PoderesDeCriatura_Adquiridos,Tablas!O1928)</f>
        <v>0</v>
      </c>
      <c r="S1928" s="422"/>
      <c r="T1928" s="2809"/>
      <c r="U1928" s="500"/>
      <c r="V1928" s="2868" t="s">
        <v>1571</v>
      </c>
      <c r="W1928" s="2838"/>
      <c r="X1928" s="2340" t="str">
        <f t="shared" si="112"/>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98"/>
      <c r="C1929" s="2813"/>
      <c r="D1929" s="260"/>
      <c r="E1929" s="2816" t="s">
        <v>10347</v>
      </c>
      <c r="F1929" s="218">
        <v>20</v>
      </c>
      <c r="G1929" s="218">
        <v>30</v>
      </c>
      <c r="H1929" s="218">
        <f>COUNTIF(HabilidadesEsenciales_Adquiridas,Tablas!E1929)</f>
        <v>0</v>
      </c>
      <c r="I1929" s="2818">
        <v>1</v>
      </c>
      <c r="J1929" s="422"/>
      <c r="K1929" s="2809"/>
      <c r="M1929" s="1959"/>
      <c r="N1929" s="100"/>
      <c r="O1929" s="468" t="s">
        <v>9923</v>
      </c>
      <c r="P1929" s="2828">
        <v>30</v>
      </c>
      <c r="Q1929" s="575">
        <v>90</v>
      </c>
      <c r="R1929" s="2818">
        <f>COUNTIF(PoderesDeCriatura_Adquiridos,Tablas!O1929)</f>
        <v>0</v>
      </c>
      <c r="S1929" s="422"/>
      <c r="T1929" s="2809"/>
      <c r="U1929" s="500"/>
      <c r="V1929" s="2868" t="s">
        <v>1555</v>
      </c>
      <c r="W1929" s="2838"/>
      <c r="X1929" s="2340" t="str">
        <f t="shared" si="112"/>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98"/>
      <c r="C1930" s="2813"/>
      <c r="D1930" s="260"/>
      <c r="E1930" s="2816" t="s">
        <v>10348</v>
      </c>
      <c r="F1930" s="218">
        <v>25</v>
      </c>
      <c r="G1930" s="218">
        <v>40</v>
      </c>
      <c r="H1930" s="218">
        <f>COUNTIF(HabilidadesEsenciales_Adquiridas,Tablas!E1930)</f>
        <v>0</v>
      </c>
      <c r="I1930" s="2818">
        <v>1</v>
      </c>
      <c r="J1930" s="422"/>
      <c r="K1930" s="2809"/>
      <c r="M1930" s="1959"/>
      <c r="N1930" s="100"/>
      <c r="O1930" s="468" t="s">
        <v>9924</v>
      </c>
      <c r="P1930" s="2828">
        <v>40</v>
      </c>
      <c r="Q1930" s="575">
        <v>100</v>
      </c>
      <c r="R1930" s="2818">
        <f>COUNTIF(PoderesDeCriatura_Adquiridos,Tablas!O1930)</f>
        <v>0</v>
      </c>
      <c r="S1930" s="422"/>
      <c r="T1930" s="2809"/>
      <c r="U1930" s="500"/>
      <c r="V1930" s="2868" t="s">
        <v>1567</v>
      </c>
      <c r="W1930" s="2838"/>
      <c r="X1930" s="2340" t="str">
        <f t="shared" si="112"/>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98"/>
      <c r="C1931" s="2813"/>
      <c r="D1931" s="260"/>
      <c r="E1931" s="2816" t="s">
        <v>10349</v>
      </c>
      <c r="F1931" s="218">
        <v>30</v>
      </c>
      <c r="G1931" s="218">
        <v>50</v>
      </c>
      <c r="H1931" s="218">
        <f>COUNTIF(HabilidadesEsenciales_Adquiridas,Tablas!E1931)</f>
        <v>0</v>
      </c>
      <c r="I1931" s="2818">
        <v>1</v>
      </c>
      <c r="J1931" s="422"/>
      <c r="K1931" s="2809"/>
      <c r="M1931" s="1959"/>
      <c r="N1931" s="100"/>
      <c r="O1931" s="468" t="s">
        <v>9925</v>
      </c>
      <c r="P1931" s="2811">
        <v>0</v>
      </c>
      <c r="Q1931" s="575">
        <v>10</v>
      </c>
      <c r="R1931" s="2818">
        <f>COUNTIF(PoderesDeCriatura_Adquiridos,Tablas!O1931)</f>
        <v>0</v>
      </c>
      <c r="S1931" s="422"/>
      <c r="T1931" s="2809"/>
      <c r="U1931" s="500"/>
      <c r="V1931" s="2868" t="s">
        <v>1558</v>
      </c>
      <c r="W1931" s="2838"/>
      <c r="X1931" s="2340" t="str">
        <f t="shared" si="112"/>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98"/>
      <c r="C1932" s="2813"/>
      <c r="D1932" s="260"/>
      <c r="E1932" s="2816" t="s">
        <v>10350</v>
      </c>
      <c r="F1932" s="218">
        <v>10</v>
      </c>
      <c r="G1932" s="218">
        <v>10</v>
      </c>
      <c r="H1932" s="218">
        <f>COUNTIF(HabilidadesEsenciales_Adquiridas,Tablas!E1932)</f>
        <v>0</v>
      </c>
      <c r="I1932" s="2818">
        <v>1</v>
      </c>
      <c r="J1932" s="422"/>
      <c r="K1932" s="2809"/>
      <c r="M1932" s="1959"/>
      <c r="N1932" s="100"/>
      <c r="O1932" s="468" t="s">
        <v>9926</v>
      </c>
      <c r="P1932" s="2811">
        <v>0</v>
      </c>
      <c r="Q1932" s="575">
        <v>20</v>
      </c>
      <c r="R1932" s="2818">
        <f>COUNTIF(PoderesDeCriatura_Adquiridos,Tablas!O1932)</f>
        <v>0</v>
      </c>
      <c r="S1932" s="422"/>
      <c r="T1932" s="2809"/>
      <c r="U1932" s="500"/>
      <c r="V1932" s="2868" t="s">
        <v>1568</v>
      </c>
      <c r="W1932" s="2838"/>
      <c r="X1932" s="2340" t="str">
        <f t="shared" si="112"/>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98"/>
      <c r="C1933" s="2813"/>
      <c r="D1933" s="260"/>
      <c r="E1933" s="2816" t="s">
        <v>10351</v>
      </c>
      <c r="F1933" s="218">
        <v>15</v>
      </c>
      <c r="G1933" s="218">
        <v>20</v>
      </c>
      <c r="H1933" s="218">
        <f>COUNTIF(HabilidadesEsenciales_Adquiridas,Tablas!E1933)</f>
        <v>0</v>
      </c>
      <c r="I1933" s="2818">
        <v>1</v>
      </c>
      <c r="J1933" s="422"/>
      <c r="K1933" s="2809"/>
      <c r="M1933" s="1959"/>
      <c r="N1933" s="100"/>
      <c r="O1933" s="468" t="s">
        <v>9927</v>
      </c>
      <c r="P1933" s="2811">
        <v>0</v>
      </c>
      <c r="Q1933" s="575">
        <v>30</v>
      </c>
      <c r="R1933" s="2818">
        <f>COUNTIF(PoderesDeCriatura_Adquiridos,Tablas!O1933)</f>
        <v>0</v>
      </c>
      <c r="S1933" s="422"/>
      <c r="T1933" s="2809"/>
      <c r="U1933" s="500"/>
      <c r="V1933" s="2868" t="s">
        <v>9454</v>
      </c>
      <c r="W1933" s="2838"/>
      <c r="X1933" s="2340" t="str">
        <f t="shared" si="112"/>
        <v>PodHab_Tamañononatural</v>
      </c>
      <c r="Y1933" s="2852" t="s">
        <v>3575</v>
      </c>
      <c r="Z1933" s="2852" t="s">
        <v>3484</v>
      </c>
      <c r="AA1933" s="2852" t="s">
        <v>3485</v>
      </c>
      <c r="AB1933" s="2852" t="s">
        <v>4219</v>
      </c>
      <c r="AC1933" s="2852" t="s">
        <v>8930</v>
      </c>
      <c r="AD1933" s="2852" t="s">
        <v>10423</v>
      </c>
      <c r="AE1933" s="2852" t="s">
        <v>10424</v>
      </c>
      <c r="AF1933" s="2852" t="s">
        <v>10425</v>
      </c>
      <c r="AG1933" s="2852" t="s">
        <v>10426</v>
      </c>
      <c r="AH1933" s="2852" t="s">
        <v>10427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98"/>
      <c r="C1934" s="2813"/>
      <c r="D1934" s="260"/>
      <c r="E1934" s="2816" t="s">
        <v>10352</v>
      </c>
      <c r="F1934" s="218">
        <v>20</v>
      </c>
      <c r="G1934" s="218">
        <v>30</v>
      </c>
      <c r="H1934" s="218">
        <f>COUNTIF(HabilidadesEsenciales_Adquiridas,Tablas!E1934)</f>
        <v>0</v>
      </c>
      <c r="I1934" s="2818">
        <v>1</v>
      </c>
      <c r="J1934" s="422"/>
      <c r="K1934" s="2809"/>
      <c r="M1934" s="1959"/>
      <c r="N1934" s="100"/>
      <c r="O1934" s="468" t="s">
        <v>9928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98"/>
      <c r="C1935" s="2813"/>
      <c r="D1935" s="260"/>
      <c r="E1935" s="2816" t="s">
        <v>10353</v>
      </c>
      <c r="F1935" s="218">
        <v>25</v>
      </c>
      <c r="G1935" s="218">
        <v>40</v>
      </c>
      <c r="H1935" s="218">
        <f>COUNTIF(HabilidadesEsenciales_Adquiridas,Tablas!E1935)</f>
        <v>0</v>
      </c>
      <c r="I1935" s="2818">
        <v>1</v>
      </c>
      <c r="J1935" s="422"/>
      <c r="K1935" s="2809"/>
      <c r="M1935" s="1959"/>
      <c r="N1935" s="100"/>
      <c r="O1935" s="468" t="s">
        <v>9929</v>
      </c>
      <c r="P1935" s="2811">
        <v>20</v>
      </c>
      <c r="Q1935" s="575">
        <v>60</v>
      </c>
      <c r="R1935" s="2818">
        <f>COUNTIF(PoderesDeCriatura_Adquiridos,Tablas!O1935)</f>
        <v>0</v>
      </c>
      <c r="S1935" s="422"/>
      <c r="T1935" s="2809"/>
      <c r="U1935" s="500"/>
      <c r="V1935" s="2868" t="s">
        <v>1580</v>
      </c>
      <c r="W1935" s="2838"/>
      <c r="X1935" s="2340" t="str">
        <f t="shared" si="112"/>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98"/>
      <c r="C1936" s="2813"/>
      <c r="D1936" s="260"/>
      <c r="E1936" s="2816" t="s">
        <v>10354</v>
      </c>
      <c r="F1936" s="218">
        <v>30</v>
      </c>
      <c r="G1936" s="218">
        <v>50</v>
      </c>
      <c r="H1936" s="218">
        <f>COUNTIF(HabilidadesEsenciales_Adquiridas,Tablas!E1936)</f>
        <v>0</v>
      </c>
      <c r="I1936" s="2818">
        <v>1</v>
      </c>
      <c r="J1936" s="422"/>
      <c r="K1936" s="2809"/>
      <c r="M1936" s="1959"/>
      <c r="N1936" s="100"/>
      <c r="O1936" s="468" t="s">
        <v>9930</v>
      </c>
      <c r="P1936" s="2811">
        <v>25</v>
      </c>
      <c r="Q1936" s="575">
        <v>80</v>
      </c>
      <c r="R1936" s="2818">
        <f>COUNTIF(PoderesDeCriatura_Adquiridos,Tablas!O1936)</f>
        <v>0</v>
      </c>
      <c r="S1936" s="422"/>
      <c r="T1936" s="2809"/>
      <c r="U1936" s="500"/>
      <c r="V1936" s="2868" t="s">
        <v>9514</v>
      </c>
      <c r="W1936" s="2838"/>
      <c r="X1936" s="2340" t="str">
        <f t="shared" si="112"/>
        <v>PodHab_Con.Naturaldevía</v>
      </c>
      <c r="Y1936" s="2852" t="s">
        <v>10428</v>
      </c>
      <c r="Z1936" s="2852" t="s">
        <v>10429</v>
      </c>
      <c r="AA1936" s="2852" t="s">
        <v>10430</v>
      </c>
      <c r="AB1936" s="2852" t="s">
        <v>10431</v>
      </c>
      <c r="AC1936" s="2852" t="s">
        <v>10432</v>
      </c>
      <c r="AD1936" s="2852" t="s">
        <v>10433</v>
      </c>
      <c r="AE1936" s="2852" t="s">
        <v>10434</v>
      </c>
      <c r="AF1936" s="2852" t="s">
        <v>10435</v>
      </c>
      <c r="AG1936" s="2852" t="s">
        <v>10436</v>
      </c>
      <c r="AH1936" s="2852" t="s">
        <v>10437</v>
      </c>
      <c r="AI1936" s="2852" t="s">
        <v>10438</v>
      </c>
      <c r="AJ1936" s="2852" t="s">
        <v>10439</v>
      </c>
      <c r="AK1936" s="2852" t="s">
        <v>10440</v>
      </c>
      <c r="AL1936" s="2852" t="s">
        <v>10441</v>
      </c>
      <c r="AM1936" s="2852" t="s">
        <v>10442</v>
      </c>
      <c r="AN1936" s="2852" t="s">
        <v>10443</v>
      </c>
      <c r="AO1936" s="2852" t="s">
        <v>10444</v>
      </c>
      <c r="AP1936" s="2852" t="s">
        <v>10445</v>
      </c>
      <c r="AQ1936" s="2852" t="s">
        <v>10446</v>
      </c>
      <c r="AR1936" s="2852" t="s">
        <v>10447</v>
      </c>
      <c r="AS1936" s="2852" t="s">
        <v>10448</v>
      </c>
      <c r="AT1936" s="2852" t="s">
        <v>10449</v>
      </c>
      <c r="AU1936" s="2852" t="s">
        <v>10450</v>
      </c>
      <c r="AV1936" s="2852" t="s">
        <v>10451</v>
      </c>
      <c r="AW1936" s="2852" t="s">
        <v>10452</v>
      </c>
      <c r="AX1936" s="2852" t="s">
        <v>10453</v>
      </c>
      <c r="AY1936" s="2852" t="s">
        <v>10454</v>
      </c>
      <c r="AZ1936" s="2852" t="s">
        <v>10455</v>
      </c>
      <c r="BA1936" s="2852" t="s">
        <v>10456</v>
      </c>
      <c r="BB1936" s="2852" t="s">
        <v>10457</v>
      </c>
      <c r="BC1936" s="2852" t="s">
        <v>10458</v>
      </c>
      <c r="BD1936" s="2852" t="s">
        <v>10459</v>
      </c>
      <c r="BE1936" s="2852" t="s">
        <v>10460</v>
      </c>
      <c r="BF1936" s="2852" t="s">
        <v>10461</v>
      </c>
      <c r="BG1936" s="2852" t="s">
        <v>10462</v>
      </c>
      <c r="BH1936" s="2852" t="s">
        <v>10463</v>
      </c>
      <c r="BI1936" s="2852" t="s">
        <v>10464</v>
      </c>
      <c r="BJ1936" s="2852" t="s">
        <v>10465</v>
      </c>
      <c r="BK1936" s="2852" t="s">
        <v>10466</v>
      </c>
      <c r="BL1936" s="2852" t="s">
        <v>10467</v>
      </c>
      <c r="BM1936" s="2852" t="s">
        <v>10468</v>
      </c>
      <c r="BN1936" s="2852" t="s">
        <v>10469</v>
      </c>
      <c r="BO1936" s="2852" t="s">
        <v>10470</v>
      </c>
      <c r="BP1936" s="2852" t="s">
        <v>10471</v>
      </c>
      <c r="BQ1936" s="2852" t="s">
        <v>10472</v>
      </c>
      <c r="BR1936" s="2852" t="s">
        <v>10473</v>
      </c>
      <c r="BS1936" s="2852" t="s">
        <v>10474</v>
      </c>
      <c r="BT1936" s="2852" t="s">
        <v>10475</v>
      </c>
      <c r="BU1936" s="2852" t="s">
        <v>10476</v>
      </c>
      <c r="BV1936" s="2852" t="s">
        <v>10477</v>
      </c>
      <c r="BW1936" s="2852" t="s">
        <v>10478</v>
      </c>
      <c r="BX1936" s="2852" t="s">
        <v>10479</v>
      </c>
      <c r="BY1936" s="2852" t="s">
        <v>10480</v>
      </c>
      <c r="BZ1936" s="2852" t="s">
        <v>10481</v>
      </c>
      <c r="CA1936" s="2873" t="s">
        <v>10482</v>
      </c>
    </row>
    <row r="1937" spans="1:79" ht="12.75" customHeight="1" x14ac:dyDescent="0.2">
      <c r="A1937" s="2029">
        <v>211</v>
      </c>
      <c r="B1937" s="4998"/>
      <c r="C1937" s="2813"/>
      <c r="D1937" s="260"/>
      <c r="E1937" s="2816" t="s">
        <v>10355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98"/>
      <c r="C1938" s="2813"/>
      <c r="D1938" s="260"/>
      <c r="E1938" s="2816" t="s">
        <v>10356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98"/>
      <c r="C1939" s="2813"/>
      <c r="D1939" s="260"/>
      <c r="E1939" s="2816" t="s">
        <v>10357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2"/>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98"/>
      <c r="C1940" s="2813"/>
      <c r="D1940" s="260"/>
      <c r="E1940" s="2816" t="s">
        <v>10358</v>
      </c>
      <c r="F1940" s="218">
        <v>25</v>
      </c>
      <c r="G1940" s="218">
        <v>40</v>
      </c>
      <c r="H1940" s="218">
        <f>COUNTIF(HabilidadesEsenciales_Adquiridas,Tablas!E1940)</f>
        <v>0</v>
      </c>
      <c r="I1940" s="2818">
        <v>1</v>
      </c>
      <c r="J1940" s="422"/>
      <c r="K1940" s="2809"/>
      <c r="M1940" s="1959"/>
      <c r="N1940" s="100"/>
      <c r="O1940" s="468" t="s">
        <v>9931</v>
      </c>
      <c r="P1940" s="2811">
        <v>0</v>
      </c>
      <c r="Q1940" s="575">
        <v>20</v>
      </c>
      <c r="R1940" s="2818">
        <f>COUNTIF(PoderesDeCriatura_Adquiridos,Tablas!O1940)</f>
        <v>0</v>
      </c>
      <c r="S1940" s="422"/>
      <c r="T1940" s="2809"/>
      <c r="U1940" s="500"/>
      <c r="V1940" s="2868" t="s">
        <v>1581</v>
      </c>
      <c r="W1940" s="2838"/>
      <c r="X1940" s="2340" t="str">
        <f t="shared" si="112"/>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98"/>
      <c r="C1941" s="2813"/>
      <c r="D1941" s="260"/>
      <c r="E1941" s="2816" t="s">
        <v>10359</v>
      </c>
      <c r="F1941" s="218">
        <v>30</v>
      </c>
      <c r="G1941" s="218">
        <v>50</v>
      </c>
      <c r="H1941" s="218">
        <f>COUNTIF(HabilidadesEsenciales_Adquiridas,Tablas!E1941)</f>
        <v>0</v>
      </c>
      <c r="I1941" s="2818">
        <v>1</v>
      </c>
      <c r="J1941" s="422"/>
      <c r="K1941" s="2809"/>
      <c r="M1941" s="1959"/>
      <c r="N1941" s="100"/>
      <c r="O1941" s="468" t="s">
        <v>9932</v>
      </c>
      <c r="P1941" s="2811">
        <v>5</v>
      </c>
      <c r="Q1941" s="575">
        <v>20</v>
      </c>
      <c r="R1941" s="2818">
        <f>COUNTIF(PoderesDeCriatura_Adquiridos,Tablas!O1941)</f>
        <v>0</v>
      </c>
      <c r="S1941" s="422"/>
      <c r="T1941" s="2809"/>
      <c r="U1941" s="500"/>
      <c r="V1941" s="2868" t="s">
        <v>1583</v>
      </c>
      <c r="W1941" s="2838"/>
      <c r="X1941" s="2340" t="str">
        <f t="shared" si="112"/>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98"/>
      <c r="C1942" s="2813"/>
      <c r="D1942" s="260"/>
      <c r="E1942" s="2816" t="s">
        <v>10360</v>
      </c>
      <c r="F1942" s="218">
        <v>10</v>
      </c>
      <c r="G1942" s="218">
        <v>10</v>
      </c>
      <c r="H1942" s="218">
        <f>COUNTIF(HabilidadesEsenciales_Adquiridas,Tablas!E1942)</f>
        <v>0</v>
      </c>
      <c r="I1942" s="2818">
        <v>1</v>
      </c>
      <c r="J1942" s="422"/>
      <c r="K1942" s="2809"/>
      <c r="M1942" s="1959"/>
      <c r="N1942" s="100"/>
      <c r="O1942" s="468" t="s">
        <v>9933</v>
      </c>
      <c r="P1942" s="2811">
        <v>15</v>
      </c>
      <c r="Q1942" s="575">
        <v>10</v>
      </c>
      <c r="R1942" s="2818">
        <f>COUNTIF(PoderesDeCriatura_Adquiridos,Tablas!O1942)</f>
        <v>0</v>
      </c>
      <c r="S1942" s="422"/>
      <c r="T1942" s="2809"/>
      <c r="U1942" s="500"/>
      <c r="V1942" s="2868" t="s">
        <v>2861</v>
      </c>
      <c r="W1942" s="2838"/>
      <c r="X1942" s="2340" t="str">
        <f t="shared" si="112"/>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98"/>
      <c r="C1943" s="2813"/>
      <c r="D1943" s="260"/>
      <c r="E1943" s="2816" t="s">
        <v>10361</v>
      </c>
      <c r="F1943" s="218">
        <v>15</v>
      </c>
      <c r="G1943" s="218">
        <v>20</v>
      </c>
      <c r="H1943" s="218">
        <f>COUNTIF(HabilidadesEsenciales_Adquiridas,Tablas!E1943)</f>
        <v>0</v>
      </c>
      <c r="I1943" s="2818">
        <v>1</v>
      </c>
      <c r="J1943" s="422"/>
      <c r="K1943" s="2809"/>
      <c r="M1943" s="1959"/>
      <c r="N1943" s="100"/>
      <c r="O1943" s="468" t="s">
        <v>9934</v>
      </c>
      <c r="P1943" s="2811">
        <v>0</v>
      </c>
      <c r="Q1943" s="575">
        <v>10</v>
      </c>
      <c r="R1943" s="2818">
        <f>COUNTIF(PoderesDeCriatura_Adquiridos,Tablas!O1943)</f>
        <v>0</v>
      </c>
      <c r="S1943" s="422"/>
      <c r="T1943" s="2809"/>
      <c r="U1943" s="500"/>
      <c r="V1943" s="2868" t="s">
        <v>2860</v>
      </c>
      <c r="W1943" s="2838"/>
      <c r="X1943" s="2340" t="str">
        <f t="shared" si="112"/>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98"/>
      <c r="C1944" s="2813"/>
      <c r="D1944" s="260"/>
      <c r="E1944" s="2816" t="s">
        <v>10362</v>
      </c>
      <c r="F1944" s="218">
        <v>20</v>
      </c>
      <c r="G1944" s="218">
        <v>30</v>
      </c>
      <c r="H1944" s="218">
        <f>COUNTIF(HabilidadesEsenciales_Adquiridas,Tablas!E1944)</f>
        <v>0</v>
      </c>
      <c r="I1944" s="2818">
        <v>1</v>
      </c>
      <c r="J1944" s="422"/>
      <c r="K1944" s="2809"/>
      <c r="M1944" s="1959"/>
      <c r="N1944" s="100"/>
      <c r="O1944" s="468" t="s">
        <v>9935</v>
      </c>
      <c r="P1944" s="2811">
        <v>20</v>
      </c>
      <c r="Q1944" s="575">
        <v>30</v>
      </c>
      <c r="R1944" s="2818">
        <f>COUNTIF(PoderesDeCriatura_Adquiridos,Tablas!O1944)</f>
        <v>0</v>
      </c>
      <c r="S1944" s="422"/>
      <c r="T1944" s="2809"/>
      <c r="U1944" s="500"/>
      <c r="V1944" s="2868" t="s">
        <v>2879</v>
      </c>
      <c r="W1944" s="2838"/>
      <c r="X1944" s="2340" t="str">
        <f t="shared" si="112"/>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98"/>
      <c r="C1945" s="2813"/>
      <c r="D1945" s="260"/>
      <c r="E1945" s="2816" t="s">
        <v>10363</v>
      </c>
      <c r="F1945" s="218">
        <v>25</v>
      </c>
      <c r="G1945" s="218">
        <v>40</v>
      </c>
      <c r="H1945" s="218">
        <f>COUNTIF(HabilidadesEsenciales_Adquiridas,Tablas!E1945)</f>
        <v>0</v>
      </c>
      <c r="I1945" s="2818">
        <v>1</v>
      </c>
      <c r="J1945" s="422"/>
      <c r="K1945" s="2809"/>
      <c r="M1945" s="1959"/>
      <c r="N1945" s="100"/>
      <c r="O1945" s="468" t="s">
        <v>9936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98"/>
      <c r="C1946" s="2813"/>
      <c r="D1946" s="260"/>
      <c r="E1946" s="2816" t="s">
        <v>10364</v>
      </c>
      <c r="F1946" s="218">
        <v>30</v>
      </c>
      <c r="G1946" s="218">
        <v>50</v>
      </c>
      <c r="H1946" s="218">
        <f>COUNTIF(HabilidadesEsenciales_Adquiridas,Tablas!E1946)</f>
        <v>0</v>
      </c>
      <c r="I1946" s="2818">
        <v>1</v>
      </c>
      <c r="J1946" s="422"/>
      <c r="K1946" s="2809"/>
      <c r="M1946" s="1959"/>
      <c r="N1946" s="100"/>
      <c r="O1946" s="468" t="s">
        <v>9937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98"/>
      <c r="C1947" s="2813"/>
      <c r="D1947" s="260"/>
      <c r="E1947" s="2816" t="s">
        <v>10365</v>
      </c>
      <c r="F1947" s="218">
        <v>10</v>
      </c>
      <c r="G1947" s="218">
        <v>10</v>
      </c>
      <c r="H1947" s="218">
        <f>COUNTIF(HabilidadesEsenciales_Adquiridas,Tablas!E1947)</f>
        <v>0</v>
      </c>
      <c r="I1947" s="2818">
        <v>1</v>
      </c>
      <c r="J1947" s="422"/>
      <c r="K1947" s="2809"/>
      <c r="M1947" s="1959"/>
      <c r="N1947" s="100"/>
      <c r="O1947" s="468" t="s">
        <v>9938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98"/>
      <c r="C1948" s="2813"/>
      <c r="D1948" s="260"/>
      <c r="E1948" s="2816" t="s">
        <v>10366</v>
      </c>
      <c r="F1948" s="218">
        <v>15</v>
      </c>
      <c r="G1948" s="218">
        <v>20</v>
      </c>
      <c r="H1948" s="218">
        <f>COUNTIF(HabilidadesEsenciales_Adquiridas,Tablas!E1948)</f>
        <v>0</v>
      </c>
      <c r="I1948" s="2818">
        <v>1</v>
      </c>
      <c r="J1948" s="422"/>
      <c r="K1948" s="2809"/>
      <c r="M1948" s="1959"/>
      <c r="N1948" s="100"/>
      <c r="O1948" s="468" t="s">
        <v>9939</v>
      </c>
      <c r="P1948" s="2811">
        <v>15</v>
      </c>
      <c r="Q1948" s="575">
        <v>40</v>
      </c>
      <c r="R1948" s="2818">
        <f>COUNTIF(PoderesDeCriatura_Adquiridos,Tablas!O1948)</f>
        <v>0</v>
      </c>
      <c r="S1948" s="422"/>
      <c r="T1948" s="2809"/>
      <c r="U1948" s="500"/>
      <c r="V1948" s="2868" t="s">
        <v>1584</v>
      </c>
      <c r="W1948" s="2838"/>
      <c r="X1948" s="2340" t="str">
        <f t="shared" si="112"/>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98"/>
      <c r="C1949" s="2813"/>
      <c r="D1949" s="260"/>
      <c r="E1949" s="2816" t="s">
        <v>10367</v>
      </c>
      <c r="F1949" s="218">
        <v>20</v>
      </c>
      <c r="G1949" s="218">
        <v>30</v>
      </c>
      <c r="H1949" s="218">
        <f>COUNTIF(HabilidadesEsenciales_Adquiridas,Tablas!E1949)</f>
        <v>0</v>
      </c>
      <c r="I1949" s="2818">
        <v>1</v>
      </c>
      <c r="J1949" s="422"/>
      <c r="K1949" s="2809"/>
      <c r="M1949" s="1959"/>
      <c r="N1949" s="100"/>
      <c r="O1949" s="468" t="s">
        <v>9940</v>
      </c>
      <c r="P1949" s="2811">
        <v>15</v>
      </c>
      <c r="Q1949" s="575">
        <v>60</v>
      </c>
      <c r="R1949" s="2818">
        <f>COUNTIF(PoderesDeCriatura_Adquiridos,Tablas!O1949)</f>
        <v>0</v>
      </c>
      <c r="S1949" s="422"/>
      <c r="T1949" s="2809"/>
      <c r="U1949" s="500"/>
      <c r="V1949" s="2868" t="s">
        <v>1586</v>
      </c>
      <c r="W1949" s="2838"/>
      <c r="X1949" s="2340" t="str">
        <f t="shared" si="112"/>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98"/>
      <c r="C1950" s="2813"/>
      <c r="D1950" s="260"/>
      <c r="E1950" s="2816" t="s">
        <v>10368</v>
      </c>
      <c r="F1950" s="218">
        <v>25</v>
      </c>
      <c r="G1950" s="218">
        <v>40</v>
      </c>
      <c r="H1950" s="218">
        <f>COUNTIF(HabilidadesEsenciales_Adquiridas,Tablas!E1950)</f>
        <v>0</v>
      </c>
      <c r="I1950" s="2818">
        <v>1</v>
      </c>
      <c r="J1950" s="422"/>
      <c r="K1950" s="2809"/>
      <c r="M1950" s="1959"/>
      <c r="N1950" s="100"/>
      <c r="O1950" s="468" t="s">
        <v>9941</v>
      </c>
      <c r="P1950" s="2811">
        <v>20</v>
      </c>
      <c r="Q1950" s="575">
        <v>80</v>
      </c>
      <c r="R1950" s="2818">
        <f>COUNTIF(PoderesDeCriatura_Adquiridos,Tablas!O1950)</f>
        <v>0</v>
      </c>
      <c r="S1950" s="422"/>
      <c r="T1950" s="2809"/>
      <c r="U1950" s="500"/>
      <c r="V1950" s="2868" t="s">
        <v>1591</v>
      </c>
      <c r="W1950" s="2838"/>
      <c r="X1950" s="2340" t="str">
        <f t="shared" si="112"/>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98"/>
      <c r="C1951" s="2813"/>
      <c r="D1951" s="260"/>
      <c r="E1951" s="2816" t="s">
        <v>10369</v>
      </c>
      <c r="F1951" s="218">
        <v>30</v>
      </c>
      <c r="G1951" s="218">
        <v>50</v>
      </c>
      <c r="H1951" s="218">
        <f>COUNTIF(HabilidadesEsenciales_Adquiridas,Tablas!E1951)</f>
        <v>0</v>
      </c>
      <c r="I1951" s="2818">
        <v>1</v>
      </c>
      <c r="J1951" s="422"/>
      <c r="K1951" s="2809"/>
      <c r="M1951" s="1959"/>
      <c r="N1951" s="100"/>
      <c r="O1951" s="468" t="s">
        <v>9942</v>
      </c>
      <c r="P1951" s="2811">
        <v>20</v>
      </c>
      <c r="Q1951" s="575">
        <v>100</v>
      </c>
      <c r="R1951" s="2818">
        <f>COUNTIF(PoderesDeCriatura_Adquiridos,Tablas!O1951)</f>
        <v>0</v>
      </c>
      <c r="S1951" s="422"/>
      <c r="T1951" s="2809"/>
      <c r="U1951" s="500"/>
      <c r="V1951" s="2868" t="s">
        <v>2897</v>
      </c>
      <c r="W1951" s="2838"/>
      <c r="X1951" s="2340" t="str">
        <f t="shared" si="112"/>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98"/>
      <c r="C1952" s="2813"/>
      <c r="D1952" s="260"/>
      <c r="E1952" s="2816" t="s">
        <v>2845</v>
      </c>
      <c r="F1952" s="218">
        <v>5</v>
      </c>
      <c r="G1952" s="218">
        <v>20</v>
      </c>
      <c r="H1952" s="218">
        <f>COUNTIF(HabilidadesEsenciales_Adquiridas,Tablas!E1952)</f>
        <v>0</v>
      </c>
      <c r="I1952" s="2818"/>
      <c r="J1952" s="422"/>
      <c r="K1952" s="2809"/>
      <c r="M1952" s="1959"/>
      <c r="N1952" s="100"/>
      <c r="O1952" s="468" t="s">
        <v>9943</v>
      </c>
      <c r="P1952" s="2811">
        <v>25</v>
      </c>
      <c r="Q1952" s="575">
        <v>120</v>
      </c>
      <c r="R1952" s="2818">
        <f>COUNTIF(PoderesDeCriatura_Adquiridos,Tablas!O1952)</f>
        <v>0</v>
      </c>
      <c r="S1952" s="422"/>
      <c r="T1952" s="2809"/>
      <c r="U1952" s="500"/>
      <c r="V1952" s="2868" t="s">
        <v>1589</v>
      </c>
      <c r="W1952" s="2838"/>
      <c r="X1952" s="2340" t="str">
        <f t="shared" si="112"/>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98"/>
      <c r="C1953" s="2813"/>
      <c r="D1953" s="260"/>
      <c r="E1953" s="2816" t="s">
        <v>2846</v>
      </c>
      <c r="F1953" s="218">
        <v>5</v>
      </c>
      <c r="G1953" s="218">
        <v>20</v>
      </c>
      <c r="H1953" s="218">
        <f>COUNTIF(HabilidadesEsenciales_Adquiridas,Tablas!E1953)</f>
        <v>0</v>
      </c>
      <c r="I1953" s="2818"/>
      <c r="J1953" s="422"/>
      <c r="K1953" s="2809"/>
      <c r="M1953" s="1959"/>
      <c r="N1953" s="100"/>
      <c r="O1953" s="468" t="s">
        <v>9944</v>
      </c>
      <c r="P1953" s="2811">
        <v>30</v>
      </c>
      <c r="Q1953" s="575">
        <v>140</v>
      </c>
      <c r="R1953" s="2818">
        <f>COUNTIF(PoderesDeCriatura_Adquiridos,Tablas!O1953)</f>
        <v>0</v>
      </c>
      <c r="S1953" s="422"/>
      <c r="T1953" s="2809"/>
      <c r="U1953" s="500"/>
      <c r="V1953" s="2868" t="s">
        <v>1588</v>
      </c>
      <c r="W1953" s="2838"/>
      <c r="X1953" s="2340" t="str">
        <f t="shared" si="112"/>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98"/>
      <c r="C1954" s="2813"/>
      <c r="D1954" s="260"/>
      <c r="E1954" s="2816" t="s">
        <v>1582</v>
      </c>
      <c r="F1954" s="218">
        <v>5</v>
      </c>
      <c r="G1954" s="218">
        <v>20</v>
      </c>
      <c r="H1954" s="218">
        <f>COUNTIF(HabilidadesEsenciales_Adquiridas,Tablas!E1954)</f>
        <v>0</v>
      </c>
      <c r="I1954" s="2818">
        <v>1</v>
      </c>
      <c r="J1954" s="422"/>
      <c r="K1954" s="2809"/>
      <c r="M1954" s="1959"/>
      <c r="N1954" s="100"/>
      <c r="O1954" s="468" t="s">
        <v>9945</v>
      </c>
      <c r="P1954" s="2811">
        <v>35</v>
      </c>
      <c r="Q1954" s="575">
        <v>160</v>
      </c>
      <c r="R1954" s="2818">
        <f>COUNTIF(PoderesDeCriatura_Adquiridos,Tablas!O1954)</f>
        <v>0</v>
      </c>
      <c r="S1954" s="422"/>
      <c r="T1954" s="2809"/>
      <c r="U1954" s="500"/>
      <c r="V1954" s="2868" t="s">
        <v>1593</v>
      </c>
      <c r="W1954" s="2838"/>
      <c r="X1954" s="2340" t="str">
        <f t="shared" si="112"/>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98"/>
      <c r="C1955" s="2813"/>
      <c r="D1955" s="260"/>
      <c r="E1955" s="2816" t="s">
        <v>1583</v>
      </c>
      <c r="F1955" s="218">
        <v>0</v>
      </c>
      <c r="G1955" s="218">
        <v>0</v>
      </c>
      <c r="H1955" s="218"/>
      <c r="I1955" s="2818"/>
      <c r="J1955" s="422"/>
      <c r="K1955" s="2809"/>
      <c r="M1955" s="1959"/>
      <c r="N1955" s="100"/>
      <c r="O1955" s="468" t="s">
        <v>9946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2"/>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98"/>
      <c r="C1956" s="2813"/>
      <c r="D1956" s="260"/>
      <c r="E1956" s="2816" t="s">
        <v>2104</v>
      </c>
      <c r="F1956" s="218">
        <v>5</v>
      </c>
      <c r="G1956" s="218">
        <v>30</v>
      </c>
      <c r="H1956" s="218">
        <f>COUNTIF(HabilidadesEsenciales_Adquiridas,Tablas!E1956)</f>
        <v>0</v>
      </c>
      <c r="I1956" s="2818"/>
      <c r="J1956" s="422"/>
      <c r="K1956" s="2809"/>
      <c r="M1956" s="1959"/>
      <c r="N1956" s="100"/>
      <c r="O1956" s="468" t="s">
        <v>9947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2"/>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98"/>
      <c r="C1957" s="2813"/>
      <c r="D1957" s="260"/>
      <c r="E1957" s="2816" t="s">
        <v>1584</v>
      </c>
      <c r="F1957" s="218">
        <v>5</v>
      </c>
      <c r="G1957" s="218">
        <v>30</v>
      </c>
      <c r="H1957" s="218">
        <f>COUNTIF(HabilidadesEsenciales_Adquiridas,Tablas!E1957)</f>
        <v>0</v>
      </c>
      <c r="I1957" s="2818"/>
      <c r="J1957" s="422"/>
      <c r="K1957" s="2809"/>
      <c r="M1957" s="1959"/>
      <c r="N1957" s="100"/>
      <c r="O1957" s="468" t="s">
        <v>9948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2"/>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98"/>
      <c r="C1958" s="2813"/>
      <c r="D1958" s="260"/>
      <c r="E1958" s="2816" t="s">
        <v>1585</v>
      </c>
      <c r="F1958" s="218">
        <v>5</v>
      </c>
      <c r="G1958" s="218">
        <v>20</v>
      </c>
      <c r="H1958" s="218">
        <f>COUNTIF(HabilidadesEsenciales_Adquiridas,Tablas!E1958)</f>
        <v>0</v>
      </c>
      <c r="I1958" s="2818"/>
      <c r="J1958" s="422"/>
      <c r="K1958" s="2809"/>
      <c r="M1958" s="1959"/>
      <c r="N1958" s="100"/>
      <c r="O1958" s="468" t="s">
        <v>9949</v>
      </c>
      <c r="P1958" s="2811">
        <v>10</v>
      </c>
      <c r="Q1958" s="575">
        <v>-10</v>
      </c>
      <c r="R1958" s="2818">
        <f>COUNTIF(PoderesDeCriatura_Adquiridos,Tablas!O1958)</f>
        <v>0</v>
      </c>
      <c r="S1958" s="422"/>
      <c r="T1958" s="2809"/>
      <c r="U1958" s="500"/>
      <c r="V1958" s="2868" t="s">
        <v>9504</v>
      </c>
      <c r="W1958" s="2838"/>
      <c r="X1958" s="2340" t="str">
        <f t="shared" si="112"/>
        <v>PodHab_Vul.aelemento</v>
      </c>
      <c r="Y1958" s="2852" t="s">
        <v>10483</v>
      </c>
      <c r="Z1958" s="2852" t="s">
        <v>10484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98"/>
      <c r="C1959" s="2813"/>
      <c r="D1959" s="260"/>
      <c r="E1959" s="2816" t="s">
        <v>2860</v>
      </c>
      <c r="F1959" s="218">
        <v>5</v>
      </c>
      <c r="G1959" s="218">
        <v>30</v>
      </c>
      <c r="H1959" s="218">
        <f>COUNTIF(HabilidadesEsenciales_Adquiridas,Tablas!E1959)</f>
        <v>0</v>
      </c>
      <c r="I1959" s="2818">
        <v>1</v>
      </c>
      <c r="J1959" s="422"/>
      <c r="K1959" s="2809"/>
      <c r="M1959" s="1959"/>
      <c r="N1959" s="100"/>
      <c r="O1959" s="468" t="s">
        <v>9950</v>
      </c>
      <c r="P1959" s="2811">
        <v>10</v>
      </c>
      <c r="Q1959" s="575">
        <v>-30</v>
      </c>
      <c r="R1959" s="2818">
        <f>COUNTIF(PoderesDeCriatura_Adquiridos,Tablas!O1959)</f>
        <v>0</v>
      </c>
      <c r="S1959" s="422"/>
      <c r="T1959" s="2809"/>
      <c r="U1959" s="500"/>
      <c r="V1959" s="2868" t="s">
        <v>1594</v>
      </c>
      <c r="W1959" s="2838"/>
      <c r="X1959" s="2340" t="str">
        <f t="shared" si="112"/>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98"/>
      <c r="C1960" s="2813"/>
      <c r="D1960" s="260"/>
      <c r="E1960" s="2816" t="s">
        <v>2861</v>
      </c>
      <c r="F1960" s="218">
        <v>5</v>
      </c>
      <c r="G1960" s="218">
        <v>20</v>
      </c>
      <c r="H1960" s="218">
        <f>COUNTIF(HabilidadesEsenciales_Adquiridas,Tablas!E1960)</f>
        <v>0</v>
      </c>
      <c r="I1960" s="2818">
        <v>1</v>
      </c>
      <c r="J1960" s="422"/>
      <c r="K1960" s="2809"/>
      <c r="M1960" s="1959"/>
      <c r="N1960" s="100"/>
      <c r="O1960" s="468" t="s">
        <v>9951</v>
      </c>
      <c r="P1960" s="2811">
        <v>10</v>
      </c>
      <c r="Q1960" s="575">
        <v>-50</v>
      </c>
      <c r="R1960" s="2818">
        <f>COUNTIF(PoderesDeCriatura_Adquiridos,Tablas!O1960)</f>
        <v>0</v>
      </c>
      <c r="S1960" s="422"/>
      <c r="T1960" s="2809"/>
      <c r="U1960" s="500"/>
      <c r="V1960" s="2868" t="s">
        <v>1595</v>
      </c>
      <c r="W1960" s="2838"/>
      <c r="X1960" s="2340" t="str">
        <f t="shared" si="112"/>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98"/>
      <c r="C1961" s="2813"/>
      <c r="D1961" s="260"/>
      <c r="E1961" s="2816" t="s">
        <v>10370</v>
      </c>
      <c r="F1961" s="218">
        <v>5</v>
      </c>
      <c r="G1961" s="218">
        <v>20</v>
      </c>
      <c r="H1961" s="218">
        <f>COUNTIF(HabilidadesEsenciales_Adquiridas,Tablas!E1961)</f>
        <v>0</v>
      </c>
      <c r="I1961" s="2818">
        <v>1</v>
      </c>
      <c r="J1961" s="422"/>
      <c r="K1961" s="2809"/>
      <c r="M1961" s="1959"/>
      <c r="N1961" s="100"/>
      <c r="O1961" s="468" t="s">
        <v>9952</v>
      </c>
      <c r="P1961" s="2811">
        <v>10</v>
      </c>
      <c r="Q1961" s="575">
        <v>-30</v>
      </c>
      <c r="R1961" s="2818">
        <f>COUNTIF(PoderesDeCriatura_Adquiridos,Tablas!O1961)</f>
        <v>0</v>
      </c>
      <c r="S1961" s="422"/>
      <c r="T1961" s="2809"/>
      <c r="U1961" s="500"/>
      <c r="V1961" s="2868" t="s">
        <v>1597</v>
      </c>
      <c r="W1961" s="2838"/>
      <c r="X1961" s="2340" t="str">
        <f t="shared" si="112"/>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98"/>
      <c r="C1962" s="2813"/>
      <c r="D1962" s="260"/>
      <c r="E1962" s="2816" t="s">
        <v>10371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2"/>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98"/>
      <c r="C1963" s="2813"/>
      <c r="D1963" s="260"/>
      <c r="E1963" s="2816" t="s">
        <v>10372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 t="array" ref="S1963">MAX({1;2;3;4}*R1962:R1965)</f>
        <v>0</v>
      </c>
      <c r="T1963" s="2809" t="s">
        <v>9453</v>
      </c>
      <c r="U1963" s="500"/>
      <c r="V1963" s="2868" t="s">
        <v>1596</v>
      </c>
      <c r="W1963" s="2838"/>
      <c r="X1963" s="2340" t="str">
        <f t="shared" si="112"/>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98"/>
      <c r="C1964" s="2813"/>
      <c r="D1964" s="260"/>
      <c r="E1964" s="2816" t="s">
        <v>10373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2"/>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98"/>
      <c r="C1965" s="2813"/>
      <c r="D1965" s="260"/>
      <c r="E1965" s="2816" t="s">
        <v>10374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2"/>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98"/>
      <c r="C1966" s="2813"/>
      <c r="D1966" s="260"/>
      <c r="E1966" s="2816" t="s">
        <v>10375</v>
      </c>
      <c r="F1966" s="218">
        <v>5</v>
      </c>
      <c r="G1966" s="218">
        <v>20</v>
      </c>
      <c r="H1966" s="218">
        <f>COUNTIF(HabilidadesEsenciales_Adquiridas,Tablas!E1966)</f>
        <v>0</v>
      </c>
      <c r="I1966" s="2818">
        <v>1</v>
      </c>
      <c r="J1966" s="422"/>
      <c r="K1966" s="2809"/>
      <c r="M1966" s="1959"/>
      <c r="N1966" s="100"/>
      <c r="O1966" s="468" t="s">
        <v>9953</v>
      </c>
      <c r="P1966" s="2811">
        <v>0</v>
      </c>
      <c r="Q1966" s="575">
        <v>40</v>
      </c>
      <c r="R1966" s="2818">
        <f>COUNTIF(PoderesDeCriatura_Adquiridos,Tablas!O1966)</f>
        <v>0</v>
      </c>
      <c r="S1966" s="422"/>
      <c r="T1966" s="2809"/>
      <c r="U1966" s="500"/>
      <c r="V1966" s="2868" t="s">
        <v>2909</v>
      </c>
      <c r="W1966" s="2838"/>
      <c r="X1966" s="2340" t="str">
        <f t="shared" si="112"/>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98"/>
      <c r="C1967" s="2813"/>
      <c r="D1967" s="260"/>
      <c r="E1967" s="2816" t="s">
        <v>10376</v>
      </c>
      <c r="F1967" s="218">
        <v>5</v>
      </c>
      <c r="G1967" s="218">
        <v>20</v>
      </c>
      <c r="H1967" s="218">
        <f>COUNTIF(HabilidadesEsenciales_Adquiridas,Tablas!E1967)</f>
        <v>0</v>
      </c>
      <c r="I1967" s="2818">
        <v>1</v>
      </c>
      <c r="J1967" s="422"/>
      <c r="K1967" s="2809"/>
      <c r="M1967" s="1959"/>
      <c r="N1967" s="100"/>
      <c r="O1967" s="468" t="s">
        <v>9954</v>
      </c>
      <c r="P1967" s="2811">
        <v>0</v>
      </c>
      <c r="Q1967" s="575">
        <v>60</v>
      </c>
      <c r="R1967" s="2818">
        <f>COUNTIF(PoderesDeCriatura_Adquiridos,Tablas!O1967)</f>
        <v>0</v>
      </c>
      <c r="S1967" s="422"/>
      <c r="T1967" s="2809"/>
      <c r="U1967" s="500"/>
      <c r="V1967" s="2868" t="s">
        <v>1598</v>
      </c>
      <c r="W1967" s="2838"/>
      <c r="X1967" s="2340" t="str">
        <f t="shared" si="112"/>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98"/>
      <c r="C1968" s="2813"/>
      <c r="D1968" s="260"/>
      <c r="E1968" s="2816" t="s">
        <v>10377</v>
      </c>
      <c r="F1968" s="218">
        <v>5</v>
      </c>
      <c r="G1968" s="218">
        <v>20</v>
      </c>
      <c r="H1968" s="218">
        <f>COUNTIF(HabilidadesEsenciales_Adquiridas,Tablas!E1968)</f>
        <v>0</v>
      </c>
      <c r="I1968" s="2818">
        <v>1</v>
      </c>
      <c r="J1968" s="422"/>
      <c r="K1968" s="2809"/>
      <c r="M1968" s="1959"/>
      <c r="N1968" s="100"/>
      <c r="O1968" s="468" t="s">
        <v>9955</v>
      </c>
      <c r="P1968" s="2811">
        <v>0</v>
      </c>
      <c r="Q1968" s="575">
        <v>80</v>
      </c>
      <c r="R1968" s="2818">
        <f>COUNTIF(PoderesDeCriatura_Adquiridos,Tablas!O1968)</f>
        <v>0</v>
      </c>
      <c r="S1968" s="422"/>
      <c r="T1968" s="2809"/>
      <c r="U1968" s="500"/>
      <c r="V1968" s="2868" t="s">
        <v>1599</v>
      </c>
      <c r="W1968" s="2838"/>
      <c r="X1968" s="2340" t="str">
        <f t="shared" si="112"/>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98"/>
      <c r="C1969" s="2813"/>
      <c r="D1969" s="260"/>
      <c r="E1969" s="2816" t="s">
        <v>10378</v>
      </c>
      <c r="F1969" s="218">
        <v>5</v>
      </c>
      <c r="G1969" s="218">
        <v>20</v>
      </c>
      <c r="H1969" s="218">
        <f>COUNTIF(HabilidadesEsenciales_Adquiridas,Tablas!E1969)</f>
        <v>0</v>
      </c>
      <c r="I1969" s="2818">
        <v>1</v>
      </c>
      <c r="J1969" s="422"/>
      <c r="K1969" s="2809"/>
      <c r="M1969" s="1959"/>
      <c r="N1969" s="100"/>
      <c r="O1969" s="468" t="s">
        <v>9956</v>
      </c>
      <c r="P1969" s="2811">
        <v>0</v>
      </c>
      <c r="Q1969" s="575">
        <v>100</v>
      </c>
      <c r="R1969" s="2818">
        <f>COUNTIF(PoderesDeCriatura_Adquiridos,Tablas!O1969)</f>
        <v>0</v>
      </c>
      <c r="S1969" s="422"/>
      <c r="T1969" s="2809"/>
      <c r="U1969" s="500"/>
      <c r="V1969" s="2868" t="s">
        <v>2918</v>
      </c>
      <c r="W1969" s="2838"/>
      <c r="X1969" s="2340" t="str">
        <f t="shared" ref="X1969:X1985" si="113">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98"/>
      <c r="C1970" s="2813"/>
      <c r="D1970" s="260"/>
      <c r="E1970" s="2816" t="s">
        <v>10379</v>
      </c>
      <c r="F1970" s="218">
        <v>5</v>
      </c>
      <c r="G1970" s="218">
        <v>20</v>
      </c>
      <c r="H1970" s="218">
        <f>COUNTIF(HabilidadesEsenciales_Adquiridas,Tablas!E1970)</f>
        <v>0</v>
      </c>
      <c r="I1970" s="2818">
        <v>1</v>
      </c>
      <c r="J1970" s="422"/>
      <c r="K1970" s="2809"/>
      <c r="M1970" s="1959"/>
      <c r="N1970" s="100"/>
      <c r="O1970" s="468" t="s">
        <v>9957</v>
      </c>
      <c r="P1970" s="2811">
        <v>10</v>
      </c>
      <c r="Q1970" s="575">
        <v>120</v>
      </c>
      <c r="R1970" s="2818">
        <f>COUNTIF(PoderesDeCriatura_Adquiridos,Tablas!O1970)</f>
        <v>0</v>
      </c>
      <c r="S1970" s="422"/>
      <c r="T1970" s="2809"/>
      <c r="U1970" s="500"/>
      <c r="V1970" s="2868" t="s">
        <v>2917</v>
      </c>
      <c r="W1970" s="2838"/>
      <c r="X1970" s="2340" t="str">
        <f t="shared" si="113"/>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98"/>
      <c r="C1971" s="2813"/>
      <c r="D1971" s="260"/>
      <c r="E1971" s="2816" t="s">
        <v>10380</v>
      </c>
      <c r="F1971" s="218">
        <v>5</v>
      </c>
      <c r="G1971" s="218">
        <v>20</v>
      </c>
      <c r="H1971" s="218">
        <f>COUNTIF(HabilidadesEsenciales_Adquiridas,Tablas!E1971)</f>
        <v>0</v>
      </c>
      <c r="I1971" s="2818">
        <v>1</v>
      </c>
      <c r="J1971" s="422"/>
      <c r="K1971" s="2809"/>
      <c r="M1971" s="1959"/>
      <c r="N1971" s="100"/>
      <c r="O1971" s="468" t="s">
        <v>9958</v>
      </c>
      <c r="P1971" s="2811">
        <v>10</v>
      </c>
      <c r="Q1971" s="575">
        <v>20</v>
      </c>
      <c r="R1971" s="2818">
        <f>COUNTIF(PoderesDeCriatura_Adquiridos,Tablas!O1971)</f>
        <v>0</v>
      </c>
      <c r="S1971" s="422"/>
      <c r="T1971" s="2809"/>
      <c r="U1971" s="500"/>
      <c r="V1971" s="2868" t="s">
        <v>1600</v>
      </c>
      <c r="W1971" s="2838"/>
      <c r="X1971" s="2340" t="str">
        <f t="shared" si="113"/>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98"/>
      <c r="C1972" s="2813"/>
      <c r="D1972" s="260"/>
      <c r="E1972" s="2816" t="s">
        <v>10381</v>
      </c>
      <c r="F1972" s="218">
        <v>5</v>
      </c>
      <c r="G1972" s="218">
        <v>20</v>
      </c>
      <c r="H1972" s="218">
        <f>COUNTIF(HabilidadesEsenciales_Adquiridas,Tablas!E1972)</f>
        <v>0</v>
      </c>
      <c r="I1972" s="2818">
        <v>1</v>
      </c>
      <c r="J1972" s="422"/>
      <c r="K1972" s="2809"/>
      <c r="M1972" s="1959"/>
      <c r="N1972" s="100"/>
      <c r="O1972" s="468" t="s">
        <v>9959</v>
      </c>
      <c r="P1972" s="2811">
        <v>15</v>
      </c>
      <c r="Q1972" s="575">
        <v>40</v>
      </c>
      <c r="R1972" s="2818">
        <f>COUNTIF(PoderesDeCriatura_Adquiridos,Tablas!O1972)</f>
        <v>0</v>
      </c>
      <c r="S1972" s="422"/>
      <c r="T1972" s="2809"/>
      <c r="U1972" s="500"/>
      <c r="V1972" s="2868" t="s">
        <v>2925</v>
      </c>
      <c r="W1972" s="2838"/>
      <c r="X1972" s="2340" t="str">
        <f t="shared" si="113"/>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98"/>
      <c r="C1973" s="2813"/>
      <c r="D1973" s="260"/>
      <c r="E1973" s="2816" t="s">
        <v>10382</v>
      </c>
      <c r="F1973" s="218">
        <v>5</v>
      </c>
      <c r="G1973" s="218">
        <v>20</v>
      </c>
      <c r="H1973" s="218">
        <f>COUNTIF(HabilidadesEsenciales_Adquiridas,Tablas!E1973)</f>
        <v>0</v>
      </c>
      <c r="I1973" s="2818">
        <v>1</v>
      </c>
      <c r="J1973" s="422"/>
      <c r="K1973" s="2809"/>
      <c r="M1973" s="1959"/>
      <c r="N1973" s="100"/>
      <c r="O1973" s="468" t="s">
        <v>9960</v>
      </c>
      <c r="P1973" s="2811">
        <v>20</v>
      </c>
      <c r="Q1973" s="575">
        <v>60</v>
      </c>
      <c r="R1973" s="2818">
        <f>COUNTIF(PoderesDeCriatura_Adquiridos,Tablas!O1973)</f>
        <v>0</v>
      </c>
      <c r="S1973" s="422"/>
      <c r="T1973" s="2809"/>
      <c r="U1973" s="500"/>
      <c r="V1973" s="2868" t="s">
        <v>2952</v>
      </c>
      <c r="W1973" s="2838"/>
      <c r="X1973" s="2340" t="str">
        <f t="shared" si="113"/>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98"/>
      <c r="C1974" s="2813"/>
      <c r="D1974" s="260"/>
      <c r="E1974" s="2816" t="s">
        <v>2879</v>
      </c>
      <c r="F1974" s="218">
        <v>5</v>
      </c>
      <c r="G1974" s="218">
        <v>30</v>
      </c>
      <c r="H1974" s="218">
        <f>COUNTIF(HabilidadesEsenciales_Adquiridas,Tablas!E1974)</f>
        <v>0</v>
      </c>
      <c r="I1974" s="2818"/>
      <c r="J1974" s="422"/>
      <c r="K1974" s="2809"/>
      <c r="M1974" s="1959"/>
      <c r="N1974" s="100"/>
      <c r="O1974" s="468" t="s">
        <v>9961</v>
      </c>
      <c r="P1974" s="2811">
        <v>20</v>
      </c>
      <c r="Q1974" s="575">
        <v>80</v>
      </c>
      <c r="R1974" s="2818">
        <f>COUNTIF(PoderesDeCriatura_Adquiridos,Tablas!O1974)</f>
        <v>0</v>
      </c>
      <c r="S1974" s="422"/>
      <c r="T1974" s="2809"/>
      <c r="U1974" s="500"/>
      <c r="V1974" s="2868" t="s">
        <v>1603</v>
      </c>
      <c r="W1974" s="2838"/>
      <c r="X1974" s="2340" t="str">
        <f t="shared" si="113"/>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98"/>
      <c r="C1975" s="2813"/>
      <c r="D1975" s="260"/>
      <c r="E1975" s="2816" t="s">
        <v>1586</v>
      </c>
      <c r="F1975" s="218">
        <v>0</v>
      </c>
      <c r="G1975" s="218">
        <v>0</v>
      </c>
      <c r="H1975" s="218"/>
      <c r="I1975" s="2818"/>
      <c r="J1975" s="422"/>
      <c r="K1975" s="2809"/>
      <c r="M1975" s="1959"/>
      <c r="N1975" s="100"/>
      <c r="O1975" s="468" t="s">
        <v>9962</v>
      </c>
      <c r="P1975" s="2811">
        <v>25</v>
      </c>
      <c r="Q1975" s="575">
        <v>100</v>
      </c>
      <c r="R1975" s="2818">
        <f>COUNTIF(PoderesDeCriatura_Adquiridos,Tablas!O1975)</f>
        <v>0</v>
      </c>
      <c r="S1975" s="422"/>
      <c r="T1975" s="2809"/>
      <c r="U1975" s="500"/>
      <c r="V1975" s="2868" t="s">
        <v>2945</v>
      </c>
      <c r="W1975" s="2838"/>
      <c r="X1975" s="2340" t="str">
        <f t="shared" si="113"/>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98"/>
      <c r="C1976" s="2813"/>
      <c r="D1976" s="260"/>
      <c r="E1976" s="2816" t="s">
        <v>1587</v>
      </c>
      <c r="F1976" s="218">
        <v>0</v>
      </c>
      <c r="G1976" s="218">
        <v>-10</v>
      </c>
      <c r="H1976" s="218">
        <f>COUNTIF(HabilidadesEsenciales_Adquiridas,Tablas!E1976)</f>
        <v>0</v>
      </c>
      <c r="I1976" s="2818"/>
      <c r="J1976" s="422"/>
      <c r="K1976" s="2809"/>
      <c r="M1976" s="1959"/>
      <c r="N1976" s="100"/>
      <c r="O1976" s="468" t="s">
        <v>9963</v>
      </c>
      <c r="P1976" s="2811">
        <v>30</v>
      </c>
      <c r="Q1976" s="575">
        <v>120</v>
      </c>
      <c r="R1976" s="2818">
        <f>COUNTIF(PoderesDeCriatura_Adquiridos,Tablas!O1976)</f>
        <v>0</v>
      </c>
      <c r="S1976" s="422"/>
      <c r="T1976" s="2809"/>
      <c r="U1976" s="500"/>
      <c r="V1976" s="2868" t="s">
        <v>1602</v>
      </c>
      <c r="W1976" s="2838"/>
      <c r="X1976" s="2340" t="str">
        <f t="shared" si="113"/>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98"/>
      <c r="C1977" s="2813"/>
      <c r="D1977" s="260"/>
      <c r="E1977" s="2816" t="s">
        <v>1588</v>
      </c>
      <c r="F1977" s="218">
        <v>0</v>
      </c>
      <c r="G1977" s="218">
        <v>-20</v>
      </c>
      <c r="H1977" s="218">
        <f>COUNTIF(HabilidadesEsenciales_Adquiridas,Tablas!E1977)</f>
        <v>0</v>
      </c>
      <c r="I1977" s="2818"/>
      <c r="J1977" s="422"/>
      <c r="K1977" s="2809"/>
      <c r="M1977" s="1959"/>
      <c r="N1977" s="100"/>
      <c r="O1977" s="468" t="s">
        <v>9964</v>
      </c>
      <c r="P1977" s="2811">
        <v>35</v>
      </c>
      <c r="Q1977" s="575">
        <v>140</v>
      </c>
      <c r="R1977" s="2818">
        <f>COUNTIF(PoderesDeCriatura_Adquiridos,Tablas!O1977)</f>
        <v>0</v>
      </c>
      <c r="S1977" s="422"/>
      <c r="T1977" s="2809"/>
      <c r="U1977" s="500"/>
      <c r="V1977" s="2868" t="s">
        <v>2965</v>
      </c>
      <c r="W1977" s="2838"/>
      <c r="X1977" s="2340" t="str">
        <f t="shared" si="113"/>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98"/>
      <c r="C1978" s="2813"/>
      <c r="D1978" s="260"/>
      <c r="E1978" s="2816" t="s">
        <v>1589</v>
      </c>
      <c r="F1978" s="218">
        <v>10</v>
      </c>
      <c r="G1978" s="218">
        <v>-10</v>
      </c>
      <c r="H1978" s="218">
        <f>COUNTIF(HabilidadesEsenciales_Adquiridas,Tablas!E1978)</f>
        <v>0</v>
      </c>
      <c r="I1978" s="2818"/>
      <c r="J1978" s="422"/>
      <c r="K1978" s="2809"/>
      <c r="M1978" s="1959"/>
      <c r="N1978" s="100"/>
      <c r="O1978" s="468" t="s">
        <v>9965</v>
      </c>
      <c r="P1978" s="2811">
        <v>10</v>
      </c>
      <c r="Q1978" s="575">
        <v>-20</v>
      </c>
      <c r="R1978" s="2818">
        <f>COUNTIF(PoderesDeCriatura_Adquiridos,Tablas!O1978)</f>
        <v>0</v>
      </c>
      <c r="S1978" s="422"/>
      <c r="T1978" s="2809"/>
      <c r="U1978" s="500"/>
      <c r="V1978" s="2868" t="s">
        <v>2949</v>
      </c>
      <c r="W1978" s="2838"/>
      <c r="X1978" s="2340" t="str">
        <f t="shared" si="113"/>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98"/>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3"/>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98"/>
      <c r="C1980" s="2813"/>
      <c r="D1980" s="260"/>
      <c r="E1980" s="2816" t="s">
        <v>1591</v>
      </c>
      <c r="F1980" s="218">
        <v>0</v>
      </c>
      <c r="G1980" s="218">
        <v>-10</v>
      </c>
      <c r="H1980" s="218">
        <f>COUNTIF(HabilidadesEsenciales_Adquiridas,Tablas!E1980)</f>
        <v>0</v>
      </c>
      <c r="I1980" s="2818"/>
      <c r="J1980" s="422"/>
      <c r="K1980" s="2809"/>
      <c r="M1980" s="1959"/>
      <c r="N1980" s="100"/>
      <c r="O1980" s="468" t="s">
        <v>9966</v>
      </c>
      <c r="P1980" s="2811">
        <v>0</v>
      </c>
      <c r="Q1980" s="575">
        <v>10</v>
      </c>
      <c r="R1980" s="2818">
        <f>COUNTIF(PoderesDeCriatura_Adquiridos,Tablas!O1980)</f>
        <v>0</v>
      </c>
      <c r="S1980" s="422">
        <f t="array" ref="S1980">IF(OR(R$1986=1,R$1987=1),0,MAX({10;20;30;40;50}*$R$1980:$R$1984))</f>
        <v>0</v>
      </c>
      <c r="T1980" s="2809" t="s">
        <v>1772</v>
      </c>
      <c r="U1980" s="500"/>
      <c r="V1980" s="2868" t="s">
        <v>1601</v>
      </c>
      <c r="W1980" s="2838"/>
      <c r="X1980" s="2340" t="str">
        <f t="shared" si="113"/>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98"/>
      <c r="C1981" s="2813"/>
      <c r="D1981" s="260"/>
      <c r="E1981" s="2816" t="s">
        <v>2897</v>
      </c>
      <c r="F1981" s="218">
        <v>0</v>
      </c>
      <c r="G1981" s="218">
        <v>-20</v>
      </c>
      <c r="H1981" s="218">
        <f>COUNTIF(HabilidadesEsenciales_Adquiridas,Tablas!E1981)</f>
        <v>0</v>
      </c>
      <c r="I1981" s="2818"/>
      <c r="J1981" s="422"/>
      <c r="K1981" s="2809"/>
      <c r="M1981" s="1959"/>
      <c r="N1981" s="100"/>
      <c r="O1981" s="468" t="s">
        <v>9967</v>
      </c>
      <c r="P1981" s="2811">
        <v>0</v>
      </c>
      <c r="Q1981" s="575">
        <v>20</v>
      </c>
      <c r="R1981" s="2818">
        <f>COUNTIF(PoderesDeCriatura_Adquiridos,Tablas!O1981)</f>
        <v>0</v>
      </c>
      <c r="S1981" s="422">
        <f t="array" ref="S1981">IF(OR(R$1985=1,R$1987=1),0,MAX({10;20;30;40;50}*$R$1980:$R$1984))</f>
        <v>0</v>
      </c>
      <c r="T1981" s="2809" t="s">
        <v>1774</v>
      </c>
      <c r="U1981" s="500"/>
      <c r="V1981" s="2868" t="s">
        <v>2801</v>
      </c>
      <c r="W1981" s="2838"/>
      <c r="X1981" s="2340" t="str">
        <f t="shared" si="113"/>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98"/>
      <c r="C1982" s="2813"/>
      <c r="D1982" s="260"/>
      <c r="E1982" s="2816" t="s">
        <v>1592</v>
      </c>
      <c r="F1982" s="218">
        <v>0</v>
      </c>
      <c r="G1982" s="218">
        <v>-10</v>
      </c>
      <c r="H1982" s="218">
        <f>COUNTIF(HabilidadesEsenciales_Adquiridas,Tablas!E1982)</f>
        <v>0</v>
      </c>
      <c r="I1982" s="2818"/>
      <c r="J1982" s="422"/>
      <c r="K1982" s="2809"/>
      <c r="M1982" s="1959"/>
      <c r="N1982" s="100"/>
      <c r="O1982" s="468" t="s">
        <v>9968</v>
      </c>
      <c r="P1982" s="2811">
        <v>10</v>
      </c>
      <c r="Q1982" s="575">
        <v>30</v>
      </c>
      <c r="R1982" s="2818">
        <f>COUNTIF(PoderesDeCriatura_Adquiridos,Tablas!O1982)</f>
        <v>0</v>
      </c>
      <c r="S1982" s="422">
        <f t="array" ref="S1982">IF(OR(R$1986=1,R$1985=1),0,MAX({10;20;30;40;50}*$R$1980:$R$1984))</f>
        <v>0</v>
      </c>
      <c r="T1982" s="2809" t="s">
        <v>1776</v>
      </c>
      <c r="U1982" s="500"/>
      <c r="V1982" s="2868" t="s">
        <v>2938</v>
      </c>
      <c r="W1982" s="2838"/>
      <c r="X1982" s="2340" t="str">
        <f t="shared" si="113"/>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98"/>
      <c r="C1983" s="2813"/>
      <c r="D1983" s="260"/>
      <c r="E1983" s="2816" t="s">
        <v>1593</v>
      </c>
      <c r="F1983" s="218">
        <v>10</v>
      </c>
      <c r="G1983" s="218">
        <v>-20</v>
      </c>
      <c r="H1983" s="218">
        <f>COUNTIF(HabilidadesEsenciales_Adquiridas,Tablas!E1983)</f>
        <v>0</v>
      </c>
      <c r="I1983" s="2818"/>
      <c r="J1983" s="422"/>
      <c r="K1983" s="2809"/>
      <c r="M1983" s="1959"/>
      <c r="N1983" s="100"/>
      <c r="O1983" s="468" t="s">
        <v>9969</v>
      </c>
      <c r="P1983" s="2811">
        <v>20</v>
      </c>
      <c r="Q1983" s="575">
        <v>40</v>
      </c>
      <c r="R1983" s="2818">
        <f>COUNTIF(PoderesDeCriatura_Adquiridos,Tablas!O1983)</f>
        <v>0</v>
      </c>
      <c r="S1983" s="422"/>
      <c r="T1983" s="2809"/>
      <c r="U1983" s="500"/>
      <c r="V1983" s="2868" t="s">
        <v>1604</v>
      </c>
      <c r="W1983" s="2838"/>
      <c r="X1983" s="2340" t="str">
        <f t="shared" si="113"/>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98"/>
      <c r="C1984" s="2813"/>
      <c r="D1984" s="260"/>
      <c r="E1984" s="2816" t="s">
        <v>9458</v>
      </c>
      <c r="F1984" s="218">
        <v>20</v>
      </c>
      <c r="G1984" s="218">
        <v>-10</v>
      </c>
      <c r="H1984" s="218">
        <f>COUNTIF(HabilidadesEsenciales_Adquiridas,Tablas!E1984)</f>
        <v>0</v>
      </c>
      <c r="I1984" s="2818"/>
      <c r="J1984" s="422"/>
      <c r="K1984" s="2809"/>
      <c r="M1984" s="1959"/>
      <c r="N1984" s="100"/>
      <c r="O1984" s="468" t="s">
        <v>9970</v>
      </c>
      <c r="P1984" s="2811">
        <v>30</v>
      </c>
      <c r="Q1984" s="575">
        <v>50</v>
      </c>
      <c r="R1984" s="2818">
        <f>COUNTIF(PoderesDeCriatura_Adquiridos,Tablas!O1984)</f>
        <v>0</v>
      </c>
      <c r="S1984" s="422"/>
      <c r="T1984" s="2809"/>
      <c r="U1984" s="500"/>
      <c r="V1984" s="2868" t="s">
        <v>1605</v>
      </c>
      <c r="W1984" s="2838"/>
      <c r="X1984" s="2340" t="str">
        <f t="shared" si="113"/>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98"/>
      <c r="C1985" s="2813"/>
      <c r="D1985" s="68"/>
      <c r="E1985" s="2816" t="s">
        <v>9459</v>
      </c>
      <c r="F1985" s="218">
        <v>20</v>
      </c>
      <c r="G1985" s="218">
        <v>-20</v>
      </c>
      <c r="H1985" s="218">
        <f>COUNTIF(HabilidadesEsenciales_Adquiridas,Tablas!E1985)</f>
        <v>0</v>
      </c>
      <c r="I1985" s="2818"/>
      <c r="J1985" s="422"/>
      <c r="K1985" s="2809"/>
      <c r="M1985" s="1959"/>
      <c r="N1985" s="100"/>
      <c r="O1985" s="468" t="s">
        <v>9971</v>
      </c>
      <c r="P1985" s="2811">
        <v>10</v>
      </c>
      <c r="Q1985" s="575">
        <v>-20</v>
      </c>
      <c r="R1985" s="2818">
        <f>COUNTIF(PoderesDeCriatura_Adquiridos,Tablas!O1985)</f>
        <v>0</v>
      </c>
      <c r="S1985" s="422"/>
      <c r="T1985" s="2809"/>
      <c r="U1985" s="500"/>
      <c r="V1985" s="2868" t="s">
        <v>1606</v>
      </c>
      <c r="W1985" s="2838"/>
      <c r="X1985" s="2340" t="str">
        <f t="shared" si="113"/>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98"/>
      <c r="C1986" s="2813"/>
      <c r="D1986" s="260"/>
      <c r="E1986" s="2816" t="s">
        <v>1594</v>
      </c>
      <c r="F1986" s="218">
        <v>10</v>
      </c>
      <c r="G1986" s="218">
        <v>-20</v>
      </c>
      <c r="H1986" s="218">
        <f>COUNTIF(HabilidadesEsenciales_Adquiridas,Tablas!E1986)</f>
        <v>0</v>
      </c>
      <c r="I1986" s="2818"/>
      <c r="J1986" s="422"/>
      <c r="K1986" s="2809"/>
      <c r="M1986" s="1959"/>
      <c r="N1986" s="100"/>
      <c r="O1986" s="468" t="s">
        <v>9972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98"/>
      <c r="C1987" s="2813"/>
      <c r="D1987" s="260"/>
      <c r="E1987" s="2816" t="s">
        <v>1595</v>
      </c>
      <c r="F1987" s="218">
        <v>0</v>
      </c>
      <c r="G1987" s="218">
        <v>0</v>
      </c>
      <c r="H1987" s="218"/>
      <c r="I1987" s="2818"/>
      <c r="J1987" s="422"/>
      <c r="K1987" s="2809"/>
      <c r="M1987" s="1959"/>
      <c r="N1987" s="100"/>
      <c r="O1987" s="468" t="s">
        <v>9973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98"/>
      <c r="C1988" s="2813"/>
      <c r="D1988" s="260"/>
      <c r="E1988" s="2816" t="s">
        <v>2908</v>
      </c>
      <c r="F1988" s="218">
        <v>5</v>
      </c>
      <c r="G1988" s="218">
        <v>-10</v>
      </c>
      <c r="H1988" s="218">
        <f>COUNTIF(HabilidadesEsenciales_Adquiridas,Tablas!E1988)</f>
        <v>0</v>
      </c>
      <c r="I1988" s="2818"/>
      <c r="J1988" s="422"/>
      <c r="K1988" s="2809"/>
      <c r="M1988" s="1959"/>
      <c r="N1988" s="100"/>
      <c r="O1988" s="468" t="s">
        <v>9974</v>
      </c>
      <c r="P1988" s="2811">
        <v>10</v>
      </c>
      <c r="Q1988" s="575">
        <v>10</v>
      </c>
      <c r="R1988" s="2818">
        <f>COUNTIF(PoderesDeCriatura_Adquiridos,Tablas!O1988)</f>
        <v>0</v>
      </c>
      <c r="S1988" s="422">
        <f t="array" ref="S1988">MAX(R1988:R1997*{10;20;30;40;50;-10;-20;-30;-40;-50})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98"/>
      <c r="C1989" s="2813"/>
      <c r="D1989" s="260"/>
      <c r="E1989" s="2816" t="s">
        <v>2909</v>
      </c>
      <c r="F1989" s="218">
        <v>5</v>
      </c>
      <c r="G1989" s="218">
        <v>-10</v>
      </c>
      <c r="H1989" s="218">
        <f>COUNTIF(HabilidadesEsenciales_Adquiridas,Tablas!E1989)</f>
        <v>0</v>
      </c>
      <c r="I1989" s="2818"/>
      <c r="J1989" s="422"/>
      <c r="K1989" s="2809"/>
      <c r="M1989" s="1959"/>
      <c r="N1989" s="100"/>
      <c r="O1989" s="468" t="s">
        <v>9975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98"/>
      <c r="C1990" s="2813"/>
      <c r="D1990" s="260"/>
      <c r="E1990" s="2816" t="s">
        <v>1596</v>
      </c>
      <c r="F1990" s="218">
        <v>5</v>
      </c>
      <c r="G1990" s="218">
        <v>-10</v>
      </c>
      <c r="H1990" s="218">
        <f>COUNTIF(HabilidadesEsenciales_Adquiridas,Tablas!E1990)</f>
        <v>0</v>
      </c>
      <c r="I1990" s="2818">
        <v>1</v>
      </c>
      <c r="J1990" s="422"/>
      <c r="K1990" s="2809"/>
      <c r="M1990" s="1959"/>
      <c r="N1990" s="100"/>
      <c r="O1990" s="468" t="s">
        <v>9976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98"/>
      <c r="C1991" s="2813"/>
      <c r="D1991" s="260"/>
      <c r="E1991" s="2816" t="s">
        <v>2913</v>
      </c>
      <c r="F1991" s="218">
        <v>5</v>
      </c>
      <c r="G1991" s="218">
        <v>-30</v>
      </c>
      <c r="H1991" s="218">
        <f>COUNTIF(HabilidadesEsenciales_Adquiridas,Tablas!E1991)</f>
        <v>0</v>
      </c>
      <c r="I1991" s="2818">
        <v>1</v>
      </c>
      <c r="J1991" s="422"/>
      <c r="K1991" s="2809"/>
      <c r="M1991" s="1959"/>
      <c r="N1991" s="100"/>
      <c r="O1991" s="468" t="s">
        <v>9977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98"/>
      <c r="C1992" s="2813"/>
      <c r="D1992" s="260"/>
      <c r="E1992" s="2816" t="s">
        <v>2910</v>
      </c>
      <c r="F1992" s="218">
        <v>5</v>
      </c>
      <c r="G1992" s="218">
        <v>-10</v>
      </c>
      <c r="H1992" s="218">
        <f>COUNTIF(HabilidadesEsenciales_Adquiridas,Tablas!E1992)</f>
        <v>0</v>
      </c>
      <c r="I1992" s="2818"/>
      <c r="J1992" s="422"/>
      <c r="K1992" s="2809"/>
      <c r="M1992" s="1959"/>
      <c r="N1992" s="100"/>
      <c r="O1992" s="468" t="s">
        <v>9978</v>
      </c>
      <c r="P1992" s="2811">
        <v>35</v>
      </c>
      <c r="Q1992" s="575">
        <v>50</v>
      </c>
      <c r="R1992" s="2818">
        <f>COUNTIF(PoderesDeCriatura_Adquiridos,Tablas!O1992)</f>
        <v>0</v>
      </c>
      <c r="S1992" s="422"/>
      <c r="T1992" s="2809"/>
      <c r="V1992" s="2874" t="s">
        <v>10273</v>
      </c>
      <c r="W1992" s="2875"/>
      <c r="X1992" s="2876"/>
      <c r="Y1992" s="2876"/>
      <c r="Z1992" s="2877"/>
      <c r="AA1992" s="2877"/>
      <c r="AB1992" s="2875" t="s">
        <v>10272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98"/>
      <c r="C1993" s="2813"/>
      <c r="D1993" s="260"/>
      <c r="E1993" s="2816" t="s">
        <v>1597</v>
      </c>
      <c r="F1993" s="218">
        <v>5</v>
      </c>
      <c r="G1993" s="218">
        <v>-20</v>
      </c>
      <c r="H1993" s="218">
        <f>COUNTIF(HabilidadesEsenciales_Adquiridas,Tablas!E1993)</f>
        <v>0</v>
      </c>
      <c r="I1993" s="2818"/>
      <c r="J1993" s="422"/>
      <c r="K1993" s="2809"/>
      <c r="M1993" s="1959"/>
      <c r="N1993" s="100"/>
      <c r="O1993" s="468" t="s">
        <v>9979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98"/>
      <c r="C1994" s="2813"/>
      <c r="D1994" s="260"/>
      <c r="E1994" s="2816" t="s">
        <v>1598</v>
      </c>
      <c r="F1994" s="218">
        <v>0</v>
      </c>
      <c r="G1994" s="218">
        <v>0</v>
      </c>
      <c r="H1994" s="218"/>
      <c r="I1994" s="2818"/>
      <c r="J1994" s="422"/>
      <c r="K1994" s="2809"/>
      <c r="M1994" s="1959"/>
      <c r="N1994" s="100"/>
      <c r="O1994" s="468" t="s">
        <v>9980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98"/>
      <c r="C1995" s="2813"/>
      <c r="D1995" s="260"/>
      <c r="E1995" s="2816" t="s">
        <v>2917</v>
      </c>
      <c r="F1995" s="218">
        <v>5</v>
      </c>
      <c r="G1995" s="218">
        <v>-10</v>
      </c>
      <c r="H1995" s="218">
        <f>COUNTIF(HabilidadesEsenciales_Adquiridas,Tablas!E1995)</f>
        <v>0</v>
      </c>
      <c r="I1995" s="2818">
        <v>1</v>
      </c>
      <c r="J1995" s="422"/>
      <c r="K1995" s="2809"/>
      <c r="M1995" s="1959"/>
      <c r="N1995" s="100"/>
      <c r="O1995" s="468" t="s">
        <v>9981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98"/>
      <c r="C1996" s="2813"/>
      <c r="D1996" s="260"/>
      <c r="E1996" s="2816" t="s">
        <v>2918</v>
      </c>
      <c r="F1996" s="218">
        <v>5</v>
      </c>
      <c r="G1996" s="218">
        <v>-10</v>
      </c>
      <c r="H1996" s="218">
        <f>COUNTIF(HabilidadesEsenciales_Adquiridas,Tablas!E1996)</f>
        <v>0</v>
      </c>
      <c r="I1996" s="2818"/>
      <c r="J1996" s="422"/>
      <c r="K1996" s="2809"/>
      <c r="M1996" s="1959"/>
      <c r="N1996" s="100"/>
      <c r="O1996" s="468" t="s">
        <v>9982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98"/>
      <c r="C1997" s="2813"/>
      <c r="D1997" s="260"/>
      <c r="E1997" s="2816" t="s">
        <v>1599</v>
      </c>
      <c r="F1997" s="218">
        <v>5</v>
      </c>
      <c r="G1997" s="218">
        <v>-20</v>
      </c>
      <c r="H1997" s="218">
        <f>COUNTIF(HabilidadesEsenciales_Adquiridas,Tablas!E1997)</f>
        <v>0</v>
      </c>
      <c r="I1997" s="2818"/>
      <c r="J1997" s="422"/>
      <c r="K1997" s="2809"/>
      <c r="M1997" s="1959"/>
      <c r="N1997" s="100"/>
      <c r="O1997" s="468" t="s">
        <v>9983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98"/>
      <c r="C1998" s="2813"/>
      <c r="D1998" s="260"/>
      <c r="E1998" s="2816" t="s">
        <v>1600</v>
      </c>
      <c r="F1998" s="218">
        <v>0</v>
      </c>
      <c r="G1998" s="218">
        <v>0</v>
      </c>
      <c r="H1998" s="218"/>
      <c r="I1998" s="2818"/>
      <c r="J1998" s="422"/>
      <c r="K1998" s="2809"/>
      <c r="M1998" s="1959"/>
      <c r="N1998" s="100"/>
      <c r="O1998" s="468" t="s">
        <v>9984</v>
      </c>
      <c r="P1998" s="2811">
        <v>10</v>
      </c>
      <c r="Q1998" s="575">
        <v>10</v>
      </c>
      <c r="R1998" s="2818">
        <f>COUNTIF(PoderesDeCriatura_Adquiridos,Tablas!O1998)</f>
        <v>0</v>
      </c>
      <c r="S1998" s="422">
        <f t="array" ref="S1998">MAX(R1998:R2007*{10;20;30;40;50;-10;-20;-30;-40;-50})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98"/>
      <c r="C1999" s="2813"/>
      <c r="D1999" s="260"/>
      <c r="E1999" s="2816" t="s">
        <v>2801</v>
      </c>
      <c r="F1999" s="218">
        <v>20</v>
      </c>
      <c r="G1999" s="218">
        <v>40</v>
      </c>
      <c r="H1999" s="218">
        <f>COUNTIF(HabilidadesEsenciales_Adquiridas,Tablas!E1999)</f>
        <v>0</v>
      </c>
      <c r="I1999" s="2818"/>
      <c r="J1999" s="422"/>
      <c r="K1999" s="2809"/>
      <c r="M1999" s="1959"/>
      <c r="N1999" s="100"/>
      <c r="O1999" s="468" t="s">
        <v>9985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98"/>
      <c r="C2000" s="2813"/>
      <c r="D2000" s="260"/>
      <c r="E2000" s="2816" t="s">
        <v>1601</v>
      </c>
      <c r="F2000" s="218">
        <v>20</v>
      </c>
      <c r="G2000" s="218">
        <v>20</v>
      </c>
      <c r="H2000" s="218">
        <f>COUNTIF(HabilidadesEsenciales_Adquiridas,Tablas!E2000)</f>
        <v>0</v>
      </c>
      <c r="I2000" s="2818"/>
      <c r="J2000" s="422"/>
      <c r="K2000" s="2809"/>
      <c r="M2000" s="1959"/>
      <c r="N2000" s="100"/>
      <c r="O2000" s="468" t="s">
        <v>9986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98"/>
      <c r="C2001" s="2813"/>
      <c r="D2001" s="260"/>
      <c r="E2001" s="2816" t="s">
        <v>2844</v>
      </c>
      <c r="F2001" s="218">
        <v>10</v>
      </c>
      <c r="G2001" s="218">
        <v>10</v>
      </c>
      <c r="H2001" s="218">
        <f>COUNTIF(HabilidadesEsenciales_Adquiridas,Tablas!E2001)</f>
        <v>0</v>
      </c>
      <c r="I2001" s="2818"/>
      <c r="J2001" s="422"/>
      <c r="K2001" s="2809"/>
      <c r="M2001" s="1959"/>
      <c r="N2001" s="100"/>
      <c r="O2001" s="468" t="s">
        <v>9987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98"/>
      <c r="C2002" s="2813"/>
      <c r="D2002" s="260"/>
      <c r="E2002" s="2816" t="s">
        <v>2925</v>
      </c>
      <c r="F2002" s="218">
        <v>5</v>
      </c>
      <c r="G2002" s="218">
        <v>20</v>
      </c>
      <c r="H2002" s="218">
        <f>COUNTIF(HabilidadesEsenciales_Adquiridas,Tablas!E2002)</f>
        <v>0</v>
      </c>
      <c r="I2002" s="2818"/>
      <c r="J2002" s="422"/>
      <c r="K2002" s="2809"/>
      <c r="M2002" s="1959"/>
      <c r="N2002" s="100"/>
      <c r="O2002" s="468" t="s">
        <v>9988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98"/>
      <c r="C2003" s="2813"/>
      <c r="D2003" s="260"/>
      <c r="E2003" s="2816" t="s">
        <v>2938</v>
      </c>
      <c r="F2003" s="218">
        <v>0</v>
      </c>
      <c r="G2003" s="218">
        <v>10</v>
      </c>
      <c r="H2003" s="218">
        <f>COUNTIF(HabilidadesEsenciales_Adquiridas,Tablas!E2003)</f>
        <v>0</v>
      </c>
      <c r="I2003" s="2818"/>
      <c r="J2003" s="422"/>
      <c r="K2003" s="2809"/>
      <c r="M2003" s="1959"/>
      <c r="N2003" s="100"/>
      <c r="O2003" s="468" t="s">
        <v>9989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98"/>
      <c r="C2004" s="2813"/>
      <c r="D2004" s="260"/>
      <c r="E2004" s="2816" t="s">
        <v>2945</v>
      </c>
      <c r="F2004" s="218">
        <v>10</v>
      </c>
      <c r="G2004" s="218">
        <v>20</v>
      </c>
      <c r="H2004" s="218">
        <f>COUNTIF(HabilidadesEsenciales_Adquiridas,Tablas!E2004)</f>
        <v>0</v>
      </c>
      <c r="I2004" s="2818">
        <v>1</v>
      </c>
      <c r="J2004" s="422"/>
      <c r="K2004" s="2809"/>
      <c r="M2004" s="1959"/>
      <c r="N2004" s="100"/>
      <c r="O2004" s="468" t="s">
        <v>9990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98"/>
      <c r="C2005" s="2813"/>
      <c r="D2005" s="260"/>
      <c r="E2005" s="2816" t="s">
        <v>2949</v>
      </c>
      <c r="F2005" s="218">
        <v>10</v>
      </c>
      <c r="G2005" s="218">
        <v>20</v>
      </c>
      <c r="H2005" s="218">
        <f>COUNTIF(HabilidadesEsenciales_Adquiridas,Tablas!E2005)</f>
        <v>0</v>
      </c>
      <c r="I2005" s="2818"/>
      <c r="J2005" s="422"/>
      <c r="K2005" s="2809"/>
      <c r="M2005" s="1959"/>
      <c r="N2005" s="100"/>
      <c r="O2005" s="468" t="s">
        <v>9991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98"/>
      <c r="C2006" s="2813"/>
      <c r="D2006" s="260"/>
      <c r="E2006" s="2816" t="s">
        <v>2952</v>
      </c>
      <c r="F2006" s="218">
        <v>15</v>
      </c>
      <c r="G2006" s="218">
        <v>30</v>
      </c>
      <c r="H2006" s="218">
        <f>COUNTIF(HabilidadesEsenciales_Adquiridas,Tablas!E2006)</f>
        <v>0</v>
      </c>
      <c r="I2006" s="2818"/>
      <c r="J2006" s="422"/>
      <c r="K2006" s="2809"/>
      <c r="M2006" s="1959"/>
      <c r="N2006" s="100"/>
      <c r="O2006" s="468" t="s">
        <v>9992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98"/>
      <c r="C2007" s="2813"/>
      <c r="D2007" s="260"/>
      <c r="E2007" s="2816" t="s">
        <v>1602</v>
      </c>
      <c r="F2007" s="218">
        <v>10</v>
      </c>
      <c r="G2007" s="218">
        <v>20</v>
      </c>
      <c r="H2007" s="218">
        <f>COUNTIF(HabilidadesEsenciales_Adquiridas,Tablas!E2007)</f>
        <v>0</v>
      </c>
      <c r="I2007" s="2818"/>
      <c r="J2007" s="422"/>
      <c r="K2007" s="2809"/>
      <c r="M2007" s="1959"/>
      <c r="N2007" s="100"/>
      <c r="O2007" s="468" t="s">
        <v>9993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98"/>
      <c r="C2008" s="2813"/>
      <c r="D2008" s="260"/>
      <c r="E2008" s="2816" t="s">
        <v>2965</v>
      </c>
      <c r="F2008" s="218">
        <v>5</v>
      </c>
      <c r="G2008" s="218">
        <v>20</v>
      </c>
      <c r="H2008" s="218">
        <f>COUNTIF(HabilidadesEsenciales_Adquiridas,Tablas!E2008)</f>
        <v>0</v>
      </c>
      <c r="I2008" s="2818">
        <v>1</v>
      </c>
      <c r="J2008" s="422"/>
      <c r="K2008" s="2809"/>
      <c r="M2008" s="1959"/>
      <c r="N2008" s="100"/>
      <c r="O2008" s="468" t="s">
        <v>9994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98"/>
      <c r="C2009" s="2813"/>
      <c r="D2009" s="260"/>
      <c r="E2009" s="2816" t="s">
        <v>1603</v>
      </c>
      <c r="F2009" s="218">
        <v>0</v>
      </c>
      <c r="G2009" s="218">
        <v>20</v>
      </c>
      <c r="H2009" s="218">
        <f>COUNTIF(HabilidadesEsenciales_Adquiridas,Tablas!E2009)</f>
        <v>0</v>
      </c>
      <c r="I2009" s="2818">
        <v>1</v>
      </c>
      <c r="J2009" s="422"/>
      <c r="K2009" s="2809"/>
      <c r="M2009" s="1959"/>
      <c r="N2009" s="100"/>
      <c r="O2009" s="468" t="s">
        <v>9995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98"/>
      <c r="C2010" s="2813"/>
      <c r="D2010" s="260"/>
      <c r="E2010" s="2816" t="s">
        <v>1604</v>
      </c>
      <c r="F2010" s="218">
        <v>0</v>
      </c>
      <c r="G2010" s="218">
        <v>0</v>
      </c>
      <c r="H2010" s="218"/>
      <c r="I2010" s="2818"/>
      <c r="J2010" s="422"/>
      <c r="K2010" s="2809"/>
      <c r="M2010" s="1959"/>
      <c r="N2010" s="100"/>
      <c r="O2010" s="468" t="s">
        <v>9996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98"/>
      <c r="C2011" s="2813"/>
      <c r="D2011" s="260"/>
      <c r="E2011" s="2816" t="s">
        <v>1605</v>
      </c>
      <c r="F2011" s="218">
        <v>0</v>
      </c>
      <c r="G2011" s="218">
        <v>-30</v>
      </c>
      <c r="H2011" s="218">
        <f>COUNTIF(HabilidadesEsenciales_Adquiridas,Tablas!E2011)</f>
        <v>0</v>
      </c>
      <c r="I2011" s="2818"/>
      <c r="J2011" s="422"/>
      <c r="K2011" s="2809"/>
      <c r="M2011" s="1959"/>
      <c r="N2011" s="100"/>
      <c r="O2011" s="468" t="s">
        <v>9997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98"/>
      <c r="C2012" s="2813"/>
      <c r="D2012" s="260"/>
      <c r="E2012" s="2816" t="s">
        <v>1606</v>
      </c>
      <c r="F2012" s="218">
        <v>0</v>
      </c>
      <c r="G2012" s="218">
        <v>-20</v>
      </c>
      <c r="H2012" s="218">
        <f>COUNTIF(HabilidadesEsenciales_Adquiridas,Tablas!E2012)</f>
        <v>0</v>
      </c>
      <c r="I2012" s="2818"/>
      <c r="J2012" s="422"/>
      <c r="K2012" s="2809"/>
      <c r="M2012" s="1959"/>
      <c r="N2012" s="100"/>
      <c r="O2012" s="468" t="s">
        <v>9998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98"/>
      <c r="C2013" s="2813"/>
      <c r="D2013" s="260"/>
      <c r="E2013" s="2816" t="s">
        <v>9462</v>
      </c>
      <c r="F2013" s="218"/>
      <c r="G2013" s="218"/>
      <c r="H2013" s="218"/>
      <c r="I2013" s="2818"/>
      <c r="J2013" s="422"/>
      <c r="K2013" s="2809"/>
      <c r="M2013" s="1959"/>
      <c r="N2013" s="100"/>
      <c r="O2013" s="468" t="s">
        <v>9999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98"/>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10000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98"/>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10001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98"/>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10002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98"/>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10003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98"/>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10004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98"/>
      <c r="C2019" s="2112"/>
      <c r="H2019" s="413"/>
      <c r="M2019" s="1959"/>
      <c r="N2019" s="100"/>
      <c r="O2019" s="468" t="s">
        <v>10005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98"/>
      <c r="C2020" s="2112"/>
      <c r="H2020" s="413"/>
      <c r="M2020" s="1959"/>
      <c r="N2020" s="100"/>
      <c r="O2020" s="468" t="s">
        <v>10006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98"/>
      <c r="C2021" s="2112"/>
      <c r="H2021" s="413"/>
      <c r="M2021" s="1959"/>
      <c r="N2021" s="100"/>
      <c r="O2021" s="468" t="s">
        <v>10007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98"/>
      <c r="C2022" s="2112"/>
      <c r="H2022" s="413"/>
      <c r="M2022" s="1959"/>
      <c r="N2022" s="100"/>
      <c r="O2022" s="468" t="s">
        <v>10008</v>
      </c>
      <c r="P2022" s="2811">
        <v>10</v>
      </c>
      <c r="Q2022" s="575">
        <v>-40</v>
      </c>
      <c r="R2022" s="2818">
        <f>COUNTIF(PoderesDeCriatura_Adquiridos,Tablas!O2022)</f>
        <v>0</v>
      </c>
      <c r="S2022" s="422">
        <f t="array" ref="S2022">MIN(R2022:R2025*{-10;-25;-50;-100})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98"/>
      <c r="C2023" s="2112"/>
      <c r="H2023" s="413"/>
      <c r="M2023" s="1959"/>
      <c r="N2023" s="100"/>
      <c r="O2023" s="468" t="s">
        <v>10009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98"/>
      <c r="C2024" s="2112"/>
      <c r="H2024" s="413"/>
      <c r="M2024" s="1959"/>
      <c r="N2024" s="100"/>
      <c r="O2024" s="468" t="s">
        <v>10010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98"/>
      <c r="C2025" s="2112"/>
      <c r="H2025" s="413"/>
      <c r="M2025" s="1959"/>
      <c r="N2025" s="100"/>
      <c r="O2025" s="468" t="s">
        <v>10011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98"/>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98"/>
      <c r="C2027" s="2112"/>
      <c r="H2027" s="413"/>
      <c r="M2027" s="1959"/>
      <c r="N2027" s="100"/>
      <c r="O2027" s="468" t="s">
        <v>10012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98"/>
      <c r="C2028" s="2112"/>
      <c r="H2028" s="413"/>
      <c r="M2028" s="1959"/>
      <c r="N2028" s="100"/>
      <c r="O2028" s="468" t="s">
        <v>10013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98"/>
      <c r="C2029" s="2112"/>
      <c r="H2029" s="413"/>
      <c r="M2029" s="1959"/>
      <c r="N2029" s="100"/>
      <c r="O2029" s="468" t="s">
        <v>10014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98"/>
      <c r="C2030" s="2112"/>
      <c r="H2030" s="413"/>
      <c r="M2030" s="1959"/>
      <c r="N2030" s="100"/>
      <c r="O2030" s="468" t="s">
        <v>10015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98"/>
      <c r="C2031" s="2112"/>
      <c r="H2031" s="413"/>
      <c r="M2031" s="1959"/>
      <c r="N2031" s="100"/>
      <c r="O2031" s="468" t="s">
        <v>10016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98"/>
      <c r="C2032" s="2112"/>
      <c r="H2032" s="413"/>
      <c r="M2032" s="1959"/>
      <c r="N2032" s="100"/>
      <c r="O2032" s="468" t="s">
        <v>10017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98"/>
      <c r="C2033" s="2112"/>
      <c r="H2033" s="413"/>
      <c r="M2033" s="1959"/>
      <c r="N2033" s="100"/>
      <c r="O2033" s="468" t="s">
        <v>10018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98"/>
      <c r="C2034" s="2112"/>
      <c r="H2034" s="413"/>
      <c r="M2034" s="1959"/>
      <c r="N2034" s="100"/>
      <c r="O2034" s="468" t="s">
        <v>10019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98"/>
      <c r="C2035" s="2112"/>
      <c r="H2035" s="413"/>
      <c r="M2035" s="1959"/>
      <c r="N2035" s="100"/>
      <c r="O2035" s="468" t="s">
        <v>10020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98"/>
      <c r="C2036" s="2112"/>
      <c r="H2036" s="413"/>
      <c r="M2036" s="1959"/>
      <c r="N2036" s="100"/>
      <c r="O2036" s="468" t="s">
        <v>10021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98"/>
      <c r="C2037" s="2112"/>
      <c r="H2037" s="413"/>
      <c r="M2037" s="1959"/>
      <c r="N2037" s="100"/>
      <c r="O2037" s="468" t="s">
        <v>10022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98"/>
      <c r="C2038" s="2112"/>
      <c r="H2038" s="413"/>
      <c r="M2038" s="1959"/>
      <c r="N2038" s="100"/>
      <c r="O2038" s="468" t="s">
        <v>10023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98"/>
      <c r="C2039" s="2112"/>
      <c r="H2039" s="413"/>
      <c r="M2039" s="1959"/>
      <c r="N2039" s="100"/>
      <c r="O2039" s="468" t="s">
        <v>10024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98"/>
      <c r="C2040" s="2112"/>
      <c r="H2040" s="413"/>
      <c r="M2040" s="1959"/>
      <c r="N2040" s="100"/>
      <c r="O2040" s="468" t="s">
        <v>10025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98"/>
      <c r="C2041" s="2112"/>
      <c r="H2041" s="413"/>
      <c r="M2041" s="1959"/>
      <c r="N2041" s="100"/>
      <c r="O2041" s="468" t="s">
        <v>10026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98"/>
      <c r="C2042" s="2112"/>
      <c r="H2042" s="413"/>
      <c r="M2042" s="1959"/>
      <c r="N2042" s="100"/>
      <c r="O2042" s="468" t="s">
        <v>10027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98"/>
      <c r="C2043" s="2112"/>
      <c r="H2043" s="413"/>
      <c r="M2043" s="1959"/>
      <c r="N2043" s="100"/>
      <c r="O2043" s="468" t="s">
        <v>10028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98"/>
      <c r="C2044" s="2112"/>
      <c r="H2044" s="413"/>
      <c r="M2044" s="1959"/>
      <c r="N2044" s="100"/>
      <c r="O2044" s="468" t="s">
        <v>10029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98"/>
      <c r="C2045" s="2112"/>
      <c r="H2045" s="413"/>
      <c r="M2045" s="1959"/>
      <c r="N2045" s="100"/>
      <c r="O2045" s="468" t="s">
        <v>10030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98"/>
      <c r="C2046" s="2112"/>
      <c r="H2046" s="413"/>
      <c r="M2046" s="1959"/>
      <c r="N2046" s="100"/>
      <c r="O2046" s="468" t="s">
        <v>10031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98"/>
      <c r="C2047" s="2112"/>
      <c r="H2047" s="413"/>
      <c r="M2047" s="1959"/>
      <c r="N2047" s="100"/>
      <c r="O2047" s="468" t="s">
        <v>10032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98"/>
      <c r="C2048" s="2112"/>
      <c r="H2048" s="413"/>
      <c r="M2048" s="1959"/>
      <c r="N2048" s="100"/>
      <c r="O2048" s="468" t="s">
        <v>10033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98"/>
      <c r="C2049" s="2112"/>
      <c r="H2049" s="413"/>
      <c r="M2049" s="1959"/>
      <c r="N2049" s="100"/>
      <c r="O2049" s="468" t="s">
        <v>10034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98"/>
      <c r="C2050" s="2112"/>
      <c r="H2050" s="413"/>
      <c r="M2050" s="1959"/>
      <c r="N2050" s="100"/>
      <c r="O2050" s="468" t="s">
        <v>10035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98"/>
      <c r="C2051" s="2112"/>
      <c r="H2051" s="413"/>
      <c r="M2051" s="1959"/>
      <c r="N2051" s="100"/>
      <c r="O2051" s="468" t="s">
        <v>10036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98"/>
      <c r="C2052" s="2112"/>
      <c r="H2052" s="413"/>
      <c r="M2052" s="1959"/>
      <c r="N2052" s="100"/>
      <c r="O2052" s="468" t="s">
        <v>10037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98"/>
      <c r="C2053" s="2112"/>
      <c r="H2053" s="413"/>
      <c r="M2053" s="1959"/>
      <c r="N2053" s="100"/>
      <c r="O2053" s="468" t="s">
        <v>10038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98"/>
      <c r="C2054" s="2112"/>
      <c r="H2054" s="413"/>
      <c r="M2054" s="1959"/>
      <c r="N2054" s="100"/>
      <c r="O2054" s="2825" t="s">
        <v>10039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98"/>
      <c r="C2055" s="2112"/>
      <c r="H2055" s="413"/>
      <c r="M2055" s="1959"/>
      <c r="N2055" s="100"/>
      <c r="O2055" s="468" t="s">
        <v>10040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98"/>
      <c r="C2056" s="2112"/>
      <c r="H2056" s="413"/>
      <c r="M2056" s="1959"/>
      <c r="N2056" s="100"/>
      <c r="O2056" s="468" t="s">
        <v>10041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98"/>
      <c r="C2057" s="2112"/>
      <c r="H2057" s="413"/>
      <c r="M2057" s="1959"/>
      <c r="N2057" s="100"/>
      <c r="O2057" s="468" t="s">
        <v>10042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98"/>
      <c r="C2058" s="2112"/>
      <c r="H2058" s="413"/>
      <c r="M2058" s="1959"/>
      <c r="N2058" s="100"/>
      <c r="O2058" s="468" t="s">
        <v>10043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98"/>
      <c r="C2059" s="2112"/>
      <c r="H2059" s="413"/>
      <c r="M2059" s="1959"/>
      <c r="N2059" s="100"/>
      <c r="O2059" s="468" t="s">
        <v>10044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98"/>
      <c r="C2060" s="2112"/>
      <c r="H2060" s="413"/>
      <c r="M2060" s="1959"/>
      <c r="N2060" s="100"/>
      <c r="O2060" s="468" t="s">
        <v>10045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98"/>
      <c r="C2061" s="2112"/>
      <c r="H2061" s="413"/>
      <c r="M2061" s="1959"/>
      <c r="N2061" s="100"/>
      <c r="O2061" s="468" t="s">
        <v>10046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98"/>
      <c r="C2062" s="2112"/>
      <c r="H2062" s="413"/>
      <c r="M2062" s="1959"/>
      <c r="N2062" s="100"/>
      <c r="O2062" s="468" t="s">
        <v>10047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98"/>
      <c r="C2063" s="2112"/>
      <c r="H2063" s="413"/>
      <c r="M2063" s="1959"/>
      <c r="N2063" s="100"/>
      <c r="O2063" s="468" t="s">
        <v>10048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98"/>
      <c r="C2064" s="2112"/>
      <c r="H2064" s="413"/>
      <c r="M2064" s="1959"/>
      <c r="N2064" s="100"/>
      <c r="O2064" s="468" t="s">
        <v>10049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98"/>
      <c r="C2065" s="2112"/>
      <c r="H2065" s="413"/>
      <c r="M2065" s="1959"/>
      <c r="N2065" s="100"/>
      <c r="O2065" s="468" t="s">
        <v>10050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98"/>
      <c r="C2066" s="2112"/>
      <c r="H2066" s="413"/>
      <c r="M2066" s="1959"/>
      <c r="N2066" s="100"/>
      <c r="O2066" s="468" t="s">
        <v>10051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98"/>
      <c r="C2067" s="2112"/>
      <c r="H2067" s="413"/>
      <c r="M2067" s="1959"/>
      <c r="N2067" s="100"/>
      <c r="O2067" s="468" t="s">
        <v>10052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98"/>
      <c r="C2068" s="2112"/>
      <c r="H2068" s="413"/>
      <c r="M2068" s="1959"/>
      <c r="N2068" s="100"/>
      <c r="O2068" s="468" t="s">
        <v>10053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98"/>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98"/>
      <c r="C2070" s="2112"/>
      <c r="H2070" s="413"/>
      <c r="M2070" s="1959"/>
      <c r="N2070" s="100"/>
      <c r="O2070" s="468" t="s">
        <v>10054</v>
      </c>
      <c r="P2070" s="2811">
        <v>0</v>
      </c>
      <c r="Q2070" s="575">
        <v>10</v>
      </c>
      <c r="R2070" s="2818">
        <f>COUNTIF(PoderesDeCriatura_Adquiridos,Tablas!O2070)</f>
        <v>0</v>
      </c>
      <c r="S2070" s="422">
        <f t="array" ref="S2070">IF(R2081&gt;0,0,MAX($R$2070:$R$2080*VALUE(RIGHT($O$2070:$O$2080,2))))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98"/>
      <c r="C2071" s="2112"/>
      <c r="H2071" s="413"/>
      <c r="M2071" s="1959"/>
      <c r="N2071" s="100"/>
      <c r="O2071" s="468" t="s">
        <v>10055</v>
      </c>
      <c r="P2071" s="2811">
        <v>0</v>
      </c>
      <c r="Q2071" s="575">
        <v>20</v>
      </c>
      <c r="R2071" s="2818">
        <f>COUNTIF(PoderesDeCriatura_Adquiridos,Tablas!O2071)</f>
        <v>0</v>
      </c>
      <c r="S2071" s="422">
        <f t="array" ref="S2071">IF(R2082&gt;0,0,MAX($R$2070:$R$2080*VALUE(RIGHT($O$2070:$O$2080,2))))</f>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98"/>
      <c r="C2072" s="2112"/>
      <c r="H2072" s="413"/>
      <c r="M2072" s="1959"/>
      <c r="N2072" s="100"/>
      <c r="O2072" s="468" t="s">
        <v>10056</v>
      </c>
      <c r="P2072" s="2811">
        <v>0</v>
      </c>
      <c r="Q2072" s="575">
        <v>30</v>
      </c>
      <c r="R2072" s="2818">
        <f>COUNTIF(PoderesDeCriatura_Adquiridos,Tablas!O2072)</f>
        <v>0</v>
      </c>
      <c r="S2072" s="422">
        <f t="array" ref="S2072">IF(R2083&gt;0,0,MAX($R$2070:$R$2080*VALUE(RIGHT($O$2070:$O$2080,2))))</f>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98"/>
      <c r="C2073" s="2112"/>
      <c r="H2073" s="413"/>
      <c r="M2073" s="1959"/>
      <c r="N2073" s="100"/>
      <c r="O2073" s="468" t="s">
        <v>10057</v>
      </c>
      <c r="P2073" s="2811">
        <v>5</v>
      </c>
      <c r="Q2073" s="575">
        <v>40</v>
      </c>
      <c r="R2073" s="2818">
        <f>COUNTIF(PoderesDeCriatura_Adquiridos,Tablas!O2073)</f>
        <v>0</v>
      </c>
      <c r="S2073" s="422">
        <f t="array" ref="S2073">IF(R2084&gt;0,0,MAX($R$2070:$R$2080*VALUE(RIGHT($O$2070:$O$2080,2))))</f>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98"/>
      <c r="C2074" s="2112"/>
      <c r="H2074" s="413"/>
      <c r="M2074" s="1959"/>
      <c r="N2074" s="100"/>
      <c r="O2074" s="468" t="s">
        <v>10058</v>
      </c>
      <c r="P2074" s="2811">
        <v>10</v>
      </c>
      <c r="Q2074" s="575">
        <v>50</v>
      </c>
      <c r="R2074" s="2818">
        <f>COUNTIF(PoderesDeCriatura_Adquiridos,Tablas!O2074)</f>
        <v>0</v>
      </c>
      <c r="S2074" s="422">
        <f t="array" ref="S2074">IF(R2085&gt;0,0,MAX($R$2070:$R$2080*VALUE(RIGHT($O$2070:$O$2080,2))))</f>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98"/>
      <c r="C2075" s="2112"/>
      <c r="H2075" s="413"/>
      <c r="M2075" s="1959"/>
      <c r="N2075" s="100"/>
      <c r="O2075" s="468" t="s">
        <v>10059</v>
      </c>
      <c r="P2075" s="2811">
        <v>15</v>
      </c>
      <c r="Q2075" s="575">
        <v>60</v>
      </c>
      <c r="R2075" s="2818">
        <f>COUNTIF(PoderesDeCriatura_Adquiridos,Tablas!O2075)</f>
        <v>0</v>
      </c>
      <c r="S2075" s="422">
        <f t="array" ref="S2075">IF(R2086&gt;0,0,MAX($R$2070:$R$2080*VALUE(RIGHT($O$2070:$O$2080,2))))</f>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98"/>
      <c r="C2076" s="2112"/>
      <c r="H2076" s="413"/>
      <c r="M2076" s="1959"/>
      <c r="N2076" s="100"/>
      <c r="O2076" s="468" t="s">
        <v>10060</v>
      </c>
      <c r="P2076" s="2811">
        <v>20</v>
      </c>
      <c r="Q2076" s="575">
        <v>80</v>
      </c>
      <c r="R2076" s="2818">
        <f>COUNTIF(PoderesDeCriatura_Adquiridos,Tablas!O2076)</f>
        <v>0</v>
      </c>
      <c r="S2076" s="422">
        <f t="array" ref="S2076">IF(R2087&gt;0,0,MAX($R$2070:$R$2080*VALUE(RIGHT($O$2070:$O$2080,2))))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98"/>
      <c r="C2077" s="2112"/>
      <c r="H2077" s="413"/>
      <c r="M2077" s="1959"/>
      <c r="N2077" s="100"/>
      <c r="O2077" s="468" t="s">
        <v>10061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98"/>
      <c r="C2078" s="2112"/>
      <c r="H2078" s="413"/>
      <c r="M2078" s="1959"/>
      <c r="N2078" s="100"/>
      <c r="O2078" s="468" t="s">
        <v>10062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98"/>
      <c r="C2079" s="2112"/>
      <c r="H2079" s="413"/>
      <c r="M2079" s="1959"/>
      <c r="N2079" s="100"/>
      <c r="O2079" s="468" t="s">
        <v>10063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98"/>
      <c r="C2080" s="2112"/>
      <c r="H2080" s="413"/>
      <c r="M2080" s="1959"/>
      <c r="N2080" s="100"/>
      <c r="O2080" s="468" t="s">
        <v>10064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98"/>
      <c r="C2081" s="2112"/>
      <c r="H2081" s="413"/>
      <c r="M2081" s="1959"/>
      <c r="N2081" s="100"/>
      <c r="O2081" s="468" t="s">
        <v>10065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98"/>
      <c r="C2082" s="2112"/>
      <c r="H2082" s="413"/>
      <c r="M2082" s="1959"/>
      <c r="N2082" s="100"/>
      <c r="O2082" s="468" t="s">
        <v>10066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98"/>
      <c r="C2083" s="2112"/>
      <c r="H2083" s="413"/>
      <c r="M2083" s="1959"/>
      <c r="N2083" s="100"/>
      <c r="O2083" s="468" t="s">
        <v>10067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98"/>
      <c r="C2084" s="2112"/>
      <c r="H2084" s="413"/>
      <c r="M2084" s="1959"/>
      <c r="N2084" s="100"/>
      <c r="O2084" s="468" t="s">
        <v>10068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98"/>
      <c r="C2085" s="2112"/>
      <c r="H2085" s="413"/>
      <c r="M2085" s="1959"/>
      <c r="N2085" s="100"/>
      <c r="O2085" s="468" t="s">
        <v>10069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98"/>
      <c r="C2086" s="2112"/>
      <c r="H2086" s="413"/>
      <c r="M2086" s="1959"/>
      <c r="N2086" s="100"/>
      <c r="O2086" s="468" t="s">
        <v>10070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98"/>
      <c r="C2087" s="2112"/>
      <c r="H2087" s="413"/>
      <c r="M2087" s="1959"/>
      <c r="N2087" s="100"/>
      <c r="O2087" s="468" t="s">
        <v>10071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98"/>
      <c r="C2088" s="2112"/>
      <c r="H2088" s="413"/>
      <c r="M2088" s="1959"/>
      <c r="N2088" s="100"/>
      <c r="O2088" s="468" t="s">
        <v>10072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98"/>
      <c r="C2089" s="2112"/>
      <c r="H2089" s="413"/>
      <c r="M2089" s="1959"/>
      <c r="N2089" s="100"/>
      <c r="O2089" s="468" t="s">
        <v>10073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98"/>
      <c r="C2090" s="2112"/>
      <c r="H2090" s="413"/>
      <c r="M2090" s="1959"/>
      <c r="N2090" s="100"/>
      <c r="O2090" s="468" t="s">
        <v>10074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98"/>
      <c r="C2091" s="2112"/>
      <c r="H2091" s="413"/>
      <c r="M2091" s="1959"/>
      <c r="N2091" s="100"/>
      <c r="O2091" s="468" t="s">
        <v>10075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98"/>
      <c r="C2092" s="2112"/>
      <c r="H2092" s="413"/>
      <c r="M2092" s="1959"/>
      <c r="N2092" s="100"/>
      <c r="O2092" s="468" t="s">
        <v>10076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98"/>
      <c r="C2093" s="2112"/>
      <c r="H2093" s="413"/>
      <c r="M2093" s="1959"/>
      <c r="N2093" s="100"/>
      <c r="O2093" s="468" t="s">
        <v>10077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98"/>
      <c r="C2094" s="2112"/>
      <c r="H2094" s="413"/>
      <c r="M2094" s="1959"/>
      <c r="N2094" s="100"/>
      <c r="O2094" s="468" t="s">
        <v>10078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98"/>
      <c r="C2095" s="2112"/>
      <c r="H2095" s="413"/>
      <c r="M2095" s="1959"/>
      <c r="N2095" s="100"/>
      <c r="O2095" s="468" t="s">
        <v>10079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98"/>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98"/>
      <c r="C2097" s="2112"/>
      <c r="H2097" s="413"/>
      <c r="M2097" s="1959"/>
      <c r="N2097" s="100"/>
      <c r="O2097" s="468" t="s">
        <v>10080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98"/>
      <c r="C2098" s="2112"/>
      <c r="H2098" s="413"/>
      <c r="M2098" s="1959"/>
      <c r="N2098" s="100"/>
      <c r="O2098" s="468" t="s">
        <v>10081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98"/>
      <c r="C2099" s="2112"/>
      <c r="H2099" s="413"/>
      <c r="M2099" s="1959"/>
      <c r="N2099" s="100"/>
      <c r="O2099" s="468" t="s">
        <v>10082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98"/>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98"/>
      <c r="C2101" s="2112"/>
      <c r="H2101" s="413"/>
      <c r="M2101" s="1959"/>
      <c r="N2101" s="100"/>
      <c r="O2101" s="468" t="s">
        <v>10083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98"/>
      <c r="C2102" s="2112"/>
      <c r="H2102" s="413"/>
      <c r="M2102" s="1959"/>
      <c r="N2102" s="100"/>
      <c r="O2102" s="468" t="s">
        <v>10084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98"/>
      <c r="C2103" s="2112"/>
      <c r="H2103" s="413"/>
      <c r="M2103" s="1959"/>
      <c r="N2103" s="100"/>
      <c r="O2103" s="468" t="s">
        <v>10085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98"/>
      <c r="C2104" s="2112"/>
      <c r="H2104" s="413"/>
      <c r="M2104" s="1959"/>
      <c r="N2104" s="100"/>
      <c r="O2104" s="468" t="s">
        <v>10086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98"/>
      <c r="C2105" s="2112"/>
      <c r="H2105" s="413"/>
      <c r="M2105" s="1959"/>
      <c r="N2105" s="100"/>
      <c r="O2105" s="468" t="s">
        <v>10087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98"/>
      <c r="C2106" s="2112"/>
      <c r="H2106" s="413"/>
      <c r="M2106" s="1959"/>
      <c r="N2106" s="100"/>
      <c r="O2106" s="468" t="s">
        <v>10088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98"/>
      <c r="C2107" s="2112"/>
      <c r="H2107" s="413"/>
      <c r="M2107" s="1959"/>
      <c r="N2107" s="100"/>
      <c r="O2107" s="468" t="s">
        <v>10089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98"/>
      <c r="C2108" s="2112"/>
      <c r="H2108" s="413"/>
      <c r="M2108" s="1959"/>
      <c r="N2108" s="100"/>
      <c r="O2108" s="468" t="s">
        <v>10090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98"/>
      <c r="C2109" s="2112"/>
      <c r="H2109" s="413"/>
      <c r="M2109" s="1959"/>
      <c r="N2109" s="100"/>
      <c r="O2109" s="468" t="s">
        <v>10091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98"/>
      <c r="C2110" s="2112"/>
      <c r="H2110" s="413"/>
      <c r="M2110" s="1959"/>
      <c r="N2110" s="100"/>
      <c r="O2110" s="468" t="s">
        <v>10092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98"/>
      <c r="C2111" s="2112"/>
      <c r="H2111" s="413"/>
      <c r="M2111" s="1959"/>
      <c r="N2111" s="100"/>
      <c r="O2111" s="468" t="s">
        <v>10093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98"/>
      <c r="C2112" s="2112"/>
      <c r="H2112" s="413"/>
      <c r="M2112" s="1959"/>
      <c r="N2112" s="100"/>
      <c r="O2112" s="468" t="s">
        <v>10094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98"/>
      <c r="C2113" s="2112"/>
      <c r="H2113" s="413"/>
      <c r="M2113" s="1959"/>
      <c r="N2113" s="100"/>
      <c r="O2113" s="468" t="s">
        <v>10095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98"/>
      <c r="C2114" s="2112"/>
      <c r="H2114" s="413"/>
      <c r="M2114" s="1959"/>
      <c r="N2114" s="100"/>
      <c r="O2114" s="468" t="s">
        <v>10096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98"/>
      <c r="C2115" s="2112"/>
      <c r="H2115" s="413"/>
      <c r="M2115" s="1959"/>
      <c r="N2115" s="100"/>
      <c r="O2115" s="468" t="s">
        <v>10097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98"/>
      <c r="C2116" s="2112"/>
      <c r="H2116" s="413"/>
      <c r="M2116" s="1959"/>
      <c r="N2116" s="100"/>
      <c r="O2116" s="468" t="s">
        <v>10098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98"/>
      <c r="C2117" s="2112"/>
      <c r="H2117" s="413"/>
      <c r="M2117" s="1959"/>
      <c r="N2117" s="100"/>
      <c r="O2117" s="468" t="s">
        <v>10099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98"/>
      <c r="C2118" s="2112"/>
      <c r="H2118" s="413"/>
      <c r="M2118" s="1959"/>
      <c r="N2118" s="100"/>
      <c r="O2118" s="468" t="s">
        <v>10100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98"/>
      <c r="C2119" s="2112"/>
      <c r="H2119" s="413"/>
      <c r="M2119" s="1959"/>
      <c r="N2119" s="100"/>
      <c r="O2119" s="468" t="s">
        <v>10101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98"/>
      <c r="C2120" s="2112"/>
      <c r="H2120" s="413"/>
      <c r="M2120" s="1959"/>
      <c r="N2120" s="100"/>
      <c r="O2120" s="468" t="s">
        <v>10102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98"/>
      <c r="C2121" s="2112"/>
      <c r="H2121" s="413"/>
      <c r="M2121" s="1959"/>
      <c r="N2121" s="100"/>
      <c r="O2121" s="468" t="s">
        <v>10103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98"/>
      <c r="C2122" s="2112"/>
      <c r="H2122" s="413"/>
      <c r="M2122" s="1959"/>
      <c r="N2122" s="100"/>
      <c r="O2122" s="468" t="s">
        <v>10104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98"/>
      <c r="C2123" s="2112"/>
      <c r="H2123" s="413"/>
      <c r="M2123" s="1959"/>
      <c r="N2123" s="100"/>
      <c r="O2123" s="468" t="s">
        <v>10105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98"/>
      <c r="C2124" s="2112"/>
      <c r="H2124" s="413"/>
      <c r="M2124" s="1959"/>
      <c r="N2124" s="100"/>
      <c r="O2124" s="468" t="s">
        <v>10106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98"/>
      <c r="C2125" s="2112"/>
      <c r="H2125" s="413"/>
      <c r="M2125" s="1959"/>
      <c r="N2125" s="100"/>
      <c r="O2125" s="468" t="s">
        <v>10107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98"/>
      <c r="C2126" s="2112"/>
      <c r="H2126" s="413"/>
      <c r="M2126" s="1959"/>
      <c r="N2126" s="100"/>
      <c r="O2126" s="468" t="s">
        <v>10108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98"/>
      <c r="C2127" s="2112"/>
      <c r="H2127" s="413"/>
      <c r="M2127" s="1959"/>
      <c r="N2127" s="100"/>
      <c r="O2127" s="468" t="s">
        <v>10109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98"/>
      <c r="C2128" s="2112"/>
      <c r="H2128" s="413"/>
      <c r="M2128" s="1959"/>
      <c r="N2128" s="100"/>
      <c r="O2128" s="468" t="s">
        <v>10110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98"/>
      <c r="C2129" s="2112"/>
      <c r="H2129" s="413"/>
      <c r="M2129" s="1959"/>
      <c r="N2129" s="100"/>
      <c r="O2129" s="468" t="s">
        <v>10111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98"/>
      <c r="C2130" s="2112"/>
      <c r="H2130" s="413"/>
      <c r="M2130" s="1959"/>
      <c r="N2130" s="100"/>
      <c r="O2130" s="468" t="s">
        <v>10112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98"/>
      <c r="C2131" s="2112"/>
      <c r="H2131" s="413"/>
      <c r="M2131" s="1959"/>
      <c r="N2131" s="100"/>
      <c r="O2131" s="468" t="s">
        <v>10113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98"/>
      <c r="C2132" s="2112"/>
      <c r="H2132" s="413"/>
      <c r="M2132" s="1959"/>
      <c r="N2132" s="100"/>
      <c r="O2132" s="468" t="s">
        <v>10114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98"/>
      <c r="C2133" s="2112"/>
      <c r="H2133" s="413"/>
      <c r="M2133" s="1959"/>
      <c r="N2133" s="100"/>
      <c r="O2133" s="468" t="s">
        <v>10115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98"/>
      <c r="C2134" s="2112"/>
      <c r="H2134" s="413"/>
      <c r="M2134" s="1959"/>
      <c r="N2134" s="100"/>
      <c r="O2134" s="468" t="s">
        <v>10116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98"/>
      <c r="C2135" s="2112"/>
      <c r="H2135" s="413"/>
      <c r="M2135" s="1959"/>
      <c r="N2135" s="100"/>
      <c r="O2135" s="468" t="s">
        <v>10117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98"/>
      <c r="C2136" s="2112"/>
      <c r="H2136" s="413"/>
      <c r="M2136" s="1959"/>
      <c r="N2136" s="100"/>
      <c r="O2136" s="468" t="s">
        <v>10118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98"/>
      <c r="C2137" s="2112"/>
      <c r="H2137" s="413"/>
      <c r="M2137" s="1959"/>
      <c r="N2137" s="100"/>
      <c r="O2137" s="468" t="s">
        <v>10119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98"/>
      <c r="C2138" s="2112"/>
      <c r="H2138" s="413"/>
      <c r="M2138" s="1959"/>
      <c r="N2138" s="100"/>
      <c r="O2138" s="468" t="s">
        <v>10120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98"/>
      <c r="C2139" s="2112"/>
      <c r="H2139" s="413"/>
      <c r="M2139" s="1959"/>
      <c r="N2139" s="100"/>
      <c r="O2139" s="468" t="s">
        <v>10121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98"/>
      <c r="C2140" s="2112"/>
      <c r="H2140" s="413"/>
      <c r="M2140" s="1959"/>
      <c r="N2140" s="100"/>
      <c r="O2140" s="468" t="s">
        <v>10122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98"/>
      <c r="C2141" s="2112"/>
      <c r="H2141" s="413"/>
      <c r="M2141" s="1959"/>
      <c r="N2141" s="100"/>
      <c r="O2141" s="468" t="s">
        <v>10123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98"/>
      <c r="C2142" s="2112"/>
      <c r="H2142" s="413"/>
      <c r="M2142" s="1959"/>
      <c r="N2142" s="100"/>
      <c r="O2142" s="468" t="s">
        <v>10124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98"/>
      <c r="C2143" s="2112"/>
      <c r="H2143" s="413"/>
      <c r="M2143" s="1959"/>
      <c r="N2143" s="100"/>
      <c r="O2143" s="468" t="s">
        <v>10125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98"/>
      <c r="C2144" s="2112"/>
      <c r="H2144" s="413"/>
      <c r="M2144" s="1959"/>
      <c r="N2144" s="100"/>
      <c r="O2144" s="468" t="s">
        <v>10126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98"/>
      <c r="C2145" s="2112"/>
      <c r="H2145" s="413"/>
      <c r="M2145" s="1959"/>
      <c r="N2145" s="100"/>
      <c r="O2145" s="468" t="s">
        <v>10127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98"/>
      <c r="C2146" s="2112"/>
      <c r="H2146" s="413"/>
      <c r="M2146" s="1959"/>
      <c r="N2146" s="100"/>
      <c r="O2146" s="468" t="s">
        <v>10128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98"/>
      <c r="C2147" s="2112"/>
      <c r="H2147" s="413"/>
      <c r="M2147" s="1959"/>
      <c r="N2147" s="100"/>
      <c r="O2147" s="468" t="s">
        <v>10129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98"/>
      <c r="C2148" s="2112"/>
      <c r="H2148" s="413"/>
      <c r="M2148" s="1959"/>
      <c r="N2148" s="100"/>
      <c r="O2148" s="468" t="s">
        <v>10130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98"/>
      <c r="C2149" s="2112"/>
      <c r="H2149" s="413"/>
      <c r="M2149" s="1959"/>
      <c r="N2149" s="100"/>
      <c r="O2149" s="468" t="s">
        <v>10131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98"/>
      <c r="C2150" s="2112"/>
      <c r="H2150" s="413"/>
      <c r="M2150" s="1959"/>
      <c r="N2150" s="100"/>
      <c r="O2150" s="468" t="s">
        <v>10132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98"/>
      <c r="C2151" s="2112"/>
      <c r="H2151" s="413"/>
      <c r="M2151" s="1959"/>
      <c r="N2151" s="100"/>
      <c r="O2151" s="468" t="s">
        <v>10133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98"/>
      <c r="C2152" s="2112"/>
      <c r="H2152" s="413"/>
      <c r="M2152" s="1959"/>
      <c r="N2152" s="100"/>
      <c r="O2152" s="468" t="s">
        <v>10134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98"/>
      <c r="C2153" s="2112"/>
      <c r="H2153" s="413"/>
      <c r="M2153" s="1959"/>
      <c r="N2153" s="100"/>
      <c r="O2153" s="468" t="s">
        <v>10135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98"/>
      <c r="C2154" s="2112"/>
      <c r="H2154" s="413"/>
      <c r="M2154" s="1959"/>
      <c r="N2154" s="100"/>
      <c r="O2154" s="468" t="s">
        <v>10136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98"/>
      <c r="C2155" s="2112"/>
      <c r="H2155" s="413"/>
      <c r="M2155" s="1959"/>
      <c r="N2155" s="100"/>
      <c r="O2155" s="468" t="s">
        <v>10137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98"/>
      <c r="C2156" s="2112"/>
      <c r="H2156" s="413"/>
      <c r="M2156" s="1959"/>
      <c r="N2156" s="100"/>
      <c r="O2156" s="468" t="s">
        <v>10138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98"/>
      <c r="C2157" s="2112"/>
      <c r="H2157" s="413"/>
      <c r="M2157" s="1959"/>
      <c r="N2157" s="100"/>
      <c r="O2157" s="468" t="s">
        <v>10139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98"/>
      <c r="C2158" s="2112"/>
      <c r="H2158" s="413"/>
      <c r="M2158" s="1959"/>
      <c r="N2158" s="100"/>
      <c r="O2158" s="468" t="s">
        <v>10140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98"/>
      <c r="C2159" s="2112"/>
      <c r="H2159" s="413"/>
      <c r="M2159" s="1959"/>
      <c r="N2159" s="100"/>
      <c r="O2159" s="468" t="s">
        <v>10141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98"/>
      <c r="C2160" s="2112"/>
      <c r="H2160" s="413"/>
      <c r="M2160" s="1959"/>
      <c r="N2160" s="100"/>
      <c r="O2160" s="468" t="s">
        <v>10142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98"/>
      <c r="C2161" s="2112"/>
      <c r="H2161" s="413"/>
      <c r="M2161" s="1959"/>
      <c r="N2161" s="100"/>
      <c r="O2161" s="468" t="s">
        <v>10143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98"/>
      <c r="C2162" s="2112"/>
      <c r="H2162" s="413"/>
      <c r="M2162" s="1959"/>
      <c r="N2162" s="100"/>
      <c r="O2162" s="468" t="s">
        <v>10144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98"/>
      <c r="C2163" s="2112"/>
      <c r="H2163" s="413"/>
      <c r="M2163" s="1959"/>
      <c r="N2163" s="100"/>
      <c r="O2163" s="468" t="s">
        <v>10145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98"/>
      <c r="C2164" s="2112"/>
      <c r="H2164" s="413"/>
      <c r="M2164" s="1959"/>
      <c r="N2164" s="100"/>
      <c r="O2164" s="468" t="s">
        <v>10146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98"/>
      <c r="C2165" s="2112"/>
      <c r="H2165" s="413"/>
      <c r="M2165" s="1959"/>
      <c r="N2165" s="100"/>
      <c r="O2165" s="468" t="s">
        <v>10147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98"/>
      <c r="C2166" s="2112"/>
      <c r="H2166" s="413"/>
      <c r="M2166" s="1959"/>
      <c r="N2166" s="100"/>
      <c r="O2166" s="468" t="s">
        <v>10148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98"/>
      <c r="C2167" s="2112"/>
      <c r="H2167" s="413"/>
      <c r="M2167" s="1959"/>
      <c r="N2167" s="100"/>
      <c r="O2167" s="468" t="s">
        <v>10149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98"/>
      <c r="C2168" s="2112"/>
      <c r="H2168" s="413"/>
      <c r="M2168" s="1959"/>
      <c r="N2168" s="100"/>
      <c r="O2168" s="468" t="s">
        <v>10150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98"/>
      <c r="C2169" s="2112"/>
      <c r="H2169" s="413"/>
      <c r="M2169" s="1959"/>
      <c r="N2169" s="100"/>
      <c r="O2169" s="468" t="s">
        <v>10151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98"/>
      <c r="C2170" s="2112"/>
      <c r="H2170" s="413"/>
      <c r="M2170" s="1959"/>
      <c r="N2170" s="100"/>
      <c r="O2170" s="468" t="s">
        <v>10152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98"/>
      <c r="C2171" s="2112"/>
      <c r="H2171" s="413"/>
      <c r="M2171" s="1959"/>
      <c r="N2171" s="100"/>
      <c r="O2171" s="468" t="s">
        <v>10153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98"/>
      <c r="C2172" s="2112"/>
      <c r="H2172" s="413"/>
      <c r="M2172" s="1959"/>
      <c r="N2172" s="100"/>
      <c r="O2172" s="468" t="s">
        <v>10154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98"/>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98"/>
      <c r="C2174" s="2112"/>
      <c r="H2174" s="413"/>
      <c r="M2174" s="1959"/>
      <c r="N2174" s="100"/>
      <c r="O2174" s="468" t="s">
        <v>10155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98"/>
      <c r="C2175" s="2112"/>
      <c r="H2175" s="413"/>
      <c r="M2175" s="1959"/>
      <c r="N2175" s="100"/>
      <c r="O2175" s="468" t="s">
        <v>10156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98"/>
      <c r="C2176" s="2112"/>
      <c r="H2176" s="413"/>
      <c r="M2176" s="1959"/>
      <c r="N2176" s="100"/>
      <c r="O2176" s="468" t="s">
        <v>10157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98"/>
      <c r="C2177" s="2112"/>
      <c r="H2177" s="413"/>
      <c r="M2177" s="1959"/>
      <c r="N2177" s="100"/>
      <c r="O2177" s="468" t="s">
        <v>10158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98"/>
      <c r="C2178" s="2112"/>
      <c r="H2178" s="413"/>
      <c r="M2178" s="1959"/>
      <c r="N2178" s="100"/>
      <c r="O2178" s="468" t="s">
        <v>10159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98"/>
      <c r="C2179" s="2112"/>
      <c r="H2179" s="413"/>
      <c r="M2179" s="1959"/>
      <c r="N2179" s="100"/>
      <c r="O2179" s="468" t="s">
        <v>10160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98"/>
      <c r="C2180" s="2112"/>
      <c r="H2180" s="413"/>
      <c r="M2180" s="1959"/>
      <c r="N2180" s="100"/>
      <c r="O2180" s="468" t="s">
        <v>10161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98"/>
      <c r="C2181" s="2625" t="str">
        <f t="shared" ref="C2181" si="114">C2176&amp;" "&amp;D2176</f>
        <v xml:space="preserve"> </v>
      </c>
      <c r="H2181" s="413"/>
      <c r="M2181" s="1959"/>
      <c r="N2181" s="100"/>
      <c r="O2181" s="468" t="s">
        <v>10162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98"/>
      <c r="C2182" s="2112"/>
      <c r="H2182" s="413"/>
      <c r="M2182" s="1959"/>
      <c r="N2182" s="100"/>
      <c r="O2182" s="468" t="s">
        <v>10163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98"/>
      <c r="C2183" s="2112"/>
      <c r="H2183" s="413"/>
      <c r="M2183" s="1959"/>
      <c r="N2183" s="100"/>
      <c r="O2183" s="468" t="s">
        <v>10164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98"/>
      <c r="C2184" s="2112"/>
      <c r="H2184" s="413"/>
      <c r="M2184" s="1959"/>
      <c r="N2184" s="100"/>
      <c r="O2184" s="468" t="s">
        <v>10165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98"/>
      <c r="C2185" s="2112"/>
      <c r="H2185" s="413"/>
      <c r="M2185" s="1959"/>
      <c r="N2185" s="100"/>
      <c r="O2185" s="468" t="s">
        <v>10166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98"/>
      <c r="C2186" s="2112"/>
      <c r="H2186" s="413"/>
      <c r="M2186" s="1959"/>
      <c r="N2186" s="100"/>
      <c r="O2186" s="468" t="s">
        <v>10167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98"/>
      <c r="C2187" s="2625"/>
      <c r="H2187" s="413"/>
      <c r="M2187" s="1959"/>
      <c r="N2187" s="100"/>
      <c r="O2187" s="468" t="s">
        <v>10168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98"/>
      <c r="C2188" s="2112"/>
      <c r="H2188" s="413"/>
      <c r="M2188" s="1959"/>
      <c r="N2188" s="100"/>
      <c r="O2188" s="468" t="s">
        <v>10169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98"/>
      <c r="C2189" s="2112"/>
      <c r="H2189" s="413"/>
      <c r="M2189" s="1959"/>
      <c r="N2189" s="100"/>
      <c r="O2189" s="468" t="s">
        <v>10170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98"/>
      <c r="C2190" s="2112"/>
      <c r="H2190" s="413"/>
      <c r="M2190" s="1959"/>
      <c r="N2190" s="100"/>
      <c r="O2190" s="468" t="s">
        <v>10171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98"/>
      <c r="C2191" s="2112"/>
      <c r="H2191" s="413"/>
      <c r="M2191" s="1959"/>
      <c r="N2191" s="100"/>
      <c r="O2191" s="468" t="s">
        <v>10172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98"/>
      <c r="C2192" s="2112"/>
      <c r="H2192" s="413"/>
      <c r="M2192" s="1959"/>
      <c r="N2192" s="100"/>
      <c r="O2192" s="468" t="s">
        <v>10173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98"/>
      <c r="C2193" s="2112"/>
      <c r="H2193" s="413"/>
      <c r="M2193" s="1959"/>
      <c r="N2193" s="100"/>
      <c r="O2193" s="468" t="s">
        <v>10174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98"/>
      <c r="C2194" s="2112"/>
      <c r="H2194" s="413"/>
      <c r="M2194" s="1959"/>
      <c r="N2194" s="100"/>
      <c r="O2194" s="468" t="s">
        <v>10175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98"/>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98"/>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98"/>
      <c r="H2197" s="413"/>
      <c r="M2197" s="1959"/>
      <c r="N2197" s="100"/>
      <c r="O2197" s="468" t="s">
        <v>10176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98"/>
      <c r="H2198" s="413"/>
      <c r="M2198" s="1959"/>
      <c r="N2198" s="100"/>
      <c r="O2198" s="468" t="s">
        <v>10177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98"/>
      <c r="H2199" s="413"/>
      <c r="M2199" s="1959"/>
      <c r="N2199" s="100"/>
      <c r="O2199" s="468" t="s">
        <v>10178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98"/>
      <c r="C2200" s="2625"/>
      <c r="H2200" s="413"/>
      <c r="M2200" s="1959"/>
      <c r="N2200" s="100"/>
      <c r="O2200" s="468" t="s">
        <v>10179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98"/>
      <c r="C2201" s="2112"/>
      <c r="H2201" s="413"/>
      <c r="M2201" s="1959"/>
      <c r="N2201" s="100"/>
      <c r="O2201" s="468" t="s">
        <v>10180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98"/>
      <c r="C2202" s="2112"/>
      <c r="H2202" s="413"/>
      <c r="M2202" s="1959"/>
      <c r="N2202" s="100"/>
      <c r="O2202" s="468" t="s">
        <v>10181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98"/>
      <c r="C2203" s="2112"/>
      <c r="H2203" s="413"/>
      <c r="M2203" s="1959"/>
      <c r="N2203" s="100"/>
      <c r="O2203" s="468" t="s">
        <v>10182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98"/>
      <c r="C2204" s="2112"/>
      <c r="H2204" s="413"/>
      <c r="M2204" s="1959"/>
      <c r="N2204" s="100"/>
      <c r="O2204" s="468" t="s">
        <v>10183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98"/>
      <c r="C2205" s="2112"/>
      <c r="H2205" s="413"/>
      <c r="M2205" s="1959"/>
      <c r="N2205" s="100"/>
      <c r="O2205" s="468" t="s">
        <v>10184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98"/>
      <c r="C2206" s="2112"/>
      <c r="H2206" s="413"/>
      <c r="M2206" s="1959"/>
      <c r="N2206" s="100"/>
      <c r="O2206" s="468" t="s">
        <v>10185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98"/>
      <c r="C2207" s="2112"/>
      <c r="H2207" s="413"/>
      <c r="M2207" s="1959"/>
      <c r="N2207" s="100"/>
      <c r="O2207" s="468" t="s">
        <v>10186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98"/>
      <c r="C2208" s="2112"/>
      <c r="H2208" s="413"/>
      <c r="M2208" s="1959"/>
      <c r="N2208" s="100"/>
      <c r="O2208" s="468" t="s">
        <v>10187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98"/>
      <c r="C2209" s="2112"/>
      <c r="H2209" s="413"/>
      <c r="M2209" s="1959"/>
      <c r="N2209" s="100"/>
      <c r="O2209" s="468" t="s">
        <v>10188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98"/>
      <c r="C2210" s="2112"/>
      <c r="H2210" s="413"/>
      <c r="M2210" s="1959"/>
      <c r="N2210" s="100"/>
      <c r="O2210" s="468" t="s">
        <v>10189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98"/>
      <c r="C2211" s="2112"/>
      <c r="H2211" s="413"/>
      <c r="M2211" s="1959"/>
      <c r="N2211" s="100"/>
      <c r="O2211" s="468" t="s">
        <v>10190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98"/>
      <c r="C2212" s="2112"/>
      <c r="H2212" s="413"/>
      <c r="M2212" s="1959"/>
      <c r="N2212" s="100"/>
      <c r="O2212" s="468" t="s">
        <v>10191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98"/>
      <c r="C2213" s="2112"/>
      <c r="H2213" s="413"/>
      <c r="M2213" s="1959"/>
      <c r="N2213" s="100"/>
      <c r="O2213" s="468" t="s">
        <v>10192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98"/>
      <c r="C2214" s="2112"/>
      <c r="H2214" s="413"/>
      <c r="M2214" s="1959"/>
      <c r="N2214" s="100"/>
      <c r="O2214" s="468" t="s">
        <v>10193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98"/>
      <c r="C2215" s="2112"/>
      <c r="H2215" s="413"/>
      <c r="M2215" s="1959"/>
      <c r="N2215" s="100"/>
      <c r="O2215" s="468" t="s">
        <v>10194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98"/>
      <c r="C2216" s="2112"/>
      <c r="H2216" s="413"/>
      <c r="M2216" s="1959"/>
      <c r="N2216" s="100"/>
      <c r="O2216" s="468" t="s">
        <v>10195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98"/>
      <c r="C2217" s="2112"/>
      <c r="H2217" s="413"/>
      <c r="M2217" s="1959"/>
      <c r="N2217" s="100"/>
      <c r="O2217" s="468" t="s">
        <v>10196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98"/>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98"/>
      <c r="C2219" s="2112"/>
      <c r="H2219" s="413"/>
      <c r="M2219" s="1959"/>
      <c r="N2219" s="100"/>
      <c r="O2219" s="468" t="s">
        <v>10197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98"/>
      <c r="C2220" s="2112"/>
      <c r="H2220" s="413"/>
      <c r="M2220" s="1959"/>
      <c r="N2220" s="100"/>
      <c r="O2220" s="468" t="s">
        <v>10198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98"/>
      <c r="C2221" s="2112"/>
      <c r="H2221" s="413"/>
      <c r="M2221" s="1959"/>
      <c r="N2221" s="100"/>
      <c r="O2221" s="468" t="s">
        <v>10199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98"/>
      <c r="C2222" s="2112"/>
      <c r="H2222" s="413"/>
      <c r="M2222" s="1959"/>
      <c r="N2222" s="100"/>
      <c r="O2222" s="468" t="s">
        <v>10200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98"/>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98"/>
      <c r="C2224" s="2112"/>
      <c r="H2224" s="413"/>
      <c r="M2224" s="1959"/>
      <c r="N2224" s="100"/>
      <c r="O2224" s="468" t="s">
        <v>10201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98"/>
      <c r="C2225" s="2112"/>
      <c r="H2225" s="413"/>
      <c r="M2225" s="1959"/>
      <c r="N2225" s="100"/>
      <c r="O2225" s="468" t="s">
        <v>10202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98"/>
      <c r="C2226" s="2112"/>
      <c r="H2226" s="413"/>
      <c r="M2226" s="1959"/>
      <c r="N2226" s="100"/>
      <c r="O2226" s="468" t="s">
        <v>10203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98"/>
      <c r="C2227" s="2112"/>
      <c r="H2227" s="413"/>
      <c r="M2227" s="1959"/>
      <c r="N2227" s="100"/>
      <c r="O2227" s="468" t="s">
        <v>10204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98"/>
      <c r="C2228" s="2112"/>
      <c r="H2228" s="413"/>
      <c r="M2228" s="1959"/>
      <c r="N2228" s="100"/>
      <c r="O2228" s="468" t="s">
        <v>10205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98"/>
      <c r="C2229" s="2112"/>
      <c r="H2229" s="413"/>
      <c r="M2229" s="1959"/>
      <c r="N2229" s="100"/>
      <c r="O2229" s="468" t="s">
        <v>10206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98"/>
      <c r="C2230" s="2112"/>
      <c r="H2230" s="413"/>
      <c r="M2230" s="1959"/>
      <c r="N2230" s="100"/>
      <c r="O2230" s="468" t="s">
        <v>10207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98"/>
      <c r="C2231" s="2112"/>
      <c r="H2231" s="413"/>
      <c r="M2231" s="1959"/>
      <c r="N2231" s="100"/>
      <c r="O2231" s="468" t="s">
        <v>10208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98"/>
      <c r="C2232" s="2112"/>
      <c r="H2232" s="413"/>
      <c r="M2232" s="1959"/>
      <c r="N2232" s="100"/>
      <c r="O2232" s="468" t="s">
        <v>10209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98"/>
      <c r="C2233" s="2112"/>
      <c r="H2233" s="413"/>
      <c r="M2233" s="1959"/>
      <c r="N2233" s="100"/>
      <c r="O2233" s="468" t="s">
        <v>10210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98"/>
      <c r="C2234" s="2112"/>
      <c r="H2234" s="413"/>
      <c r="M2234" s="1959"/>
      <c r="N2234" s="100"/>
      <c r="O2234" s="468" t="s">
        <v>10211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98"/>
      <c r="C2235" s="2112"/>
      <c r="H2235" s="413"/>
      <c r="M2235" s="1959"/>
      <c r="N2235" s="100"/>
      <c r="O2235" s="468" t="s">
        <v>10212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98"/>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98"/>
      <c r="C2237" s="2112"/>
      <c r="H2237" s="413"/>
      <c r="M2237" s="1959"/>
      <c r="N2237" s="100"/>
      <c r="O2237" s="468" t="s">
        <v>10213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98"/>
      <c r="C2238" s="2112"/>
      <c r="H2238" s="413"/>
      <c r="M2238" s="1959"/>
      <c r="N2238" s="100"/>
      <c r="O2238" s="468" t="s">
        <v>10214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98"/>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98"/>
      <c r="C2240" s="2112"/>
      <c r="H2240" s="413"/>
      <c r="M2240" s="1959"/>
      <c r="N2240" s="100"/>
      <c r="O2240" s="468" t="s">
        <v>10215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98"/>
      <c r="C2241" s="2112"/>
      <c r="H2241" s="413"/>
      <c r="M2241" s="1959"/>
      <c r="N2241" s="100"/>
      <c r="O2241" s="468" t="s">
        <v>10216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98"/>
      <c r="C2242" s="2112"/>
      <c r="H2242" s="413"/>
      <c r="M2242" s="1959"/>
      <c r="N2242" s="100"/>
      <c r="O2242" s="468" t="s">
        <v>10217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98"/>
      <c r="C2243" s="2112"/>
      <c r="H2243" s="413"/>
      <c r="M2243" s="1959"/>
      <c r="N2243" s="100"/>
      <c r="O2243" s="468" t="s">
        <v>10218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98"/>
      <c r="C2244" s="2112"/>
      <c r="H2244" s="413"/>
      <c r="M2244" s="1959"/>
      <c r="N2244" s="100"/>
      <c r="O2244" s="468" t="s">
        <v>10219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98"/>
      <c r="C2245" s="2112"/>
      <c r="H2245" s="413"/>
      <c r="M2245" s="1959"/>
      <c r="N2245" s="100"/>
      <c r="O2245" s="468" t="s">
        <v>10220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98"/>
      <c r="C2246" s="2112"/>
      <c r="H2246" s="413"/>
      <c r="M2246" s="1959"/>
      <c r="N2246" s="100"/>
      <c r="O2246" s="468" t="s">
        <v>10221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98"/>
      <c r="C2247" s="2112"/>
      <c r="H2247" s="413"/>
      <c r="M2247" s="1959"/>
      <c r="N2247" s="100"/>
      <c r="O2247" s="468" t="s">
        <v>10222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98"/>
      <c r="C2248" s="2112"/>
      <c r="H2248" s="413"/>
      <c r="M2248" s="1959"/>
      <c r="N2248" s="100"/>
      <c r="O2248" s="468" t="s">
        <v>10223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98"/>
      <c r="C2249" s="2112"/>
      <c r="H2249" s="413"/>
      <c r="M2249" s="1959"/>
      <c r="N2249" s="100"/>
      <c r="O2249" s="468" t="s">
        <v>10224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98"/>
      <c r="C2250" s="2112"/>
      <c r="H2250" s="413"/>
      <c r="M2250" s="1959"/>
      <c r="N2250" s="100"/>
      <c r="O2250" s="468" t="s">
        <v>10225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98"/>
      <c r="C2251" s="2112"/>
      <c r="H2251" s="413"/>
      <c r="M2251" s="1959"/>
      <c r="N2251" s="100"/>
      <c r="O2251" s="468" t="s">
        <v>10226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98"/>
      <c r="C2252" s="2112"/>
      <c r="H2252" s="413"/>
      <c r="M2252" s="1959"/>
      <c r="N2252" s="100"/>
      <c r="O2252" s="468" t="s">
        <v>10227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98"/>
      <c r="C2253" s="2112"/>
      <c r="H2253" s="413"/>
      <c r="M2253" s="1959"/>
      <c r="N2253" s="100"/>
      <c r="O2253" s="468" t="s">
        <v>10228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98"/>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98"/>
      <c r="C2255" s="2112"/>
      <c r="H2255" s="413"/>
      <c r="M2255" s="1959"/>
      <c r="N2255" s="100"/>
      <c r="O2255" s="468" t="s">
        <v>10229</v>
      </c>
      <c r="P2255" s="2811">
        <v>10</v>
      </c>
      <c r="Q2255" s="575">
        <v>30</v>
      </c>
      <c r="R2255" s="2818">
        <f>COUNTIF(PoderesDeCriatura_Adquiridos,Tablas!O2255)</f>
        <v>0</v>
      </c>
      <c r="S2255" s="422"/>
      <c r="T2255" s="2809"/>
      <c r="AB2255" s="413"/>
      <c r="AC2255" s="2795"/>
    </row>
    <row r="2256" spans="1:29" ht="12.75" customHeight="1" x14ac:dyDescent="0.2">
      <c r="A2256" s="2029">
        <v>211</v>
      </c>
      <c r="B2256" s="4998"/>
      <c r="C2256" s="2112"/>
      <c r="H2256" s="413"/>
      <c r="M2256" s="1959"/>
      <c r="N2256" s="100"/>
      <c r="O2256" s="468" t="s">
        <v>10230</v>
      </c>
      <c r="P2256" s="2811">
        <v>20</v>
      </c>
      <c r="Q2256" s="575">
        <v>50</v>
      </c>
      <c r="R2256" s="2818">
        <f>COUNTIF(PoderesDeCriatura_Adquiridos,Tablas!O2256)</f>
        <v>0</v>
      </c>
      <c r="S2256" s="422"/>
      <c r="T2256" s="2809"/>
      <c r="AB2256" s="413"/>
      <c r="AC2256" s="2795"/>
    </row>
    <row r="2257" spans="1:29" ht="12.75" customHeight="1" x14ac:dyDescent="0.2">
      <c r="A2257" s="2029">
        <v>211</v>
      </c>
      <c r="B2257" s="4998"/>
      <c r="C2257" s="2112"/>
      <c r="H2257" s="413"/>
      <c r="M2257" s="1959"/>
      <c r="N2257" s="100"/>
      <c r="O2257" s="468" t="s">
        <v>10231</v>
      </c>
      <c r="P2257" s="2811">
        <v>25</v>
      </c>
      <c r="Q2257" s="575">
        <v>80</v>
      </c>
      <c r="R2257" s="2818">
        <f>COUNTIF(PoderesDeCriatura_Adquiridos,Tablas!O2257)</f>
        <v>0</v>
      </c>
      <c r="S2257" s="422"/>
      <c r="T2257" s="2809"/>
      <c r="AB2257" s="413"/>
      <c r="AC2257" s="2795"/>
    </row>
    <row r="2258" spans="1:29" ht="12.75" customHeight="1" x14ac:dyDescent="0.2">
      <c r="A2258" s="2029">
        <v>211</v>
      </c>
      <c r="B2258" s="4998"/>
      <c r="C2258" s="2112"/>
      <c r="H2258" s="413"/>
      <c r="M2258" s="1959"/>
      <c r="N2258" s="100"/>
      <c r="O2258" s="468" t="s">
        <v>10232</v>
      </c>
      <c r="P2258" s="2811">
        <v>30</v>
      </c>
      <c r="Q2258" s="575">
        <v>110</v>
      </c>
      <c r="R2258" s="2818">
        <f>COUNTIF(PoderesDeCriatura_Adquiridos,Tablas!O2258)</f>
        <v>0</v>
      </c>
      <c r="S2258" s="422"/>
      <c r="T2258" s="2809"/>
      <c r="AB2258" s="413"/>
      <c r="AC2258" s="2795"/>
    </row>
    <row r="2259" spans="1:29" ht="12.75" customHeight="1" x14ac:dyDescent="0.2">
      <c r="A2259" s="2029">
        <v>211</v>
      </c>
      <c r="B2259" s="4998"/>
      <c r="C2259" s="2112"/>
      <c r="H2259" s="413"/>
      <c r="M2259" s="1959"/>
      <c r="N2259" s="100"/>
      <c r="O2259" s="468" t="s">
        <v>10233</v>
      </c>
      <c r="P2259" s="2811">
        <v>35</v>
      </c>
      <c r="Q2259" s="575">
        <v>140</v>
      </c>
      <c r="R2259" s="2818">
        <f>COUNTIF(PoderesDeCriatura_Adquiridos,Tablas!O2259)</f>
        <v>0</v>
      </c>
      <c r="S2259" s="422"/>
      <c r="T2259" s="2809"/>
      <c r="AB2259" s="413"/>
      <c r="AC2259" s="2795"/>
    </row>
    <row r="2260" spans="1:29" ht="12.75" customHeight="1" x14ac:dyDescent="0.2">
      <c r="A2260" s="2029">
        <v>211</v>
      </c>
      <c r="B2260" s="4998"/>
      <c r="C2260" s="2112"/>
      <c r="H2260" s="413"/>
      <c r="M2260" s="1959"/>
      <c r="N2260" s="100"/>
      <c r="O2260" s="468" t="s">
        <v>10234</v>
      </c>
      <c r="P2260" s="2811">
        <v>10</v>
      </c>
      <c r="Q2260" s="575">
        <v>-15</v>
      </c>
      <c r="R2260" s="2818">
        <f>COUNTIF(PoderesDeCriatura_Adquiridos,Tablas!O2260)</f>
        <v>0</v>
      </c>
      <c r="S2260" s="422"/>
      <c r="T2260" s="2809"/>
      <c r="AB2260" s="413"/>
      <c r="AC2260" s="2795"/>
    </row>
    <row r="2261" spans="1:29" ht="12.75" customHeight="1" x14ac:dyDescent="0.2">
      <c r="A2261" s="2029">
        <v>211</v>
      </c>
      <c r="B2261" s="4998"/>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98"/>
      <c r="C2262" s="2112"/>
      <c r="H2262" s="413"/>
      <c r="M2262" s="1959"/>
      <c r="N2262" s="100"/>
      <c r="O2262" s="468" t="s">
        <v>10235</v>
      </c>
      <c r="P2262" s="2811">
        <v>0</v>
      </c>
      <c r="Q2262" s="575">
        <v>10</v>
      </c>
      <c r="R2262" s="2818">
        <f>COUNTIF(PoderesDeCriatura_Adquiridos,Tablas!O2262)</f>
        <v>0</v>
      </c>
      <c r="S2262" s="422"/>
      <c r="T2262" s="2809"/>
      <c r="AB2262" s="413"/>
      <c r="AC2262" s="2795"/>
    </row>
    <row r="2263" spans="1:29" ht="12.75" customHeight="1" x14ac:dyDescent="0.2">
      <c r="A2263" s="2029">
        <v>211</v>
      </c>
      <c r="B2263" s="4998"/>
      <c r="C2263" s="2112"/>
      <c r="H2263" s="413"/>
      <c r="M2263" s="1959"/>
      <c r="N2263" s="100"/>
      <c r="O2263" s="468" t="s">
        <v>10236</v>
      </c>
      <c r="P2263" s="2811">
        <v>0</v>
      </c>
      <c r="Q2263" s="575">
        <v>20</v>
      </c>
      <c r="R2263" s="2818">
        <f>COUNTIF(PoderesDeCriatura_Adquiridos,Tablas!O2263)</f>
        <v>0</v>
      </c>
      <c r="S2263" s="422"/>
      <c r="T2263" s="2809"/>
      <c r="AB2263" s="413"/>
      <c r="AC2263" s="2795"/>
    </row>
    <row r="2264" spans="1:29" ht="12.75" customHeight="1" x14ac:dyDescent="0.2">
      <c r="A2264" s="2029">
        <v>211</v>
      </c>
      <c r="B2264" s="4998"/>
      <c r="C2264" s="2112"/>
      <c r="H2264" s="413"/>
      <c r="M2264" s="1959"/>
      <c r="N2264" s="100"/>
      <c r="O2264" s="468" t="s">
        <v>10237</v>
      </c>
      <c r="P2264" s="2811">
        <v>0</v>
      </c>
      <c r="Q2264" s="575">
        <v>30</v>
      </c>
      <c r="R2264" s="2818">
        <f>COUNTIF(PoderesDeCriatura_Adquiridos,Tablas!O2264)</f>
        <v>0</v>
      </c>
      <c r="S2264" s="422"/>
      <c r="T2264" s="2809"/>
      <c r="AB2264" s="413"/>
      <c r="AC2264" s="2795"/>
    </row>
    <row r="2265" spans="1:29" ht="12.75" customHeight="1" x14ac:dyDescent="0.2">
      <c r="A2265" s="2029">
        <v>211</v>
      </c>
      <c r="B2265" s="4998"/>
      <c r="C2265" s="2112"/>
      <c r="H2265" s="413"/>
      <c r="M2265" s="1959"/>
      <c r="N2265" s="100"/>
      <c r="O2265" s="468" t="s">
        <v>10238</v>
      </c>
      <c r="P2265" s="2811">
        <v>10</v>
      </c>
      <c r="Q2265" s="575">
        <v>20</v>
      </c>
      <c r="R2265" s="2818">
        <f>COUNTIF(PoderesDeCriatura_Adquiridos,Tablas!O2265)</f>
        <v>0</v>
      </c>
      <c r="S2265" s="422"/>
      <c r="T2265" s="2809"/>
      <c r="AB2265" s="413"/>
      <c r="AC2265" s="2795"/>
    </row>
    <row r="2266" spans="1:29" ht="12.75" customHeight="1" x14ac:dyDescent="0.2">
      <c r="A2266" s="2029">
        <v>211</v>
      </c>
      <c r="B2266" s="4998"/>
      <c r="C2266" s="2112"/>
      <c r="H2266" s="413"/>
      <c r="M2266" s="1959"/>
      <c r="N2266" s="100"/>
      <c r="O2266" s="468" t="s">
        <v>10239</v>
      </c>
      <c r="P2266" s="2811">
        <v>15</v>
      </c>
      <c r="Q2266" s="575">
        <v>40</v>
      </c>
      <c r="R2266" s="2818">
        <f>COUNTIF(PoderesDeCriatura_Adquiridos,Tablas!O2266)</f>
        <v>0</v>
      </c>
      <c r="S2266" s="422"/>
      <c r="T2266" s="2809"/>
      <c r="AB2266" s="413"/>
      <c r="AC2266" s="2795"/>
    </row>
    <row r="2267" spans="1:29" ht="12.75" customHeight="1" x14ac:dyDescent="0.2">
      <c r="A2267" s="2029">
        <v>211</v>
      </c>
      <c r="B2267" s="4998"/>
      <c r="C2267" s="2112"/>
      <c r="H2267" s="413"/>
      <c r="M2267" s="1959"/>
      <c r="N2267" s="100"/>
      <c r="O2267" s="468" t="s">
        <v>10240</v>
      </c>
      <c r="P2267" s="2811">
        <v>20</v>
      </c>
      <c r="Q2267" s="575">
        <v>60</v>
      </c>
      <c r="R2267" s="2818">
        <f>COUNTIF(PoderesDeCriatura_Adquiridos,Tablas!O2267)</f>
        <v>0</v>
      </c>
      <c r="S2267" s="422"/>
      <c r="T2267" s="2809"/>
      <c r="AB2267" s="413"/>
      <c r="AC2267" s="2795"/>
    </row>
    <row r="2268" spans="1:29" ht="12.75" customHeight="1" x14ac:dyDescent="0.2">
      <c r="A2268" s="2029">
        <v>211</v>
      </c>
      <c r="B2268" s="4998"/>
      <c r="C2268" s="2112"/>
      <c r="H2268" s="413"/>
      <c r="M2268" s="1959"/>
      <c r="N2268" s="100"/>
      <c r="O2268" s="468" t="s">
        <v>10241</v>
      </c>
      <c r="P2268" s="2811">
        <v>25</v>
      </c>
      <c r="Q2268" s="575">
        <v>80</v>
      </c>
      <c r="R2268" s="2818">
        <f>COUNTIF(PoderesDeCriatura_Adquiridos,Tablas!O2268)</f>
        <v>0</v>
      </c>
      <c r="S2268" s="422"/>
      <c r="T2268" s="2809"/>
      <c r="AB2268" s="413"/>
      <c r="AC2268" s="2795"/>
    </row>
    <row r="2269" spans="1:29" ht="12.75" customHeight="1" x14ac:dyDescent="0.2">
      <c r="A2269" s="2029">
        <v>211</v>
      </c>
      <c r="B2269" s="4998"/>
      <c r="C2269" s="2112"/>
      <c r="H2269" s="413"/>
      <c r="M2269" s="1959"/>
      <c r="N2269" s="100"/>
      <c r="O2269" s="468" t="s">
        <v>10242</v>
      </c>
      <c r="P2269" s="2811">
        <v>35</v>
      </c>
      <c r="Q2269" s="575">
        <v>120</v>
      </c>
      <c r="R2269" s="2818">
        <f>COUNTIF(PoderesDeCriatura_Adquiridos,Tablas!O2269)</f>
        <v>0</v>
      </c>
      <c r="S2269" s="422"/>
      <c r="T2269" s="2809"/>
      <c r="AB2269" s="413"/>
      <c r="AC2269" s="2795"/>
    </row>
    <row r="2270" spans="1:29" ht="12.75" customHeight="1" x14ac:dyDescent="0.2">
      <c r="A2270" s="2029">
        <v>211</v>
      </c>
      <c r="B2270" s="4998"/>
      <c r="C2270" s="2112"/>
      <c r="H2270" s="413"/>
      <c r="M2270" s="1959"/>
      <c r="N2270" s="100"/>
      <c r="O2270" s="468" t="s">
        <v>10243</v>
      </c>
      <c r="P2270" s="2811">
        <v>5</v>
      </c>
      <c r="Q2270" s="575">
        <v>10</v>
      </c>
      <c r="R2270" s="2818">
        <f>COUNTIF(PoderesDeCriatura_Adquiridos,Tablas!O2270)</f>
        <v>0</v>
      </c>
      <c r="S2270" s="422"/>
      <c r="T2270" s="2809"/>
      <c r="AB2270" s="413"/>
      <c r="AC2270" s="2795"/>
    </row>
    <row r="2271" spans="1:29" ht="12.75" customHeight="1" x14ac:dyDescent="0.2">
      <c r="A2271" s="2029">
        <v>211</v>
      </c>
      <c r="B2271" s="4998"/>
      <c r="C2271" s="2112"/>
      <c r="H2271" s="413"/>
      <c r="M2271" s="1959"/>
      <c r="N2271" s="100"/>
      <c r="O2271" s="468" t="s">
        <v>10244</v>
      </c>
      <c r="P2271" s="2811">
        <v>5</v>
      </c>
      <c r="Q2271" s="575">
        <v>20</v>
      </c>
      <c r="R2271" s="2818">
        <f>COUNTIF(PoderesDeCriatura_Adquiridos,Tablas!O2271)</f>
        <v>0</v>
      </c>
      <c r="S2271" s="422"/>
      <c r="T2271" s="2809"/>
      <c r="AB2271" s="413"/>
      <c r="AC2271" s="2795"/>
    </row>
    <row r="2272" spans="1:29" ht="12.75" customHeight="1" x14ac:dyDescent="0.2">
      <c r="A2272" s="2029">
        <v>211</v>
      </c>
      <c r="B2272" s="4998"/>
      <c r="C2272" s="2112"/>
      <c r="H2272" s="413"/>
      <c r="M2272" s="1959"/>
      <c r="N2272" s="100"/>
      <c r="O2272" s="468" t="s">
        <v>10245</v>
      </c>
      <c r="P2272" s="2811">
        <v>10</v>
      </c>
      <c r="Q2272" s="575">
        <v>30</v>
      </c>
      <c r="R2272" s="2818">
        <f>COUNTIF(PoderesDeCriatura_Adquiridos,Tablas!O2272)</f>
        <v>0</v>
      </c>
      <c r="S2272" s="422"/>
      <c r="T2272" s="2809"/>
      <c r="AB2272" s="413"/>
      <c r="AC2272" s="2795"/>
    </row>
    <row r="2273" spans="1:29" ht="12.75" customHeight="1" x14ac:dyDescent="0.2">
      <c r="A2273" s="2029">
        <v>211</v>
      </c>
      <c r="B2273" s="4998"/>
      <c r="C2273" s="2112"/>
      <c r="H2273" s="413"/>
      <c r="M2273" s="1959"/>
      <c r="N2273" s="100"/>
      <c r="O2273" s="468" t="s">
        <v>10246</v>
      </c>
      <c r="P2273" s="2811">
        <v>15</v>
      </c>
      <c r="Q2273" s="575">
        <v>40</v>
      </c>
      <c r="R2273" s="2818">
        <f>COUNTIF(PoderesDeCriatura_Adquiridos,Tablas!O2273)</f>
        <v>0</v>
      </c>
      <c r="S2273" s="422"/>
      <c r="T2273" s="2809"/>
      <c r="AB2273" s="413"/>
      <c r="AC2273" s="2795"/>
    </row>
    <row r="2274" spans="1:29" ht="12.75" customHeight="1" x14ac:dyDescent="0.2">
      <c r="A2274" s="2029">
        <v>211</v>
      </c>
      <c r="B2274" s="4998"/>
      <c r="C2274" s="2112"/>
      <c r="H2274" s="413"/>
      <c r="M2274" s="1959"/>
      <c r="N2274" s="100"/>
      <c r="O2274" s="468" t="s">
        <v>10247</v>
      </c>
      <c r="P2274" s="2811">
        <v>25</v>
      </c>
      <c r="Q2274" s="575">
        <v>50</v>
      </c>
      <c r="R2274" s="2818">
        <f>COUNTIF(PoderesDeCriatura_Adquiridos,Tablas!O2274)</f>
        <v>0</v>
      </c>
      <c r="S2274" s="422"/>
      <c r="T2274" s="2809"/>
      <c r="AB2274" s="413"/>
      <c r="AC2274" s="2795"/>
    </row>
    <row r="2275" spans="1:29" ht="12.75" customHeight="1" x14ac:dyDescent="0.2">
      <c r="A2275" s="2029">
        <v>211</v>
      </c>
      <c r="B2275" s="4998"/>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98"/>
      <c r="C2276" s="2112"/>
      <c r="H2276" s="413"/>
      <c r="M2276" s="1959"/>
      <c r="N2276" s="100"/>
      <c r="O2276" s="468" t="s">
        <v>10248</v>
      </c>
      <c r="P2276" s="2811">
        <v>5</v>
      </c>
      <c r="Q2276" s="575">
        <v>20</v>
      </c>
      <c r="R2276" s="2818">
        <f>COUNTIF(PoderesDeCriatura_Adquiridos,Tablas!O2276)</f>
        <v>0</v>
      </c>
      <c r="S2276" s="422"/>
      <c r="T2276" s="2809"/>
      <c r="AB2276" s="413"/>
      <c r="AC2276" s="2795"/>
    </row>
    <row r="2277" spans="1:29" ht="12.75" customHeight="1" x14ac:dyDescent="0.2">
      <c r="A2277" s="2029">
        <v>211</v>
      </c>
      <c r="B2277" s="4998"/>
      <c r="C2277" s="2112"/>
      <c r="H2277" s="413"/>
      <c r="M2277" s="1959"/>
      <c r="N2277" s="100"/>
      <c r="O2277" s="468" t="s">
        <v>10249</v>
      </c>
      <c r="P2277" s="2811">
        <v>20</v>
      </c>
      <c r="Q2277" s="575">
        <v>30</v>
      </c>
      <c r="R2277" s="2818">
        <f>COUNTIF(PoderesDeCriatura_Adquiridos,Tablas!O2277)</f>
        <v>0</v>
      </c>
      <c r="S2277" s="422"/>
      <c r="T2277" s="2809"/>
      <c r="AB2277" s="413"/>
      <c r="AC2277" s="2795"/>
    </row>
    <row r="2278" spans="1:29" ht="12.75" customHeight="1" x14ac:dyDescent="0.2">
      <c r="A2278" s="2029">
        <v>211</v>
      </c>
      <c r="B2278" s="4998"/>
      <c r="C2278" s="2112"/>
      <c r="H2278" s="413"/>
      <c r="M2278" s="1959"/>
      <c r="N2278" s="100"/>
      <c r="O2278" s="468" t="s">
        <v>10250</v>
      </c>
      <c r="P2278" s="2811">
        <v>15</v>
      </c>
      <c r="Q2278" s="575">
        <v>10</v>
      </c>
      <c r="R2278" s="2818">
        <f>COUNTIF(PoderesDeCriatura_Adquiridos,Tablas!O2278)</f>
        <v>0</v>
      </c>
      <c r="S2278" s="422"/>
      <c r="T2278" s="2809"/>
      <c r="AB2278" s="413"/>
      <c r="AC2278" s="2795"/>
    </row>
    <row r="2279" spans="1:29" ht="12.75" customHeight="1" x14ac:dyDescent="0.2">
      <c r="A2279" s="2029">
        <v>211</v>
      </c>
      <c r="B2279" s="4998"/>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98"/>
      <c r="C2280" s="2112"/>
      <c r="H2280" s="413"/>
      <c r="M2280" s="1959"/>
      <c r="N2280" s="100"/>
      <c r="O2280" s="468" t="s">
        <v>10251</v>
      </c>
      <c r="P2280" s="2811">
        <v>15</v>
      </c>
      <c r="Q2280" s="575">
        <v>30</v>
      </c>
      <c r="R2280" s="2818">
        <f>COUNTIF(PoderesDeCriatura_Adquiridos,Tablas!O2280)</f>
        <v>0</v>
      </c>
      <c r="S2280" s="422"/>
      <c r="T2280" s="2809"/>
      <c r="AB2280" s="413"/>
      <c r="AC2280" s="2795"/>
    </row>
    <row r="2281" spans="1:29" ht="12.75" customHeight="1" x14ac:dyDescent="0.2">
      <c r="A2281" s="2029">
        <v>211</v>
      </c>
      <c r="B2281" s="4998"/>
      <c r="C2281" s="2112"/>
      <c r="H2281" s="413"/>
      <c r="M2281" s="1959"/>
      <c r="N2281" s="100"/>
      <c r="O2281" s="468" t="s">
        <v>10252</v>
      </c>
      <c r="P2281" s="2811">
        <v>30</v>
      </c>
      <c r="Q2281" s="575">
        <v>60</v>
      </c>
      <c r="R2281" s="2818">
        <f>COUNTIF(PoderesDeCriatura_Adquiridos,Tablas!O2281)</f>
        <v>0</v>
      </c>
      <c r="S2281" s="422"/>
      <c r="T2281" s="2809"/>
      <c r="AB2281" s="413"/>
      <c r="AC2281" s="2795"/>
    </row>
    <row r="2282" spans="1:29" ht="12.75" customHeight="1" x14ac:dyDescent="0.2">
      <c r="A2282" s="2029">
        <v>211</v>
      </c>
      <c r="B2282" s="4998"/>
      <c r="C2282" s="2112"/>
      <c r="H2282" s="413"/>
      <c r="M2282" s="1959"/>
      <c r="N2282" s="100"/>
      <c r="O2282" s="468" t="s">
        <v>10266</v>
      </c>
      <c r="P2282" s="2811">
        <v>20</v>
      </c>
      <c r="Q2282" s="575">
        <v>40</v>
      </c>
      <c r="R2282" s="2818">
        <f>COUNTIF(PoderesDeCriatura_Adquiridos,Tablas!O2282)</f>
        <v>0</v>
      </c>
      <c r="S2282" s="422"/>
      <c r="T2282" s="2809"/>
      <c r="AB2282" s="413"/>
      <c r="AC2282" s="2795"/>
    </row>
    <row r="2283" spans="1:29" ht="12.75" customHeight="1" x14ac:dyDescent="0.2">
      <c r="A2283" s="2029">
        <v>211</v>
      </c>
      <c r="B2283" s="4998"/>
      <c r="C2283" s="2112"/>
      <c r="H2283" s="413"/>
      <c r="M2283" s="1959"/>
      <c r="N2283" s="100"/>
      <c r="O2283" s="468" t="s">
        <v>10267</v>
      </c>
      <c r="P2283" s="2811">
        <v>25</v>
      </c>
      <c r="Q2283" s="575">
        <v>60</v>
      </c>
      <c r="R2283" s="2818">
        <f>COUNTIF(PoderesDeCriatura_Adquiridos,Tablas!O2283)</f>
        <v>0</v>
      </c>
      <c r="S2283" s="422"/>
      <c r="T2283" s="2809"/>
      <c r="AB2283" s="413"/>
      <c r="AC2283" s="2795"/>
    </row>
    <row r="2284" spans="1:29" ht="12.75" customHeight="1" x14ac:dyDescent="0.2">
      <c r="A2284" s="2029">
        <v>211</v>
      </c>
      <c r="B2284" s="4998"/>
      <c r="C2284" s="2112"/>
      <c r="H2284" s="413"/>
      <c r="M2284" s="1959"/>
      <c r="N2284" s="100"/>
      <c r="O2284" s="468" t="s">
        <v>10268</v>
      </c>
      <c r="P2284" s="2811">
        <v>30</v>
      </c>
      <c r="Q2284" s="575">
        <v>50</v>
      </c>
      <c r="R2284" s="2818">
        <f>COUNTIF(PoderesDeCriatura_Adquiridos,Tablas!O2284)</f>
        <v>0</v>
      </c>
      <c r="S2284" s="422"/>
      <c r="T2284" s="2809"/>
      <c r="AB2284" s="413"/>
      <c r="AC2284" s="2795"/>
    </row>
    <row r="2285" spans="1:29" ht="12.75" customHeight="1" x14ac:dyDescent="0.2">
      <c r="A2285" s="2029">
        <v>211</v>
      </c>
      <c r="B2285" s="4998"/>
      <c r="C2285" s="2112"/>
      <c r="H2285" s="413"/>
      <c r="M2285" s="1959"/>
      <c r="N2285" s="100"/>
      <c r="O2285" s="468" t="s">
        <v>10269</v>
      </c>
      <c r="P2285" s="2811">
        <v>20</v>
      </c>
      <c r="Q2285" s="575">
        <v>-20</v>
      </c>
      <c r="R2285" s="2818">
        <f>COUNTIF(PoderesDeCriatura_Adquiridos,Tablas!O2285)</f>
        <v>0</v>
      </c>
      <c r="S2285" s="422"/>
      <c r="T2285" s="2809"/>
      <c r="AB2285" s="413"/>
      <c r="AC2285" s="2795"/>
    </row>
    <row r="2286" spans="1:29" ht="12.75" customHeight="1" x14ac:dyDescent="0.2">
      <c r="A2286" s="2029">
        <v>211</v>
      </c>
      <c r="B2286" s="4998"/>
      <c r="C2286" s="2112"/>
      <c r="H2286" s="413"/>
      <c r="M2286" s="1959"/>
      <c r="N2286" s="100"/>
      <c r="O2286" s="468" t="s">
        <v>10270</v>
      </c>
      <c r="P2286" s="2811">
        <v>20</v>
      </c>
      <c r="Q2286" s="575">
        <v>-20</v>
      </c>
      <c r="R2286" s="2818">
        <f>COUNTIF(PoderesDeCriatura_Adquiridos,Tablas!O2286)</f>
        <v>0</v>
      </c>
      <c r="S2286" s="422"/>
      <c r="T2286" s="2809"/>
      <c r="AB2286" s="413"/>
      <c r="AC2286" s="2795"/>
    </row>
    <row r="2287" spans="1:29" ht="12.75" customHeight="1" x14ac:dyDescent="0.2">
      <c r="A2287" s="2029">
        <v>211</v>
      </c>
      <c r="B2287" s="4998"/>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98"/>
      <c r="C2288" s="2112"/>
      <c r="H2288" s="413"/>
      <c r="M2288" s="1959"/>
      <c r="N2288" s="100"/>
      <c r="O2288" s="468" t="s">
        <v>10253</v>
      </c>
      <c r="P2288" s="2811">
        <v>10</v>
      </c>
      <c r="Q2288" s="575">
        <v>20</v>
      </c>
      <c r="R2288" s="2818">
        <f>COUNTIF(PoderesDeCriatura_Adquiridos,Tablas!O2288)</f>
        <v>0</v>
      </c>
      <c r="S2288" s="422"/>
      <c r="T2288" s="2809"/>
      <c r="AB2288" s="413"/>
      <c r="AC2288" s="2795"/>
    </row>
    <row r="2289" spans="1:29" ht="12.75" customHeight="1" x14ac:dyDescent="0.2">
      <c r="A2289" s="2029">
        <v>211</v>
      </c>
      <c r="B2289" s="4998"/>
      <c r="C2289" s="2112"/>
      <c r="H2289" s="413"/>
      <c r="M2289" s="1959"/>
      <c r="N2289" s="100"/>
      <c r="O2289" s="468" t="s">
        <v>10254</v>
      </c>
      <c r="P2289" s="2811">
        <v>20</v>
      </c>
      <c r="Q2289" s="575">
        <v>30</v>
      </c>
      <c r="R2289" s="2818">
        <f>COUNTIF(PoderesDeCriatura_Adquiridos,Tablas!O2289)</f>
        <v>0</v>
      </c>
      <c r="S2289" s="422"/>
      <c r="T2289" s="2809"/>
      <c r="AB2289" s="413"/>
      <c r="AC2289" s="2795"/>
    </row>
    <row r="2290" spans="1:29" ht="12.75" customHeight="1" x14ac:dyDescent="0.2">
      <c r="A2290" s="2029">
        <v>211</v>
      </c>
      <c r="B2290" s="4998"/>
      <c r="C2290" s="2112"/>
      <c r="H2290" s="413"/>
      <c r="M2290" s="1959"/>
      <c r="N2290" s="100"/>
      <c r="O2290" s="468" t="s">
        <v>10255</v>
      </c>
      <c r="P2290" s="2811">
        <v>25</v>
      </c>
      <c r="Q2290" s="575">
        <v>40</v>
      </c>
      <c r="R2290" s="2818">
        <f>COUNTIF(PoderesDeCriatura_Adquiridos,Tablas!O2290)</f>
        <v>0</v>
      </c>
      <c r="S2290" s="422"/>
      <c r="T2290" s="2809"/>
      <c r="AB2290" s="413"/>
      <c r="AC2290" s="2795"/>
    </row>
    <row r="2291" spans="1:29" ht="12.75" customHeight="1" x14ac:dyDescent="0.2">
      <c r="A2291" s="2029">
        <v>211</v>
      </c>
      <c r="B2291" s="4998"/>
      <c r="C2291" s="2112"/>
      <c r="H2291" s="413"/>
      <c r="M2291" s="1959"/>
      <c r="N2291" s="100"/>
      <c r="O2291" s="468" t="s">
        <v>10256</v>
      </c>
      <c r="P2291" s="2811">
        <v>30</v>
      </c>
      <c r="Q2291" s="575">
        <v>60</v>
      </c>
      <c r="R2291" s="2818">
        <f>COUNTIF(PoderesDeCriatura_Adquiridos,Tablas!O2291)</f>
        <v>0</v>
      </c>
      <c r="S2291" s="422"/>
      <c r="T2291" s="2809"/>
      <c r="AB2291" s="413"/>
      <c r="AC2291" s="2795"/>
    </row>
    <row r="2292" spans="1:29" ht="12.75" customHeight="1" x14ac:dyDescent="0.2">
      <c r="A2292" s="2029">
        <v>211</v>
      </c>
      <c r="B2292" s="4998"/>
      <c r="C2292" s="2112"/>
      <c r="H2292" s="413"/>
      <c r="M2292" s="1959"/>
      <c r="N2292" s="100"/>
      <c r="O2292" s="468" t="s">
        <v>10257</v>
      </c>
      <c r="P2292" s="2811">
        <v>35</v>
      </c>
      <c r="Q2292" s="575">
        <v>80</v>
      </c>
      <c r="R2292" s="2818">
        <f>COUNTIF(PoderesDeCriatura_Adquiridos,Tablas!O2292)</f>
        <v>0</v>
      </c>
      <c r="S2292" s="422"/>
      <c r="T2292" s="2809"/>
      <c r="AB2292" s="413"/>
      <c r="AC2292" s="2795"/>
    </row>
    <row r="2293" spans="1:29" ht="12.75" customHeight="1" x14ac:dyDescent="0.2">
      <c r="A2293" s="2029">
        <v>211</v>
      </c>
      <c r="B2293" s="4998"/>
      <c r="C2293" s="2112"/>
      <c r="H2293" s="413"/>
      <c r="M2293" s="1959"/>
      <c r="N2293" s="100"/>
      <c r="O2293" s="468" t="s">
        <v>10258</v>
      </c>
      <c r="P2293" s="2811">
        <v>10</v>
      </c>
      <c r="Q2293" s="575">
        <v>-20</v>
      </c>
      <c r="R2293" s="2818">
        <f>COUNTIF(PoderesDeCriatura_Adquiridos,Tablas!O2293)</f>
        <v>0</v>
      </c>
      <c r="S2293" s="422"/>
      <c r="T2293" s="2809"/>
      <c r="AB2293" s="413"/>
      <c r="AC2293" s="2795"/>
    </row>
    <row r="2294" spans="1:29" ht="12.75" customHeight="1" x14ac:dyDescent="0.2">
      <c r="A2294" s="2029">
        <v>211</v>
      </c>
      <c r="B2294" s="4998"/>
      <c r="C2294" s="2112"/>
      <c r="H2294" s="413"/>
      <c r="M2294" s="1959"/>
      <c r="N2294" s="100"/>
      <c r="O2294" s="468" t="s">
        <v>10259</v>
      </c>
      <c r="P2294" s="2811">
        <v>30</v>
      </c>
      <c r="Q2294" s="575">
        <v>100</v>
      </c>
      <c r="R2294" s="2818">
        <f>COUNTIF(PoderesDeCriatura_Adquiridos,Tablas!O2294)</f>
        <v>0</v>
      </c>
      <c r="S2294" s="422"/>
      <c r="T2294" s="2809"/>
      <c r="AB2294" s="413"/>
      <c r="AC2294" s="2795"/>
    </row>
    <row r="2295" spans="1:29" ht="12.75" customHeight="1" x14ac:dyDescent="0.2">
      <c r="A2295" s="2029">
        <v>211</v>
      </c>
      <c r="B2295" s="4998"/>
      <c r="C2295" s="2112"/>
      <c r="H2295" s="413"/>
      <c r="M2295" s="1959"/>
      <c r="N2295" s="100"/>
      <c r="O2295" s="468" t="s">
        <v>10260</v>
      </c>
      <c r="P2295" s="2811">
        <v>35</v>
      </c>
      <c r="Q2295" s="575">
        <v>150</v>
      </c>
      <c r="R2295" s="2818">
        <f>COUNTIF(PoderesDeCriatura_Adquiridos,Tablas!O2295)</f>
        <v>0</v>
      </c>
      <c r="S2295" s="422"/>
      <c r="T2295" s="2809"/>
      <c r="AB2295" s="413"/>
      <c r="AC2295" s="2795"/>
    </row>
    <row r="2296" spans="1:29" ht="12.75" customHeight="1" x14ac:dyDescent="0.2">
      <c r="A2296" s="2029">
        <v>211</v>
      </c>
      <c r="B2296" s="4998"/>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98"/>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98"/>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98"/>
      <c r="C2299" s="2112"/>
      <c r="H2299" s="413"/>
      <c r="M2299" s="1959"/>
      <c r="N2299" s="100"/>
      <c r="O2299" s="468" t="s">
        <v>10261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98"/>
      <c r="C2300" s="2112"/>
      <c r="H2300" s="413"/>
      <c r="M2300" s="1959"/>
      <c r="N2300" s="100"/>
      <c r="O2300" s="468" t="s">
        <v>10262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98"/>
      <c r="C2301" s="2112"/>
      <c r="H2301" s="413"/>
      <c r="M2301" s="1959"/>
      <c r="N2301" s="100"/>
      <c r="O2301" s="468" t="s">
        <v>10263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98"/>
      <c r="C2302" s="2112"/>
      <c r="H2302" s="413"/>
      <c r="M2302" s="1959"/>
      <c r="N2302" s="100"/>
      <c r="O2302" s="468" t="s">
        <v>10264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98"/>
      <c r="C2303" s="2625"/>
      <c r="H2303" s="413"/>
      <c r="M2303" s="1959"/>
      <c r="N2303" s="100"/>
      <c r="O2303" s="468" t="s">
        <v>10265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98"/>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98"/>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98"/>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98"/>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98"/>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98"/>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98"/>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98"/>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98"/>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98"/>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98"/>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98"/>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98"/>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98"/>
      <c r="H2317" s="413"/>
      <c r="I2317" s="1761"/>
      <c r="N2317" s="413"/>
      <c r="O2317" s="2112"/>
      <c r="AB2317" s="413"/>
      <c r="AC2317" s="2795"/>
    </row>
    <row r="2318" spans="1:29" ht="12.75" customHeight="1" x14ac:dyDescent="0.2">
      <c r="A2318" s="2029">
        <v>211</v>
      </c>
      <c r="B2318" s="4998"/>
      <c r="C2318" s="4997" t="s">
        <v>9445</v>
      </c>
      <c r="D2318" s="4997"/>
      <c r="E2318" s="4997"/>
      <c r="F2318" s="4997"/>
      <c r="G2318" s="4997"/>
      <c r="H2318" s="4997"/>
      <c r="I2318" s="4997"/>
      <c r="J2318" s="4997"/>
      <c r="K2318" s="4997"/>
      <c r="L2318" s="4997"/>
      <c r="M2318" s="4997"/>
      <c r="N2318" s="4997"/>
      <c r="O2318" s="4997"/>
      <c r="P2318" s="4997"/>
      <c r="Q2318" s="4997"/>
      <c r="R2318" s="4997"/>
      <c r="S2318" s="4997"/>
      <c r="T2318" s="4997"/>
      <c r="U2318" s="4997"/>
      <c r="V2318" s="4997"/>
      <c r="W2318" s="4997"/>
      <c r="X2318" s="4997"/>
      <c r="Y2318" s="4997"/>
      <c r="AB2318" s="413"/>
      <c r="AC2318" s="2795"/>
    </row>
    <row r="2319" spans="1:29" ht="12.75" customHeight="1" x14ac:dyDescent="0.2">
      <c r="A2319" s="2029">
        <v>211</v>
      </c>
      <c r="B2319" s="4998"/>
      <c r="C2319" s="4997"/>
      <c r="D2319" s="4997"/>
      <c r="E2319" s="4997"/>
      <c r="F2319" s="4997"/>
      <c r="G2319" s="4997"/>
      <c r="H2319" s="4997"/>
      <c r="I2319" s="4997"/>
      <c r="J2319" s="4997"/>
      <c r="K2319" s="4997"/>
      <c r="L2319" s="4997"/>
      <c r="M2319" s="4997"/>
      <c r="N2319" s="4997"/>
      <c r="O2319" s="4997"/>
      <c r="P2319" s="4997"/>
      <c r="Q2319" s="4997"/>
      <c r="R2319" s="4997"/>
      <c r="S2319" s="4997"/>
      <c r="T2319" s="4997"/>
      <c r="U2319" s="4997"/>
      <c r="V2319" s="4997"/>
      <c r="W2319" s="4997"/>
      <c r="X2319" s="4997"/>
      <c r="Y2319" s="4997"/>
      <c r="AB2319" s="413"/>
      <c r="AC2319" s="2795"/>
    </row>
    <row r="2320" spans="1:29" ht="12.75" customHeight="1" x14ac:dyDescent="0.2">
      <c r="A2320" s="2029">
        <v>211</v>
      </c>
      <c r="B2320" s="4998"/>
      <c r="C2320" s="4997"/>
      <c r="D2320" s="4997"/>
      <c r="E2320" s="4997"/>
      <c r="F2320" s="4997"/>
      <c r="G2320" s="4997"/>
      <c r="H2320" s="4997"/>
      <c r="I2320" s="4997"/>
      <c r="J2320" s="4997"/>
      <c r="K2320" s="4997"/>
      <c r="L2320" s="4997"/>
      <c r="M2320" s="4997"/>
      <c r="N2320" s="4997"/>
      <c r="O2320" s="4997"/>
      <c r="P2320" s="4997"/>
      <c r="Q2320" s="4997"/>
      <c r="R2320" s="4997"/>
      <c r="S2320" s="4997"/>
      <c r="T2320" s="4997"/>
      <c r="U2320" s="4997"/>
      <c r="V2320" s="4997"/>
      <c r="W2320" s="4997"/>
      <c r="X2320" s="4997"/>
      <c r="Y2320" s="4997"/>
      <c r="AB2320" s="413"/>
      <c r="AC2320" s="2795"/>
    </row>
    <row r="2321" spans="1:29" ht="12.75" customHeight="1" thickBot="1" x14ac:dyDescent="0.25">
      <c r="A2321" s="2029">
        <v>211</v>
      </c>
      <c r="B2321" s="4998"/>
      <c r="H2321" s="413"/>
      <c r="I2321" s="1761"/>
      <c r="N2321" s="413"/>
      <c r="O2321" s="2112"/>
      <c r="AB2321" s="413"/>
      <c r="AC2321" s="2795"/>
    </row>
    <row r="2322" spans="1:29" ht="12.75" customHeight="1" x14ac:dyDescent="0.2">
      <c r="A2322" s="2029">
        <v>211</v>
      </c>
      <c r="B2322" s="4998"/>
      <c r="C2322" s="5029" t="s">
        <v>8360</v>
      </c>
      <c r="D2322" s="5195"/>
      <c r="E2322" s="5029" t="s">
        <v>2159</v>
      </c>
      <c r="F2322" s="5030"/>
      <c r="G2322" s="5030"/>
      <c r="H2322" s="5030"/>
      <c r="I2322" s="5030"/>
      <c r="J2322" s="5030"/>
      <c r="K2322" s="5030"/>
      <c r="L2322" s="5030"/>
      <c r="M2322" s="5030"/>
      <c r="N2322" s="5030"/>
      <c r="O2322" s="2710"/>
      <c r="P2322" s="2710"/>
      <c r="Q2322" s="2712"/>
      <c r="R2322" s="2711"/>
      <c r="T2322" s="5019" t="s">
        <v>9433</v>
      </c>
      <c r="U2322" s="5020"/>
      <c r="V2322" s="5020"/>
      <c r="W2322" s="5020"/>
      <c r="X2322" s="5020"/>
      <c r="Y2322" s="5021"/>
      <c r="AB2322" s="413"/>
      <c r="AC2322" s="2795"/>
    </row>
    <row r="2323" spans="1:29" ht="12.75" customHeight="1" x14ac:dyDescent="0.2">
      <c r="A2323" s="2029">
        <v>211</v>
      </c>
      <c r="B2323" s="4998"/>
      <c r="C2323" s="5031"/>
      <c r="D2323" s="5196"/>
      <c r="E2323" s="5031"/>
      <c r="F2323" s="5032"/>
      <c r="G2323" s="5032"/>
      <c r="H2323" s="5032"/>
      <c r="I2323" s="5032"/>
      <c r="J2323" s="5032"/>
      <c r="K2323" s="5032"/>
      <c r="L2323" s="5032"/>
      <c r="M2323" s="5032"/>
      <c r="N2323" s="5032"/>
      <c r="O2323" s="5028" t="s">
        <v>9429</v>
      </c>
      <c r="P2323" s="5027">
        <f>COUNTIF(J2326:J2518,"&gt;0")</f>
        <v>0</v>
      </c>
      <c r="Q2323" s="2713"/>
      <c r="R2323" s="1841"/>
      <c r="T2323" s="5022"/>
      <c r="U2323" s="5023"/>
      <c r="V2323" s="5023"/>
      <c r="W2323" s="5023"/>
      <c r="X2323" s="5023"/>
      <c r="Y2323" s="5024"/>
      <c r="AB2323" s="413"/>
      <c r="AC2323" s="2795"/>
    </row>
    <row r="2324" spans="1:29" ht="12.75" customHeight="1" x14ac:dyDescent="0.2">
      <c r="A2324" s="2029">
        <v>211</v>
      </c>
      <c r="B2324" s="4998"/>
      <c r="C2324" s="1870" t="s">
        <v>8361</v>
      </c>
      <c r="D2324" s="1835"/>
      <c r="E2324" s="2714"/>
      <c r="F2324" s="2709" t="s">
        <v>9430</v>
      </c>
      <c r="G2324" s="1839">
        <v>3</v>
      </c>
      <c r="H2324" s="1839">
        <v>4</v>
      </c>
      <c r="I2324" s="1839">
        <v>5</v>
      </c>
      <c r="J2324" s="1839">
        <v>6</v>
      </c>
      <c r="K2324" s="1839">
        <v>7</v>
      </c>
      <c r="L2324" s="1839">
        <v>8</v>
      </c>
      <c r="M2324" s="1839">
        <v>9</v>
      </c>
      <c r="N2324" s="1839">
        <v>10</v>
      </c>
      <c r="O2324" s="5028"/>
      <c r="P2324" s="5027"/>
      <c r="Q2324" s="2713">
        <v>13</v>
      </c>
      <c r="R2324" s="1841">
        <v>14</v>
      </c>
      <c r="T2324" s="5018" t="s">
        <v>9431</v>
      </c>
      <c r="U2324" s="5016"/>
      <c r="V2324" s="5016" t="s">
        <v>9432</v>
      </c>
      <c r="W2324" s="5016"/>
      <c r="X2324" s="5016" t="s">
        <v>1512</v>
      </c>
      <c r="Y2324" s="5017"/>
      <c r="AB2324" s="413"/>
      <c r="AC2324" s="2795"/>
    </row>
    <row r="2325" spans="1:29" ht="12.75" customHeight="1" x14ac:dyDescent="0.2">
      <c r="A2325" s="2029">
        <v>211</v>
      </c>
      <c r="B2325" s="4998"/>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98"/>
      <c r="C2326" s="1870" t="s">
        <v>8363</v>
      </c>
      <c r="D2326" s="1835"/>
      <c r="E2326" s="2716" t="s">
        <v>8375</v>
      </c>
      <c r="F2326" s="1837"/>
      <c r="G2326" s="1837">
        <v>10</v>
      </c>
      <c r="H2326" s="1838">
        <v>1</v>
      </c>
      <c r="I2326" s="1838">
        <v>5</v>
      </c>
      <c r="J2326" s="1838">
        <f>COUNTIF(Elan!$C$13:$F$25,Tablas!E2326)+COUNTIF(Elan!$U$13:$X$25,Tablas!E2326)</f>
        <v>0</v>
      </c>
      <c r="K2326" s="1837"/>
      <c r="L2326" s="5025" t="s">
        <v>8568</v>
      </c>
      <c r="M2326" s="5025"/>
      <c r="N2326" s="5025"/>
      <c r="O2326" s="5025"/>
      <c r="P2326" s="5025"/>
      <c r="Q2326" s="5026"/>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98"/>
      <c r="C2327" s="1870" t="s">
        <v>8364</v>
      </c>
      <c r="D2327" s="1835"/>
      <c r="E2327" s="2716" t="s">
        <v>8376</v>
      </c>
      <c r="F2327" s="1837"/>
      <c r="G2327" s="1837">
        <v>20</v>
      </c>
      <c r="H2327" s="1838">
        <v>1</v>
      </c>
      <c r="I2327" s="1838">
        <v>10</v>
      </c>
      <c r="J2327" s="1838">
        <f>COUNTIF(Elan!$C$13:$F$25,Tablas!E2327)+COUNTIF(Elan!$U$13:$X$25,Tablas!E2327)</f>
        <v>0</v>
      </c>
      <c r="K2327" s="1837"/>
      <c r="L2327" s="5025" t="s">
        <v>8572</v>
      </c>
      <c r="M2327" s="5025"/>
      <c r="N2327" s="5025"/>
      <c r="O2327" s="5025"/>
      <c r="P2327" s="5025"/>
      <c r="Q2327" s="5026"/>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98"/>
      <c r="C2328" s="1870" t="s">
        <v>8269</v>
      </c>
      <c r="D2328" s="1835"/>
      <c r="E2328" s="2716" t="s">
        <v>8377</v>
      </c>
      <c r="F2328" s="1837"/>
      <c r="G2328" s="1837">
        <v>30</v>
      </c>
      <c r="H2328" s="1838">
        <v>1</v>
      </c>
      <c r="I2328" s="1838">
        <v>5</v>
      </c>
      <c r="J2328" s="1838">
        <f>COUNTIF(Elan!$C$13:$F$25,Tablas!E2328)+COUNTIF(Elan!$U$13:$X$25,Tablas!E2328)</f>
        <v>0</v>
      </c>
      <c r="K2328" s="1837"/>
      <c r="L2328" s="5025" t="s">
        <v>8576</v>
      </c>
      <c r="M2328" s="5025"/>
      <c r="N2328" s="5025"/>
      <c r="O2328" s="5025"/>
      <c r="P2328" s="5025"/>
      <c r="Q2328" s="5026"/>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98"/>
      <c r="C2329" s="1870" t="s">
        <v>8365</v>
      </c>
      <c r="D2329" s="1835"/>
      <c r="E2329" s="2716" t="s">
        <v>8378</v>
      </c>
      <c r="F2329" s="1837"/>
      <c r="G2329" s="1837">
        <v>40</v>
      </c>
      <c r="H2329" s="1838">
        <v>1</v>
      </c>
      <c r="I2329" s="1838">
        <v>20</v>
      </c>
      <c r="J2329" s="1838">
        <f>COUNTIF(Elan!$C$13:$F$25,Tablas!E2329)+COUNTIF(Elan!$U$13:$X$25,Tablas!E2329)</f>
        <v>0</v>
      </c>
      <c r="K2329" s="1837">
        <f>$F$2325/2*J2329</f>
        <v>0</v>
      </c>
      <c r="L2329" s="5025" t="s">
        <v>8580</v>
      </c>
      <c r="M2329" s="5025"/>
      <c r="N2329" s="5025"/>
      <c r="O2329" s="5025"/>
      <c r="P2329" s="5025"/>
      <c r="Q2329" s="5026"/>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98"/>
      <c r="C2330" s="1870" t="s">
        <v>8366</v>
      </c>
      <c r="D2330" s="1835"/>
      <c r="E2330" s="2716" t="s">
        <v>8379</v>
      </c>
      <c r="F2330" s="1837"/>
      <c r="G2330" s="1837">
        <v>50</v>
      </c>
      <c r="H2330" s="1838">
        <v>1</v>
      </c>
      <c r="I2330" s="1838">
        <v>15</v>
      </c>
      <c r="J2330" s="1838">
        <f>COUNTIF(Elan!$C$13:$F$25,Tablas!E2330)+COUNTIF(Elan!$U$13:$X$25,Tablas!E2330)</f>
        <v>0</v>
      </c>
      <c r="K2330" s="1837"/>
      <c r="L2330" s="5025" t="s">
        <v>8583</v>
      </c>
      <c r="M2330" s="5025"/>
      <c r="N2330" s="5025"/>
      <c r="O2330" s="5025"/>
      <c r="P2330" s="5025"/>
      <c r="Q2330" s="5026"/>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98"/>
      <c r="C2331" s="1870" t="s">
        <v>8367</v>
      </c>
      <c r="D2331" s="1835"/>
      <c r="E2331" s="2716" t="s">
        <v>3305</v>
      </c>
      <c r="F2331" s="1837"/>
      <c r="G2331" s="1837">
        <v>50</v>
      </c>
      <c r="H2331" s="1838">
        <f>IF(J2329=1,1,0)</f>
        <v>0</v>
      </c>
      <c r="I2331" s="1838">
        <v>10</v>
      </c>
      <c r="J2331" s="1838">
        <f>COUNTIF(Elan!$C$13:$F$25,Tablas!E2331)+COUNTIF(Elan!$U$13:$X$25,Tablas!E2331)</f>
        <v>0</v>
      </c>
      <c r="K2331" s="1837"/>
      <c r="L2331" s="5025" t="s">
        <v>8585</v>
      </c>
      <c r="M2331" s="5025"/>
      <c r="N2331" s="5025"/>
      <c r="O2331" s="5025"/>
      <c r="P2331" s="5025"/>
      <c r="Q2331" s="5026"/>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98"/>
      <c r="C2332" s="1870" t="s">
        <v>8368</v>
      </c>
      <c r="D2332" s="1835"/>
      <c r="E2332" s="2716" t="s">
        <v>8380</v>
      </c>
      <c r="F2332" s="1837"/>
      <c r="G2332" s="1837">
        <v>60</v>
      </c>
      <c r="H2332" s="1838">
        <v>1</v>
      </c>
      <c r="I2332" s="1838">
        <v>10</v>
      </c>
      <c r="J2332" s="1838">
        <f>COUNTIF(Elan!$C$13:$F$25,Tablas!E2332)+COUNTIF(Elan!$U$13:$X$25,Tablas!E2332)</f>
        <v>0</v>
      </c>
      <c r="K2332" s="1837"/>
      <c r="L2332" s="5025" t="s">
        <v>8586</v>
      </c>
      <c r="M2332" s="5025"/>
      <c r="N2332" s="5025"/>
      <c r="O2332" s="5025"/>
      <c r="P2332" s="5025"/>
      <c r="Q2332" s="5026"/>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98"/>
      <c r="C2333" s="1870" t="s">
        <v>8369</v>
      </c>
      <c r="D2333" s="1835"/>
      <c r="E2333" s="2716" t="s">
        <v>8381</v>
      </c>
      <c r="F2333" s="1837"/>
      <c r="G2333" s="1837">
        <v>70</v>
      </c>
      <c r="H2333" s="1838">
        <v>1</v>
      </c>
      <c r="I2333" s="1838">
        <v>10</v>
      </c>
      <c r="J2333" s="1838">
        <f>COUNTIF(Elan!$C$13:$F$25,Tablas!E2333)+COUNTIF(Elan!$U$13:$X$25,Tablas!E2333)</f>
        <v>0</v>
      </c>
      <c r="K2333" s="1837"/>
      <c r="L2333" s="5025" t="s">
        <v>8587</v>
      </c>
      <c r="M2333" s="5025"/>
      <c r="N2333" s="5025"/>
      <c r="O2333" s="5025"/>
      <c r="P2333" s="5025"/>
      <c r="Q2333" s="5026"/>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98"/>
      <c r="C2334" s="1870" t="s">
        <v>8370</v>
      </c>
      <c r="D2334" s="1835"/>
      <c r="E2334" s="2716" t="s">
        <v>8382</v>
      </c>
      <c r="F2334" s="1837"/>
      <c r="G2334" s="1837">
        <v>70</v>
      </c>
      <c r="H2334" s="1838">
        <v>1</v>
      </c>
      <c r="I2334" s="1838">
        <v>10</v>
      </c>
      <c r="J2334" s="1838">
        <f>COUNTIF(Elan!$C$13:$F$25,Tablas!E2334)+COUNTIF(Elan!$U$13:$X$25,Tablas!E2334)</f>
        <v>0</v>
      </c>
      <c r="K2334" s="1837"/>
      <c r="L2334" s="5025" t="s">
        <v>8588</v>
      </c>
      <c r="M2334" s="5025"/>
      <c r="N2334" s="5025"/>
      <c r="O2334" s="5025"/>
      <c r="P2334" s="5025"/>
      <c r="Q2334" s="5026"/>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98"/>
      <c r="C2335" s="1870" t="s">
        <v>8371</v>
      </c>
      <c r="D2335" s="1835"/>
      <c r="E2335" s="2716" t="s">
        <v>8383</v>
      </c>
      <c r="F2335" s="1837"/>
      <c r="G2335" s="1837">
        <v>80</v>
      </c>
      <c r="H2335" s="1838">
        <v>1</v>
      </c>
      <c r="I2335" s="1838">
        <v>15</v>
      </c>
      <c r="J2335" s="1838">
        <f>COUNTIF(Elan!$C$13:$F$25,Tablas!E2335)+COUNTIF(Elan!$U$13:$X$25,Tablas!E2335)</f>
        <v>0</v>
      </c>
      <c r="K2335" s="1837"/>
      <c r="L2335" s="5025" t="s">
        <v>8589</v>
      </c>
      <c r="M2335" s="5025"/>
      <c r="N2335" s="5025"/>
      <c r="O2335" s="5025"/>
      <c r="P2335" s="5025"/>
      <c r="Q2335" s="5026"/>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98"/>
      <c r="C2336" s="1870" t="s">
        <v>8372</v>
      </c>
      <c r="D2336" s="1835"/>
      <c r="E2336" s="2716" t="s">
        <v>8384</v>
      </c>
      <c r="F2336" s="1837"/>
      <c r="G2336" s="1837">
        <v>90</v>
      </c>
      <c r="H2336" s="1838">
        <v>1</v>
      </c>
      <c r="I2336" s="1838">
        <v>20</v>
      </c>
      <c r="J2336" s="1838">
        <f>COUNTIF(Elan!$C$13:$F$25,Tablas!E2336)+COUNTIF(Elan!$U$13:$X$25,Tablas!E2336)</f>
        <v>0</v>
      </c>
      <c r="K2336" s="1837"/>
      <c r="L2336" s="5025" t="s">
        <v>8590</v>
      </c>
      <c r="M2336" s="5025"/>
      <c r="N2336" s="5025"/>
      <c r="O2336" s="5025"/>
      <c r="P2336" s="5025"/>
      <c r="Q2336" s="5026"/>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98"/>
      <c r="C2337" s="1871" t="s">
        <v>8373</v>
      </c>
      <c r="D2337" s="1836"/>
      <c r="E2337" s="2716" t="s">
        <v>8385</v>
      </c>
      <c r="F2337" s="1837"/>
      <c r="G2337" s="1837">
        <v>100</v>
      </c>
      <c r="H2337" s="1838">
        <v>1</v>
      </c>
      <c r="I2337" s="1838">
        <v>10</v>
      </c>
      <c r="J2337" s="1838">
        <f>COUNTIF(Elan!$C$13:$F$25,Tablas!E2337)+COUNTIF(Elan!$U$13:$X$25,Tablas!E2337)</f>
        <v>0</v>
      </c>
      <c r="K2337" s="1837"/>
      <c r="L2337" s="5025" t="s">
        <v>8591</v>
      </c>
      <c r="M2337" s="5025"/>
      <c r="N2337" s="5025"/>
      <c r="O2337" s="5025"/>
      <c r="P2337" s="5025"/>
      <c r="Q2337" s="5026"/>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98"/>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98"/>
      <c r="E2339" s="2716" t="s">
        <v>8386</v>
      </c>
      <c r="F2339" s="1837"/>
      <c r="G2339" s="1837">
        <v>10</v>
      </c>
      <c r="H2339" s="1838">
        <v>1</v>
      </c>
      <c r="I2339" s="1838">
        <v>5</v>
      </c>
      <c r="J2339" s="1838">
        <f>COUNTIF(Elan!$C$13:$F$25,Tablas!E2339)+COUNTIF(Elan!$U$13:$X$25,Tablas!E2339)</f>
        <v>0</v>
      </c>
      <c r="K2339" s="1837"/>
      <c r="L2339" s="5025" t="s">
        <v>8592</v>
      </c>
      <c r="M2339" s="5025"/>
      <c r="N2339" s="5025"/>
      <c r="O2339" s="5025"/>
      <c r="P2339" s="5025"/>
      <c r="Q2339" s="5026"/>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98"/>
      <c r="E2340" s="2716" t="s">
        <v>8387</v>
      </c>
      <c r="F2340" s="1837"/>
      <c r="G2340" s="1837">
        <v>20</v>
      </c>
      <c r="H2340" s="1838">
        <v>1</v>
      </c>
      <c r="I2340" s="1838">
        <v>5</v>
      </c>
      <c r="J2340" s="1838">
        <f>COUNTIF(Elan!$C$13:$F$25,Tablas!E2340)+COUNTIF(Elan!$U$13:$X$25,Tablas!E2340)</f>
        <v>0</v>
      </c>
      <c r="K2340" s="1837"/>
      <c r="L2340" s="5025" t="s">
        <v>8596</v>
      </c>
      <c r="M2340" s="5025"/>
      <c r="N2340" s="5025"/>
      <c r="O2340" s="5025"/>
      <c r="P2340" s="5025"/>
      <c r="Q2340" s="5026"/>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98"/>
      <c r="E2341" s="2716" t="s">
        <v>1966</v>
      </c>
      <c r="F2341" s="1837"/>
      <c r="G2341" s="1837">
        <v>30</v>
      </c>
      <c r="H2341" s="1838">
        <v>1</v>
      </c>
      <c r="I2341" s="1838">
        <v>20</v>
      </c>
      <c r="J2341" s="1838">
        <f>COUNTIF(Elan!$C$13:$F$25,Tablas!E2341)+COUNTIF(Elan!$U$13:$X$25,Tablas!E2341)</f>
        <v>0</v>
      </c>
      <c r="K2341" s="1837">
        <f>MROUND($F$2338/2,5)*J2341</f>
        <v>0</v>
      </c>
      <c r="L2341" s="5025" t="s">
        <v>8599</v>
      </c>
      <c r="M2341" s="5025"/>
      <c r="N2341" s="5025"/>
      <c r="O2341" s="5025"/>
      <c r="P2341" s="5025"/>
      <c r="Q2341" s="5026"/>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98"/>
      <c r="E2342" s="2716" t="s">
        <v>8388</v>
      </c>
      <c r="F2342" s="1837"/>
      <c r="G2342" s="1837">
        <v>40</v>
      </c>
      <c r="H2342" s="1838">
        <f>IF(J2339,1,0)</f>
        <v>0</v>
      </c>
      <c r="I2342" s="1838">
        <v>10</v>
      </c>
      <c r="J2342" s="1838">
        <f>COUNTIF(Elan!$C$13:$F$25,Tablas!E2342)+COUNTIF(Elan!$U$13:$X$25,Tablas!E2342)</f>
        <v>0</v>
      </c>
      <c r="K2342" s="1837"/>
      <c r="L2342" s="5025" t="s">
        <v>8602</v>
      </c>
      <c r="M2342" s="5025"/>
      <c r="N2342" s="5025"/>
      <c r="O2342" s="5025"/>
      <c r="P2342" s="5025"/>
      <c r="Q2342" s="5026"/>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98"/>
      <c r="E2343" s="2716" t="s">
        <v>8389</v>
      </c>
      <c r="F2343" s="1837"/>
      <c r="G2343" s="1837">
        <v>50</v>
      </c>
      <c r="H2343" s="1838">
        <v>1</v>
      </c>
      <c r="I2343" s="1838">
        <v>15</v>
      </c>
      <c r="J2343" s="1838">
        <f>COUNTIF(Elan!$C$13:$F$25,Tablas!E2343)+COUNTIF(Elan!$U$13:$X$25,Tablas!E2343)</f>
        <v>0</v>
      </c>
      <c r="K2343" s="1837"/>
      <c r="L2343" s="5025" t="s">
        <v>8604</v>
      </c>
      <c r="M2343" s="5025"/>
      <c r="N2343" s="5025"/>
      <c r="O2343" s="5025"/>
      <c r="P2343" s="5025"/>
      <c r="Q2343" s="5026"/>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98"/>
      <c r="E2344" s="2716" t="s">
        <v>8390</v>
      </c>
      <c r="F2344" s="1837"/>
      <c r="G2344" s="1837">
        <v>50</v>
      </c>
      <c r="H2344" s="1838">
        <v>1</v>
      </c>
      <c r="I2344" s="1838">
        <v>10</v>
      </c>
      <c r="J2344" s="1838">
        <f>COUNTIF(Elan!$C$13:$F$25,Tablas!E2344)+COUNTIF(Elan!$U$13:$X$25,Tablas!E2344)</f>
        <v>0</v>
      </c>
      <c r="K2344" s="1837"/>
      <c r="L2344" s="5025" t="s">
        <v>8606</v>
      </c>
      <c r="M2344" s="5025"/>
      <c r="N2344" s="5025"/>
      <c r="O2344" s="5025"/>
      <c r="P2344" s="5025"/>
      <c r="Q2344" s="5026"/>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98"/>
      <c r="E2345" s="2716" t="s">
        <v>8391</v>
      </c>
      <c r="F2345" s="1837"/>
      <c r="G2345" s="1837">
        <v>60</v>
      </c>
      <c r="H2345" s="1838">
        <v>1</v>
      </c>
      <c r="I2345" s="1838">
        <v>10</v>
      </c>
      <c r="J2345" s="1838">
        <f>COUNTIF(Elan!$C$13:$F$25,Tablas!E2345)+COUNTIF(Elan!$U$13:$X$25,Tablas!E2345)</f>
        <v>0</v>
      </c>
      <c r="K2345" s="1837"/>
      <c r="L2345" s="5025" t="s">
        <v>8608</v>
      </c>
      <c r="M2345" s="5025"/>
      <c r="N2345" s="5025"/>
      <c r="O2345" s="5025"/>
      <c r="P2345" s="5025"/>
      <c r="Q2345" s="5026"/>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98"/>
      <c r="E2346" s="2716" t="s">
        <v>8392</v>
      </c>
      <c r="F2346" s="1837"/>
      <c r="G2346" s="1837">
        <v>60</v>
      </c>
      <c r="H2346" s="1838">
        <f>IF(J2344,1,0)</f>
        <v>0</v>
      </c>
      <c r="I2346" s="1838">
        <v>10</v>
      </c>
      <c r="J2346" s="1838">
        <f>COUNTIF(Elan!$C$13:$F$25,Tablas!E2346)+COUNTIF(Elan!$U$13:$X$25,Tablas!E2346)</f>
        <v>0</v>
      </c>
      <c r="K2346" s="1837"/>
      <c r="L2346" s="5025" t="s">
        <v>8609</v>
      </c>
      <c r="M2346" s="5025"/>
      <c r="N2346" s="5025"/>
      <c r="O2346" s="5025"/>
      <c r="P2346" s="5025"/>
      <c r="Q2346" s="5026"/>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98"/>
      <c r="E2347" s="2716" t="s">
        <v>8393</v>
      </c>
      <c r="F2347" s="1837"/>
      <c r="G2347" s="1837">
        <v>70</v>
      </c>
      <c r="H2347" s="1838">
        <f>IF(J2346,1,0)</f>
        <v>0</v>
      </c>
      <c r="I2347" s="1838">
        <v>10</v>
      </c>
      <c r="J2347" s="1838">
        <f>COUNTIF(Elan!$C$13:$F$25,Tablas!E2347)+COUNTIF(Elan!$U$13:$X$25,Tablas!E2347)</f>
        <v>0</v>
      </c>
      <c r="K2347" s="1837"/>
      <c r="L2347" s="5025" t="s">
        <v>8610</v>
      </c>
      <c r="M2347" s="5025"/>
      <c r="N2347" s="5025"/>
      <c r="O2347" s="5025"/>
      <c r="P2347" s="5025"/>
      <c r="Q2347" s="5026"/>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98"/>
      <c r="E2348" s="2716" t="s">
        <v>8394</v>
      </c>
      <c r="F2348" s="1837"/>
      <c r="G2348" s="1837">
        <v>80</v>
      </c>
      <c r="H2348" s="1838">
        <v>1</v>
      </c>
      <c r="I2348" s="1838">
        <v>15</v>
      </c>
      <c r="J2348" s="1838">
        <f>COUNTIF(Elan!$C$13:$F$25,Tablas!E2348)+COUNTIF(Elan!$U$13:$X$25,Tablas!E2348)</f>
        <v>0</v>
      </c>
      <c r="K2348" s="1837"/>
      <c r="L2348" s="5025" t="s">
        <v>8611</v>
      </c>
      <c r="M2348" s="5025"/>
      <c r="N2348" s="5025"/>
      <c r="O2348" s="5025"/>
      <c r="P2348" s="5025"/>
      <c r="Q2348" s="5026"/>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98"/>
      <c r="E2349" s="2716" t="s">
        <v>8395</v>
      </c>
      <c r="F2349" s="1837"/>
      <c r="G2349" s="1837">
        <v>90</v>
      </c>
      <c r="H2349" s="1838">
        <v>1</v>
      </c>
      <c r="I2349" s="1838">
        <v>20</v>
      </c>
      <c r="J2349" s="1838">
        <f>COUNTIF(Elan!$C$13:$F$25,Tablas!E2349)+COUNTIF(Elan!$U$13:$X$25,Tablas!E2349)</f>
        <v>0</v>
      </c>
      <c r="K2349" s="1837"/>
      <c r="L2349" s="5025" t="s">
        <v>8612</v>
      </c>
      <c r="M2349" s="5025"/>
      <c r="N2349" s="5025"/>
      <c r="O2349" s="5025"/>
      <c r="P2349" s="5025"/>
      <c r="Q2349" s="5026"/>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98"/>
      <c r="E2350" s="2716" t="s">
        <v>8396</v>
      </c>
      <c r="F2350" s="1837"/>
      <c r="G2350" s="1837">
        <v>100</v>
      </c>
      <c r="H2350" s="1838">
        <v>1</v>
      </c>
      <c r="I2350" s="1838">
        <v>10</v>
      </c>
      <c r="J2350" s="1838">
        <f>COUNTIF(Elan!$C$13:$F$25,Tablas!E2350)+COUNTIF(Elan!$U$13:$X$25,Tablas!E2350)</f>
        <v>0</v>
      </c>
      <c r="K2350" s="1837"/>
      <c r="L2350" s="5025" t="s">
        <v>8613</v>
      </c>
      <c r="M2350" s="5025"/>
      <c r="N2350" s="5025"/>
      <c r="O2350" s="5025"/>
      <c r="P2350" s="5025"/>
      <c r="Q2350" s="5026"/>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98"/>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98"/>
      <c r="E2352" s="2716" t="s">
        <v>8397</v>
      </c>
      <c r="F2352" s="1837"/>
      <c r="G2352" s="1837">
        <v>10</v>
      </c>
      <c r="H2352" s="1838">
        <v>1</v>
      </c>
      <c r="I2352" s="1838">
        <v>5</v>
      </c>
      <c r="J2352" s="1838">
        <f>COUNTIF(Elan!$C$13:$F$25,Tablas!E2352)+COUNTIF(Elan!$U$13:$X$25,Tablas!E2352)</f>
        <v>0</v>
      </c>
      <c r="K2352" s="1837"/>
      <c r="L2352" s="5025" t="s">
        <v>8614</v>
      </c>
      <c r="M2352" s="5025"/>
      <c r="N2352" s="5025"/>
      <c r="O2352" s="5025"/>
      <c r="P2352" s="5025"/>
      <c r="Q2352" s="5026"/>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98"/>
      <c r="E2353" s="2716" t="s">
        <v>8398</v>
      </c>
      <c r="F2353" s="1837"/>
      <c r="G2353" s="1837">
        <v>20</v>
      </c>
      <c r="H2353" s="1838">
        <v>1</v>
      </c>
      <c r="I2353" s="1838">
        <v>5</v>
      </c>
      <c r="J2353" s="1838">
        <f>COUNTIF(Elan!$C$13:$F$25,Tablas!E2353)+COUNTIF(Elan!$U$13:$X$25,Tablas!E2353)</f>
        <v>0</v>
      </c>
      <c r="K2353" s="1837"/>
      <c r="L2353" s="5025" t="s">
        <v>8618</v>
      </c>
      <c r="M2353" s="5025"/>
      <c r="N2353" s="5025"/>
      <c r="O2353" s="5025"/>
      <c r="P2353" s="5025"/>
      <c r="Q2353" s="5026"/>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98"/>
      <c r="E2354" s="2716" t="s">
        <v>8399</v>
      </c>
      <c r="F2354" s="1837"/>
      <c r="G2354" s="1837">
        <v>20</v>
      </c>
      <c r="H2354" s="1838">
        <v>1</v>
      </c>
      <c r="I2354" s="1838">
        <v>10</v>
      </c>
      <c r="J2354" s="1838">
        <f>COUNTIF(Elan!$C$13:$F$25,Tablas!E2354)+COUNTIF(Elan!$U$13:$X$25,Tablas!E2354)</f>
        <v>0</v>
      </c>
      <c r="K2354" s="1837"/>
      <c r="L2354" s="5025" t="s">
        <v>8622</v>
      </c>
      <c r="M2354" s="5025"/>
      <c r="N2354" s="5025"/>
      <c r="O2354" s="5025"/>
      <c r="P2354" s="5025"/>
      <c r="Q2354" s="5026"/>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98"/>
      <c r="E2355" s="2716" t="s">
        <v>8400</v>
      </c>
      <c r="F2355" s="1837"/>
      <c r="G2355" s="1837">
        <v>30</v>
      </c>
      <c r="H2355" s="1838">
        <v>1</v>
      </c>
      <c r="I2355" s="1838">
        <v>5</v>
      </c>
      <c r="J2355" s="1838">
        <f>COUNTIF(Elan!$C$13:$F$25,Tablas!E2355)+COUNTIF(Elan!$U$13:$X$25,Tablas!E2355)</f>
        <v>0</v>
      </c>
      <c r="K2355" s="1837"/>
      <c r="L2355" s="5025" t="s">
        <v>8626</v>
      </c>
      <c r="M2355" s="5025"/>
      <c r="N2355" s="5025"/>
      <c r="O2355" s="5025"/>
      <c r="P2355" s="5025"/>
      <c r="Q2355" s="5026"/>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98"/>
      <c r="E2356" s="2716" t="s">
        <v>8401</v>
      </c>
      <c r="F2356" s="1837"/>
      <c r="G2356" s="1837">
        <v>40</v>
      </c>
      <c r="H2356" s="1838">
        <v>1</v>
      </c>
      <c r="I2356" s="1838">
        <v>10</v>
      </c>
      <c r="J2356" s="1838">
        <f>COUNTIF(Elan!$C$13:$F$25,Tablas!E2356)+COUNTIF(Elan!$U$13:$X$25,Tablas!E2356)</f>
        <v>0</v>
      </c>
      <c r="K2356" s="1837"/>
      <c r="L2356" s="5025" t="s">
        <v>8629</v>
      </c>
      <c r="M2356" s="5025"/>
      <c r="N2356" s="5025"/>
      <c r="O2356" s="5025"/>
      <c r="P2356" s="5025"/>
      <c r="Q2356" s="5026"/>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98"/>
      <c r="E2357" s="2716" t="s">
        <v>8402</v>
      </c>
      <c r="F2357" s="1837"/>
      <c r="G2357" s="1837">
        <v>40</v>
      </c>
      <c r="H2357" s="1838">
        <v>1</v>
      </c>
      <c r="I2357" s="1838">
        <v>5</v>
      </c>
      <c r="J2357" s="1838">
        <f>COUNTIF(Elan!$C$13:$F$25,Tablas!E2357)+COUNTIF(Elan!$U$13:$X$25,Tablas!E2357)</f>
        <v>0</v>
      </c>
      <c r="K2357" s="1837"/>
      <c r="L2357" s="5025" t="s">
        <v>8632</v>
      </c>
      <c r="M2357" s="5025"/>
      <c r="N2357" s="5025"/>
      <c r="O2357" s="5025"/>
      <c r="P2357" s="5025"/>
      <c r="Q2357" s="5026"/>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98"/>
      <c r="E2358" s="2716" t="s">
        <v>8403</v>
      </c>
      <c r="F2358" s="1837"/>
      <c r="G2358" s="1837">
        <v>50</v>
      </c>
      <c r="H2358" s="1838">
        <v>1</v>
      </c>
      <c r="I2358" s="1838">
        <v>10</v>
      </c>
      <c r="J2358" s="1838">
        <f>COUNTIF(Elan!$C$13:$F$25,Tablas!E2358)+COUNTIF(Elan!$U$13:$X$25,Tablas!E2358)</f>
        <v>0</v>
      </c>
      <c r="K2358" s="1837"/>
      <c r="L2358" s="5025" t="s">
        <v>8634</v>
      </c>
      <c r="M2358" s="5025"/>
      <c r="N2358" s="5025"/>
      <c r="O2358" s="5025"/>
      <c r="P2358" s="5025"/>
      <c r="Q2358" s="5026"/>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98"/>
      <c r="E2359" s="2716" t="s">
        <v>8404</v>
      </c>
      <c r="F2359" s="1837"/>
      <c r="G2359" s="1837">
        <v>60</v>
      </c>
      <c r="H2359" s="1838">
        <f>IF(J2356,1,0)</f>
        <v>0</v>
      </c>
      <c r="I2359" s="1838">
        <v>20</v>
      </c>
      <c r="J2359" s="1838">
        <f>COUNTIF(Elan!$C$13:$F$25,Tablas!E2359)+COUNTIF(Elan!$U$13:$X$25,Tablas!E2359)</f>
        <v>0</v>
      </c>
      <c r="K2359" s="1837"/>
      <c r="L2359" s="5025" t="s">
        <v>8635</v>
      </c>
      <c r="M2359" s="5025"/>
      <c r="N2359" s="5025"/>
      <c r="O2359" s="5025"/>
      <c r="P2359" s="5025"/>
      <c r="Q2359" s="5026"/>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98"/>
      <c r="E2360" s="2716" t="s">
        <v>8405</v>
      </c>
      <c r="F2360" s="1837"/>
      <c r="G2360" s="1837">
        <v>60</v>
      </c>
      <c r="H2360" s="1838">
        <v>1</v>
      </c>
      <c r="I2360" s="1838">
        <v>15</v>
      </c>
      <c r="J2360" s="1838">
        <f>COUNTIF(Elan!$C$13:$F$25,Tablas!E2360)+COUNTIF(Elan!$U$13:$X$25,Tablas!E2360)</f>
        <v>0</v>
      </c>
      <c r="K2360" s="1837"/>
      <c r="L2360" s="5025" t="s">
        <v>8636</v>
      </c>
      <c r="M2360" s="5025"/>
      <c r="N2360" s="5025"/>
      <c r="O2360" s="5025"/>
      <c r="P2360" s="5025"/>
      <c r="Q2360" s="5026"/>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98"/>
      <c r="E2361" s="2716" t="s">
        <v>8406</v>
      </c>
      <c r="F2361" s="1837"/>
      <c r="G2361" s="1837">
        <v>70</v>
      </c>
      <c r="H2361" s="1838">
        <v>1</v>
      </c>
      <c r="I2361" s="1838">
        <v>10</v>
      </c>
      <c r="J2361" s="1838">
        <f>COUNTIF(Elan!$C$13:$F$25,Tablas!E2361)+COUNTIF(Elan!$U$13:$X$25,Tablas!E2361)</f>
        <v>0</v>
      </c>
      <c r="K2361" s="1837">
        <f>IF(J2361&gt;0,1,0)</f>
        <v>0</v>
      </c>
      <c r="L2361" s="5025" t="s">
        <v>8637</v>
      </c>
      <c r="M2361" s="5025"/>
      <c r="N2361" s="5025"/>
      <c r="O2361" s="5025"/>
      <c r="P2361" s="5025"/>
      <c r="Q2361" s="5026"/>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98"/>
      <c r="E2362" s="2716" t="s">
        <v>8407</v>
      </c>
      <c r="F2362" s="1837"/>
      <c r="G2362" s="1837">
        <v>80</v>
      </c>
      <c r="H2362" s="1838">
        <v>1</v>
      </c>
      <c r="I2362" s="1838">
        <v>10</v>
      </c>
      <c r="J2362" s="1838">
        <f>COUNTIF(Elan!$C$13:$F$25,Tablas!E2362)+COUNTIF(Elan!$U$13:$X$25,Tablas!E2362)</f>
        <v>0</v>
      </c>
      <c r="K2362" s="1837"/>
      <c r="L2362" s="5025" t="s">
        <v>8638</v>
      </c>
      <c r="M2362" s="5025"/>
      <c r="N2362" s="5025"/>
      <c r="O2362" s="5025"/>
      <c r="P2362" s="5025"/>
      <c r="Q2362" s="5026"/>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98"/>
      <c r="E2363" s="2716" t="s">
        <v>8408</v>
      </c>
      <c r="F2363" s="1837"/>
      <c r="G2363" s="1837">
        <v>90</v>
      </c>
      <c r="H2363" s="1838">
        <v>1</v>
      </c>
      <c r="I2363" s="1838">
        <v>20</v>
      </c>
      <c r="J2363" s="1838">
        <f>COUNTIF(Elan!$C$13:$F$25,Tablas!E2363)+COUNTIF(Elan!$U$13:$X$25,Tablas!E2363)</f>
        <v>0</v>
      </c>
      <c r="K2363" s="1837"/>
      <c r="L2363" s="5025" t="s">
        <v>8639</v>
      </c>
      <c r="M2363" s="5025"/>
      <c r="N2363" s="5025"/>
      <c r="O2363" s="5025"/>
      <c r="P2363" s="5025"/>
      <c r="Q2363" s="5026"/>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98"/>
      <c r="E2364" s="2716" t="s">
        <v>8409</v>
      </c>
      <c r="F2364" s="1837"/>
      <c r="G2364" s="1837">
        <v>100</v>
      </c>
      <c r="H2364" s="1838">
        <v>1</v>
      </c>
      <c r="I2364" s="1838">
        <v>10</v>
      </c>
      <c r="J2364" s="1838">
        <f>COUNTIF(Elan!$C$13:$F$25,Tablas!E2364)+COUNTIF(Elan!$U$13:$X$25,Tablas!E2364)</f>
        <v>0</v>
      </c>
      <c r="K2364" s="1837"/>
      <c r="L2364" s="5025" t="s">
        <v>8640</v>
      </c>
      <c r="M2364" s="5025"/>
      <c r="N2364" s="5025"/>
      <c r="O2364" s="5025"/>
      <c r="P2364" s="5025"/>
      <c r="Q2364" s="5026"/>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98"/>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98"/>
      <c r="E2366" s="2716" t="s">
        <v>8410</v>
      </c>
      <c r="F2366" s="1837"/>
      <c r="G2366" s="1837">
        <v>10</v>
      </c>
      <c r="H2366" s="1838">
        <v>1</v>
      </c>
      <c r="I2366" s="1838">
        <v>5</v>
      </c>
      <c r="J2366" s="1838">
        <f>COUNTIF(Elan!$C$13:$F$25,Tablas!E2366)+COUNTIF(Elan!$U$13:$X$25,Tablas!E2366)</f>
        <v>0</v>
      </c>
      <c r="K2366" s="1837">
        <f>F$2365*J2366</f>
        <v>0</v>
      </c>
      <c r="L2366" s="5025" t="s">
        <v>8641</v>
      </c>
      <c r="M2366" s="5025"/>
      <c r="N2366" s="5025"/>
      <c r="O2366" s="5025"/>
      <c r="P2366" s="5025"/>
      <c r="Q2366" s="5026"/>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98"/>
      <c r="E2367" s="2716" t="s">
        <v>8411</v>
      </c>
      <c r="F2367" s="1837"/>
      <c r="G2367" s="1837">
        <v>20</v>
      </c>
      <c r="H2367" s="1838">
        <v>1</v>
      </c>
      <c r="I2367" s="1838">
        <v>10</v>
      </c>
      <c r="J2367" s="1838">
        <f>COUNTIF(Elan!$C$13:$F$25,Tablas!E2367)+COUNTIF(Elan!$U$13:$X$25,Tablas!E2367)</f>
        <v>0</v>
      </c>
      <c r="K2367" s="1837">
        <f>ROUNDDOWN(F$2365/2,0)*J2367</f>
        <v>0</v>
      </c>
      <c r="L2367" s="5025" t="s">
        <v>8644</v>
      </c>
      <c r="M2367" s="5025"/>
      <c r="N2367" s="5025"/>
      <c r="O2367" s="5025"/>
      <c r="P2367" s="5025"/>
      <c r="Q2367" s="5026"/>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98"/>
      <c r="E2368" s="2716" t="s">
        <v>2521</v>
      </c>
      <c r="F2368" s="1837"/>
      <c r="G2368" s="1837">
        <v>30</v>
      </c>
      <c r="H2368" s="1838">
        <v>1</v>
      </c>
      <c r="I2368" s="1838">
        <v>5</v>
      </c>
      <c r="J2368" s="1838">
        <f>COUNTIF(Elan!$C$13:$F$25,Tablas!E2368)+COUNTIF(Elan!$U$13:$X$25,Tablas!E2368)</f>
        <v>0</v>
      </c>
      <c r="K2368" s="1837"/>
      <c r="L2368" s="5025" t="s">
        <v>8648</v>
      </c>
      <c r="M2368" s="5025"/>
      <c r="N2368" s="5025"/>
      <c r="O2368" s="5025"/>
      <c r="P2368" s="5025"/>
      <c r="Q2368" s="5026"/>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98"/>
      <c r="E2369" s="2716" t="s">
        <v>8412</v>
      </c>
      <c r="F2369" s="1837"/>
      <c r="G2369" s="1837">
        <v>40</v>
      </c>
      <c r="H2369" s="1838">
        <v>1</v>
      </c>
      <c r="I2369" s="1838">
        <v>5</v>
      </c>
      <c r="J2369" s="1838">
        <f>COUNTIF(Elan!$C$13:$F$25,Tablas!E2369)+COUNTIF(Elan!$U$13:$X$25,Tablas!E2369)</f>
        <v>0</v>
      </c>
      <c r="K2369" s="1837"/>
      <c r="L2369" s="5025" t="s">
        <v>8652</v>
      </c>
      <c r="M2369" s="5025"/>
      <c r="N2369" s="5025"/>
      <c r="O2369" s="5025"/>
      <c r="P2369" s="5025"/>
      <c r="Q2369" s="5026"/>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98"/>
      <c r="E2370" s="2716" t="s">
        <v>8413</v>
      </c>
      <c r="F2370" s="1837"/>
      <c r="G2370" s="1837">
        <v>50</v>
      </c>
      <c r="H2370" s="1838">
        <v>1</v>
      </c>
      <c r="I2370" s="1838">
        <v>10</v>
      </c>
      <c r="J2370" s="1838">
        <f>COUNTIF(Elan!$C$13:$F$25,Tablas!E2370)+COUNTIF(Elan!$U$13:$X$25,Tablas!E2370)</f>
        <v>0</v>
      </c>
      <c r="K2370" s="1837">
        <f>ROUNDDOWN(F$2365/2,0)*J2370</f>
        <v>0</v>
      </c>
      <c r="L2370" s="5025" t="s">
        <v>8655</v>
      </c>
      <c r="M2370" s="5025"/>
      <c r="N2370" s="5025"/>
      <c r="O2370" s="5025"/>
      <c r="P2370" s="5025"/>
      <c r="Q2370" s="5026"/>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98"/>
      <c r="E2371" s="2716" t="s">
        <v>8414</v>
      </c>
      <c r="F2371" s="1837"/>
      <c r="G2371" s="1837">
        <v>50</v>
      </c>
      <c r="H2371" s="1838">
        <v>1</v>
      </c>
      <c r="I2371" s="1838">
        <v>10</v>
      </c>
      <c r="J2371" s="1838">
        <f>COUNTIF(Elan!$C$13:$F$25,Tablas!E2371)+COUNTIF(Elan!$U$13:$X$25,Tablas!E2371)</f>
        <v>0</v>
      </c>
      <c r="K2371" s="1837"/>
      <c r="L2371" s="5025" t="s">
        <v>8657</v>
      </c>
      <c r="M2371" s="5025"/>
      <c r="N2371" s="5025"/>
      <c r="O2371" s="5025"/>
      <c r="P2371" s="5025"/>
      <c r="Q2371" s="5026"/>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98"/>
      <c r="E2372" s="2716" t="s">
        <v>8415</v>
      </c>
      <c r="F2372" s="1837"/>
      <c r="G2372" s="1837">
        <v>60</v>
      </c>
      <c r="H2372" s="1838">
        <v>1</v>
      </c>
      <c r="I2372" s="1838">
        <v>10</v>
      </c>
      <c r="J2372" s="1838">
        <f>COUNTIF(Elan!$C$13:$F$25,Tablas!E2372)+COUNTIF(Elan!$U$13:$X$25,Tablas!E2372)</f>
        <v>0</v>
      </c>
      <c r="K2372" s="1837"/>
      <c r="L2372" s="5025" t="s">
        <v>8659</v>
      </c>
      <c r="M2372" s="5025"/>
      <c r="N2372" s="5025"/>
      <c r="O2372" s="5025"/>
      <c r="P2372" s="5025"/>
      <c r="Q2372" s="5026"/>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98"/>
      <c r="E2373" s="2716" t="s">
        <v>8416</v>
      </c>
      <c r="F2373" s="1837"/>
      <c r="G2373" s="1837">
        <v>65</v>
      </c>
      <c r="H2373" s="1838">
        <v>1</v>
      </c>
      <c r="I2373" s="1838">
        <v>15</v>
      </c>
      <c r="J2373" s="1838">
        <f>COUNTIF(Elan!$C$13:$F$25,Tablas!E2373)+COUNTIF(Elan!$U$13:$X$25,Tablas!E2373)</f>
        <v>0</v>
      </c>
      <c r="K2373" s="1837"/>
      <c r="L2373" s="5025" t="s">
        <v>8660</v>
      </c>
      <c r="M2373" s="5025"/>
      <c r="N2373" s="5025"/>
      <c r="O2373" s="5025"/>
      <c r="P2373" s="5025"/>
      <c r="Q2373" s="5026"/>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98"/>
      <c r="E2374" s="2716" t="s">
        <v>8417</v>
      </c>
      <c r="F2374" s="1837"/>
      <c r="G2374" s="1837">
        <v>70</v>
      </c>
      <c r="H2374" s="1838">
        <v>1</v>
      </c>
      <c r="I2374" s="1838">
        <v>15</v>
      </c>
      <c r="J2374" s="1838">
        <f>COUNTIF(Elan!$C$13:$F$25,Tablas!E2374)+COUNTIF(Elan!$U$13:$X$25,Tablas!E2374)</f>
        <v>0</v>
      </c>
      <c r="K2374" s="1837">
        <f>IF(J2374&gt;0,1,0)</f>
        <v>0</v>
      </c>
      <c r="L2374" s="5025" t="s">
        <v>8661</v>
      </c>
      <c r="M2374" s="5025"/>
      <c r="N2374" s="5025"/>
      <c r="O2374" s="5025"/>
      <c r="P2374" s="5025"/>
      <c r="Q2374" s="5026"/>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98"/>
      <c r="E2375" s="2716" t="s">
        <v>8418</v>
      </c>
      <c r="F2375" s="1837"/>
      <c r="G2375" s="1837">
        <v>70</v>
      </c>
      <c r="H2375" s="1838">
        <f>IF(J2371,1,0)</f>
        <v>0</v>
      </c>
      <c r="I2375" s="1838">
        <v>10</v>
      </c>
      <c r="J2375" s="1838">
        <f>COUNTIF(Elan!$C$13:$F$25,Tablas!E2375)+COUNTIF(Elan!$U$13:$X$25,Tablas!E2375)</f>
        <v>0</v>
      </c>
      <c r="K2375" s="1837"/>
      <c r="L2375" s="5025" t="s">
        <v>8662</v>
      </c>
      <c r="M2375" s="5025"/>
      <c r="N2375" s="5025"/>
      <c r="O2375" s="5025"/>
      <c r="P2375" s="5025"/>
      <c r="Q2375" s="5026"/>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98"/>
      <c r="E2376" s="2716" t="s">
        <v>8407</v>
      </c>
      <c r="F2376" s="1837"/>
      <c r="G2376" s="1837">
        <v>80</v>
      </c>
      <c r="H2376" s="1838">
        <v>1</v>
      </c>
      <c r="I2376" s="1838">
        <v>15</v>
      </c>
      <c r="J2376" s="1838">
        <f>COUNTIF(Elan!$C$13:$F$25,Tablas!E2376)+COUNTIF(Elan!$U$13:$X$25,Tablas!E2376)</f>
        <v>0</v>
      </c>
      <c r="K2376" s="1837"/>
      <c r="L2376" s="5025" t="s">
        <v>8638</v>
      </c>
      <c r="M2376" s="5025"/>
      <c r="N2376" s="5025"/>
      <c r="O2376" s="5025"/>
      <c r="P2376" s="5025"/>
      <c r="Q2376" s="5026"/>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98"/>
      <c r="E2377" s="2716" t="s">
        <v>8419</v>
      </c>
      <c r="F2377" s="1837"/>
      <c r="G2377" s="1837">
        <v>90</v>
      </c>
      <c r="H2377" s="1838">
        <f>IF(J2375,1,0)</f>
        <v>0</v>
      </c>
      <c r="I2377" s="1838">
        <v>10</v>
      </c>
      <c r="J2377" s="1838">
        <f>COUNTIF(Elan!$C$13:$F$25,Tablas!E2377)+COUNTIF(Elan!$U$13:$X$25,Tablas!E2377)</f>
        <v>0</v>
      </c>
      <c r="K2377" s="1837"/>
      <c r="L2377" s="5025" t="s">
        <v>8663</v>
      </c>
      <c r="M2377" s="5025"/>
      <c r="N2377" s="5025"/>
      <c r="O2377" s="5025"/>
      <c r="P2377" s="5025"/>
      <c r="Q2377" s="5026"/>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98"/>
      <c r="E2378" s="2716" t="s">
        <v>8420</v>
      </c>
      <c r="F2378" s="1837"/>
      <c r="G2378" s="1837">
        <v>100</v>
      </c>
      <c r="H2378" s="1838">
        <v>1</v>
      </c>
      <c r="I2378" s="1838">
        <v>10</v>
      </c>
      <c r="J2378" s="1838">
        <f>COUNTIF(Elan!$C$13:$F$25,Tablas!E2378)+COUNTIF(Elan!$U$13:$X$25,Tablas!E2378)</f>
        <v>0</v>
      </c>
      <c r="K2378" s="1837"/>
      <c r="L2378" s="5025" t="s">
        <v>8664</v>
      </c>
      <c r="M2378" s="5025"/>
      <c r="N2378" s="5025"/>
      <c r="O2378" s="5025"/>
      <c r="P2378" s="5025"/>
      <c r="Q2378" s="5026"/>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98"/>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98"/>
      <c r="E2380" s="2716" t="s">
        <v>8421</v>
      </c>
      <c r="F2380" s="1837"/>
      <c r="G2380" s="1837">
        <v>10</v>
      </c>
      <c r="H2380" s="1838">
        <v>1</v>
      </c>
      <c r="I2380" s="1838">
        <v>10</v>
      </c>
      <c r="J2380" s="1838">
        <f>COUNTIF(Elan!$C$13:$F$25,Tablas!E2380)+COUNTIF(Elan!$U$13:$X$25,Tablas!E2380)</f>
        <v>0</v>
      </c>
      <c r="K2380" s="1837">
        <f>F$2379*J2380</f>
        <v>0</v>
      </c>
      <c r="L2380" s="5025" t="s">
        <v>8665</v>
      </c>
      <c r="M2380" s="5025"/>
      <c r="N2380" s="5025"/>
      <c r="O2380" s="5025"/>
      <c r="P2380" s="5025"/>
      <c r="Q2380" s="5026"/>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98"/>
      <c r="E2381" s="2716" t="s">
        <v>8422</v>
      </c>
      <c r="F2381" s="1837"/>
      <c r="G2381" s="1837">
        <v>20</v>
      </c>
      <c r="H2381" s="1838">
        <v>1</v>
      </c>
      <c r="I2381" s="1838">
        <v>5</v>
      </c>
      <c r="J2381" s="1838">
        <f>COUNTIF(Elan!$C$13:$F$25,Tablas!E2381)+COUNTIF(Elan!$U$13:$X$25,Tablas!E2381)</f>
        <v>0</v>
      </c>
      <c r="K2381" s="1837"/>
      <c r="L2381" s="5025" t="s">
        <v>8669</v>
      </c>
      <c r="M2381" s="5025"/>
      <c r="N2381" s="5025"/>
      <c r="O2381" s="5025"/>
      <c r="P2381" s="5025"/>
      <c r="Q2381" s="5026"/>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98"/>
      <c r="E2382" s="2716" t="s">
        <v>8423</v>
      </c>
      <c r="F2382" s="1837"/>
      <c r="G2382" s="1837">
        <v>30</v>
      </c>
      <c r="H2382" s="1838">
        <v>1</v>
      </c>
      <c r="I2382" s="1838">
        <v>10</v>
      </c>
      <c r="J2382" s="1838">
        <f>COUNTIF(Elan!$C$13:$F$25,Tablas!E2382)+COUNTIF(Elan!$U$13:$X$25,Tablas!E2382)</f>
        <v>0</v>
      </c>
      <c r="K2382" s="1837"/>
      <c r="L2382" s="5025" t="s">
        <v>8673</v>
      </c>
      <c r="M2382" s="5025"/>
      <c r="N2382" s="5025"/>
      <c r="O2382" s="5025"/>
      <c r="P2382" s="5025"/>
      <c r="Q2382" s="5026"/>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98"/>
      <c r="E2383" s="2716" t="s">
        <v>8424</v>
      </c>
      <c r="F2383" s="1837"/>
      <c r="G2383" s="1837">
        <v>40</v>
      </c>
      <c r="H2383" s="1838">
        <v>1</v>
      </c>
      <c r="I2383" s="1838">
        <v>10</v>
      </c>
      <c r="J2383" s="1838">
        <f>COUNTIF(Elan!$C$13:$F$25,Tablas!E2383)+COUNTIF(Elan!$U$13:$X$25,Tablas!E2383)</f>
        <v>0</v>
      </c>
      <c r="K2383" s="1837"/>
      <c r="L2383" s="5025" t="s">
        <v>8676</v>
      </c>
      <c r="M2383" s="5025"/>
      <c r="N2383" s="5025"/>
      <c r="O2383" s="5025"/>
      <c r="P2383" s="5025"/>
      <c r="Q2383" s="5026"/>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98"/>
      <c r="E2384" s="2716" t="s">
        <v>1579</v>
      </c>
      <c r="F2384" s="1837"/>
      <c r="G2384" s="1837">
        <v>40</v>
      </c>
      <c r="H2384" s="1838">
        <v>1</v>
      </c>
      <c r="I2384" s="1838">
        <v>10</v>
      </c>
      <c r="J2384" s="1838">
        <f>COUNTIF(Elan!$C$13:$F$25,Tablas!E2384)+COUNTIF(Elan!$U$13:$X$25,Tablas!E2384)</f>
        <v>0</v>
      </c>
      <c r="K2384" s="1837"/>
      <c r="L2384" s="5025" t="s">
        <v>8680</v>
      </c>
      <c r="M2384" s="5025"/>
      <c r="N2384" s="5025"/>
      <c r="O2384" s="5025"/>
      <c r="P2384" s="5025"/>
      <c r="Q2384" s="5026"/>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98"/>
      <c r="E2385" s="2716" t="s">
        <v>8425</v>
      </c>
      <c r="F2385" s="1837"/>
      <c r="G2385" s="1837">
        <v>50</v>
      </c>
      <c r="H2385" s="1838">
        <v>1</v>
      </c>
      <c r="I2385" s="1838">
        <v>10</v>
      </c>
      <c r="J2385" s="1838">
        <f>COUNTIF(Elan!$C$13:$F$25,Tablas!E2385)+COUNTIF(Elan!$U$13:$X$25,Tablas!E2385)</f>
        <v>0</v>
      </c>
      <c r="K2385" s="1837"/>
      <c r="L2385" s="5025" t="s">
        <v>8683</v>
      </c>
      <c r="M2385" s="5025"/>
      <c r="N2385" s="5025"/>
      <c r="O2385" s="5025"/>
      <c r="P2385" s="5025"/>
      <c r="Q2385" s="5026"/>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98"/>
      <c r="E2386" s="2716" t="s">
        <v>8426</v>
      </c>
      <c r="F2386" s="1837"/>
      <c r="G2386" s="1837">
        <v>50</v>
      </c>
      <c r="H2386" s="1838">
        <v>1</v>
      </c>
      <c r="I2386" s="1838">
        <v>15</v>
      </c>
      <c r="J2386" s="1838">
        <f>COUNTIF(Elan!$C$13:$F$25,Tablas!E2386)+COUNTIF(Elan!$U$13:$X$25,Tablas!E2386)</f>
        <v>0</v>
      </c>
      <c r="K2386" s="1837"/>
      <c r="L2386" s="5025" t="s">
        <v>8684</v>
      </c>
      <c r="M2386" s="5025"/>
      <c r="N2386" s="5025"/>
      <c r="O2386" s="5025"/>
      <c r="P2386" s="5025"/>
      <c r="Q2386" s="5026"/>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98"/>
      <c r="E2387" s="2716" t="s">
        <v>2626</v>
      </c>
      <c r="F2387" s="1837"/>
      <c r="G2387" s="1837">
        <v>60</v>
      </c>
      <c r="H2387" s="1838">
        <v>1</v>
      </c>
      <c r="I2387" s="1838">
        <v>15</v>
      </c>
      <c r="J2387" s="1838">
        <f>COUNTIF(Elan!$C$13:$F$25,Tablas!E2387)+COUNTIF(Elan!$U$13:$X$25,Tablas!E2387)</f>
        <v>0</v>
      </c>
      <c r="K2387" s="1837"/>
      <c r="L2387" s="5025" t="s">
        <v>8685</v>
      </c>
      <c r="M2387" s="5025"/>
      <c r="N2387" s="5025"/>
      <c r="O2387" s="5025"/>
      <c r="P2387" s="5025"/>
      <c r="Q2387" s="5026"/>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98"/>
      <c r="E2388" s="2716" t="s">
        <v>8427</v>
      </c>
      <c r="F2388" s="1837"/>
      <c r="G2388" s="1837">
        <v>70</v>
      </c>
      <c r="H2388" s="1838">
        <v>1</v>
      </c>
      <c r="I2388" s="1838">
        <v>10</v>
      </c>
      <c r="J2388" s="1838">
        <f>COUNTIF(Elan!$C$13:$F$25,Tablas!E2388)+COUNTIF(Elan!$U$13:$X$25,Tablas!E2388)</f>
        <v>0</v>
      </c>
      <c r="K2388" s="1837"/>
      <c r="L2388" s="5025" t="s">
        <v>8686</v>
      </c>
      <c r="M2388" s="5025"/>
      <c r="N2388" s="5025"/>
      <c r="O2388" s="5025"/>
      <c r="P2388" s="5025"/>
      <c r="Q2388" s="5026"/>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98"/>
      <c r="E2389" s="2716" t="s">
        <v>8428</v>
      </c>
      <c r="F2389" s="1837"/>
      <c r="G2389" s="1837">
        <v>80</v>
      </c>
      <c r="H2389" s="1838">
        <v>1</v>
      </c>
      <c r="I2389" s="1838">
        <v>15</v>
      </c>
      <c r="J2389" s="1838">
        <f>COUNTIF(Elan!$C$13:$F$25,Tablas!E2389)+COUNTIF(Elan!$U$13:$X$25,Tablas!E2389)</f>
        <v>0</v>
      </c>
      <c r="K2389" s="1837"/>
      <c r="L2389" s="5025" t="s">
        <v>8687</v>
      </c>
      <c r="M2389" s="5025"/>
      <c r="N2389" s="5025"/>
      <c r="O2389" s="5025"/>
      <c r="P2389" s="5025"/>
      <c r="Q2389" s="5026"/>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98"/>
      <c r="E2390" s="2716" t="s">
        <v>8429</v>
      </c>
      <c r="F2390" s="1837"/>
      <c r="G2390" s="1837">
        <v>90</v>
      </c>
      <c r="H2390" s="1838">
        <v>1</v>
      </c>
      <c r="I2390" s="1838">
        <v>20</v>
      </c>
      <c r="J2390" s="1838">
        <f>COUNTIF(Elan!$C$13:$F$25,Tablas!E2390)+COUNTIF(Elan!$U$13:$X$25,Tablas!E2390)</f>
        <v>0</v>
      </c>
      <c r="K2390" s="1837"/>
      <c r="L2390" s="5025" t="s">
        <v>8688</v>
      </c>
      <c r="M2390" s="5025"/>
      <c r="N2390" s="5025"/>
      <c r="O2390" s="5025"/>
      <c r="P2390" s="5025"/>
      <c r="Q2390" s="5026"/>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98"/>
      <c r="E2391" s="2716" t="s">
        <v>8430</v>
      </c>
      <c r="F2391" s="1837"/>
      <c r="G2391" s="1837">
        <v>100</v>
      </c>
      <c r="H2391" s="1838">
        <v>1</v>
      </c>
      <c r="I2391" s="1838">
        <v>10</v>
      </c>
      <c r="J2391" s="1838">
        <f>COUNTIF(Elan!$C$13:$F$25,Tablas!E2391)+COUNTIF(Elan!$U$13:$X$25,Tablas!E2391)</f>
        <v>0</v>
      </c>
      <c r="K2391" s="1837"/>
      <c r="L2391" s="5025" t="s">
        <v>8689</v>
      </c>
      <c r="M2391" s="5025"/>
      <c r="N2391" s="5025"/>
      <c r="O2391" s="5025"/>
      <c r="P2391" s="5025"/>
      <c r="Q2391" s="5026"/>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98"/>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98"/>
      <c r="E2393" s="2716" t="s">
        <v>8431</v>
      </c>
      <c r="F2393" s="1837"/>
      <c r="G2393" s="1837">
        <v>10</v>
      </c>
      <c r="H2393" s="1838">
        <v>1</v>
      </c>
      <c r="I2393" s="1838">
        <v>5</v>
      </c>
      <c r="J2393" s="1838">
        <f>COUNTIF(Elan!$C$13:$F$25,Tablas!E2393)+COUNTIF(Elan!$U$13:$X$25,Tablas!E2393)</f>
        <v>0</v>
      </c>
      <c r="K2393" s="1837"/>
      <c r="L2393" s="5025" t="s">
        <v>8690</v>
      </c>
      <c r="M2393" s="5025"/>
      <c r="N2393" s="5025"/>
      <c r="O2393" s="5025"/>
      <c r="P2393" s="5025"/>
      <c r="Q2393" s="5026"/>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98"/>
      <c r="E2394" s="2716" t="s">
        <v>8432</v>
      </c>
      <c r="F2394" s="1837"/>
      <c r="G2394" s="1837">
        <v>20</v>
      </c>
      <c r="H2394" s="1838">
        <v>1</v>
      </c>
      <c r="I2394" s="1838">
        <v>10</v>
      </c>
      <c r="J2394" s="1838">
        <f>COUNTIF(Elan!$C$13:$F$25,Tablas!E2394)+COUNTIF(Elan!$U$13:$X$25,Tablas!E2394)</f>
        <v>0</v>
      </c>
      <c r="K2394" s="1837"/>
      <c r="L2394" s="5025" t="s">
        <v>8694</v>
      </c>
      <c r="M2394" s="5025"/>
      <c r="N2394" s="5025"/>
      <c r="O2394" s="5025"/>
      <c r="P2394" s="5025"/>
      <c r="Q2394" s="5026"/>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98"/>
      <c r="E2395" s="2716" t="s">
        <v>8433</v>
      </c>
      <c r="F2395" s="1837"/>
      <c r="G2395" s="1837">
        <v>20</v>
      </c>
      <c r="H2395" s="1838">
        <v>1</v>
      </c>
      <c r="I2395" s="1838">
        <v>5</v>
      </c>
      <c r="J2395" s="1838">
        <f>COUNTIF(Elan!$C$13:$F$25,Tablas!E2395)+COUNTIF(Elan!$U$13:$X$25,Tablas!E2395)</f>
        <v>0</v>
      </c>
      <c r="K2395" s="1837">
        <f>ROUNDDOWN(F$2392/2,0)*J2395</f>
        <v>0</v>
      </c>
      <c r="L2395" s="5025" t="s">
        <v>8698</v>
      </c>
      <c r="M2395" s="5025"/>
      <c r="N2395" s="5025"/>
      <c r="O2395" s="5025"/>
      <c r="P2395" s="5025"/>
      <c r="Q2395" s="5026"/>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98"/>
      <c r="E2396" s="2716" t="s">
        <v>2078</v>
      </c>
      <c r="F2396" s="1837"/>
      <c r="G2396" s="1837">
        <v>30</v>
      </c>
      <c r="H2396" s="1838">
        <v>1</v>
      </c>
      <c r="I2396" s="1838">
        <v>5</v>
      </c>
      <c r="J2396" s="1838">
        <f>COUNTIF(Elan!$C$13:$F$25,Tablas!E2396)+COUNTIF(Elan!$U$13:$X$25,Tablas!E2396)</f>
        <v>0</v>
      </c>
      <c r="K2396" s="1837"/>
      <c r="L2396" s="5025" t="s">
        <v>8702</v>
      </c>
      <c r="M2396" s="5025"/>
      <c r="N2396" s="5025"/>
      <c r="O2396" s="5025"/>
      <c r="P2396" s="5025"/>
      <c r="Q2396" s="5026"/>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98"/>
      <c r="E2397" s="2716" t="s">
        <v>8434</v>
      </c>
      <c r="F2397" s="1837"/>
      <c r="G2397" s="1837">
        <v>40</v>
      </c>
      <c r="H2397" s="1838">
        <v>1</v>
      </c>
      <c r="I2397" s="1838">
        <v>10</v>
      </c>
      <c r="J2397" s="1838">
        <f>COUNTIF(Elan!$C$13:$F$25,Tablas!E2397)+COUNTIF(Elan!$U$13:$X$25,Tablas!E2397)</f>
        <v>0</v>
      </c>
      <c r="K2397" s="1837"/>
      <c r="L2397" s="5025" t="s">
        <v>8705</v>
      </c>
      <c r="M2397" s="5025"/>
      <c r="N2397" s="5025"/>
      <c r="O2397" s="5025"/>
      <c r="P2397" s="5025"/>
      <c r="Q2397" s="5026"/>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98"/>
      <c r="E2398" s="2716" t="s">
        <v>8435</v>
      </c>
      <c r="F2398" s="1837"/>
      <c r="G2398" s="1837">
        <v>50</v>
      </c>
      <c r="H2398" s="1838">
        <v>1</v>
      </c>
      <c r="I2398" s="1838">
        <v>15</v>
      </c>
      <c r="J2398" s="1838">
        <f>COUNTIF(Elan!$C$13:$F$25,Tablas!E2398)+COUNTIF(Elan!$U$13:$X$25,Tablas!E2398)</f>
        <v>0</v>
      </c>
      <c r="K2398" s="1837"/>
      <c r="L2398" s="5025" t="s">
        <v>8707</v>
      </c>
      <c r="M2398" s="5025"/>
      <c r="N2398" s="5025"/>
      <c r="O2398" s="5025"/>
      <c r="P2398" s="5025"/>
      <c r="Q2398" s="5026"/>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98"/>
      <c r="E2399" s="2716" t="s">
        <v>8436</v>
      </c>
      <c r="F2399" s="1837"/>
      <c r="G2399" s="1837">
        <v>60</v>
      </c>
      <c r="H2399" s="1838">
        <v>1</v>
      </c>
      <c r="I2399" s="1838">
        <v>10</v>
      </c>
      <c r="J2399" s="1838">
        <f>COUNTIF(Elan!$C$13:$F$25,Tablas!E2399)+COUNTIF(Elan!$U$13:$X$25,Tablas!E2399)</f>
        <v>0</v>
      </c>
      <c r="K2399" s="1837"/>
      <c r="L2399" s="5025" t="s">
        <v>8708</v>
      </c>
      <c r="M2399" s="5025"/>
      <c r="N2399" s="5025"/>
      <c r="O2399" s="5025"/>
      <c r="P2399" s="5025"/>
      <c r="Q2399" s="5026"/>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98"/>
      <c r="E2400" s="2716" t="s">
        <v>8437</v>
      </c>
      <c r="F2400" s="1837"/>
      <c r="G2400" s="1837">
        <v>70</v>
      </c>
      <c r="H2400" s="1838">
        <v>1</v>
      </c>
      <c r="I2400" s="1838">
        <v>15</v>
      </c>
      <c r="J2400" s="1838">
        <f>COUNTIF(Elan!$C$13:$F$25,Tablas!E2400)+COUNTIF(Elan!$U$13:$X$25,Tablas!E2400)</f>
        <v>0</v>
      </c>
      <c r="K2400" s="1837"/>
      <c r="L2400" s="5025" t="s">
        <v>8709</v>
      </c>
      <c r="M2400" s="5025"/>
      <c r="N2400" s="5025"/>
      <c r="O2400" s="5025"/>
      <c r="P2400" s="5025"/>
      <c r="Q2400" s="5026"/>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98"/>
      <c r="E2401" s="2716" t="s">
        <v>8438</v>
      </c>
      <c r="F2401" s="1837"/>
      <c r="G2401" s="1837">
        <v>70</v>
      </c>
      <c r="H2401" s="1838">
        <v>1</v>
      </c>
      <c r="I2401" s="1838">
        <v>10</v>
      </c>
      <c r="J2401" s="1838">
        <f>COUNTIF(Elan!$C$13:$F$25,Tablas!E2401)+COUNTIF(Elan!$U$13:$X$25,Tablas!E2401)</f>
        <v>0</v>
      </c>
      <c r="K2401" s="1837"/>
      <c r="L2401" s="5025" t="s">
        <v>8710</v>
      </c>
      <c r="M2401" s="5025"/>
      <c r="N2401" s="5025"/>
      <c r="O2401" s="5025"/>
      <c r="P2401" s="5025"/>
      <c r="Q2401" s="5026"/>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98"/>
      <c r="E2402" s="2716" t="s">
        <v>8439</v>
      </c>
      <c r="F2402" s="1837"/>
      <c r="G2402" s="1837">
        <v>80</v>
      </c>
      <c r="H2402" s="1838">
        <f>IF(J2396,1,0)</f>
        <v>0</v>
      </c>
      <c r="I2402" s="1838">
        <v>20</v>
      </c>
      <c r="J2402" s="1838">
        <f>COUNTIF(Elan!$C$13:$F$25,Tablas!E2402)+COUNTIF(Elan!$U$13:$X$25,Tablas!E2402)</f>
        <v>0</v>
      </c>
      <c r="K2402" s="1837"/>
      <c r="L2402" s="5025" t="s">
        <v>8711</v>
      </c>
      <c r="M2402" s="5025"/>
      <c r="N2402" s="5025"/>
      <c r="O2402" s="5025"/>
      <c r="P2402" s="5025"/>
      <c r="Q2402" s="5026"/>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98"/>
      <c r="E2403" s="2716" t="s">
        <v>8440</v>
      </c>
      <c r="F2403" s="1837"/>
      <c r="G2403" s="1837">
        <v>90</v>
      </c>
      <c r="H2403" s="1838">
        <v>1</v>
      </c>
      <c r="I2403" s="1838">
        <v>15</v>
      </c>
      <c r="J2403" s="1838">
        <f>COUNTIF(Elan!$C$13:$F$25,Tablas!E2403)+COUNTIF(Elan!$U$13:$X$25,Tablas!E2403)</f>
        <v>0</v>
      </c>
      <c r="K2403" s="1837"/>
      <c r="L2403" s="5025" t="s">
        <v>8712</v>
      </c>
      <c r="M2403" s="5025"/>
      <c r="N2403" s="5025"/>
      <c r="O2403" s="5025"/>
      <c r="P2403" s="5025"/>
      <c r="Q2403" s="5026"/>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98"/>
      <c r="E2404" s="2716" t="s">
        <v>8441</v>
      </c>
      <c r="F2404" s="1837"/>
      <c r="G2404" s="1837">
        <v>100</v>
      </c>
      <c r="H2404" s="1838">
        <v>1</v>
      </c>
      <c r="I2404" s="1838">
        <v>10</v>
      </c>
      <c r="J2404" s="1838">
        <f>COUNTIF(Elan!$C$13:$F$25,Tablas!E2404)+COUNTIF(Elan!$U$13:$X$25,Tablas!E2404)</f>
        <v>0</v>
      </c>
      <c r="K2404" s="1837"/>
      <c r="L2404" s="5025" t="s">
        <v>8713</v>
      </c>
      <c r="M2404" s="5025"/>
      <c r="N2404" s="5025"/>
      <c r="O2404" s="5025"/>
      <c r="P2404" s="5025"/>
      <c r="Q2404" s="5026"/>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98"/>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98"/>
      <c r="E2406" s="2716" t="s">
        <v>8442</v>
      </c>
      <c r="F2406" s="1837"/>
      <c r="G2406" s="1837">
        <v>10</v>
      </c>
      <c r="H2406" s="1838">
        <v>1</v>
      </c>
      <c r="I2406" s="1838">
        <v>5</v>
      </c>
      <c r="J2406" s="1838">
        <f>COUNTIF(Elan!$C$13:$F$25,Tablas!E2406)+COUNTIF(Elan!$U$13:$X$25,Tablas!E2406)</f>
        <v>0</v>
      </c>
      <c r="K2406" s="1837">
        <f>F$2405*J2406</f>
        <v>0</v>
      </c>
      <c r="L2406" s="5025" t="s">
        <v>8714</v>
      </c>
      <c r="M2406" s="5025"/>
      <c r="N2406" s="5025"/>
      <c r="O2406" s="5025"/>
      <c r="P2406" s="5025"/>
      <c r="Q2406" s="5026"/>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98"/>
      <c r="E2407" s="2716" t="s">
        <v>8443</v>
      </c>
      <c r="F2407" s="1837"/>
      <c r="G2407" s="1837">
        <v>20</v>
      </c>
      <c r="H2407" s="1838">
        <v>1</v>
      </c>
      <c r="I2407" s="1838">
        <v>5</v>
      </c>
      <c r="J2407" s="1838">
        <f>COUNTIF(Elan!$C$13:$F$25,Tablas!E2407)+COUNTIF(Elan!$U$13:$X$25,Tablas!E2407)</f>
        <v>0</v>
      </c>
      <c r="K2407" s="1837">
        <f>F$2405*J2407</f>
        <v>0</v>
      </c>
      <c r="L2407" s="5025" t="s">
        <v>8718</v>
      </c>
      <c r="M2407" s="5025"/>
      <c r="N2407" s="5025"/>
      <c r="O2407" s="5025"/>
      <c r="P2407" s="5025"/>
      <c r="Q2407" s="5026"/>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98"/>
      <c r="E2408" s="2716" t="s">
        <v>8444</v>
      </c>
      <c r="F2408" s="1837"/>
      <c r="G2408" s="1837">
        <v>20</v>
      </c>
      <c r="H2408" s="1838">
        <v>1</v>
      </c>
      <c r="I2408" s="1838">
        <v>10</v>
      </c>
      <c r="J2408" s="1838">
        <f>COUNTIF(Elan!$C$13:$F$25,Tablas!E2408)+COUNTIF(Elan!$U$13:$X$25,Tablas!E2408)</f>
        <v>0</v>
      </c>
      <c r="K2408" s="1837"/>
      <c r="L2408" s="5025" t="s">
        <v>8721</v>
      </c>
      <c r="M2408" s="5025"/>
      <c r="N2408" s="5025"/>
      <c r="O2408" s="5025"/>
      <c r="P2408" s="5025"/>
      <c r="Q2408" s="5026"/>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98"/>
      <c r="E2409" s="2716" t="s">
        <v>8445</v>
      </c>
      <c r="F2409" s="1837"/>
      <c r="G2409" s="1837">
        <v>30</v>
      </c>
      <c r="H2409" s="1838">
        <v>1</v>
      </c>
      <c r="I2409" s="1838">
        <v>5</v>
      </c>
      <c r="J2409" s="1838">
        <f>COUNTIF(Elan!$C$13:$F$25,Tablas!E2409)+COUNTIF(Elan!$U$13:$X$25,Tablas!E2409)</f>
        <v>0</v>
      </c>
      <c r="K2409" s="1837"/>
      <c r="L2409" s="5025" t="s">
        <v>8725</v>
      </c>
      <c r="M2409" s="5025"/>
      <c r="N2409" s="5025"/>
      <c r="O2409" s="5025"/>
      <c r="P2409" s="5025"/>
      <c r="Q2409" s="5026"/>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98"/>
      <c r="E2410" s="2716" t="s">
        <v>8446</v>
      </c>
      <c r="F2410" s="1837"/>
      <c r="G2410" s="1837">
        <v>40</v>
      </c>
      <c r="H2410" s="1838">
        <v>1</v>
      </c>
      <c r="I2410" s="1838">
        <v>10</v>
      </c>
      <c r="J2410" s="1838">
        <f>COUNTIF(Elan!$C$13:$F$25,Tablas!E2410)+COUNTIF(Elan!$U$13:$X$25,Tablas!E2410)</f>
        <v>0</v>
      </c>
      <c r="K2410" s="1837"/>
      <c r="L2410" s="5025" t="s">
        <v>8727</v>
      </c>
      <c r="M2410" s="5025"/>
      <c r="N2410" s="5025"/>
      <c r="O2410" s="5025"/>
      <c r="P2410" s="5025"/>
      <c r="Q2410" s="5026"/>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98"/>
      <c r="E2411" s="2716" t="s">
        <v>8447</v>
      </c>
      <c r="F2411" s="1837"/>
      <c r="G2411" s="1837">
        <v>50</v>
      </c>
      <c r="H2411" s="1838">
        <v>1</v>
      </c>
      <c r="I2411" s="1838">
        <v>20</v>
      </c>
      <c r="J2411" s="1838">
        <f>COUNTIF(Elan!$C$13:$F$25,Tablas!E2411)+COUNTIF(Elan!$U$13:$X$25,Tablas!E2411)</f>
        <v>0</v>
      </c>
      <c r="K2411" s="1837"/>
      <c r="L2411" s="5025" t="s">
        <v>8729</v>
      </c>
      <c r="M2411" s="5025"/>
      <c r="N2411" s="5025"/>
      <c r="O2411" s="5025"/>
      <c r="P2411" s="5025"/>
      <c r="Q2411" s="5026"/>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98"/>
      <c r="E2412" s="2716" t="s">
        <v>8448</v>
      </c>
      <c r="F2412" s="1837"/>
      <c r="G2412" s="1837">
        <v>50</v>
      </c>
      <c r="H2412" s="1838">
        <f>IF(J2408,1,0)</f>
        <v>0</v>
      </c>
      <c r="I2412" s="1838">
        <v>15</v>
      </c>
      <c r="J2412" s="1838">
        <f>COUNTIF(Elan!$C$13:$F$25,Tablas!E2412)+COUNTIF(Elan!$U$13:$X$25,Tablas!E2412)</f>
        <v>0</v>
      </c>
      <c r="K2412" s="1837"/>
      <c r="L2412" s="5025" t="s">
        <v>8730</v>
      </c>
      <c r="M2412" s="5025"/>
      <c r="N2412" s="5025"/>
      <c r="O2412" s="5025"/>
      <c r="P2412" s="5025"/>
      <c r="Q2412" s="5026"/>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98"/>
      <c r="E2413" s="2716" t="s">
        <v>8449</v>
      </c>
      <c r="F2413" s="1837"/>
      <c r="G2413" s="1837">
        <v>60</v>
      </c>
      <c r="H2413" s="1838">
        <v>1</v>
      </c>
      <c r="I2413" s="1838">
        <v>10</v>
      </c>
      <c r="J2413" s="1838">
        <f>COUNTIF(Elan!$C$13:$F$25,Tablas!E2413)+COUNTIF(Elan!$U$13:$X$25,Tablas!E2413)</f>
        <v>0</v>
      </c>
      <c r="K2413" s="1837"/>
      <c r="L2413" s="5025" t="s">
        <v>8731</v>
      </c>
      <c r="M2413" s="5025"/>
      <c r="N2413" s="5025"/>
      <c r="O2413" s="5025"/>
      <c r="P2413" s="5025"/>
      <c r="Q2413" s="5026"/>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98"/>
      <c r="E2414" s="2716" t="s">
        <v>8450</v>
      </c>
      <c r="F2414" s="1837"/>
      <c r="G2414" s="1837">
        <v>60</v>
      </c>
      <c r="H2414" s="1838">
        <v>1</v>
      </c>
      <c r="I2414" s="1838">
        <v>10</v>
      </c>
      <c r="J2414" s="1838">
        <f>COUNTIF(Elan!$C$13:$F$25,Tablas!E2414)+COUNTIF(Elan!$U$13:$X$25,Tablas!E2414)</f>
        <v>0</v>
      </c>
      <c r="K2414" s="1837"/>
      <c r="L2414" s="5025" t="s">
        <v>8732</v>
      </c>
      <c r="M2414" s="5025"/>
      <c r="N2414" s="5025"/>
      <c r="O2414" s="5025"/>
      <c r="P2414" s="5025"/>
      <c r="Q2414" s="5026"/>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98"/>
      <c r="E2415" s="2716" t="s">
        <v>8451</v>
      </c>
      <c r="F2415" s="1837"/>
      <c r="G2415" s="1837">
        <v>70</v>
      </c>
      <c r="H2415" s="1838">
        <v>1</v>
      </c>
      <c r="I2415" s="1838">
        <v>10</v>
      </c>
      <c r="J2415" s="1838">
        <f>COUNTIF(Elan!$C$13:$F$25,Tablas!E2415)+COUNTIF(Elan!$U$13:$X$25,Tablas!E2415)</f>
        <v>0</v>
      </c>
      <c r="K2415" s="1837"/>
      <c r="L2415" s="5025" t="s">
        <v>8733</v>
      </c>
      <c r="M2415" s="5025"/>
      <c r="N2415" s="5025"/>
      <c r="O2415" s="5025"/>
      <c r="P2415" s="5025"/>
      <c r="Q2415" s="5026"/>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98"/>
      <c r="E2416" s="2716" t="s">
        <v>8452</v>
      </c>
      <c r="F2416" s="1837"/>
      <c r="G2416" s="1837">
        <v>80</v>
      </c>
      <c r="H2416" s="1838">
        <f>IF(J2415,1,0)</f>
        <v>0</v>
      </c>
      <c r="I2416" s="1838">
        <v>10</v>
      </c>
      <c r="J2416" s="1838">
        <f>COUNTIF(Elan!$C$13:$F$25,Tablas!E2416)+COUNTIF(Elan!$U$13:$X$25,Tablas!E2416)</f>
        <v>0</v>
      </c>
      <c r="K2416" s="1837"/>
      <c r="L2416" s="5025" t="s">
        <v>8734</v>
      </c>
      <c r="M2416" s="5025"/>
      <c r="N2416" s="5025"/>
      <c r="O2416" s="5025"/>
      <c r="P2416" s="5025"/>
      <c r="Q2416" s="5026"/>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98"/>
      <c r="E2417" s="2716" t="s">
        <v>8453</v>
      </c>
      <c r="F2417" s="1837"/>
      <c r="G2417" s="1837">
        <v>90</v>
      </c>
      <c r="H2417" s="1838">
        <f>IF(J2412,1,0)</f>
        <v>0</v>
      </c>
      <c r="I2417" s="1838">
        <v>20</v>
      </c>
      <c r="J2417" s="1838">
        <f>COUNTIF(Elan!$C$13:$F$25,Tablas!E2417)+COUNTIF(Elan!$U$13:$X$25,Tablas!E2417)</f>
        <v>0</v>
      </c>
      <c r="K2417" s="1837"/>
      <c r="L2417" s="5025" t="s">
        <v>8735</v>
      </c>
      <c r="M2417" s="5025"/>
      <c r="N2417" s="5025"/>
      <c r="O2417" s="5025"/>
      <c r="P2417" s="5025"/>
      <c r="Q2417" s="5026"/>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98"/>
      <c r="E2418" s="2716" t="s">
        <v>8454</v>
      </c>
      <c r="F2418" s="1837"/>
      <c r="G2418" s="1837">
        <v>100</v>
      </c>
      <c r="H2418" s="1838">
        <v>1</v>
      </c>
      <c r="I2418" s="1838">
        <v>10</v>
      </c>
      <c r="J2418" s="1838">
        <f>COUNTIF(Elan!$C$13:$F$25,Tablas!E2418)+COUNTIF(Elan!$U$13:$X$25,Tablas!E2418)</f>
        <v>0</v>
      </c>
      <c r="K2418" s="1837"/>
      <c r="L2418" s="5025" t="s">
        <v>8736</v>
      </c>
      <c r="M2418" s="5025"/>
      <c r="N2418" s="5025"/>
      <c r="O2418" s="5025"/>
      <c r="P2418" s="5025"/>
      <c r="Q2418" s="5026"/>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98"/>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98"/>
      <c r="E2420" s="2716" t="s">
        <v>8455</v>
      </c>
      <c r="F2420" s="1837"/>
      <c r="G2420" s="1837">
        <v>10</v>
      </c>
      <c r="H2420" s="1838">
        <v>1</v>
      </c>
      <c r="I2420" s="1838">
        <v>5</v>
      </c>
      <c r="J2420" s="1838">
        <f>COUNTIF(Elan!$C$13:$F$25,Tablas!E2420)+COUNTIF(Elan!$U$13:$X$25,Tablas!E2420)</f>
        <v>0</v>
      </c>
      <c r="K2420" s="1837">
        <f>F$2419*J2420</f>
        <v>0</v>
      </c>
      <c r="L2420" s="5025" t="s">
        <v>8737</v>
      </c>
      <c r="M2420" s="5025"/>
      <c r="N2420" s="5025"/>
      <c r="O2420" s="5025"/>
      <c r="P2420" s="5025"/>
      <c r="Q2420" s="5026"/>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98"/>
      <c r="E2421" s="2716" t="s">
        <v>8456</v>
      </c>
      <c r="F2421" s="1837"/>
      <c r="G2421" s="1837">
        <v>20</v>
      </c>
      <c r="H2421" s="1838">
        <v>1</v>
      </c>
      <c r="I2421" s="1838">
        <v>5</v>
      </c>
      <c r="J2421" s="1838">
        <f>COUNTIF(Elan!$C$13:$F$25,Tablas!E2421)+COUNTIF(Elan!$U$13:$X$25,Tablas!E2421)</f>
        <v>0</v>
      </c>
      <c r="K2421" s="1837">
        <f>F$2419*J2421</f>
        <v>0</v>
      </c>
      <c r="L2421" s="5025" t="s">
        <v>8741</v>
      </c>
      <c r="M2421" s="5025"/>
      <c r="N2421" s="5025"/>
      <c r="O2421" s="5025"/>
      <c r="P2421" s="5025"/>
      <c r="Q2421" s="5026"/>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98"/>
      <c r="E2422" s="2716" t="s">
        <v>8457</v>
      </c>
      <c r="F2422" s="1837"/>
      <c r="G2422" s="1837">
        <v>30</v>
      </c>
      <c r="H2422" s="1838">
        <v>1</v>
      </c>
      <c r="I2422" s="1838">
        <v>5</v>
      </c>
      <c r="J2422" s="1838">
        <f>COUNTIF(Elan!$C$13:$F$25,Tablas!E2422)+COUNTIF(Elan!$U$13:$X$25,Tablas!E2422)</f>
        <v>0</v>
      </c>
      <c r="K2422" s="1837"/>
      <c r="L2422" s="5025" t="s">
        <v>8745</v>
      </c>
      <c r="M2422" s="5025"/>
      <c r="N2422" s="5025"/>
      <c r="O2422" s="5025"/>
      <c r="P2422" s="5025"/>
      <c r="Q2422" s="5026"/>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98"/>
      <c r="E2423" s="2716" t="s">
        <v>8458</v>
      </c>
      <c r="F2423" s="1837"/>
      <c r="G2423" s="1837">
        <v>40</v>
      </c>
      <c r="H2423" s="1838">
        <v>1</v>
      </c>
      <c r="I2423" s="1838">
        <v>10</v>
      </c>
      <c r="J2423" s="1838">
        <f>COUNTIF(Elan!$C$13:$F$25,Tablas!E2423)+COUNTIF(Elan!$U$13:$X$25,Tablas!E2423)</f>
        <v>0</v>
      </c>
      <c r="K2423" s="1837"/>
      <c r="L2423" s="5025" t="s">
        <v>8748</v>
      </c>
      <c r="M2423" s="5025"/>
      <c r="N2423" s="5025"/>
      <c r="O2423" s="5025"/>
      <c r="P2423" s="5025"/>
      <c r="Q2423" s="5026"/>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98"/>
      <c r="E2424" s="2716" t="s">
        <v>8459</v>
      </c>
      <c r="F2424" s="1837"/>
      <c r="G2424" s="1837">
        <v>50</v>
      </c>
      <c r="H2424" s="1838">
        <v>1</v>
      </c>
      <c r="I2424" s="1838">
        <v>15</v>
      </c>
      <c r="J2424" s="1838">
        <f>COUNTIF(Elan!$C$13:$F$25,Tablas!E2424)+COUNTIF(Elan!$U$13:$X$25,Tablas!E2424)</f>
        <v>0</v>
      </c>
      <c r="K2424" s="1837"/>
      <c r="L2424" s="5025" t="s">
        <v>8750</v>
      </c>
      <c r="M2424" s="5025"/>
      <c r="N2424" s="5025"/>
      <c r="O2424" s="5025"/>
      <c r="P2424" s="5025"/>
      <c r="Q2424" s="5026"/>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98"/>
      <c r="E2425" s="2716" t="s">
        <v>8460</v>
      </c>
      <c r="F2425" s="1837"/>
      <c r="G2425" s="1837">
        <v>60</v>
      </c>
      <c r="H2425" s="1838">
        <v>1</v>
      </c>
      <c r="I2425" s="1838">
        <v>10</v>
      </c>
      <c r="J2425" s="1838">
        <f>COUNTIF(Elan!$C$13:$F$25,Tablas!E2425)+COUNTIF(Elan!$U$13:$X$25,Tablas!E2425)</f>
        <v>0</v>
      </c>
      <c r="K2425" s="1837"/>
      <c r="L2425" s="5025" t="s">
        <v>8752</v>
      </c>
      <c r="M2425" s="5025"/>
      <c r="N2425" s="5025"/>
      <c r="O2425" s="5025"/>
      <c r="P2425" s="5025"/>
      <c r="Q2425" s="5026"/>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98"/>
      <c r="E2426" s="2716" t="s">
        <v>8461</v>
      </c>
      <c r="F2426" s="1837"/>
      <c r="G2426" s="1837">
        <v>60</v>
      </c>
      <c r="H2426" s="1838">
        <v>1</v>
      </c>
      <c r="I2426" s="1838">
        <v>10</v>
      </c>
      <c r="J2426" s="1838">
        <f>COUNTIF(Elan!$C$13:$F$25,Tablas!E2426)+COUNTIF(Elan!$U$13:$X$25,Tablas!E2426)</f>
        <v>0</v>
      </c>
      <c r="K2426" s="1837"/>
      <c r="L2426" s="5025" t="s">
        <v>8754</v>
      </c>
      <c r="M2426" s="5025"/>
      <c r="N2426" s="5025"/>
      <c r="O2426" s="5025"/>
      <c r="P2426" s="5025"/>
      <c r="Q2426" s="5026"/>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98"/>
      <c r="E2427" s="2716" t="s">
        <v>8462</v>
      </c>
      <c r="F2427" s="1837"/>
      <c r="G2427" s="1837">
        <v>70</v>
      </c>
      <c r="H2427" s="1838">
        <v>1</v>
      </c>
      <c r="I2427" s="1838">
        <v>20</v>
      </c>
      <c r="J2427" s="1838">
        <f>COUNTIF(Elan!$C$13:$F$25,Tablas!E2427)+COUNTIF(Elan!$U$13:$X$25,Tablas!E2427)</f>
        <v>0</v>
      </c>
      <c r="K2427" s="1837"/>
      <c r="L2427" s="5025" t="s">
        <v>8755</v>
      </c>
      <c r="M2427" s="5025"/>
      <c r="N2427" s="5025"/>
      <c r="O2427" s="5025"/>
      <c r="P2427" s="5025"/>
      <c r="Q2427" s="5026"/>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98"/>
      <c r="E2428" s="2716" t="s">
        <v>8463</v>
      </c>
      <c r="F2428" s="1837"/>
      <c r="G2428" s="1837">
        <v>80</v>
      </c>
      <c r="H2428" s="1838">
        <v>1</v>
      </c>
      <c r="I2428" s="1838">
        <v>15</v>
      </c>
      <c r="J2428" s="1838">
        <f>COUNTIF(Elan!$C$13:$F$25,Tablas!E2428)+COUNTIF(Elan!$U$13:$X$25,Tablas!E2428)</f>
        <v>0</v>
      </c>
      <c r="K2428" s="1837"/>
      <c r="L2428" s="5025" t="s">
        <v>8756</v>
      </c>
      <c r="M2428" s="5025"/>
      <c r="N2428" s="5025"/>
      <c r="O2428" s="5025"/>
      <c r="P2428" s="5025"/>
      <c r="Q2428" s="5026"/>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98"/>
      <c r="E2429" s="2716" t="s">
        <v>8464</v>
      </c>
      <c r="F2429" s="1837"/>
      <c r="G2429" s="1837">
        <v>90</v>
      </c>
      <c r="H2429" s="1838">
        <f>IF(J2427,1,0)</f>
        <v>0</v>
      </c>
      <c r="I2429" s="1838">
        <v>10</v>
      </c>
      <c r="J2429" s="1838">
        <f>COUNTIF(Elan!$C$13:$F$25,Tablas!E2429)+COUNTIF(Elan!$U$13:$X$25,Tablas!E2429)</f>
        <v>0</v>
      </c>
      <c r="K2429" s="1837"/>
      <c r="L2429" s="5025" t="s">
        <v>8757</v>
      </c>
      <c r="M2429" s="5025"/>
      <c r="N2429" s="5025"/>
      <c r="O2429" s="5025"/>
      <c r="P2429" s="5025"/>
      <c r="Q2429" s="5026"/>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98"/>
      <c r="E2430" s="2716" t="s">
        <v>8465</v>
      </c>
      <c r="F2430" s="1837"/>
      <c r="G2430" s="1837">
        <v>100</v>
      </c>
      <c r="H2430" s="1838">
        <v>1</v>
      </c>
      <c r="I2430" s="1838">
        <v>10</v>
      </c>
      <c r="J2430" s="1838">
        <f>COUNTIF(Elan!$C$13:$F$25,Tablas!E2430)+COUNTIF(Elan!$U$13:$X$25,Tablas!E2430)</f>
        <v>0</v>
      </c>
      <c r="K2430" s="1837"/>
      <c r="L2430" s="5025" t="s">
        <v>8758</v>
      </c>
      <c r="M2430" s="5025"/>
      <c r="N2430" s="5025"/>
      <c r="O2430" s="5025"/>
      <c r="P2430" s="5025"/>
      <c r="Q2430" s="5026"/>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98"/>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98"/>
      <c r="E2432" s="2716" t="s">
        <v>8466</v>
      </c>
      <c r="F2432" s="1837"/>
      <c r="G2432" s="1837">
        <v>10</v>
      </c>
      <c r="H2432" s="1838">
        <v>1</v>
      </c>
      <c r="I2432" s="1838">
        <v>5</v>
      </c>
      <c r="J2432" s="1838">
        <f>COUNTIF(Elan!$C$13:$F$25,Tablas!E2432)+COUNTIF(Elan!$U$13:$X$25,Tablas!E2432)</f>
        <v>0</v>
      </c>
      <c r="K2432" s="1837">
        <f>F$2431*J2432</f>
        <v>0</v>
      </c>
      <c r="L2432" s="5025" t="s">
        <v>8759</v>
      </c>
      <c r="M2432" s="5025"/>
      <c r="N2432" s="5025"/>
      <c r="O2432" s="5025"/>
      <c r="P2432" s="5025"/>
      <c r="Q2432" s="5026"/>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98"/>
      <c r="E2433" s="2716" t="s">
        <v>8467</v>
      </c>
      <c r="F2433" s="1837"/>
      <c r="G2433" s="1837">
        <v>20</v>
      </c>
      <c r="H2433" s="1838">
        <v>1</v>
      </c>
      <c r="I2433" s="1838">
        <v>5</v>
      </c>
      <c r="J2433" s="1838">
        <f>COUNTIF(Elan!$C$13:$F$25,Tablas!E2433)+COUNTIF(Elan!$U$13:$X$25,Tablas!E2433)</f>
        <v>0</v>
      </c>
      <c r="K2433" s="1837">
        <f>F$2431*J2433</f>
        <v>0</v>
      </c>
      <c r="L2433" s="5025" t="s">
        <v>8763</v>
      </c>
      <c r="M2433" s="5025"/>
      <c r="N2433" s="5025"/>
      <c r="O2433" s="5025"/>
      <c r="P2433" s="5025"/>
      <c r="Q2433" s="5026"/>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98"/>
      <c r="E2434" s="2716" t="s">
        <v>8468</v>
      </c>
      <c r="F2434" s="1837"/>
      <c r="G2434" s="1837">
        <v>30</v>
      </c>
      <c r="H2434" s="1838">
        <v>1</v>
      </c>
      <c r="I2434" s="1838">
        <v>10</v>
      </c>
      <c r="J2434" s="1838">
        <f>COUNTIF(Elan!$C$13:$F$25,Tablas!E2434)+COUNTIF(Elan!$U$13:$X$25,Tablas!E2434)</f>
        <v>0</v>
      </c>
      <c r="K2434" s="1837"/>
      <c r="L2434" s="5025" t="s">
        <v>8767</v>
      </c>
      <c r="M2434" s="5025"/>
      <c r="N2434" s="5025"/>
      <c r="O2434" s="5025"/>
      <c r="P2434" s="5025"/>
      <c r="Q2434" s="5026"/>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98"/>
      <c r="E2435" s="2716" t="s">
        <v>8469</v>
      </c>
      <c r="F2435" s="1837"/>
      <c r="G2435" s="1837">
        <v>40</v>
      </c>
      <c r="H2435" s="1838">
        <v>1</v>
      </c>
      <c r="I2435" s="1838">
        <v>10</v>
      </c>
      <c r="J2435" s="1838">
        <f>COUNTIF(Elan!$C$13:$F$25,Tablas!E2435)+COUNTIF(Elan!$U$13:$X$25,Tablas!E2435)</f>
        <v>0</v>
      </c>
      <c r="K2435" s="1837"/>
      <c r="L2435" s="5025" t="s">
        <v>8771</v>
      </c>
      <c r="M2435" s="5025"/>
      <c r="N2435" s="5025"/>
      <c r="O2435" s="5025"/>
      <c r="P2435" s="5025"/>
      <c r="Q2435" s="5026"/>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98"/>
      <c r="E2436" s="2716" t="s">
        <v>8470</v>
      </c>
      <c r="F2436" s="1837"/>
      <c r="G2436" s="1837">
        <v>50</v>
      </c>
      <c r="H2436" s="1838">
        <v>1</v>
      </c>
      <c r="I2436" s="1838">
        <v>5</v>
      </c>
      <c r="J2436" s="1838">
        <f>COUNTIF(Elan!$C$13:$F$25,Tablas!E2436)+COUNTIF(Elan!$U$13:$X$25,Tablas!E2436)</f>
        <v>0</v>
      </c>
      <c r="K2436" s="1837"/>
      <c r="L2436" s="5025" t="s">
        <v>8774</v>
      </c>
      <c r="M2436" s="5025"/>
      <c r="N2436" s="5025"/>
      <c r="O2436" s="5025"/>
      <c r="P2436" s="5025"/>
      <c r="Q2436" s="5026"/>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98"/>
      <c r="E2437" s="2716" t="s">
        <v>8471</v>
      </c>
      <c r="F2437" s="1837"/>
      <c r="G2437" s="1837">
        <v>60</v>
      </c>
      <c r="H2437" s="1838">
        <f>IF(J2436,1,0)</f>
        <v>0</v>
      </c>
      <c r="I2437" s="1838">
        <v>10</v>
      </c>
      <c r="J2437" s="1838">
        <f>COUNTIF(Elan!$C$13:$F$25,Tablas!E2437)+COUNTIF(Elan!$U$13:$X$25,Tablas!E2437)</f>
        <v>0</v>
      </c>
      <c r="K2437" s="1837"/>
      <c r="L2437" s="5025" t="s">
        <v>8776</v>
      </c>
      <c r="M2437" s="5025"/>
      <c r="N2437" s="5025"/>
      <c r="O2437" s="5025"/>
      <c r="P2437" s="5025"/>
      <c r="Q2437" s="5026"/>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98"/>
      <c r="E2438" s="2716" t="s">
        <v>1579</v>
      </c>
      <c r="F2438" s="1837"/>
      <c r="G2438" s="1837">
        <v>60</v>
      </c>
      <c r="H2438" s="1838">
        <v>1</v>
      </c>
      <c r="I2438" s="1838">
        <v>15</v>
      </c>
      <c r="J2438" s="1838">
        <f>COUNTIF(Elan!$C$13:$F$25,Tablas!E2438)+COUNTIF(Elan!$U$13:$X$25,Tablas!E2438)</f>
        <v>0</v>
      </c>
      <c r="K2438" s="1837"/>
      <c r="L2438" s="5025" t="s">
        <v>8778</v>
      </c>
      <c r="M2438" s="5025"/>
      <c r="N2438" s="5025"/>
      <c r="O2438" s="5025"/>
      <c r="P2438" s="5025"/>
      <c r="Q2438" s="5026"/>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98"/>
      <c r="E2439" s="2716" t="s">
        <v>8472</v>
      </c>
      <c r="F2439" s="1837"/>
      <c r="G2439" s="1837">
        <v>70</v>
      </c>
      <c r="H2439" s="1838">
        <v>1</v>
      </c>
      <c r="I2439" s="1838">
        <v>15</v>
      </c>
      <c r="J2439" s="1838">
        <f>COUNTIF(Elan!$C$13:$F$25,Tablas!E2439)+COUNTIF(Elan!$U$13:$X$25,Tablas!E2439)</f>
        <v>0</v>
      </c>
      <c r="K2439" s="1837"/>
      <c r="L2439" s="5025" t="s">
        <v>8780</v>
      </c>
      <c r="M2439" s="5025"/>
      <c r="N2439" s="5025"/>
      <c r="O2439" s="5025"/>
      <c r="P2439" s="5025"/>
      <c r="Q2439" s="5026"/>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98"/>
      <c r="E2440" s="2716" t="s">
        <v>8473</v>
      </c>
      <c r="F2440" s="1837"/>
      <c r="G2440" s="1837">
        <v>70</v>
      </c>
      <c r="H2440" s="1838">
        <v>1</v>
      </c>
      <c r="I2440" s="1838">
        <v>20</v>
      </c>
      <c r="J2440" s="1838">
        <f>COUNTIF(Elan!$C$13:$F$25,Tablas!E2440)+COUNTIF(Elan!$U$13:$X$25,Tablas!E2440)</f>
        <v>0</v>
      </c>
      <c r="K2440" s="1837"/>
      <c r="L2440" s="5025" t="s">
        <v>8781</v>
      </c>
      <c r="M2440" s="5025"/>
      <c r="N2440" s="5025"/>
      <c r="O2440" s="5025"/>
      <c r="P2440" s="5025"/>
      <c r="Q2440" s="5026"/>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98"/>
      <c r="E2441" s="2716" t="s">
        <v>8474</v>
      </c>
      <c r="F2441" s="1837"/>
      <c r="G2441" s="1837">
        <v>80</v>
      </c>
      <c r="H2441" s="1838">
        <v>1</v>
      </c>
      <c r="I2441" s="1838">
        <v>10</v>
      </c>
      <c r="J2441" s="1838">
        <f>COUNTIF(Elan!$C$13:$F$25,Tablas!E2441)+COUNTIF(Elan!$U$13:$X$25,Tablas!E2441)</f>
        <v>0</v>
      </c>
      <c r="K2441" s="1837">
        <f>IF(J2441&gt;0,1,0)</f>
        <v>0</v>
      </c>
      <c r="L2441" s="5025" t="s">
        <v>8782</v>
      </c>
      <c r="M2441" s="5025"/>
      <c r="N2441" s="5025"/>
      <c r="O2441" s="5025"/>
      <c r="P2441" s="5025"/>
      <c r="Q2441" s="5026"/>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98"/>
      <c r="E2442" s="2716" t="s">
        <v>8475</v>
      </c>
      <c r="F2442" s="1837"/>
      <c r="G2442" s="1837">
        <v>90</v>
      </c>
      <c r="H2442" s="1838">
        <f>IF(J2437,1,0)</f>
        <v>0</v>
      </c>
      <c r="I2442" s="1838">
        <v>15</v>
      </c>
      <c r="J2442" s="1838">
        <f>COUNTIF(Elan!$C$13:$F$25,Tablas!E2442)+COUNTIF(Elan!$U$13:$X$25,Tablas!E2442)</f>
        <v>0</v>
      </c>
      <c r="K2442" s="1837"/>
      <c r="L2442" s="5025" t="s">
        <v>8783</v>
      </c>
      <c r="M2442" s="5025"/>
      <c r="N2442" s="5025"/>
      <c r="O2442" s="5025"/>
      <c r="P2442" s="5025"/>
      <c r="Q2442" s="5026"/>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98"/>
      <c r="E2443" s="2716" t="s">
        <v>8476</v>
      </c>
      <c r="F2443" s="1837"/>
      <c r="G2443" s="1837">
        <v>100</v>
      </c>
      <c r="H2443" s="1838">
        <v>1</v>
      </c>
      <c r="I2443" s="1838">
        <v>10</v>
      </c>
      <c r="J2443" s="1838">
        <f>COUNTIF(Elan!$C$13:$F$25,Tablas!E2443)+COUNTIF(Elan!$U$13:$X$25,Tablas!E2443)</f>
        <v>0</v>
      </c>
      <c r="K2443" s="1837"/>
      <c r="L2443" s="5025" t="s">
        <v>8784</v>
      </c>
      <c r="M2443" s="5025"/>
      <c r="N2443" s="5025"/>
      <c r="O2443" s="5025"/>
      <c r="P2443" s="5025"/>
      <c r="Q2443" s="5026"/>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98"/>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98"/>
      <c r="E2445" s="2716" t="s">
        <v>8477</v>
      </c>
      <c r="F2445" s="1837"/>
      <c r="G2445" s="1837">
        <v>10</v>
      </c>
      <c r="H2445" s="1838">
        <v>1</v>
      </c>
      <c r="I2445" s="1838">
        <v>10</v>
      </c>
      <c r="J2445" s="1838">
        <f>COUNTIF(Elan!$C$13:$F$25,Tablas!E2445)+COUNTIF(Elan!$U$13:$X$25,Tablas!E2445)</f>
        <v>0</v>
      </c>
      <c r="K2445" s="1837"/>
      <c r="L2445" s="5025" t="s">
        <v>8785</v>
      </c>
      <c r="M2445" s="5025"/>
      <c r="N2445" s="5025"/>
      <c r="O2445" s="5025"/>
      <c r="P2445" s="5025"/>
      <c r="Q2445" s="5026"/>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98"/>
      <c r="E2446" s="2716" t="s">
        <v>8478</v>
      </c>
      <c r="F2446" s="1837"/>
      <c r="G2446" s="1837">
        <v>20</v>
      </c>
      <c r="H2446" s="1838">
        <v>1</v>
      </c>
      <c r="I2446" s="1838">
        <v>5</v>
      </c>
      <c r="J2446" s="1838">
        <f>COUNTIF(Elan!$C$13:$F$25,Tablas!E2446)+COUNTIF(Elan!$U$13:$X$25,Tablas!E2446)</f>
        <v>0</v>
      </c>
      <c r="K2446" s="1837"/>
      <c r="L2446" s="5025" t="s">
        <v>8788</v>
      </c>
      <c r="M2446" s="5025"/>
      <c r="N2446" s="5025"/>
      <c r="O2446" s="5025"/>
      <c r="P2446" s="5025"/>
      <c r="Q2446" s="5026"/>
      <c r="R2446" s="2719">
        <f>IF(OR($J2446=0,$J2446="Aprendida"),0,SUM($J$2326:$J2446))</f>
        <v>0</v>
      </c>
      <c r="AB2446" s="413"/>
      <c r="AC2446" s="2795"/>
    </row>
    <row r="2447" spans="1:29" ht="12.75" customHeight="1" x14ac:dyDescent="0.2">
      <c r="A2447" s="2029">
        <v>211</v>
      </c>
      <c r="B2447" s="4998"/>
      <c r="E2447" s="2716" t="s">
        <v>8479</v>
      </c>
      <c r="F2447" s="1837"/>
      <c r="G2447" s="1837">
        <v>30</v>
      </c>
      <c r="H2447" s="1838">
        <v>1</v>
      </c>
      <c r="I2447" s="1838">
        <v>10</v>
      </c>
      <c r="J2447" s="1838">
        <f>COUNTIF(Elan!$C$13:$F$25,Tablas!E2447)+COUNTIF(Elan!$U$13:$X$25,Tablas!E2447)</f>
        <v>0</v>
      </c>
      <c r="K2447" s="1837"/>
      <c r="L2447" s="5025" t="s">
        <v>8792</v>
      </c>
      <c r="M2447" s="5025"/>
      <c r="N2447" s="5025"/>
      <c r="O2447" s="5025"/>
      <c r="P2447" s="5025"/>
      <c r="Q2447" s="5026"/>
      <c r="R2447" s="2719">
        <f>IF(OR($J2447=0,$J2447="Aprendida"),0,SUM($J$2326:$J2447))</f>
        <v>0</v>
      </c>
      <c r="AB2447" s="413"/>
      <c r="AC2447" s="2795"/>
    </row>
    <row r="2448" spans="1:29" ht="12.75" customHeight="1" x14ac:dyDescent="0.2">
      <c r="A2448" s="2029">
        <v>211</v>
      </c>
      <c r="B2448" s="4998"/>
      <c r="E2448" s="2716" t="s">
        <v>8480</v>
      </c>
      <c r="F2448" s="1837"/>
      <c r="G2448" s="1837">
        <v>40</v>
      </c>
      <c r="H2448" s="1838">
        <v>1</v>
      </c>
      <c r="I2448" s="1838">
        <v>5</v>
      </c>
      <c r="J2448" s="1838">
        <f>COUNTIF(Elan!$C$13:$F$25,Tablas!E2448)+COUNTIF(Elan!$U$13:$X$25,Tablas!E2448)</f>
        <v>0</v>
      </c>
      <c r="K2448" s="1837"/>
      <c r="L2448" s="5025" t="s">
        <v>8794</v>
      </c>
      <c r="M2448" s="5025"/>
      <c r="N2448" s="5025"/>
      <c r="O2448" s="5025"/>
      <c r="P2448" s="5025"/>
      <c r="Q2448" s="5026"/>
      <c r="R2448" s="2719">
        <f>IF(OR($J2448=0,$J2448="Aprendida"),0,SUM($J$2326:$J2448))</f>
        <v>0</v>
      </c>
      <c r="AB2448" s="413"/>
      <c r="AC2448" s="2795"/>
    </row>
    <row r="2449" spans="1:29" ht="12.75" customHeight="1" x14ac:dyDescent="0.2">
      <c r="A2449" s="2029">
        <v>211</v>
      </c>
      <c r="B2449" s="4998"/>
      <c r="E2449" s="2716" t="s">
        <v>8481</v>
      </c>
      <c r="F2449" s="1837"/>
      <c r="G2449" s="1837">
        <v>50</v>
      </c>
      <c r="H2449" s="1838">
        <v>1</v>
      </c>
      <c r="I2449" s="1838">
        <v>15</v>
      </c>
      <c r="J2449" s="1838">
        <f>COUNTIF(Elan!$C$13:$F$25,Tablas!E2449)+COUNTIF(Elan!$U$13:$X$25,Tablas!E2449)</f>
        <v>0</v>
      </c>
      <c r="K2449" s="1837"/>
      <c r="L2449" s="5025" t="s">
        <v>8796</v>
      </c>
      <c r="M2449" s="5025"/>
      <c r="N2449" s="5025"/>
      <c r="O2449" s="5025"/>
      <c r="P2449" s="5025"/>
      <c r="Q2449" s="5026"/>
      <c r="R2449" s="2719">
        <f>IF(OR($J2449=0,$J2449="Aprendida"),0,SUM($J$2326:$J2449))</f>
        <v>0</v>
      </c>
      <c r="AB2449" s="413"/>
      <c r="AC2449" s="2795"/>
    </row>
    <row r="2450" spans="1:29" ht="12.75" customHeight="1" x14ac:dyDescent="0.2">
      <c r="A2450" s="2029">
        <v>211</v>
      </c>
      <c r="B2450" s="4998"/>
      <c r="E2450" s="2716" t="s">
        <v>8482</v>
      </c>
      <c r="F2450" s="1837"/>
      <c r="G2450" s="1837">
        <v>60</v>
      </c>
      <c r="H2450" s="1838">
        <f>IF(J2448,1,0)</f>
        <v>0</v>
      </c>
      <c r="I2450" s="1838">
        <v>10</v>
      </c>
      <c r="J2450" s="1838">
        <f>COUNTIF(Elan!$C$13:$F$25,Tablas!E2450)+COUNTIF(Elan!$U$13:$X$25,Tablas!E2450)</f>
        <v>0</v>
      </c>
      <c r="K2450" s="1837"/>
      <c r="L2450" s="5025" t="s">
        <v>8798</v>
      </c>
      <c r="M2450" s="5025"/>
      <c r="N2450" s="5025"/>
      <c r="O2450" s="5025"/>
      <c r="P2450" s="5025"/>
      <c r="Q2450" s="5026"/>
      <c r="R2450" s="2719">
        <f>IF(OR($J2450=0,$J2450="Aprendida"),0,SUM($J$2326:$J2450))</f>
        <v>0</v>
      </c>
      <c r="AB2450" s="413"/>
      <c r="AC2450" s="2795"/>
    </row>
    <row r="2451" spans="1:29" ht="12.75" customHeight="1" x14ac:dyDescent="0.2">
      <c r="A2451" s="2029">
        <v>211</v>
      </c>
      <c r="B2451" s="4998"/>
      <c r="E2451" s="2716" t="s">
        <v>8483</v>
      </c>
      <c r="F2451" s="1837"/>
      <c r="G2451" s="1837">
        <v>70</v>
      </c>
      <c r="H2451" s="1838">
        <v>1</v>
      </c>
      <c r="I2451" s="1838">
        <v>15</v>
      </c>
      <c r="J2451" s="1838">
        <f>COUNTIF(Elan!$C$13:$F$25,Tablas!E2451)+COUNTIF(Elan!$U$13:$X$25,Tablas!E2451)</f>
        <v>0</v>
      </c>
      <c r="K2451" s="1837"/>
      <c r="L2451" s="5025" t="s">
        <v>8799</v>
      </c>
      <c r="M2451" s="5025"/>
      <c r="N2451" s="5025"/>
      <c r="O2451" s="5025"/>
      <c r="P2451" s="5025"/>
      <c r="Q2451" s="5026"/>
      <c r="R2451" s="2719">
        <f>IF(OR($J2451=0,$J2451="Aprendida"),0,SUM($J$2326:$J2451))</f>
        <v>0</v>
      </c>
      <c r="AB2451" s="413"/>
      <c r="AC2451" s="2795"/>
    </row>
    <row r="2452" spans="1:29" ht="12.75" customHeight="1" x14ac:dyDescent="0.2">
      <c r="A2452" s="2029">
        <v>211</v>
      </c>
      <c r="B2452" s="4998"/>
      <c r="E2452" s="2716" t="s">
        <v>8484</v>
      </c>
      <c r="F2452" s="1837"/>
      <c r="G2452" s="1837">
        <v>80</v>
      </c>
      <c r="H2452" s="1838">
        <f>IF(J2448,1,0)</f>
        <v>0</v>
      </c>
      <c r="I2452" s="1838">
        <v>10</v>
      </c>
      <c r="J2452" s="1838">
        <f>COUNTIF(Elan!$C$13:$F$25,Tablas!E2452)+COUNTIF(Elan!$U$13:$X$25,Tablas!E2452)</f>
        <v>0</v>
      </c>
      <c r="K2452" s="1837"/>
      <c r="L2452" s="5025" t="s">
        <v>8800</v>
      </c>
      <c r="M2452" s="5025"/>
      <c r="N2452" s="5025"/>
      <c r="O2452" s="5025"/>
      <c r="P2452" s="5025"/>
      <c r="Q2452" s="5026"/>
      <c r="R2452" s="2719">
        <f>IF(OR($J2452=0,$J2452="Aprendida"),0,SUM($J$2326:$J2452))</f>
        <v>0</v>
      </c>
      <c r="AB2452" s="413"/>
      <c r="AC2452" s="2795"/>
    </row>
    <row r="2453" spans="1:29" ht="12.75" customHeight="1" x14ac:dyDescent="0.2">
      <c r="A2453" s="2029">
        <v>211</v>
      </c>
      <c r="B2453" s="4998"/>
      <c r="E2453" s="2716" t="s">
        <v>8485</v>
      </c>
      <c r="F2453" s="1837"/>
      <c r="G2453" s="1837">
        <v>80</v>
      </c>
      <c r="H2453" s="1838">
        <v>1</v>
      </c>
      <c r="I2453" s="1838">
        <v>15</v>
      </c>
      <c r="J2453" s="1838">
        <f>COUNTIF(Elan!$C$13:$F$25,Tablas!E2453)+COUNTIF(Elan!$U$13:$X$25,Tablas!E2453)</f>
        <v>0</v>
      </c>
      <c r="K2453" s="1837"/>
      <c r="L2453" s="5025" t="s">
        <v>8801</v>
      </c>
      <c r="M2453" s="5025"/>
      <c r="N2453" s="5025"/>
      <c r="O2453" s="5025"/>
      <c r="P2453" s="5025"/>
      <c r="Q2453" s="5026"/>
      <c r="R2453" s="2719">
        <f>IF(OR($J2453=0,$J2453="Aprendida"),0,SUM($J$2326:$J2453))</f>
        <v>0</v>
      </c>
      <c r="AB2453" s="413"/>
      <c r="AC2453" s="2795"/>
    </row>
    <row r="2454" spans="1:29" ht="12.75" customHeight="1" x14ac:dyDescent="0.2">
      <c r="A2454" s="2029">
        <v>211</v>
      </c>
      <c r="B2454" s="4998"/>
      <c r="E2454" s="2716" t="s">
        <v>8486</v>
      </c>
      <c r="F2454" s="1837"/>
      <c r="G2454" s="1837">
        <v>90</v>
      </c>
      <c r="H2454" s="1838">
        <v>1</v>
      </c>
      <c r="I2454" s="1838">
        <v>15</v>
      </c>
      <c r="J2454" s="1838">
        <f>COUNTIF(Elan!$C$13:$F$25,Tablas!E2454)+COUNTIF(Elan!$U$13:$X$25,Tablas!E2454)</f>
        <v>0</v>
      </c>
      <c r="K2454" s="1837"/>
      <c r="L2454" s="5025" t="s">
        <v>8802</v>
      </c>
      <c r="M2454" s="5025"/>
      <c r="N2454" s="5025"/>
      <c r="O2454" s="5025"/>
      <c r="P2454" s="5025"/>
      <c r="Q2454" s="5026"/>
      <c r="R2454" s="2719">
        <f>IF(OR($J2454=0,$J2454="Aprendida"),0,SUM($J$2326:$J2454))</f>
        <v>0</v>
      </c>
      <c r="AB2454" s="413"/>
      <c r="AC2454" s="2795"/>
    </row>
    <row r="2455" spans="1:29" ht="12.75" customHeight="1" x14ac:dyDescent="0.2">
      <c r="A2455" s="2029">
        <v>211</v>
      </c>
      <c r="B2455" s="4998"/>
      <c r="E2455" s="2716" t="s">
        <v>8487</v>
      </c>
      <c r="F2455" s="1837"/>
      <c r="G2455" s="1837">
        <v>100</v>
      </c>
      <c r="H2455" s="1838">
        <v>1</v>
      </c>
      <c r="I2455" s="1838">
        <v>10</v>
      </c>
      <c r="J2455" s="1838">
        <f>COUNTIF(Elan!$C$13:$F$25,Tablas!E2455)+COUNTIF(Elan!$U$13:$X$25,Tablas!E2455)</f>
        <v>0</v>
      </c>
      <c r="K2455" s="1837"/>
      <c r="L2455" s="5025" t="s">
        <v>8803</v>
      </c>
      <c r="M2455" s="5025"/>
      <c r="N2455" s="5025"/>
      <c r="O2455" s="5025"/>
      <c r="P2455" s="5025"/>
      <c r="Q2455" s="5026"/>
      <c r="R2455" s="2719">
        <f>IF(OR($J2455=0,$J2455="Aprendida"),0,SUM($J$2326:$J2455))</f>
        <v>0</v>
      </c>
      <c r="AB2455" s="413"/>
      <c r="AC2455" s="2795"/>
    </row>
    <row r="2456" spans="1:29" ht="12.75" customHeight="1" x14ac:dyDescent="0.2">
      <c r="A2456" s="2029">
        <v>211</v>
      </c>
      <c r="B2456" s="4998"/>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98"/>
      <c r="E2457" s="2716" t="s">
        <v>8488</v>
      </c>
      <c r="F2457" s="1837"/>
      <c r="G2457" s="1837">
        <v>10</v>
      </c>
      <c r="H2457" s="1838">
        <v>1</v>
      </c>
      <c r="I2457" s="1838">
        <v>5</v>
      </c>
      <c r="J2457" s="1838">
        <f>COUNTIF(Elan!$C$13:$F$25,Tablas!E2457)+COUNTIF(Elan!$U$13:$X$25,Tablas!E2457)</f>
        <v>0</v>
      </c>
      <c r="K2457" s="1837">
        <f>F$2456*J2457</f>
        <v>0</v>
      </c>
      <c r="L2457" s="5025" t="s">
        <v>8804</v>
      </c>
      <c r="M2457" s="5025"/>
      <c r="N2457" s="5025"/>
      <c r="O2457" s="5025"/>
      <c r="P2457" s="5025"/>
      <c r="Q2457" s="5026"/>
      <c r="R2457" s="2719">
        <f>IF(OR($J2457=0,$J2457="Aprendida"),0,SUM($J$2326:$J2457))</f>
        <v>0</v>
      </c>
      <c r="AB2457" s="413"/>
      <c r="AC2457" s="2795"/>
    </row>
    <row r="2458" spans="1:29" ht="12.75" customHeight="1" x14ac:dyDescent="0.2">
      <c r="A2458" s="2029">
        <v>211</v>
      </c>
      <c r="B2458" s="4998"/>
      <c r="E2458" s="2716" t="s">
        <v>8489</v>
      </c>
      <c r="F2458" s="1837"/>
      <c r="G2458" s="1837">
        <v>20</v>
      </c>
      <c r="H2458" s="1838">
        <v>1</v>
      </c>
      <c r="I2458" s="1838">
        <v>10</v>
      </c>
      <c r="J2458" s="1838">
        <f>COUNTIF(Elan!$C$13:$F$25,Tablas!E2458)+COUNTIF(Elan!$U$13:$X$25,Tablas!E2458)</f>
        <v>0</v>
      </c>
      <c r="K2458" s="1837"/>
      <c r="L2458" s="5025" t="s">
        <v>8808</v>
      </c>
      <c r="M2458" s="5025"/>
      <c r="N2458" s="5025"/>
      <c r="O2458" s="5025"/>
      <c r="P2458" s="5025"/>
      <c r="Q2458" s="5026"/>
      <c r="R2458" s="2719">
        <f>IF(OR($J2458=0,$J2458="Aprendida"),0,SUM($J$2326:$J2458))</f>
        <v>0</v>
      </c>
      <c r="AB2458" s="413"/>
      <c r="AC2458" s="2795"/>
    </row>
    <row r="2459" spans="1:29" ht="12.75" customHeight="1" x14ac:dyDescent="0.2">
      <c r="A2459" s="2029">
        <v>211</v>
      </c>
      <c r="B2459" s="4998"/>
      <c r="E2459" s="2716" t="s">
        <v>8490</v>
      </c>
      <c r="F2459" s="1837"/>
      <c r="G2459" s="1837">
        <v>30</v>
      </c>
      <c r="H2459" s="1838">
        <v>1</v>
      </c>
      <c r="I2459" s="1838">
        <v>10</v>
      </c>
      <c r="J2459" s="1838">
        <f>COUNTIF(Elan!$C$13:$F$25,Tablas!E2459)+COUNTIF(Elan!$U$13:$X$25,Tablas!E2459)</f>
        <v>0</v>
      </c>
      <c r="K2459" s="1837">
        <f>F$2456*J2459</f>
        <v>0</v>
      </c>
      <c r="L2459" s="5025" t="s">
        <v>8812</v>
      </c>
      <c r="M2459" s="5025"/>
      <c r="N2459" s="5025"/>
      <c r="O2459" s="5025"/>
      <c r="P2459" s="5025"/>
      <c r="Q2459" s="5026"/>
      <c r="R2459" s="2719">
        <f>IF(OR($J2459=0,$J2459="Aprendida"),0,SUM($J$2326:$J2459))</f>
        <v>0</v>
      </c>
      <c r="AB2459" s="413"/>
      <c r="AC2459" s="2795"/>
    </row>
    <row r="2460" spans="1:29" ht="12.75" customHeight="1" x14ac:dyDescent="0.2">
      <c r="A2460" s="2029">
        <v>211</v>
      </c>
      <c r="B2460" s="4998"/>
      <c r="E2460" s="2716" t="s">
        <v>8491</v>
      </c>
      <c r="F2460" s="1837"/>
      <c r="G2460" s="1837">
        <v>40</v>
      </c>
      <c r="H2460" s="1838">
        <v>1</v>
      </c>
      <c r="I2460" s="1838">
        <v>10</v>
      </c>
      <c r="J2460" s="1838">
        <f>COUNTIF(Elan!$C$13:$F$25,Tablas!E2460)+COUNTIF(Elan!$U$13:$X$25,Tablas!E2460)</f>
        <v>0</v>
      </c>
      <c r="K2460" s="1837"/>
      <c r="L2460" s="5025" t="s">
        <v>8816</v>
      </c>
      <c r="M2460" s="5025"/>
      <c r="N2460" s="5025"/>
      <c r="O2460" s="5025"/>
      <c r="P2460" s="5025"/>
      <c r="Q2460" s="5026"/>
      <c r="R2460" s="2719">
        <f>IF(OR($J2460=0,$J2460="Aprendida"),0,SUM($J$2326:$J2460))</f>
        <v>0</v>
      </c>
      <c r="AB2460" s="413"/>
      <c r="AC2460" s="2795"/>
    </row>
    <row r="2461" spans="1:29" ht="12.75" customHeight="1" x14ac:dyDescent="0.2">
      <c r="A2461" s="2029">
        <v>211</v>
      </c>
      <c r="B2461" s="4998"/>
      <c r="E2461" s="2716" t="s">
        <v>8492</v>
      </c>
      <c r="F2461" s="1837"/>
      <c r="G2461" s="1837">
        <v>40</v>
      </c>
      <c r="H2461" s="1838">
        <v>1</v>
      </c>
      <c r="I2461" s="1838">
        <v>5</v>
      </c>
      <c r="J2461" s="1838">
        <f>COUNTIF(Elan!$C$13:$F$25,Tablas!E2461)+COUNTIF(Elan!$U$13:$X$25,Tablas!E2461)</f>
        <v>0</v>
      </c>
      <c r="K2461" s="1837"/>
      <c r="L2461" s="5025" t="s">
        <v>8819</v>
      </c>
      <c r="M2461" s="5025"/>
      <c r="N2461" s="5025"/>
      <c r="O2461" s="5025"/>
      <c r="P2461" s="5025"/>
      <c r="Q2461" s="5026"/>
      <c r="R2461" s="2719">
        <f>IF(OR($J2461=0,$J2461="Aprendida"),0,SUM($J$2326:$J2461))</f>
        <v>0</v>
      </c>
      <c r="AB2461" s="413"/>
      <c r="AC2461" s="2795"/>
    </row>
    <row r="2462" spans="1:29" ht="12.75" customHeight="1" x14ac:dyDescent="0.2">
      <c r="A2462" s="2029">
        <v>211</v>
      </c>
      <c r="B2462" s="4998"/>
      <c r="D2462" s="2134"/>
      <c r="E2462" s="2716" t="s">
        <v>8493</v>
      </c>
      <c r="F2462" s="1837"/>
      <c r="G2462" s="1837">
        <v>50</v>
      </c>
      <c r="H2462" s="1838">
        <f>IF(J2463,1,0)</f>
        <v>0</v>
      </c>
      <c r="I2462" s="1838">
        <v>15</v>
      </c>
      <c r="J2462" s="1838">
        <f>COUNTIF(Elan!$C$13:$F$25,Tablas!E2462)+COUNTIF(Elan!$U$13:$X$25,Tablas!E2462)</f>
        <v>0</v>
      </c>
      <c r="K2462" s="1837"/>
      <c r="L2462" s="5025" t="s">
        <v>8821</v>
      </c>
      <c r="M2462" s="5025"/>
      <c r="N2462" s="5025"/>
      <c r="O2462" s="5025"/>
      <c r="P2462" s="5025"/>
      <c r="Q2462" s="5026"/>
      <c r="R2462" s="2719">
        <f>IF(OR($J2462=0,$J2462="Aprendida"),0,SUM($J$2326:$J2462))</f>
        <v>0</v>
      </c>
      <c r="AB2462" s="413"/>
      <c r="AC2462" s="2795"/>
    </row>
    <row r="2463" spans="1:29" ht="12.75" customHeight="1" x14ac:dyDescent="0.2">
      <c r="A2463" s="2029">
        <v>211</v>
      </c>
      <c r="B2463" s="4998"/>
      <c r="E2463" s="2716" t="s">
        <v>8494</v>
      </c>
      <c r="F2463" s="1837"/>
      <c r="G2463" s="1837">
        <v>50</v>
      </c>
      <c r="H2463" s="1838">
        <v>1</v>
      </c>
      <c r="I2463" s="1838">
        <v>5</v>
      </c>
      <c r="J2463" s="1838">
        <f>COUNTIF(Elan!$C$13:$F$25,Tablas!E2463)+COUNTIF(Elan!$U$13:$X$25,Tablas!E2463)</f>
        <v>0</v>
      </c>
      <c r="K2463" s="1837"/>
      <c r="L2463" s="5025" t="s">
        <v>8823</v>
      </c>
      <c r="M2463" s="5025"/>
      <c r="N2463" s="5025"/>
      <c r="O2463" s="5025"/>
      <c r="P2463" s="5025"/>
      <c r="Q2463" s="5026"/>
      <c r="R2463" s="2719">
        <f>IF(OR($J2463=0,$J2463="Aprendida"),0,SUM($J$2326:$J2463))</f>
        <v>0</v>
      </c>
      <c r="AB2463" s="413"/>
      <c r="AC2463" s="2795"/>
    </row>
    <row r="2464" spans="1:29" ht="12.75" customHeight="1" x14ac:dyDescent="0.2">
      <c r="A2464" s="2029">
        <v>211</v>
      </c>
      <c r="B2464" s="4998"/>
      <c r="E2464" s="2716" t="s">
        <v>8495</v>
      </c>
      <c r="F2464" s="1837"/>
      <c r="G2464" s="1837">
        <v>60</v>
      </c>
      <c r="H2464" s="1838">
        <v>1</v>
      </c>
      <c r="I2464" s="1838">
        <v>10</v>
      </c>
      <c r="J2464" s="1838">
        <f>COUNTIF(Elan!$C$13:$F$25,Tablas!E2464)+COUNTIF(Elan!$U$13:$X$25,Tablas!E2464)</f>
        <v>0</v>
      </c>
      <c r="K2464" s="1837"/>
      <c r="L2464" s="5025" t="s">
        <v>8824</v>
      </c>
      <c r="M2464" s="5025"/>
      <c r="N2464" s="5025"/>
      <c r="O2464" s="5025"/>
      <c r="P2464" s="5025"/>
      <c r="Q2464" s="5026"/>
      <c r="R2464" s="2719">
        <f>IF(OR($J2464=0,$J2464="Aprendida"),0,SUM($J$2326:$J2464))</f>
        <v>0</v>
      </c>
      <c r="AB2464" s="413"/>
      <c r="AC2464" s="2795"/>
    </row>
    <row r="2465" spans="1:29" ht="12.75" customHeight="1" x14ac:dyDescent="0.2">
      <c r="A2465" s="2029">
        <v>211</v>
      </c>
      <c r="B2465" s="4998"/>
      <c r="E2465" s="2716" t="s">
        <v>8496</v>
      </c>
      <c r="F2465" s="1837"/>
      <c r="G2465" s="1837">
        <v>70</v>
      </c>
      <c r="H2465" s="1838">
        <v>1</v>
      </c>
      <c r="I2465" s="1838">
        <v>20</v>
      </c>
      <c r="J2465" s="1838">
        <f>COUNTIF(Elan!$C$13:$F$25,Tablas!E2465)+COUNTIF(Elan!$U$13:$X$25,Tablas!E2465)</f>
        <v>0</v>
      </c>
      <c r="K2465" s="1837"/>
      <c r="L2465" s="5025" t="s">
        <v>8825</v>
      </c>
      <c r="M2465" s="5025"/>
      <c r="N2465" s="5025"/>
      <c r="O2465" s="5025"/>
      <c r="P2465" s="5025"/>
      <c r="Q2465" s="5026"/>
      <c r="R2465" s="2719">
        <f>IF(OR($J2465=0,$J2465="Aprendida"),0,SUM($J$2326:$J2465))</f>
        <v>0</v>
      </c>
      <c r="AB2465" s="413"/>
      <c r="AC2465" s="2795"/>
    </row>
    <row r="2466" spans="1:29" ht="12.75" customHeight="1" x14ac:dyDescent="0.2">
      <c r="A2466" s="2029">
        <v>211</v>
      </c>
      <c r="B2466" s="4998"/>
      <c r="E2466" s="2716" t="s">
        <v>8497</v>
      </c>
      <c r="F2466" s="1837"/>
      <c r="G2466" s="1837">
        <v>70</v>
      </c>
      <c r="H2466" s="1838">
        <v>1</v>
      </c>
      <c r="I2466" s="1838">
        <v>10</v>
      </c>
      <c r="J2466" s="1838">
        <f>COUNTIF(Elan!$C$13:$F$25,Tablas!E2466)+COUNTIF(Elan!$U$13:$X$25,Tablas!E2466)</f>
        <v>0</v>
      </c>
      <c r="K2466" s="1837"/>
      <c r="L2466" s="5025" t="s">
        <v>8826</v>
      </c>
      <c r="M2466" s="5025"/>
      <c r="N2466" s="5025"/>
      <c r="O2466" s="5025"/>
      <c r="P2466" s="5025"/>
      <c r="Q2466" s="5026"/>
      <c r="R2466" s="2719">
        <f>IF(OR($J2466=0,$J2466="Aprendida"),0,SUM($J$2326:$J2466))</f>
        <v>0</v>
      </c>
      <c r="AB2466" s="413"/>
      <c r="AC2466" s="2795"/>
    </row>
    <row r="2467" spans="1:29" ht="12.75" customHeight="1" x14ac:dyDescent="0.2">
      <c r="A2467" s="2029">
        <v>211</v>
      </c>
      <c r="B2467" s="4998"/>
      <c r="E2467" s="2716" t="s">
        <v>8498</v>
      </c>
      <c r="F2467" s="1837"/>
      <c r="G2467" s="1837">
        <v>80</v>
      </c>
      <c r="H2467" s="1838">
        <f>IF(J2462,1,0)</f>
        <v>0</v>
      </c>
      <c r="I2467" s="1838">
        <v>20</v>
      </c>
      <c r="J2467" s="1838">
        <f>COUNTIF(Elan!$C$13:$F$25,Tablas!E2467)+COUNTIF(Elan!$U$13:$X$25,Tablas!E2467)</f>
        <v>0</v>
      </c>
      <c r="K2467" s="1837"/>
      <c r="L2467" s="5025" t="s">
        <v>8827</v>
      </c>
      <c r="M2467" s="5025"/>
      <c r="N2467" s="5025"/>
      <c r="O2467" s="5025"/>
      <c r="P2467" s="5025"/>
      <c r="Q2467" s="5026"/>
      <c r="R2467" s="2719">
        <f>IF(OR($J2467=0,$J2467="Aprendida"),0,SUM($J$2326:$J2467))</f>
        <v>0</v>
      </c>
      <c r="AB2467" s="413"/>
      <c r="AC2467" s="2795"/>
    </row>
    <row r="2468" spans="1:29" ht="12.75" customHeight="1" x14ac:dyDescent="0.2">
      <c r="A2468" s="2029">
        <v>211</v>
      </c>
      <c r="B2468" s="4998"/>
      <c r="E2468" s="2716" t="s">
        <v>739</v>
      </c>
      <c r="F2468" s="1837"/>
      <c r="G2468" s="1837">
        <v>90</v>
      </c>
      <c r="H2468" s="1838">
        <f>IF(J2462,1,0)</f>
        <v>0</v>
      </c>
      <c r="I2468" s="1838">
        <v>10</v>
      </c>
      <c r="J2468" s="1838">
        <f>COUNTIF(Elan!$C$13:$F$25,Tablas!E2468)+COUNTIF(Elan!$U$13:$X$25,Tablas!E2468)</f>
        <v>0</v>
      </c>
      <c r="K2468" s="1837"/>
      <c r="L2468" s="5025" t="s">
        <v>8828</v>
      </c>
      <c r="M2468" s="5025"/>
      <c r="N2468" s="5025"/>
      <c r="O2468" s="5025"/>
      <c r="P2468" s="5025"/>
      <c r="Q2468" s="5026"/>
      <c r="R2468" s="2719">
        <f>IF(OR($J2468=0,$J2468="Aprendida"),0,SUM($J$2326:$J2468))</f>
        <v>0</v>
      </c>
      <c r="AB2468" s="413"/>
      <c r="AC2468" s="2795"/>
    </row>
    <row r="2469" spans="1:29" ht="12.75" customHeight="1" x14ac:dyDescent="0.2">
      <c r="A2469" s="2029">
        <v>211</v>
      </c>
      <c r="B2469" s="4998"/>
      <c r="E2469" s="2716" t="s">
        <v>8499</v>
      </c>
      <c r="F2469" s="1837"/>
      <c r="G2469" s="1837">
        <v>100</v>
      </c>
      <c r="H2469" s="1838">
        <v>1</v>
      </c>
      <c r="I2469" s="1838">
        <v>10</v>
      </c>
      <c r="J2469" s="1838">
        <f>COUNTIF(Elan!$C$13:$F$25,Tablas!E2469)+COUNTIF(Elan!$U$13:$X$25,Tablas!E2469)</f>
        <v>0</v>
      </c>
      <c r="K2469" s="1837"/>
      <c r="L2469" s="5025" t="s">
        <v>8829</v>
      </c>
      <c r="M2469" s="5025"/>
      <c r="N2469" s="5025"/>
      <c r="O2469" s="5025"/>
      <c r="P2469" s="5025"/>
      <c r="Q2469" s="5026"/>
      <c r="R2469" s="2719">
        <f>IF(OR($J2469=0,$J2469="Aprendida"),0,SUM($J$2326:$J2469))</f>
        <v>0</v>
      </c>
      <c r="AB2469" s="413"/>
      <c r="AC2469" s="2795"/>
    </row>
    <row r="2470" spans="1:29" ht="12.75" customHeight="1" x14ac:dyDescent="0.2">
      <c r="A2470" s="2029">
        <v>211</v>
      </c>
      <c r="B2470" s="4998"/>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98"/>
      <c r="E2471" s="2716" t="s">
        <v>8500</v>
      </c>
      <c r="F2471" s="1837"/>
      <c r="G2471" s="1837">
        <v>10</v>
      </c>
      <c r="H2471" s="1838">
        <v>1</v>
      </c>
      <c r="I2471" s="1838">
        <v>10</v>
      </c>
      <c r="J2471" s="1838">
        <f>COUNTIF(Elan!$C$13:$F$25,Tablas!E2471)+COUNTIF(Elan!$U$13:$X$25,Tablas!E2471)</f>
        <v>0</v>
      </c>
      <c r="K2471" s="1837"/>
      <c r="L2471" s="5025" t="s">
        <v>8830</v>
      </c>
      <c r="M2471" s="5025"/>
      <c r="N2471" s="5025"/>
      <c r="O2471" s="5025"/>
      <c r="P2471" s="5025"/>
      <c r="Q2471" s="5026"/>
      <c r="R2471" s="2719">
        <f>IF(OR($J2471=0,$J2471="Aprendida"),0,SUM($J$2326:$J2471))</f>
        <v>0</v>
      </c>
      <c r="AB2471" s="413"/>
      <c r="AC2471" s="2795"/>
    </row>
    <row r="2472" spans="1:29" ht="12.75" customHeight="1" x14ac:dyDescent="0.2">
      <c r="A2472" s="2029">
        <v>211</v>
      </c>
      <c r="B2472" s="4998"/>
      <c r="E2472" s="2716" t="s">
        <v>8501</v>
      </c>
      <c r="F2472" s="1837"/>
      <c r="G2472" s="1837">
        <v>20</v>
      </c>
      <c r="H2472" s="1838">
        <v>1</v>
      </c>
      <c r="I2472" s="1838">
        <v>5</v>
      </c>
      <c r="J2472" s="1838">
        <f>COUNTIF(Elan!$C$13:$F$25,Tablas!E2472)+COUNTIF(Elan!$U$13:$X$25,Tablas!E2472)</f>
        <v>0</v>
      </c>
      <c r="K2472" s="1837"/>
      <c r="L2472" s="5025" t="s">
        <v>8834</v>
      </c>
      <c r="M2472" s="5025"/>
      <c r="N2472" s="5025"/>
      <c r="O2472" s="5025"/>
      <c r="P2472" s="5025"/>
      <c r="Q2472" s="5026"/>
      <c r="R2472" s="2719">
        <f>IF(OR($J2472=0,$J2472="Aprendida"),0,SUM($J$2326:$J2472))</f>
        <v>0</v>
      </c>
      <c r="AB2472" s="413"/>
      <c r="AC2472" s="2795"/>
    </row>
    <row r="2473" spans="1:29" ht="12.75" customHeight="1" x14ac:dyDescent="0.2">
      <c r="A2473" s="2029">
        <v>211</v>
      </c>
      <c r="B2473" s="4998"/>
      <c r="E2473" s="2716" t="s">
        <v>8502</v>
      </c>
      <c r="F2473" s="1837"/>
      <c r="G2473" s="1837">
        <v>30</v>
      </c>
      <c r="H2473" s="1838">
        <v>1</v>
      </c>
      <c r="I2473" s="1838">
        <v>5</v>
      </c>
      <c r="J2473" s="1838">
        <f>COUNTIF(Elan!$C$13:$F$25,Tablas!E2473)+COUNTIF(Elan!$U$13:$X$25,Tablas!E2473)</f>
        <v>0</v>
      </c>
      <c r="K2473" s="1837"/>
      <c r="L2473" s="5025" t="s">
        <v>8838</v>
      </c>
      <c r="M2473" s="5025"/>
      <c r="N2473" s="5025"/>
      <c r="O2473" s="5025"/>
      <c r="P2473" s="5025"/>
      <c r="Q2473" s="5026"/>
      <c r="R2473" s="2719">
        <f>IF(OR($J2473=0,$J2473="Aprendida"),0,SUM($J$2326:$J2473))</f>
        <v>0</v>
      </c>
      <c r="AB2473" s="413"/>
      <c r="AC2473" s="2795"/>
    </row>
    <row r="2474" spans="1:29" ht="12.75" customHeight="1" x14ac:dyDescent="0.2">
      <c r="A2474" s="2029">
        <v>211</v>
      </c>
      <c r="B2474" s="4998"/>
      <c r="E2474" s="2716" t="s">
        <v>8503</v>
      </c>
      <c r="F2474" s="1837"/>
      <c r="G2474" s="1837">
        <v>40</v>
      </c>
      <c r="H2474" s="1838">
        <v>1</v>
      </c>
      <c r="I2474" s="1838">
        <v>10</v>
      </c>
      <c r="J2474" s="1838">
        <f>COUNTIF(Elan!$C$13:$F$25,Tablas!E2474)+COUNTIF(Elan!$U$13:$X$25,Tablas!E2474)</f>
        <v>0</v>
      </c>
      <c r="K2474" s="1837"/>
      <c r="L2474" s="5025" t="s">
        <v>8842</v>
      </c>
      <c r="M2474" s="5025"/>
      <c r="N2474" s="5025"/>
      <c r="O2474" s="5025"/>
      <c r="P2474" s="5025"/>
      <c r="Q2474" s="5026"/>
      <c r="R2474" s="2719">
        <f>IF(OR($J2474=0,$J2474="Aprendida"),0,SUM($J$2326:$J2474))</f>
        <v>0</v>
      </c>
      <c r="AB2474" s="413"/>
      <c r="AC2474" s="2795"/>
    </row>
    <row r="2475" spans="1:29" ht="12.75" customHeight="1" x14ac:dyDescent="0.2">
      <c r="A2475" s="2029">
        <v>211</v>
      </c>
      <c r="B2475" s="4998"/>
      <c r="E2475" s="2716" t="s">
        <v>8504</v>
      </c>
      <c r="F2475" s="1837"/>
      <c r="G2475" s="1837">
        <v>50</v>
      </c>
      <c r="H2475" s="1838">
        <v>1</v>
      </c>
      <c r="I2475" s="1838">
        <v>10</v>
      </c>
      <c r="J2475" s="1838">
        <f>COUNTIF(Elan!$C$13:$F$25,Tablas!E2475)+COUNTIF(Elan!$U$13:$X$25,Tablas!E2475)</f>
        <v>0</v>
      </c>
      <c r="K2475" s="1837"/>
      <c r="L2475" s="5025" t="s">
        <v>8844</v>
      </c>
      <c r="M2475" s="5025"/>
      <c r="N2475" s="5025"/>
      <c r="O2475" s="5025"/>
      <c r="P2475" s="5025"/>
      <c r="Q2475" s="5026"/>
      <c r="R2475" s="2719">
        <f>IF(OR($J2475=0,$J2475="Aprendida"),0,SUM($J$2326:$J2475))</f>
        <v>0</v>
      </c>
      <c r="AB2475" s="413"/>
      <c r="AC2475" s="2795"/>
    </row>
    <row r="2476" spans="1:29" ht="12.75" customHeight="1" x14ac:dyDescent="0.2">
      <c r="A2476" s="2029">
        <v>211</v>
      </c>
      <c r="B2476" s="4998"/>
      <c r="E2476" s="2716" t="s">
        <v>8505</v>
      </c>
      <c r="F2476" s="1837"/>
      <c r="G2476" s="1837">
        <v>50</v>
      </c>
      <c r="H2476" s="1838">
        <v>1</v>
      </c>
      <c r="I2476" s="1838">
        <v>15</v>
      </c>
      <c r="J2476" s="1838">
        <f>COUNTIF(Elan!$C$13:$F$25,Tablas!E2476)+COUNTIF(Elan!$U$13:$X$25,Tablas!E2476)</f>
        <v>0</v>
      </c>
      <c r="K2476" s="1837"/>
      <c r="L2476" s="5025" t="s">
        <v>8846</v>
      </c>
      <c r="M2476" s="5025"/>
      <c r="N2476" s="5025"/>
      <c r="O2476" s="5025"/>
      <c r="P2476" s="5025"/>
      <c r="Q2476" s="5026"/>
      <c r="R2476" s="2719">
        <f>IF(OR($J2476=0,$J2476="Aprendida"),0,SUM($J$2326:$J2476))</f>
        <v>0</v>
      </c>
      <c r="AB2476" s="413"/>
      <c r="AC2476" s="2795"/>
    </row>
    <row r="2477" spans="1:29" ht="12.75" customHeight="1" x14ac:dyDescent="0.2">
      <c r="A2477" s="2029">
        <v>211</v>
      </c>
      <c r="B2477" s="4998"/>
      <c r="E2477" s="2716" t="s">
        <v>764</v>
      </c>
      <c r="F2477" s="1837"/>
      <c r="G2477" s="1837">
        <v>60</v>
      </c>
      <c r="H2477" s="1838">
        <v>1</v>
      </c>
      <c r="I2477" s="1838">
        <v>10</v>
      </c>
      <c r="J2477" s="1838">
        <f>COUNTIF(Elan!$C$13:$F$25,Tablas!E2477)+COUNTIF(Elan!$U$13:$X$25,Tablas!E2477)</f>
        <v>0</v>
      </c>
      <c r="K2477" s="1837"/>
      <c r="L2477" s="5025" t="s">
        <v>8847</v>
      </c>
      <c r="M2477" s="5025"/>
      <c r="N2477" s="5025"/>
      <c r="O2477" s="5025"/>
      <c r="P2477" s="5025"/>
      <c r="Q2477" s="5026"/>
      <c r="R2477" s="2719">
        <f>IF(OR($J2477=0,$J2477="Aprendida"),0,SUM($J$2326:$J2477))</f>
        <v>0</v>
      </c>
      <c r="AB2477" s="413"/>
      <c r="AC2477" s="2795"/>
    </row>
    <row r="2478" spans="1:29" ht="12.75" customHeight="1" x14ac:dyDescent="0.2">
      <c r="A2478" s="2029">
        <v>211</v>
      </c>
      <c r="B2478" s="4998"/>
      <c r="E2478" s="2716" t="s">
        <v>8506</v>
      </c>
      <c r="F2478" s="1837"/>
      <c r="G2478" s="1837">
        <v>70</v>
      </c>
      <c r="H2478" s="1838">
        <f>IF(J2475,1,0)</f>
        <v>0</v>
      </c>
      <c r="I2478" s="1838">
        <v>15</v>
      </c>
      <c r="J2478" s="1838">
        <f>COUNTIF(Elan!$C$13:$F$25,Tablas!E2478)+COUNTIF(Elan!$U$13:$X$25,Tablas!E2478)</f>
        <v>0</v>
      </c>
      <c r="K2478" s="1837"/>
      <c r="L2478" s="5025" t="s">
        <v>8848</v>
      </c>
      <c r="M2478" s="5025"/>
      <c r="N2478" s="5025"/>
      <c r="O2478" s="5025"/>
      <c r="P2478" s="5025"/>
      <c r="Q2478" s="5026"/>
      <c r="R2478" s="2719">
        <f>IF(OR($J2478=0,$J2478="Aprendida"),0,SUM($J$2326:$J2478))</f>
        <v>0</v>
      </c>
      <c r="AB2478" s="413"/>
      <c r="AC2478" s="2795"/>
    </row>
    <row r="2479" spans="1:29" ht="12.75" customHeight="1" x14ac:dyDescent="0.2">
      <c r="A2479" s="2029">
        <v>211</v>
      </c>
      <c r="B2479" s="4998"/>
      <c r="E2479" s="2716" t="s">
        <v>8507</v>
      </c>
      <c r="F2479" s="1837"/>
      <c r="G2479" s="1837">
        <v>80</v>
      </c>
      <c r="H2479" s="1838">
        <v>1</v>
      </c>
      <c r="I2479" s="1838">
        <v>15</v>
      </c>
      <c r="J2479" s="1838">
        <f>COUNTIF(Elan!$C$13:$F$25,Tablas!E2479)+COUNTIF(Elan!$U$13:$X$25,Tablas!E2479)</f>
        <v>0</v>
      </c>
      <c r="K2479" s="1837"/>
      <c r="L2479" s="5025" t="s">
        <v>8849</v>
      </c>
      <c r="M2479" s="5025"/>
      <c r="N2479" s="5025"/>
      <c r="O2479" s="5025"/>
      <c r="P2479" s="5025"/>
      <c r="Q2479" s="5026"/>
      <c r="R2479" s="2719">
        <f>IF(OR($J2479=0,$J2479="Aprendida"),0,SUM($J$2326:$J2479))</f>
        <v>0</v>
      </c>
      <c r="AB2479" s="413"/>
      <c r="AC2479" s="2795"/>
    </row>
    <row r="2480" spans="1:29" ht="12.75" customHeight="1" x14ac:dyDescent="0.2">
      <c r="A2480" s="2029">
        <v>211</v>
      </c>
      <c r="B2480" s="4998"/>
      <c r="E2480" s="2716" t="s">
        <v>8508</v>
      </c>
      <c r="F2480" s="1837"/>
      <c r="G2480" s="1837">
        <v>90</v>
      </c>
      <c r="H2480" s="1838">
        <v>1</v>
      </c>
      <c r="I2480" s="1838">
        <v>15</v>
      </c>
      <c r="J2480" s="1838">
        <f>COUNTIF(Elan!$C$13:$F$25,Tablas!E2480)+COUNTIF(Elan!$U$13:$X$25,Tablas!E2480)</f>
        <v>0</v>
      </c>
      <c r="K2480" s="1837"/>
      <c r="L2480" s="5025" t="s">
        <v>8850</v>
      </c>
      <c r="M2480" s="5025"/>
      <c r="N2480" s="5025"/>
      <c r="O2480" s="5025"/>
      <c r="P2480" s="5025"/>
      <c r="Q2480" s="5026"/>
      <c r="R2480" s="2719">
        <f>IF(OR($J2480=0,$J2480="Aprendida"),0,SUM($J$2326:$J2480))</f>
        <v>0</v>
      </c>
      <c r="AB2480" s="413"/>
      <c r="AC2480" s="2795"/>
    </row>
    <row r="2481" spans="1:29" ht="12.75" customHeight="1" x14ac:dyDescent="0.2">
      <c r="A2481" s="2029">
        <v>211</v>
      </c>
      <c r="B2481" s="4998"/>
      <c r="E2481" s="2716" t="s">
        <v>8509</v>
      </c>
      <c r="F2481" s="1837"/>
      <c r="G2481" s="1837">
        <v>100</v>
      </c>
      <c r="H2481" s="1838">
        <f>IF(J2477,1,0)</f>
        <v>0</v>
      </c>
      <c r="I2481" s="1838">
        <v>10</v>
      </c>
      <c r="J2481" s="1838">
        <f>COUNTIF(Elan!$C$13:$F$25,Tablas!E2481)+COUNTIF(Elan!$U$13:$X$25,Tablas!E2481)</f>
        <v>0</v>
      </c>
      <c r="K2481" s="1837"/>
      <c r="L2481" s="5025" t="s">
        <v>8851</v>
      </c>
      <c r="M2481" s="5025"/>
      <c r="N2481" s="5025"/>
      <c r="O2481" s="5025"/>
      <c r="P2481" s="5025"/>
      <c r="Q2481" s="5026"/>
      <c r="R2481" s="2719">
        <f>IF(OR($J2481=0,$J2481="Aprendida"),0,SUM($J$2326:$J2481))</f>
        <v>0</v>
      </c>
      <c r="AB2481" s="413"/>
      <c r="AC2481" s="2795"/>
    </row>
    <row r="2482" spans="1:29" ht="12.75" customHeight="1" x14ac:dyDescent="0.2">
      <c r="A2482" s="2029">
        <v>211</v>
      </c>
      <c r="B2482" s="4998"/>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98"/>
      <c r="E2483" s="2716" t="s">
        <v>8510</v>
      </c>
      <c r="F2483" s="1837"/>
      <c r="G2483" s="1837">
        <v>10</v>
      </c>
      <c r="H2483" s="1838">
        <v>1</v>
      </c>
      <c r="I2483" s="1838">
        <v>5</v>
      </c>
      <c r="J2483" s="1838">
        <f>COUNTIF(Elan!$C$13:$F$25,Tablas!E2483)+COUNTIF(Elan!$U$13:$X$25,Tablas!E2483)</f>
        <v>0</v>
      </c>
      <c r="K2483" s="1837"/>
      <c r="L2483" s="5025" t="s">
        <v>8852</v>
      </c>
      <c r="M2483" s="5025"/>
      <c r="N2483" s="5025"/>
      <c r="O2483" s="5025"/>
      <c r="P2483" s="5025"/>
      <c r="Q2483" s="5026"/>
      <c r="R2483" s="2719">
        <f>IF(OR($J2483=0,$J2483="Aprendida"),0,SUM($J$2326:$J2483))</f>
        <v>0</v>
      </c>
      <c r="AB2483" s="413"/>
      <c r="AC2483" s="2795"/>
    </row>
    <row r="2484" spans="1:29" ht="12.75" customHeight="1" x14ac:dyDescent="0.2">
      <c r="A2484" s="2029">
        <v>211</v>
      </c>
      <c r="B2484" s="4998"/>
      <c r="E2484" s="2716" t="s">
        <v>8511</v>
      </c>
      <c r="F2484" s="1837"/>
      <c r="G2484" s="1837">
        <v>20</v>
      </c>
      <c r="H2484" s="1838">
        <v>1</v>
      </c>
      <c r="I2484" s="1838">
        <v>5</v>
      </c>
      <c r="J2484" s="1838">
        <f>COUNTIF(Elan!$C$13:$F$25,Tablas!E2484)+COUNTIF(Elan!$U$13:$X$25,Tablas!E2484)</f>
        <v>0</v>
      </c>
      <c r="K2484" s="1837"/>
      <c r="L2484" s="5025" t="s">
        <v>8856</v>
      </c>
      <c r="M2484" s="5025"/>
      <c r="N2484" s="5025"/>
      <c r="O2484" s="5025"/>
      <c r="P2484" s="5025"/>
      <c r="Q2484" s="5026"/>
      <c r="R2484" s="2719">
        <f>IF(OR($J2484=0,$J2484="Aprendida"),0,SUM($J$2326:$J2484))</f>
        <v>0</v>
      </c>
      <c r="AB2484" s="413"/>
      <c r="AC2484" s="2795"/>
    </row>
    <row r="2485" spans="1:29" ht="12.75" customHeight="1" x14ac:dyDescent="0.2">
      <c r="A2485" s="2029">
        <v>211</v>
      </c>
      <c r="B2485" s="4998"/>
      <c r="E2485" s="2716" t="s">
        <v>8512</v>
      </c>
      <c r="F2485" s="1837"/>
      <c r="G2485" s="1837">
        <v>30</v>
      </c>
      <c r="H2485" s="1838">
        <v>1</v>
      </c>
      <c r="I2485" s="1838">
        <v>5</v>
      </c>
      <c r="J2485" s="1838">
        <f>COUNTIF(Elan!$C$13:$F$25,Tablas!E2485)+COUNTIF(Elan!$U$13:$X$25,Tablas!E2485)</f>
        <v>0</v>
      </c>
      <c r="K2485" s="1837">
        <f>F2482*J2485</f>
        <v>0</v>
      </c>
      <c r="L2485" s="5025" t="s">
        <v>8860</v>
      </c>
      <c r="M2485" s="5025"/>
      <c r="N2485" s="5025"/>
      <c r="O2485" s="5025"/>
      <c r="P2485" s="5025"/>
      <c r="Q2485" s="5026"/>
      <c r="R2485" s="2719">
        <f>IF(OR($J2485=0,$J2485="Aprendida"),0,SUM($J$2326:$J2485))</f>
        <v>0</v>
      </c>
      <c r="AB2485" s="413"/>
      <c r="AC2485" s="2795"/>
    </row>
    <row r="2486" spans="1:29" ht="12.75" customHeight="1" x14ac:dyDescent="0.2">
      <c r="A2486" s="2029">
        <v>211</v>
      </c>
      <c r="B2486" s="4998"/>
      <c r="E2486" s="2716" t="s">
        <v>8513</v>
      </c>
      <c r="F2486" s="1837"/>
      <c r="G2486" s="1837">
        <v>40</v>
      </c>
      <c r="H2486" s="1838">
        <v>1</v>
      </c>
      <c r="I2486" s="1838">
        <v>10</v>
      </c>
      <c r="J2486" s="1838">
        <f>COUNTIF(Elan!$C$13:$F$25,Tablas!E2486)+COUNTIF(Elan!$U$13:$X$25,Tablas!E2486)</f>
        <v>0</v>
      </c>
      <c r="K2486" s="1837"/>
      <c r="L2486" s="5025" t="s">
        <v>8863</v>
      </c>
      <c r="M2486" s="5025"/>
      <c r="N2486" s="5025"/>
      <c r="O2486" s="5025"/>
      <c r="P2486" s="5025"/>
      <c r="Q2486" s="5026"/>
      <c r="R2486" s="2719">
        <f>IF(OR($J2486=0,$J2486="Aprendida"),0,SUM($J$2326:$J2486))</f>
        <v>0</v>
      </c>
      <c r="AB2486" s="413"/>
      <c r="AC2486" s="2795"/>
    </row>
    <row r="2487" spans="1:29" ht="12.75" customHeight="1" x14ac:dyDescent="0.2">
      <c r="A2487" s="2029">
        <v>211</v>
      </c>
      <c r="B2487" s="4998"/>
      <c r="E2487" s="2716" t="s">
        <v>1579</v>
      </c>
      <c r="F2487" s="1837"/>
      <c r="G2487" s="1837">
        <v>50</v>
      </c>
      <c r="H2487" s="1838">
        <v>1</v>
      </c>
      <c r="I2487" s="1838">
        <v>10</v>
      </c>
      <c r="J2487" s="1838">
        <f>COUNTIF(Elan!$C$13:$F$25,Tablas!E2487)+COUNTIF(Elan!$U$13:$X$25,Tablas!E2487)</f>
        <v>0</v>
      </c>
      <c r="K2487" s="1837"/>
      <c r="L2487" s="5025" t="s">
        <v>8866</v>
      </c>
      <c r="M2487" s="5025"/>
      <c r="N2487" s="5025"/>
      <c r="O2487" s="5025"/>
      <c r="P2487" s="5025"/>
      <c r="Q2487" s="5026"/>
      <c r="R2487" s="2719">
        <f>IF(OR($J2487=0,$J2487="Aprendida"),0,SUM($J$2326:$J2487))</f>
        <v>0</v>
      </c>
      <c r="AB2487" s="413"/>
      <c r="AC2487" s="2795"/>
    </row>
    <row r="2488" spans="1:29" ht="12.75" customHeight="1" x14ac:dyDescent="0.2">
      <c r="A2488" s="2029">
        <v>211</v>
      </c>
      <c r="B2488" s="4998"/>
      <c r="E2488" s="2716" t="s">
        <v>8514</v>
      </c>
      <c r="F2488" s="1837"/>
      <c r="G2488" s="1837">
        <v>60</v>
      </c>
      <c r="H2488" s="1838">
        <v>1</v>
      </c>
      <c r="I2488" s="1838">
        <v>10</v>
      </c>
      <c r="J2488" s="1838">
        <f>COUNTIF(Elan!$C$13:$F$25,Tablas!E2488)+COUNTIF(Elan!$U$13:$X$25,Tablas!E2488)</f>
        <v>0</v>
      </c>
      <c r="K2488" s="1837"/>
      <c r="L2488" s="5025" t="s">
        <v>8868</v>
      </c>
      <c r="M2488" s="5025"/>
      <c r="N2488" s="5025"/>
      <c r="O2488" s="5025"/>
      <c r="P2488" s="5025"/>
      <c r="Q2488" s="5026"/>
      <c r="R2488" s="2719">
        <f>IF(OR($J2488=0,$J2488="Aprendida"),0,SUM($J$2326:$J2488))</f>
        <v>0</v>
      </c>
      <c r="AB2488" s="413"/>
      <c r="AC2488" s="2795"/>
    </row>
    <row r="2489" spans="1:29" ht="12.75" customHeight="1" x14ac:dyDescent="0.2">
      <c r="A2489" s="2029">
        <v>211</v>
      </c>
      <c r="B2489" s="4998"/>
      <c r="E2489" s="2716" t="s">
        <v>8515</v>
      </c>
      <c r="F2489" s="1837"/>
      <c r="G2489" s="1837">
        <v>60</v>
      </c>
      <c r="H2489" s="1838">
        <v>1</v>
      </c>
      <c r="I2489" s="1838">
        <v>15</v>
      </c>
      <c r="J2489" s="1838">
        <f>COUNTIF(Elan!$C$13:$F$25,Tablas!E2489)+COUNTIF(Elan!$U$13:$X$25,Tablas!E2489)</f>
        <v>0</v>
      </c>
      <c r="K2489" s="1837"/>
      <c r="L2489" s="5025" t="s">
        <v>8869</v>
      </c>
      <c r="M2489" s="5025"/>
      <c r="N2489" s="5025"/>
      <c r="O2489" s="5025"/>
      <c r="P2489" s="5025"/>
      <c r="Q2489" s="5026"/>
      <c r="R2489" s="2719">
        <f>IF(OR($J2489=0,$J2489="Aprendida"),0,SUM($J$2326:$J2489))</f>
        <v>0</v>
      </c>
      <c r="AB2489" s="413"/>
      <c r="AC2489" s="2795"/>
    </row>
    <row r="2490" spans="1:29" ht="12.75" customHeight="1" x14ac:dyDescent="0.2">
      <c r="A2490" s="2029">
        <v>211</v>
      </c>
      <c r="B2490" s="4998"/>
      <c r="E2490" s="2716" t="s">
        <v>8516</v>
      </c>
      <c r="F2490" s="1837"/>
      <c r="G2490" s="1837">
        <v>70</v>
      </c>
      <c r="H2490" s="1838">
        <f>IF(J2488,1,0)</f>
        <v>0</v>
      </c>
      <c r="I2490" s="1838">
        <v>15</v>
      </c>
      <c r="J2490" s="1838">
        <f>COUNTIF(Elan!$C$13:$F$25,Tablas!E2490)+COUNTIF(Elan!$U$13:$X$25,Tablas!E2490)</f>
        <v>0</v>
      </c>
      <c r="K2490" s="1837"/>
      <c r="L2490" s="5025" t="s">
        <v>8870</v>
      </c>
      <c r="M2490" s="5025"/>
      <c r="N2490" s="5025"/>
      <c r="O2490" s="5025"/>
      <c r="P2490" s="5025"/>
      <c r="Q2490" s="5026"/>
      <c r="R2490" s="2719">
        <f>IF(OR($J2490=0,$J2490="Aprendida"),0,SUM($J$2326:$J2490))</f>
        <v>0</v>
      </c>
      <c r="AB2490" s="413"/>
      <c r="AC2490" s="2795"/>
    </row>
    <row r="2491" spans="1:29" ht="12.75" customHeight="1" x14ac:dyDescent="0.2">
      <c r="A2491" s="2029">
        <v>211</v>
      </c>
      <c r="B2491" s="4998"/>
      <c r="E2491" s="2716" t="s">
        <v>8517</v>
      </c>
      <c r="F2491" s="1837"/>
      <c r="G2491" s="1837">
        <v>80</v>
      </c>
      <c r="H2491" s="1838">
        <v>1</v>
      </c>
      <c r="I2491" s="1838">
        <v>15</v>
      </c>
      <c r="J2491" s="1838">
        <f>COUNTIF(Elan!$C$13:$F$25,Tablas!E2491)+COUNTIF(Elan!$U$13:$X$25,Tablas!E2491)</f>
        <v>0</v>
      </c>
      <c r="K2491" s="1837"/>
      <c r="L2491" s="5025" t="s">
        <v>8871</v>
      </c>
      <c r="M2491" s="5025"/>
      <c r="N2491" s="5025"/>
      <c r="O2491" s="5025"/>
      <c r="P2491" s="5025"/>
      <c r="Q2491" s="5026"/>
      <c r="R2491" s="2719">
        <f>IF(OR($J2491=0,$J2491="Aprendida"),0,SUM($J$2326:$J2491))</f>
        <v>0</v>
      </c>
      <c r="AB2491" s="413"/>
      <c r="AC2491" s="2795"/>
    </row>
    <row r="2492" spans="1:29" ht="12.75" customHeight="1" x14ac:dyDescent="0.2">
      <c r="A2492" s="2029">
        <v>211</v>
      </c>
      <c r="B2492" s="4998"/>
      <c r="E2492" s="2716" t="s">
        <v>8518</v>
      </c>
      <c r="F2492" s="1837"/>
      <c r="G2492" s="1837">
        <v>90</v>
      </c>
      <c r="H2492" s="1838">
        <v>1</v>
      </c>
      <c r="I2492" s="1838">
        <v>25</v>
      </c>
      <c r="J2492" s="1838">
        <f>COUNTIF(Elan!$C$13:$F$25,Tablas!E2492)+COUNTIF(Elan!$U$13:$X$25,Tablas!E2492)</f>
        <v>0</v>
      </c>
      <c r="K2492" s="1837"/>
      <c r="L2492" s="5025" t="s">
        <v>8872</v>
      </c>
      <c r="M2492" s="5025"/>
      <c r="N2492" s="5025"/>
      <c r="O2492" s="5025"/>
      <c r="P2492" s="5025"/>
      <c r="Q2492" s="5026"/>
      <c r="R2492" s="2719">
        <f>IF(OR($J2492=0,$J2492="Aprendida"),0,SUM($J$2326:$J2492))</f>
        <v>0</v>
      </c>
      <c r="AB2492" s="413"/>
      <c r="AC2492" s="2795"/>
    </row>
    <row r="2493" spans="1:29" ht="12.75" customHeight="1" x14ac:dyDescent="0.2">
      <c r="A2493" s="2029">
        <v>211</v>
      </c>
      <c r="B2493" s="4998"/>
      <c r="E2493" s="2716" t="s">
        <v>8519</v>
      </c>
      <c r="F2493" s="1837"/>
      <c r="G2493" s="1837">
        <v>100</v>
      </c>
      <c r="H2493" s="1838">
        <v>1</v>
      </c>
      <c r="I2493" s="1838">
        <v>10</v>
      </c>
      <c r="J2493" s="1838">
        <f>COUNTIF(Elan!$C$13:$F$25,Tablas!E2493)+COUNTIF(Elan!$U$13:$X$25,Tablas!E2493)</f>
        <v>0</v>
      </c>
      <c r="K2493" s="1837"/>
      <c r="L2493" s="5025" t="s">
        <v>8873</v>
      </c>
      <c r="M2493" s="5025"/>
      <c r="N2493" s="5025"/>
      <c r="O2493" s="5025"/>
      <c r="P2493" s="5025"/>
      <c r="Q2493" s="5026"/>
      <c r="R2493" s="2719">
        <f>IF(OR($J2493=0,$J2493="Aprendida"),0,SUM($J$2326:$J2493))</f>
        <v>0</v>
      </c>
      <c r="AB2493" s="413"/>
      <c r="AC2493" s="2795"/>
    </row>
    <row r="2494" spans="1:29" ht="12.75" customHeight="1" x14ac:dyDescent="0.2">
      <c r="A2494" s="2029">
        <v>211</v>
      </c>
      <c r="B2494" s="4998"/>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98"/>
      <c r="E2495" s="2716" t="s">
        <v>8520</v>
      </c>
      <c r="F2495" s="1837"/>
      <c r="G2495" s="1837">
        <v>10</v>
      </c>
      <c r="H2495" s="1838">
        <v>1</v>
      </c>
      <c r="I2495" s="1838">
        <v>5</v>
      </c>
      <c r="J2495" s="1838">
        <f>COUNTIF(Elan!$C$13:$F$25,Tablas!E2495)+COUNTIF(Elan!$U$13:$X$25,Tablas!E2495)</f>
        <v>0</v>
      </c>
      <c r="K2495" s="1837">
        <f>F2494*J2495</f>
        <v>0</v>
      </c>
      <c r="L2495" s="5025" t="s">
        <v>8874</v>
      </c>
      <c r="M2495" s="5025"/>
      <c r="N2495" s="5025"/>
      <c r="O2495" s="5025"/>
      <c r="P2495" s="5025"/>
      <c r="Q2495" s="5026"/>
      <c r="R2495" s="2719">
        <f>IF(OR($J2495=0,$J2495="Aprendida"),0,SUM($J$2326:$J2495))</f>
        <v>0</v>
      </c>
      <c r="AB2495" s="413"/>
      <c r="AC2495" s="2795"/>
    </row>
    <row r="2496" spans="1:29" ht="12.75" customHeight="1" x14ac:dyDescent="0.2">
      <c r="A2496" s="2029">
        <v>211</v>
      </c>
      <c r="B2496" s="4998"/>
      <c r="E2496" s="2716" t="s">
        <v>8521</v>
      </c>
      <c r="F2496" s="1837"/>
      <c r="G2496" s="1837">
        <v>20</v>
      </c>
      <c r="H2496" s="1838">
        <v>1</v>
      </c>
      <c r="I2496" s="1838">
        <v>5</v>
      </c>
      <c r="J2496" s="1838">
        <f>COUNTIF(Elan!$C$13:$F$25,Tablas!E2496)+COUNTIF(Elan!$U$13:$X$25,Tablas!E2496)</f>
        <v>0</v>
      </c>
      <c r="K2496" s="1837"/>
      <c r="L2496" s="5025" t="s">
        <v>8878</v>
      </c>
      <c r="M2496" s="5025"/>
      <c r="N2496" s="5025"/>
      <c r="O2496" s="5025"/>
      <c r="P2496" s="5025"/>
      <c r="Q2496" s="5026"/>
      <c r="R2496" s="2719">
        <f>IF(OR($J2496=0,$J2496="Aprendida"),0,SUM($J$2326:$J2496))</f>
        <v>0</v>
      </c>
      <c r="AB2496" s="413"/>
      <c r="AC2496" s="2795"/>
    </row>
    <row r="2497" spans="1:29" ht="12.75" customHeight="1" x14ac:dyDescent="0.2">
      <c r="A2497" s="2029">
        <v>211</v>
      </c>
      <c r="B2497" s="4998"/>
      <c r="E2497" s="2716" t="s">
        <v>8522</v>
      </c>
      <c r="F2497" s="1837"/>
      <c r="G2497" s="1837">
        <v>30</v>
      </c>
      <c r="H2497" s="1838">
        <v>1</v>
      </c>
      <c r="I2497" s="1838">
        <v>10</v>
      </c>
      <c r="J2497" s="1838">
        <f>COUNTIF(Elan!$C$13:$F$25,Tablas!E2497)+COUNTIF(Elan!$U$13:$X$25,Tablas!E2497)</f>
        <v>0</v>
      </c>
      <c r="K2497" s="1837"/>
      <c r="L2497" s="5025" t="s">
        <v>8882</v>
      </c>
      <c r="M2497" s="5025"/>
      <c r="N2497" s="5025"/>
      <c r="O2497" s="5025"/>
      <c r="P2497" s="5025"/>
      <c r="Q2497" s="5026"/>
      <c r="R2497" s="2719">
        <f>IF(OR($J2497=0,$J2497="Aprendida"),0,SUM($J$2326:$J2497))</f>
        <v>0</v>
      </c>
      <c r="AB2497" s="413"/>
      <c r="AC2497" s="2795"/>
    </row>
    <row r="2498" spans="1:29" ht="12.75" customHeight="1" x14ac:dyDescent="0.2">
      <c r="A2498" s="2029">
        <v>211</v>
      </c>
      <c r="B2498" s="4998"/>
      <c r="E2498" s="2716" t="s">
        <v>8523</v>
      </c>
      <c r="F2498" s="1837"/>
      <c r="G2498" s="1837">
        <v>30</v>
      </c>
      <c r="H2498" s="1838">
        <v>1</v>
      </c>
      <c r="I2498" s="1838">
        <v>5</v>
      </c>
      <c r="J2498" s="1838">
        <f>COUNTIF(Elan!$C$13:$F$25,Tablas!E2498)+COUNTIF(Elan!$U$13:$X$25,Tablas!E2498)</f>
        <v>0</v>
      </c>
      <c r="K2498" s="1837"/>
      <c r="L2498" s="5025" t="s">
        <v>8884</v>
      </c>
      <c r="M2498" s="5025"/>
      <c r="N2498" s="5025"/>
      <c r="O2498" s="5025"/>
      <c r="P2498" s="5025"/>
      <c r="Q2498" s="5026"/>
      <c r="R2498" s="2719">
        <f>IF(OR($J2498=0,$J2498="Aprendida"),0,SUM($J$2326:$J2498))</f>
        <v>0</v>
      </c>
      <c r="AB2498" s="413"/>
      <c r="AC2498" s="2795"/>
    </row>
    <row r="2499" spans="1:29" ht="12.75" customHeight="1" x14ac:dyDescent="0.2">
      <c r="A2499" s="2029">
        <v>211</v>
      </c>
      <c r="B2499" s="4998"/>
      <c r="E2499" s="2716" t="s">
        <v>8524</v>
      </c>
      <c r="F2499" s="1837"/>
      <c r="G2499" s="1837">
        <v>40</v>
      </c>
      <c r="H2499" s="1838">
        <v>1</v>
      </c>
      <c r="I2499" s="1838">
        <v>10</v>
      </c>
      <c r="J2499" s="1838">
        <f>COUNTIF(Elan!$C$13:$F$25,Tablas!E2499)+COUNTIF(Elan!$U$13:$X$25,Tablas!E2499)</f>
        <v>0</v>
      </c>
      <c r="K2499" s="1837"/>
      <c r="L2499" s="5025" t="s">
        <v>8885</v>
      </c>
      <c r="M2499" s="5025"/>
      <c r="N2499" s="5025"/>
      <c r="O2499" s="5025"/>
      <c r="P2499" s="5025"/>
      <c r="Q2499" s="5026"/>
      <c r="R2499" s="2719">
        <f>IF(OR($J2499=0,$J2499="Aprendida"),0,SUM($J$2326:$J2499))</f>
        <v>0</v>
      </c>
      <c r="AB2499" s="413"/>
      <c r="AC2499" s="2795"/>
    </row>
    <row r="2500" spans="1:29" ht="12.75" customHeight="1" x14ac:dyDescent="0.2">
      <c r="A2500" s="2029">
        <v>211</v>
      </c>
      <c r="B2500" s="4998"/>
      <c r="E2500" s="2716" t="s">
        <v>8525</v>
      </c>
      <c r="F2500" s="1837"/>
      <c r="G2500" s="1837">
        <v>40</v>
      </c>
      <c r="H2500" s="1838">
        <v>1</v>
      </c>
      <c r="I2500" s="1838">
        <v>10</v>
      </c>
      <c r="J2500" s="1838">
        <f>COUNTIF(Elan!$C$13:$F$25,Tablas!E2500)+COUNTIF(Elan!$U$13:$X$25,Tablas!E2500)</f>
        <v>0</v>
      </c>
      <c r="K2500" s="1837"/>
      <c r="L2500" s="5025" t="s">
        <v>8886</v>
      </c>
      <c r="M2500" s="5025"/>
      <c r="N2500" s="5025"/>
      <c r="O2500" s="5025"/>
      <c r="P2500" s="5025"/>
      <c r="Q2500" s="5026"/>
      <c r="R2500" s="2719">
        <f>IF(OR($J2500=0,$J2500="Aprendida"),0,SUM($J$2326:$J2500))</f>
        <v>0</v>
      </c>
      <c r="AB2500" s="413"/>
      <c r="AC2500" s="2795"/>
    </row>
    <row r="2501" spans="1:29" ht="12.75" customHeight="1" x14ac:dyDescent="0.2">
      <c r="A2501" s="2029">
        <v>211</v>
      </c>
      <c r="B2501" s="4998"/>
      <c r="E2501" s="2716" t="s">
        <v>8526</v>
      </c>
      <c r="F2501" s="1837"/>
      <c r="G2501" s="1837">
        <v>50</v>
      </c>
      <c r="H2501" s="1838">
        <v>1</v>
      </c>
      <c r="I2501" s="1838">
        <v>10</v>
      </c>
      <c r="J2501" s="1838">
        <f>COUNTIF(Elan!$C$13:$F$25,Tablas!E2501)+COUNTIF(Elan!$U$13:$X$25,Tablas!E2501)</f>
        <v>0</v>
      </c>
      <c r="K2501" s="1837"/>
      <c r="L2501" s="5025" t="s">
        <v>8887</v>
      </c>
      <c r="M2501" s="5025"/>
      <c r="N2501" s="5025"/>
      <c r="O2501" s="5025"/>
      <c r="P2501" s="5025"/>
      <c r="Q2501" s="5026"/>
      <c r="R2501" s="2719">
        <f>IF(OR($J2501=0,$J2501="Aprendida"),0,SUM($J$2326:$J2501))</f>
        <v>0</v>
      </c>
      <c r="AB2501" s="413"/>
      <c r="AC2501" s="2795"/>
    </row>
    <row r="2502" spans="1:29" ht="12.75" customHeight="1" x14ac:dyDescent="0.2">
      <c r="A2502" s="2029">
        <v>211</v>
      </c>
      <c r="B2502" s="4998"/>
      <c r="E2502" s="2716" t="s">
        <v>8527</v>
      </c>
      <c r="F2502" s="1837"/>
      <c r="G2502" s="1837">
        <v>60</v>
      </c>
      <c r="H2502" s="1838">
        <v>1</v>
      </c>
      <c r="I2502" s="1838">
        <v>10</v>
      </c>
      <c r="J2502" s="1838">
        <f>COUNTIF(Elan!$C$13:$F$25,Tablas!E2502)+COUNTIF(Elan!$U$13:$X$25,Tablas!E2502)</f>
        <v>0</v>
      </c>
      <c r="K2502" s="1837"/>
      <c r="L2502" s="5025" t="s">
        <v>8888</v>
      </c>
      <c r="M2502" s="5025"/>
      <c r="N2502" s="5025"/>
      <c r="O2502" s="5025"/>
      <c r="P2502" s="5025"/>
      <c r="Q2502" s="5026"/>
      <c r="R2502" s="2719">
        <f>IF(OR($J2502=0,$J2502="Aprendida"),0,SUM($J$2326:$J2502))</f>
        <v>0</v>
      </c>
      <c r="AB2502" s="413"/>
      <c r="AC2502" s="2795"/>
    </row>
    <row r="2503" spans="1:29" ht="12.75" customHeight="1" x14ac:dyDescent="0.2">
      <c r="A2503" s="2029">
        <v>211</v>
      </c>
      <c r="B2503" s="4998"/>
      <c r="E2503" s="2716" t="s">
        <v>8528</v>
      </c>
      <c r="F2503" s="1837"/>
      <c r="G2503" s="1837">
        <v>60</v>
      </c>
      <c r="H2503" s="1838">
        <f>IF(J2499,1,0)</f>
        <v>0</v>
      </c>
      <c r="I2503" s="1838">
        <v>15</v>
      </c>
      <c r="J2503" s="1838">
        <f>COUNTIF(Elan!$C$13:$F$25,Tablas!E2503)+COUNTIF(Elan!$U$13:$X$25,Tablas!E2503)</f>
        <v>0</v>
      </c>
      <c r="K2503" s="1837"/>
      <c r="L2503" s="5025" t="s">
        <v>8889</v>
      </c>
      <c r="M2503" s="5025"/>
      <c r="N2503" s="5025"/>
      <c r="O2503" s="5025"/>
      <c r="P2503" s="5025"/>
      <c r="Q2503" s="5026"/>
      <c r="R2503" s="2719">
        <f>IF(OR($J2503=0,$J2503="Aprendida"),0,SUM($J$2326:$J2503))</f>
        <v>0</v>
      </c>
      <c r="AB2503" s="413"/>
      <c r="AC2503" s="2795"/>
    </row>
    <row r="2504" spans="1:29" ht="12.75" customHeight="1" x14ac:dyDescent="0.2">
      <c r="A2504" s="2029">
        <v>211</v>
      </c>
      <c r="B2504" s="4998"/>
      <c r="E2504" s="2716" t="s">
        <v>8529</v>
      </c>
      <c r="F2504" s="1837"/>
      <c r="G2504" s="1837">
        <v>70</v>
      </c>
      <c r="H2504" s="1838">
        <v>1</v>
      </c>
      <c r="I2504" s="1838">
        <v>10</v>
      </c>
      <c r="J2504" s="1838">
        <f>COUNTIF(Elan!$C$13:$F$25,Tablas!E2504)+COUNTIF(Elan!$U$13:$X$25,Tablas!E2504)</f>
        <v>0</v>
      </c>
      <c r="K2504" s="1837"/>
      <c r="L2504" s="5025" t="s">
        <v>8890</v>
      </c>
      <c r="M2504" s="5025"/>
      <c r="N2504" s="5025"/>
      <c r="O2504" s="5025"/>
      <c r="P2504" s="5025"/>
      <c r="Q2504" s="5026"/>
      <c r="R2504" s="2719">
        <f>IF(OR($J2504=0,$J2504="Aprendida"),0,SUM($J$2326:$J2504))</f>
        <v>0</v>
      </c>
      <c r="AB2504" s="413"/>
      <c r="AC2504" s="2795"/>
    </row>
    <row r="2505" spans="1:29" ht="12.75" customHeight="1" x14ac:dyDescent="0.2">
      <c r="A2505" s="2029">
        <v>211</v>
      </c>
      <c r="B2505" s="4998"/>
      <c r="E2505" s="2716" t="s">
        <v>8530</v>
      </c>
      <c r="F2505" s="1837"/>
      <c r="G2505" s="1837">
        <v>80</v>
      </c>
      <c r="H2505" s="1838">
        <f>IF(J2502,1,0)</f>
        <v>0</v>
      </c>
      <c r="I2505" s="1838">
        <v>10</v>
      </c>
      <c r="J2505" s="1838">
        <f>COUNTIF(Elan!$C$13:$F$25,Tablas!E2505)+COUNTIF(Elan!$U$13:$X$25,Tablas!E2505)</f>
        <v>0</v>
      </c>
      <c r="K2505" s="1837"/>
      <c r="L2505" s="5025" t="s">
        <v>8891</v>
      </c>
      <c r="M2505" s="5025"/>
      <c r="N2505" s="5025"/>
      <c r="O2505" s="5025"/>
      <c r="P2505" s="5025"/>
      <c r="Q2505" s="5026"/>
      <c r="R2505" s="2719">
        <f>IF(OR($J2505=0,$J2505="Aprendida"),0,SUM($J$2326:$J2505))</f>
        <v>0</v>
      </c>
      <c r="AB2505" s="413"/>
      <c r="AC2505" s="2795"/>
    </row>
    <row r="2506" spans="1:29" ht="12.75" customHeight="1" x14ac:dyDescent="0.2">
      <c r="A2506" s="2029">
        <v>211</v>
      </c>
      <c r="B2506" s="4998"/>
      <c r="E2506" s="2716" t="s">
        <v>8531</v>
      </c>
      <c r="F2506" s="1837"/>
      <c r="G2506" s="1837">
        <v>90</v>
      </c>
      <c r="H2506" s="1838">
        <v>1</v>
      </c>
      <c r="I2506" s="1838">
        <v>15</v>
      </c>
      <c r="J2506" s="1838">
        <f>COUNTIF(Elan!$C$13:$F$25,Tablas!E2506)+COUNTIF(Elan!$U$13:$X$25,Tablas!E2506)</f>
        <v>0</v>
      </c>
      <c r="K2506" s="1837"/>
      <c r="L2506" s="5025" t="s">
        <v>8892</v>
      </c>
      <c r="M2506" s="5025"/>
      <c r="N2506" s="5025"/>
      <c r="O2506" s="5025"/>
      <c r="P2506" s="5025"/>
      <c r="Q2506" s="5026"/>
      <c r="R2506" s="2719">
        <f>IF(OR($J2506=0,$J2506="Aprendida"),0,SUM($J$2326:$J2506))</f>
        <v>0</v>
      </c>
      <c r="AB2506" s="413"/>
      <c r="AC2506" s="2795"/>
    </row>
    <row r="2507" spans="1:29" ht="12.75" customHeight="1" thickBot="1" x14ac:dyDescent="0.25">
      <c r="A2507" s="2029">
        <v>211</v>
      </c>
      <c r="B2507" s="4998"/>
      <c r="E2507" s="2716" t="s">
        <v>8532</v>
      </c>
      <c r="F2507" s="1842"/>
      <c r="G2507" s="1842">
        <v>100</v>
      </c>
      <c r="H2507" s="1843">
        <f>IF(J2501,1,0)</f>
        <v>0</v>
      </c>
      <c r="I2507" s="1843">
        <v>10</v>
      </c>
      <c r="J2507" s="1842">
        <f>COUNTIF(Elan!$C$13:$F$25,Tablas!E2507)+COUNTIF(Elan!$U$13:$X$25,Tablas!E2507)</f>
        <v>0</v>
      </c>
      <c r="K2507" s="1842"/>
      <c r="L2507" s="5025" t="s">
        <v>8893</v>
      </c>
      <c r="M2507" s="5025"/>
      <c r="N2507" s="5025"/>
      <c r="O2507" s="5025"/>
      <c r="P2507" s="5025"/>
      <c r="Q2507" s="5026"/>
      <c r="R2507" s="2719">
        <f>IF(OR($J2507=0,$J2507="Aprendida"),0,SUM($J$2326:$J2507))</f>
        <v>0</v>
      </c>
      <c r="AB2507" s="413"/>
      <c r="AC2507" s="2795"/>
    </row>
    <row r="2508" spans="1:29" ht="12.75" customHeight="1" x14ac:dyDescent="0.2">
      <c r="A2508" s="2029">
        <v>211</v>
      </c>
      <c r="B2508" s="4998"/>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98"/>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25">
        <f>IF(E2509="Poder no definido",0,VLOOKUP(E2509,Personalización!$D$45:$Q$54,6,FALSE))</f>
        <v>0</v>
      </c>
      <c r="M2509" s="5025"/>
      <c r="N2509" s="5025"/>
      <c r="O2509" s="5025"/>
      <c r="P2509" s="5025"/>
      <c r="Q2509" s="5026"/>
      <c r="R2509" s="2719">
        <f>IF(OR($J2509=0,$J2509="Aprendida"),0,SUM($J$2326:$J2509))</f>
        <v>0</v>
      </c>
      <c r="AB2509" s="413"/>
      <c r="AC2509" s="2795"/>
    </row>
    <row r="2510" spans="1:29" ht="12.75" customHeight="1" x14ac:dyDescent="0.2">
      <c r="A2510" s="2029">
        <v>211</v>
      </c>
      <c r="B2510" s="4998"/>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25">
        <f>IF(E2510="Poder no definido",0,VLOOKUP(E2510,Personalización!$D$45:$Q$54,6,FALSE))</f>
        <v>0</v>
      </c>
      <c r="M2510" s="5025"/>
      <c r="N2510" s="5025"/>
      <c r="O2510" s="5025"/>
      <c r="P2510" s="5025"/>
      <c r="Q2510" s="5026"/>
      <c r="R2510" s="2719">
        <f>IF(OR($J2510=0,$J2510="Aprendida"),0,SUM($J$2326:$J2510))</f>
        <v>0</v>
      </c>
      <c r="AB2510" s="413"/>
      <c r="AC2510" s="2795"/>
    </row>
    <row r="2511" spans="1:29" ht="12.75" customHeight="1" x14ac:dyDescent="0.2">
      <c r="A2511" s="2029">
        <v>211</v>
      </c>
      <c r="B2511" s="4998"/>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25">
        <f>IF(E2511="Poder no definido",0,VLOOKUP(E2511,Personalización!$D$45:$Q$54,6,FALSE))</f>
        <v>0</v>
      </c>
      <c r="M2511" s="5025"/>
      <c r="N2511" s="5025"/>
      <c r="O2511" s="5025"/>
      <c r="P2511" s="5025"/>
      <c r="Q2511" s="5026"/>
      <c r="R2511" s="2719">
        <f>IF(OR($J2511=0,$J2511="Aprendida"),0,SUM($J$2326:$J2511))</f>
        <v>0</v>
      </c>
      <c r="AB2511" s="413"/>
      <c r="AC2511" s="2795"/>
    </row>
    <row r="2512" spans="1:29" ht="12.75" customHeight="1" x14ac:dyDescent="0.2">
      <c r="A2512" s="2029">
        <v>211</v>
      </c>
      <c r="B2512" s="4998"/>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25">
        <f>IF(E2512="Poder no definido",0,VLOOKUP(E2512,Personalización!$D$45:$Q$54,6,FALSE))</f>
        <v>0</v>
      </c>
      <c r="M2512" s="5025"/>
      <c r="N2512" s="5025"/>
      <c r="O2512" s="5025"/>
      <c r="P2512" s="5025"/>
      <c r="Q2512" s="5026"/>
      <c r="R2512" s="2719">
        <f>IF(OR($J2512=0,$J2512="Aprendida"),0,SUM($J$2326:$J2512))</f>
        <v>0</v>
      </c>
      <c r="AB2512" s="413"/>
      <c r="AC2512" s="2795"/>
    </row>
    <row r="2513" spans="1:31" ht="12.75" customHeight="1" x14ac:dyDescent="0.2">
      <c r="A2513" s="2029">
        <v>211</v>
      </c>
      <c r="B2513" s="4998"/>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25">
        <f>IF(E2513="Poder no definido",0,VLOOKUP(E2513,Personalización!$D$45:$Q$54,6,FALSE))</f>
        <v>0</v>
      </c>
      <c r="M2513" s="5025"/>
      <c r="N2513" s="5025"/>
      <c r="O2513" s="5025"/>
      <c r="P2513" s="5025"/>
      <c r="Q2513" s="5026"/>
      <c r="R2513" s="2719">
        <f>IF(OR($J2513=0,$J2513="Aprendida"),0,SUM($J$2326:$J2513))</f>
        <v>0</v>
      </c>
      <c r="AB2513" s="413"/>
      <c r="AC2513" s="2795"/>
    </row>
    <row r="2514" spans="1:31" ht="12.75" customHeight="1" x14ac:dyDescent="0.2">
      <c r="A2514" s="2029">
        <v>211</v>
      </c>
      <c r="B2514" s="4998"/>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25">
        <f>IF(E2514="Poder no definido",0,VLOOKUP(E2514,Personalización!$D$45:$Q$54,6,FALSE))</f>
        <v>0</v>
      </c>
      <c r="M2514" s="5025"/>
      <c r="N2514" s="5025"/>
      <c r="O2514" s="5025"/>
      <c r="P2514" s="5025"/>
      <c r="Q2514" s="5026"/>
      <c r="R2514" s="2719">
        <f>IF(OR($J2514=0,$J2514="Aprendida"),0,SUM($J$2326:$J2514))</f>
        <v>0</v>
      </c>
      <c r="AB2514" s="413"/>
      <c r="AC2514" s="2795"/>
    </row>
    <row r="2515" spans="1:31" ht="12.75" customHeight="1" x14ac:dyDescent="0.2">
      <c r="A2515" s="2029">
        <v>211</v>
      </c>
      <c r="B2515" s="4998"/>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25">
        <f>IF(E2515="Poder no definido",0,VLOOKUP(E2515,Personalización!$D$45:$Q$54,6,FALSE))</f>
        <v>0</v>
      </c>
      <c r="M2515" s="5025"/>
      <c r="N2515" s="5025"/>
      <c r="O2515" s="5025"/>
      <c r="P2515" s="5025"/>
      <c r="Q2515" s="5026"/>
      <c r="R2515" s="2719">
        <f>IF(OR($J2515=0,$J2515="Aprendida"),0,SUM($J$2326:$J2515))</f>
        <v>0</v>
      </c>
      <c r="AB2515" s="413"/>
      <c r="AC2515" s="2795"/>
    </row>
    <row r="2516" spans="1:31" ht="12.75" customHeight="1" x14ac:dyDescent="0.2">
      <c r="A2516" s="2029">
        <v>211</v>
      </c>
      <c r="B2516" s="4998"/>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25">
        <f>IF(E2516="Poder no definido",0,VLOOKUP(E2516,Personalización!$D$45:$Q$54,6,FALSE))</f>
        <v>0</v>
      </c>
      <c r="M2516" s="5025"/>
      <c r="N2516" s="5025"/>
      <c r="O2516" s="5025"/>
      <c r="P2516" s="5025"/>
      <c r="Q2516" s="5026"/>
      <c r="R2516" s="2719">
        <f>IF(OR($J2516=0,$J2516="Aprendida"),0,SUM($J$2326:$J2516))</f>
        <v>0</v>
      </c>
      <c r="AB2516" s="413"/>
      <c r="AC2516" s="2795"/>
    </row>
    <row r="2517" spans="1:31" ht="12.75" customHeight="1" x14ac:dyDescent="0.2">
      <c r="A2517" s="2029">
        <v>211</v>
      </c>
      <c r="B2517" s="4998"/>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25">
        <f>IF(E2517="Poder no definido",0,VLOOKUP(E2517,Personalización!$D$45:$Q$54,6,FALSE))</f>
        <v>0</v>
      </c>
      <c r="M2517" s="5025"/>
      <c r="N2517" s="5025"/>
      <c r="O2517" s="5025"/>
      <c r="P2517" s="5025"/>
      <c r="Q2517" s="5026"/>
      <c r="R2517" s="2719">
        <f>IF(OR($J2517=0,$J2517="Aprendida"),0,SUM($J$2326:$J2517))</f>
        <v>0</v>
      </c>
      <c r="AB2517" s="413"/>
      <c r="AC2517" s="2795"/>
    </row>
    <row r="2518" spans="1:31" ht="12.75" customHeight="1" thickBot="1" x14ac:dyDescent="0.25">
      <c r="A2518" s="2029">
        <v>211</v>
      </c>
      <c r="B2518" s="4998"/>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3">
        <f>IF(E2518="Poder no definido",0,VLOOKUP(E2518,Personalización!$D$45:$Q$54,6,FALSE))</f>
        <v>0</v>
      </c>
      <c r="M2518" s="5033"/>
      <c r="N2518" s="5033"/>
      <c r="O2518" s="5033"/>
      <c r="P2518" s="5033"/>
      <c r="Q2518" s="5034"/>
      <c r="R2518" s="1844">
        <f>IF(OR($J2518=0,$J2518="Aprendida"),0,SUM($J$2326:$J2518))</f>
        <v>0</v>
      </c>
      <c r="AB2518" s="413"/>
      <c r="AC2518" s="2795"/>
    </row>
    <row r="2519" spans="1:31" ht="12.75" customHeight="1" x14ac:dyDescent="0.2">
      <c r="A2519" s="2029">
        <v>211</v>
      </c>
      <c r="B2519" s="4998"/>
      <c r="H2519" s="413"/>
      <c r="I2519" s="1761"/>
      <c r="N2519" s="413"/>
      <c r="O2519" s="2112"/>
      <c r="Z2519" s="2795"/>
      <c r="AB2519" s="413"/>
      <c r="AC2519" s="2795"/>
    </row>
    <row r="2520" spans="1:31" ht="12.75" customHeight="1" x14ac:dyDescent="0.2">
      <c r="A2520" s="2029">
        <v>211</v>
      </c>
      <c r="B2520" s="4998"/>
      <c r="H2520" s="413"/>
      <c r="I2520" s="1761"/>
      <c r="N2520" s="413"/>
      <c r="O2520" s="2112"/>
      <c r="Z2520" s="2795"/>
      <c r="AB2520" s="413"/>
      <c r="AC2520" s="2795"/>
    </row>
    <row r="2521" spans="1:31" ht="12.75" customHeight="1" x14ac:dyDescent="0.2">
      <c r="A2521" s="2029">
        <v>211</v>
      </c>
      <c r="B2521" s="4998"/>
      <c r="H2521" s="413"/>
      <c r="I2521" s="1761"/>
      <c r="N2521" s="413"/>
      <c r="O2521" s="2112"/>
      <c r="Z2521" s="2795"/>
      <c r="AB2521" s="413"/>
      <c r="AC2521" s="2795"/>
    </row>
    <row r="2522" spans="1:31" ht="12.75" customHeight="1" x14ac:dyDescent="0.2">
      <c r="A2522" s="2029">
        <v>211</v>
      </c>
      <c r="B2522" s="4998"/>
      <c r="C2522" s="4997" t="s">
        <v>9446</v>
      </c>
      <c r="D2522" s="4997"/>
      <c r="E2522" s="4997"/>
      <c r="F2522" s="4997"/>
      <c r="G2522" s="4997"/>
      <c r="H2522" s="4997"/>
      <c r="I2522" s="4997"/>
      <c r="J2522" s="4997"/>
      <c r="K2522" s="4997"/>
      <c r="L2522" s="4997"/>
      <c r="M2522" s="4997"/>
      <c r="N2522" s="4997"/>
      <c r="O2522" s="4997"/>
      <c r="P2522" s="4997"/>
      <c r="Q2522" s="4997"/>
      <c r="R2522" s="4997"/>
      <c r="S2522" s="4997"/>
      <c r="T2522" s="4997"/>
      <c r="U2522" s="4997"/>
      <c r="V2522" s="4997"/>
      <c r="W2522" s="4997"/>
      <c r="X2522" s="4997"/>
      <c r="Y2522" s="4997"/>
      <c r="Z2522" s="4997"/>
      <c r="AA2522" s="4997"/>
      <c r="AB2522" s="4997"/>
      <c r="AC2522" s="4997"/>
      <c r="AD2522" s="4997"/>
      <c r="AE2522" s="4997"/>
    </row>
    <row r="2523" spans="1:31" ht="12.75" customHeight="1" x14ac:dyDescent="0.2">
      <c r="A2523" s="2029">
        <v>211</v>
      </c>
      <c r="B2523" s="4998"/>
      <c r="C2523" s="4997"/>
      <c r="D2523" s="4997"/>
      <c r="E2523" s="4997"/>
      <c r="F2523" s="4997"/>
      <c r="G2523" s="4997"/>
      <c r="H2523" s="4997"/>
      <c r="I2523" s="4997"/>
      <c r="J2523" s="4997"/>
      <c r="K2523" s="4997"/>
      <c r="L2523" s="4997"/>
      <c r="M2523" s="4997"/>
      <c r="N2523" s="4997"/>
      <c r="O2523" s="4997"/>
      <c r="P2523" s="4997"/>
      <c r="Q2523" s="4997"/>
      <c r="R2523" s="4997"/>
      <c r="S2523" s="4997"/>
      <c r="T2523" s="4997"/>
      <c r="U2523" s="4997"/>
      <c r="V2523" s="4997"/>
      <c r="W2523" s="4997"/>
      <c r="X2523" s="4997"/>
      <c r="Y2523" s="4997"/>
      <c r="Z2523" s="4997"/>
      <c r="AA2523" s="4997"/>
      <c r="AB2523" s="4997"/>
      <c r="AC2523" s="4997"/>
      <c r="AD2523" s="4997"/>
      <c r="AE2523" s="4997"/>
    </row>
    <row r="2524" spans="1:31" ht="12.75" customHeight="1" x14ac:dyDescent="0.2">
      <c r="A2524" s="2029">
        <v>211</v>
      </c>
      <c r="B2524" s="4998"/>
      <c r="C2524" s="4997"/>
      <c r="D2524" s="4997"/>
      <c r="E2524" s="4997"/>
      <c r="F2524" s="4997"/>
      <c r="G2524" s="4997"/>
      <c r="H2524" s="4997"/>
      <c r="I2524" s="4997"/>
      <c r="J2524" s="4997"/>
      <c r="K2524" s="4997"/>
      <c r="L2524" s="4997"/>
      <c r="M2524" s="4997"/>
      <c r="N2524" s="4997"/>
      <c r="O2524" s="4997"/>
      <c r="P2524" s="4997"/>
      <c r="Q2524" s="4997"/>
      <c r="R2524" s="4997"/>
      <c r="S2524" s="4997"/>
      <c r="T2524" s="4997"/>
      <c r="U2524" s="4997"/>
      <c r="V2524" s="4997"/>
      <c r="W2524" s="4997"/>
      <c r="X2524" s="4997"/>
      <c r="Y2524" s="4997"/>
      <c r="Z2524" s="4997"/>
      <c r="AA2524" s="4997"/>
      <c r="AB2524" s="4997"/>
      <c r="AC2524" s="4997"/>
      <c r="AD2524" s="4997"/>
      <c r="AE2524" s="4997"/>
    </row>
    <row r="2525" spans="1:31" ht="12.75" customHeight="1" thickBot="1" x14ac:dyDescent="0.25">
      <c r="A2525" s="2029">
        <v>211</v>
      </c>
      <c r="B2525" s="4998"/>
      <c r="H2525" s="413"/>
      <c r="I2525" s="1761"/>
      <c r="N2525" s="413"/>
      <c r="O2525" s="2112"/>
      <c r="Z2525" s="2795"/>
      <c r="AB2525" s="413"/>
      <c r="AC2525" s="2795"/>
    </row>
    <row r="2526" spans="1:31" ht="12.75" customHeight="1" thickBot="1" x14ac:dyDescent="0.25">
      <c r="A2526" s="2029">
        <v>211</v>
      </c>
      <c r="B2526" s="4998"/>
      <c r="C2526" s="5146" t="s">
        <v>913</v>
      </c>
      <c r="D2526" s="5146"/>
      <c r="E2526" s="5146"/>
      <c r="F2526" s="603"/>
      <c r="G2526" s="3183" t="s">
        <v>914</v>
      </c>
      <c r="H2526" s="3183"/>
      <c r="I2526" s="1761"/>
      <c r="J2526" s="3183" t="s">
        <v>917</v>
      </c>
      <c r="K2526" s="3183"/>
      <c r="N2526" s="413"/>
      <c r="O2526" s="2112"/>
      <c r="AB2526" s="413"/>
      <c r="AC2526" s="2795"/>
    </row>
    <row r="2527" spans="1:31" ht="12.75" customHeight="1" thickBot="1" x14ac:dyDescent="0.25">
      <c r="A2527" s="2029">
        <v>211</v>
      </c>
      <c r="B2527" s="4998"/>
      <c r="C2527" s="5146"/>
      <c r="D2527" s="5146"/>
      <c r="E2527" s="5146"/>
      <c r="F2527" s="603"/>
      <c r="G2527" s="3183"/>
      <c r="H2527" s="3183"/>
      <c r="I2527" s="1761"/>
      <c r="J2527" s="3183"/>
      <c r="K2527" s="3183"/>
      <c r="N2527" s="413"/>
      <c r="O2527" s="2112"/>
      <c r="AB2527" s="413"/>
      <c r="AC2527" s="2795"/>
    </row>
    <row r="2528" spans="1:31" ht="12.75" customHeight="1" x14ac:dyDescent="0.2">
      <c r="A2528" s="2029">
        <v>211</v>
      </c>
      <c r="B2528" s="4998"/>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98"/>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98"/>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98"/>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98"/>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98"/>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98"/>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98"/>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98"/>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98"/>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98"/>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98"/>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98"/>
      <c r="C2540" s="615" t="str">
        <f>IF(Ki!$P$23="-",", "&amp;"Mag. arcana","")</f>
        <v/>
      </c>
      <c r="D2540" s="68"/>
      <c r="E2540" s="69"/>
      <c r="H2540" s="413"/>
      <c r="I2540" s="1761"/>
      <c r="N2540" s="413"/>
      <c r="O2540" s="2112"/>
      <c r="AB2540" s="413"/>
      <c r="AC2540" s="2795"/>
    </row>
    <row r="2541" spans="1:29" ht="12.75" customHeight="1" x14ac:dyDescent="0.2">
      <c r="A2541" s="2029">
        <v>211</v>
      </c>
      <c r="B2541" s="4998"/>
      <c r="C2541" s="615" t="str">
        <f>IF(Ki!$P$24="-",", "&amp;Ki!$M$24,"")</f>
        <v/>
      </c>
      <c r="D2541" s="68"/>
      <c r="E2541" s="69"/>
      <c r="G2541" s="3149" t="s">
        <v>915</v>
      </c>
      <c r="H2541" s="3150"/>
      <c r="I2541" s="3150"/>
      <c r="J2541" s="3151"/>
      <c r="K2541" s="5128" t="s">
        <v>8356</v>
      </c>
      <c r="L2541" s="3069"/>
      <c r="M2541" s="3070" t="s">
        <v>1677</v>
      </c>
      <c r="N2541" s="5121" t="s">
        <v>8337</v>
      </c>
      <c r="O2541" s="5121" t="s">
        <v>8358</v>
      </c>
      <c r="P2541" s="5121" t="s">
        <v>8355</v>
      </c>
      <c r="Q2541" s="5127" t="s">
        <v>8339</v>
      </c>
      <c r="R2541" s="5128"/>
      <c r="S2541" s="5127" t="s">
        <v>8353</v>
      </c>
      <c r="T2541" s="5129"/>
      <c r="U2541" s="5121" t="s">
        <v>8359</v>
      </c>
      <c r="V2541" s="5121" t="s">
        <v>1512</v>
      </c>
      <c r="AB2541" s="413"/>
      <c r="AC2541" s="2795"/>
    </row>
    <row r="2542" spans="1:29" ht="12.75" customHeight="1" x14ac:dyDescent="0.2">
      <c r="A2542" s="2029">
        <v>211</v>
      </c>
      <c r="B2542" s="4998"/>
      <c r="C2542" s="615" t="str">
        <f>IF(Ki!$P$25="-",", "&amp;Ki!$L$25,"")</f>
        <v/>
      </c>
      <c r="D2542" s="68"/>
      <c r="E2542" s="69"/>
      <c r="G2542" s="4980"/>
      <c r="H2542" s="5142"/>
      <c r="I2542" s="5142"/>
      <c r="J2542" s="5184"/>
      <c r="K2542" s="5186"/>
      <c r="L2542" s="1934"/>
      <c r="M2542" s="1933"/>
      <c r="N2542" s="5122"/>
      <c r="O2542" s="5122"/>
      <c r="P2542" s="5122"/>
      <c r="Q2542" s="3071" t="s">
        <v>8351</v>
      </c>
      <c r="R2542" s="2897" t="s">
        <v>8352</v>
      </c>
      <c r="S2542" s="5130"/>
      <c r="T2542" s="5131"/>
      <c r="U2542" s="5122"/>
      <c r="V2542" s="5122"/>
      <c r="AB2542" s="413"/>
      <c r="AC2542" s="2795"/>
    </row>
    <row r="2543" spans="1:29" ht="12.75" customHeight="1" x14ac:dyDescent="0.2">
      <c r="A2543" s="2029">
        <v>211</v>
      </c>
      <c r="B2543" s="4998"/>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e">
        <f>LEFT(PDs!AG126,2)</f>
        <v>#N/A</v>
      </c>
      <c r="P2543" s="3076" t="str">
        <f>IF(PDs!AI126,MID(PDs!AH126,4,25)&amp;MID(PDs!AG126,4,25),"")</f>
        <v/>
      </c>
      <c r="Q2543" s="3077">
        <f t="shared" ref="Q2543:Q2574" si="116">COUNTIF($L$2543:$L$2598,"&lt;="&amp;L2543)</f>
        <v>1</v>
      </c>
      <c r="R2543" s="3077" t="str">
        <f>INDEX($M$2543:$M$2598,MATCH(ROWS($Q$2543:Q2543),$Q$2543:$Q$2598,0))</f>
        <v/>
      </c>
      <c r="S2543" s="3073">
        <v>0</v>
      </c>
      <c r="T2543" s="1809">
        <v>0</v>
      </c>
      <c r="U2543" s="5188" t="s">
        <v>9225</v>
      </c>
      <c r="V2543" s="3085">
        <f>Principal!O22</f>
        <v>0</v>
      </c>
      <c r="AB2543" s="413"/>
      <c r="AC2543" s="2795"/>
    </row>
    <row r="2544" spans="1:29" ht="12.75" customHeight="1" x14ac:dyDescent="0.2">
      <c r="A2544" s="2029">
        <v>211</v>
      </c>
      <c r="B2544" s="4998"/>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si="116"/>
        <v>7</v>
      </c>
      <c r="R2544" s="1814" t="str">
        <f>INDEX($M$2543:$M$2598,MATCH(ROWS($Q$2543:Q2544),$Q$2543:$Q$2598,0))</f>
        <v/>
      </c>
      <c r="S2544" s="1812">
        <f>IF(R2543="",0,1)</f>
        <v>0</v>
      </c>
      <c r="T2544" s="1815">
        <f>SUM($S$2544:S2544)</f>
        <v>0</v>
      </c>
      <c r="U2544" s="5189"/>
      <c r="V2544" s="3085">
        <f>Principal!O23</f>
        <v>0</v>
      </c>
      <c r="AB2544" s="413"/>
      <c r="AC2544" s="2795"/>
    </row>
    <row r="2545" spans="1:29" ht="12.75" customHeight="1" x14ac:dyDescent="0.2">
      <c r="A2545" s="2029">
        <v>211</v>
      </c>
      <c r="B2545" s="4998"/>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189"/>
      <c r="V2545" s="3085">
        <f>Principal!O24</f>
        <v>0</v>
      </c>
      <c r="AB2545" s="413"/>
      <c r="AC2545" s="2795"/>
    </row>
    <row r="2546" spans="1:29" ht="12.75" customHeight="1" x14ac:dyDescent="0.2">
      <c r="A2546" s="2029">
        <v>211</v>
      </c>
      <c r="B2546" s="4998"/>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INDEX($M$2543:$M$2598,MATCH(ROWS($Q$2543:Q2546),$Q$2543:$Q$2598,0))</f>
        <v/>
      </c>
      <c r="S2546" s="1812">
        <f t="shared" si="117"/>
        <v>0</v>
      </c>
      <c r="T2546" s="1815">
        <f>SUM($S$2544:S2546)</f>
        <v>0</v>
      </c>
      <c r="U2546" s="5189"/>
      <c r="V2546" s="3085">
        <f>Principal!O25</f>
        <v>0</v>
      </c>
      <c r="AB2546" s="413"/>
      <c r="AC2546" s="2795"/>
    </row>
    <row r="2547" spans="1:29" ht="12.75" customHeight="1" x14ac:dyDescent="0.2">
      <c r="A2547" s="2029">
        <v>211</v>
      </c>
      <c r="B2547" s="4998"/>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INDEX($M$2543:$M$2598,MATCH(ROWS($Q$2543:Q2547),$Q$2543:$Q$2598,0))</f>
        <v/>
      </c>
      <c r="S2547" s="1812">
        <f t="shared" si="117"/>
        <v>0</v>
      </c>
      <c r="T2547" s="1815">
        <f>SUM($S$2544:S2547)</f>
        <v>0</v>
      </c>
      <c r="U2547" s="5189"/>
      <c r="V2547" s="3085">
        <f>Principal!O26</f>
        <v>0</v>
      </c>
      <c r="AB2547" s="413"/>
      <c r="AC2547" s="2795"/>
    </row>
    <row r="2548" spans="1:29" ht="12.75" customHeight="1" x14ac:dyDescent="0.2">
      <c r="A2548" s="2029">
        <v>211</v>
      </c>
      <c r="B2548" s="4998"/>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INDEX($M$2543:$M$2598,MATCH(ROWS($Q$2543:Q2548),$Q$2543:$Q$2598,0))</f>
        <v/>
      </c>
      <c r="S2548" s="1812">
        <f t="shared" si="117"/>
        <v>0</v>
      </c>
      <c r="T2548" s="1815">
        <f>SUM($S$2544:S2548)</f>
        <v>0</v>
      </c>
      <c r="U2548" s="5189"/>
      <c r="V2548" s="3085">
        <f>Principal!O27</f>
        <v>0</v>
      </c>
      <c r="AB2548" s="413"/>
      <c r="AC2548" s="2795"/>
    </row>
    <row r="2549" spans="1:29" ht="12.75" customHeight="1" x14ac:dyDescent="0.2">
      <c r="A2549" s="2029">
        <v>211</v>
      </c>
      <c r="B2549" s="4998"/>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INDEX($M$2543:$M$2598,MATCH(ROWS($Q$2543:Q2549),$Q$2543:$Q$2598,0))</f>
        <v/>
      </c>
      <c r="S2549" s="1812">
        <f t="shared" si="117"/>
        <v>0</v>
      </c>
      <c r="T2549" s="1815">
        <f>SUM($S$2544:S2549)</f>
        <v>0</v>
      </c>
      <c r="U2549" s="5189"/>
      <c r="V2549" s="3085">
        <f>Principal!O28</f>
        <v>0</v>
      </c>
      <c r="AB2549" s="413"/>
      <c r="AC2549" s="2795"/>
    </row>
    <row r="2550" spans="1:29" ht="12.75" customHeight="1" x14ac:dyDescent="0.2">
      <c r="A2550" s="2029">
        <v>211</v>
      </c>
      <c r="B2550" s="4998"/>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INDEX($M$2543:$M$2598,MATCH(ROWS($Q$2543:Q2550),$Q$2543:$Q$2598,0))</f>
        <v/>
      </c>
      <c r="S2550" s="1812">
        <f t="shared" si="117"/>
        <v>0</v>
      </c>
      <c r="T2550" s="1815">
        <f>SUM($S$2544:S2550)</f>
        <v>0</v>
      </c>
      <c r="U2550" s="5189"/>
      <c r="V2550" s="3085">
        <f>Principal!O29</f>
        <v>0</v>
      </c>
      <c r="AB2550" s="413"/>
      <c r="AC2550" s="2795"/>
    </row>
    <row r="2551" spans="1:29" ht="12.75" customHeight="1" x14ac:dyDescent="0.2">
      <c r="A2551" s="2029">
        <v>211</v>
      </c>
      <c r="B2551" s="4998"/>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INDEX($M$2543:$M$2598,MATCH(ROWS($Q$2543:Q2551),$Q$2543:$Q$2598,0))</f>
        <v/>
      </c>
      <c r="S2551" s="1812">
        <f t="shared" si="117"/>
        <v>0</v>
      </c>
      <c r="T2551" s="1815">
        <f>SUM($S$2544:S2551)</f>
        <v>0</v>
      </c>
      <c r="U2551" s="5189"/>
      <c r="V2551" s="3085">
        <f>Principal!O30</f>
        <v>0</v>
      </c>
      <c r="AB2551" s="413"/>
      <c r="AC2551" s="2795"/>
    </row>
    <row r="2552" spans="1:29" ht="12.75" customHeight="1" x14ac:dyDescent="0.2">
      <c r="A2552" s="2029">
        <v>211</v>
      </c>
      <c r="B2552" s="4998"/>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INDEX($M$2543:$M$2598,MATCH(ROWS($Q$2543:Q2552),$Q$2543:$Q$2598,0))</f>
        <v/>
      </c>
      <c r="S2552" s="1812">
        <f t="shared" si="117"/>
        <v>0</v>
      </c>
      <c r="T2552" s="1815">
        <f>SUM($S$2544:S2552)</f>
        <v>0</v>
      </c>
      <c r="U2552" s="5189"/>
      <c r="V2552" s="3085">
        <f>Principal!O31</f>
        <v>0</v>
      </c>
      <c r="AB2552" s="413"/>
      <c r="AC2552" s="2795"/>
    </row>
    <row r="2553" spans="1:29" ht="12.75" customHeight="1" x14ac:dyDescent="0.2">
      <c r="A2553" s="2029">
        <v>211</v>
      </c>
      <c r="B2553" s="4998"/>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INDEX($M$2543:$M$2598,MATCH(ROWS($Q$2543:Q2553),$Q$2543:$Q$2598,0))</f>
        <v/>
      </c>
      <c r="S2553" s="1812">
        <f t="shared" si="117"/>
        <v>0</v>
      </c>
      <c r="T2553" s="1815">
        <f>SUM($S$2544:S2553)</f>
        <v>0</v>
      </c>
      <c r="U2553" s="5189"/>
      <c r="V2553" s="3085">
        <f>Principal!O32</f>
        <v>0</v>
      </c>
      <c r="AB2553" s="413"/>
      <c r="AC2553" s="2795"/>
    </row>
    <row r="2554" spans="1:29" ht="12.75" customHeight="1" x14ac:dyDescent="0.2">
      <c r="A2554" s="2029">
        <v>211</v>
      </c>
      <c r="B2554" s="4998"/>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INDEX($M$2543:$M$2598,MATCH(ROWS($Q$2543:Q2554),$Q$2543:$Q$2598,0))</f>
        <v/>
      </c>
      <c r="S2554" s="1812">
        <f t="shared" si="117"/>
        <v>0</v>
      </c>
      <c r="T2554" s="1815">
        <f>SUM($S$2544:S2554)</f>
        <v>0</v>
      </c>
      <c r="U2554" s="5189"/>
      <c r="V2554" s="3085">
        <f>Principal!O33</f>
        <v>0</v>
      </c>
      <c r="AB2554" s="413"/>
      <c r="AC2554" s="2795"/>
    </row>
    <row r="2555" spans="1:29" ht="12.75" customHeight="1" x14ac:dyDescent="0.2">
      <c r="A2555" s="2029">
        <v>211</v>
      </c>
      <c r="B2555" s="4998"/>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189"/>
      <c r="V2555" s="3085">
        <f>Principal!O34</f>
        <v>0</v>
      </c>
      <c r="AB2555" s="413"/>
      <c r="AC2555" s="2795"/>
    </row>
    <row r="2556" spans="1:29" ht="12.75" customHeight="1" x14ac:dyDescent="0.2">
      <c r="A2556" s="2029">
        <v>211</v>
      </c>
      <c r="B2556" s="4998"/>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INDEX($M$2543:$M$2598,MATCH(ROWS($Q$2543:Q2556),$Q$2543:$Q$2598,0))</f>
        <v/>
      </c>
      <c r="S2556" s="1812">
        <f t="shared" si="117"/>
        <v>0</v>
      </c>
      <c r="T2556" s="1815">
        <f>SUM($S$2544:S2556)</f>
        <v>0</v>
      </c>
      <c r="U2556" s="5189"/>
      <c r="V2556" s="3085">
        <f>Principal!O35</f>
        <v>0</v>
      </c>
      <c r="AB2556" s="413"/>
      <c r="AC2556" s="2795"/>
    </row>
    <row r="2557" spans="1:29" ht="12.75" customHeight="1" x14ac:dyDescent="0.2">
      <c r="A2557" s="2029">
        <v>211</v>
      </c>
      <c r="B2557" s="4998"/>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INDEX($M$2543:$M$2598,MATCH(ROWS($Q$2543:Q2557),$Q$2543:$Q$2598,0))</f>
        <v/>
      </c>
      <c r="S2557" s="1812">
        <f t="shared" si="117"/>
        <v>0</v>
      </c>
      <c r="T2557" s="1815">
        <f>SUM($S$2544:S2557)</f>
        <v>0</v>
      </c>
      <c r="U2557" s="5189"/>
      <c r="V2557" s="3085">
        <f>Principal!O36</f>
        <v>0</v>
      </c>
      <c r="AB2557" s="413"/>
      <c r="AC2557" s="2795"/>
    </row>
    <row r="2558" spans="1:29" ht="12.75" customHeight="1" x14ac:dyDescent="0.2">
      <c r="A2558" s="2029">
        <v>211</v>
      </c>
      <c r="B2558" s="4998"/>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INDEX($M$2543:$M$2598,MATCH(ROWS($Q$2543:Q2558),$Q$2543:$Q$2598,0))</f>
        <v/>
      </c>
      <c r="S2558" s="1812">
        <f t="shared" si="117"/>
        <v>0</v>
      </c>
      <c r="T2558" s="1815">
        <f>SUM($S$2544:S2558)</f>
        <v>0</v>
      </c>
      <c r="U2558" s="5189"/>
      <c r="V2558" s="3085">
        <f>Principal!O37</f>
        <v>0</v>
      </c>
      <c r="AB2558" s="413"/>
      <c r="AC2558" s="2795"/>
    </row>
    <row r="2559" spans="1:29" ht="12.75" customHeight="1" x14ac:dyDescent="0.2">
      <c r="A2559" s="2029">
        <v>211</v>
      </c>
      <c r="B2559" s="4998"/>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INDEX($M$2543:$M$2598,MATCH(ROWS($Q$2543:Q2559),$Q$2543:$Q$2598,0))</f>
        <v/>
      </c>
      <c r="S2559" s="1812">
        <f t="shared" si="117"/>
        <v>0</v>
      </c>
      <c r="T2559" s="1815">
        <f>SUM($S$2544:S2559)</f>
        <v>0</v>
      </c>
      <c r="U2559" s="5189"/>
      <c r="V2559" s="3085">
        <f>Principal!O38</f>
        <v>0</v>
      </c>
      <c r="AB2559" s="413"/>
      <c r="AC2559" s="2795"/>
    </row>
    <row r="2560" spans="1:29" ht="12.75" customHeight="1" x14ac:dyDescent="0.2">
      <c r="A2560" s="2029">
        <v>211</v>
      </c>
      <c r="B2560" s="4998"/>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INDEX($M$2543:$M$2598,MATCH(ROWS($Q$2543:Q2560),$Q$2543:$Q$2598,0))</f>
        <v/>
      </c>
      <c r="S2560" s="1812">
        <f t="shared" si="117"/>
        <v>0</v>
      </c>
      <c r="T2560" s="1815">
        <f>SUM($S$2544:S2560)</f>
        <v>0</v>
      </c>
      <c r="U2560" s="5189"/>
      <c r="V2560" s="3085">
        <f>Principal!O39</f>
        <v>0</v>
      </c>
      <c r="AB2560" s="413"/>
      <c r="AC2560" s="2795"/>
    </row>
    <row r="2561" spans="1:29" ht="12.75" customHeight="1" x14ac:dyDescent="0.2">
      <c r="A2561" s="2029">
        <v>211</v>
      </c>
      <c r="B2561" s="4998"/>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INDEX($M$2543:$M$2598,MATCH(ROWS($Q$2543:Q2561),$Q$2543:$Q$2598,0))</f>
        <v/>
      </c>
      <c r="S2561" s="1812">
        <f t="shared" si="117"/>
        <v>0</v>
      </c>
      <c r="T2561" s="1815">
        <f>SUM($S$2544:S2561)</f>
        <v>0</v>
      </c>
      <c r="U2561" s="5189"/>
      <c r="V2561" s="3085">
        <f>Principal!O40</f>
        <v>0</v>
      </c>
      <c r="AB2561" s="413"/>
      <c r="AC2561" s="2795"/>
    </row>
    <row r="2562" spans="1:29" ht="12.75" customHeight="1" x14ac:dyDescent="0.2">
      <c r="A2562" s="2029">
        <v>211</v>
      </c>
      <c r="B2562" s="4998"/>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INDEX($M$2543:$M$2598,MATCH(ROWS($Q$2543:Q2562),$Q$2543:$Q$2598,0))</f>
        <v/>
      </c>
      <c r="S2562" s="1812">
        <f t="shared" si="117"/>
        <v>0</v>
      </c>
      <c r="T2562" s="1815">
        <f>SUM($S$2544:S2562)</f>
        <v>0</v>
      </c>
      <c r="U2562" s="5189"/>
      <c r="V2562" s="3085">
        <f>Principal!O41</f>
        <v>0</v>
      </c>
      <c r="AB2562" s="413"/>
      <c r="AC2562" s="2795"/>
    </row>
    <row r="2563" spans="1:29" ht="12.75" customHeight="1" x14ac:dyDescent="0.2">
      <c r="A2563" s="2029">
        <v>211</v>
      </c>
      <c r="B2563" s="4998"/>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INDEX($M$2543:$M$2598,MATCH(ROWS($Q$2543:Q2563),$Q$2543:$Q$2598,0))</f>
        <v/>
      </c>
      <c r="S2563" s="1812">
        <f t="shared" si="117"/>
        <v>0</v>
      </c>
      <c r="T2563" s="1815">
        <f>SUM($S$2544:S2563)</f>
        <v>0</v>
      </c>
      <c r="U2563" s="5189"/>
      <c r="V2563" s="3085">
        <f>Principal!O42</f>
        <v>0</v>
      </c>
      <c r="AB2563" s="413"/>
      <c r="AC2563" s="2795"/>
    </row>
    <row r="2564" spans="1:29" ht="12.75" customHeight="1" x14ac:dyDescent="0.2">
      <c r="A2564" s="2029">
        <v>211</v>
      </c>
      <c r="B2564" s="4998"/>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INDEX($M$2543:$M$2598,MATCH(ROWS($Q$2543:Q2564),$Q$2543:$Q$2598,0))</f>
        <v/>
      </c>
      <c r="S2564" s="1812">
        <f t="shared" si="117"/>
        <v>0</v>
      </c>
      <c r="T2564" s="1815">
        <f>SUM($S$2544:S2564)</f>
        <v>0</v>
      </c>
      <c r="U2564" s="5189"/>
      <c r="V2564" s="3085">
        <f>Principal!O43</f>
        <v>0</v>
      </c>
      <c r="AB2564" s="413"/>
      <c r="AC2564" s="2795"/>
    </row>
    <row r="2565" spans="1:29" ht="12.75" customHeight="1" x14ac:dyDescent="0.2">
      <c r="A2565" s="2029">
        <v>211</v>
      </c>
      <c r="B2565" s="4998"/>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INDEX($M$2543:$M$2598,MATCH(ROWS($Q$2543:Q2565),$Q$2543:$Q$2598,0))</f>
        <v/>
      </c>
      <c r="S2565" s="1812">
        <f t="shared" si="117"/>
        <v>0</v>
      </c>
      <c r="T2565" s="1815">
        <f>SUM($S$2544:S2565)</f>
        <v>0</v>
      </c>
      <c r="U2565" s="5189"/>
      <c r="V2565" s="3085">
        <f>Principal!O44</f>
        <v>0</v>
      </c>
      <c r="AB2565" s="413"/>
      <c r="AC2565" s="2795"/>
    </row>
    <row r="2566" spans="1:29" ht="12.75" customHeight="1" x14ac:dyDescent="0.2">
      <c r="A2566" s="2029">
        <v>211</v>
      </c>
      <c r="B2566" s="4998"/>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INDEX($M$2543:$M$2598,MATCH(ROWS($Q$2543:Q2566),$Q$2543:$Q$2598,0))</f>
        <v/>
      </c>
      <c r="S2566" s="1812">
        <f t="shared" si="117"/>
        <v>0</v>
      </c>
      <c r="T2566" s="1815">
        <f>SUM($S$2544:S2566)</f>
        <v>0</v>
      </c>
      <c r="U2566" s="5189"/>
      <c r="V2566" s="3085">
        <f>Principal!O45</f>
        <v>0</v>
      </c>
      <c r="AB2566" s="413"/>
      <c r="AC2566" s="2795"/>
    </row>
    <row r="2567" spans="1:29" ht="12.75" customHeight="1" x14ac:dyDescent="0.2">
      <c r="A2567" s="2029">
        <v>211</v>
      </c>
      <c r="B2567" s="4998"/>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INDEX($M$2543:$M$2598,MATCH(ROWS($Q$2543:Q2567),$Q$2543:$Q$2598,0))</f>
        <v/>
      </c>
      <c r="S2567" s="1812">
        <f t="shared" si="117"/>
        <v>0</v>
      </c>
      <c r="T2567" s="1815">
        <f>SUM($S$2544:S2567)</f>
        <v>0</v>
      </c>
      <c r="U2567" s="5189"/>
      <c r="V2567" s="3085">
        <f>Principal!O46</f>
        <v>0</v>
      </c>
      <c r="AB2567" s="413"/>
      <c r="AC2567" s="2795"/>
    </row>
    <row r="2568" spans="1:29" ht="12.75" customHeight="1" x14ac:dyDescent="0.2">
      <c r="A2568" s="2029">
        <v>211</v>
      </c>
      <c r="B2568" s="4998"/>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INDEX($M$2543:$M$2598,MATCH(ROWS($Q$2543:Q2568),$Q$2543:$Q$2598,0))</f>
        <v/>
      </c>
      <c r="S2568" s="1812">
        <f t="shared" si="117"/>
        <v>0</v>
      </c>
      <c r="T2568" s="1815">
        <f>SUM($S$2544:S2568)</f>
        <v>0</v>
      </c>
      <c r="U2568" s="5189"/>
      <c r="V2568" s="3085">
        <f>Principal!O47</f>
        <v>0</v>
      </c>
      <c r="AB2568" s="413"/>
      <c r="AC2568" s="2795"/>
    </row>
    <row r="2569" spans="1:29" ht="12.75" customHeight="1" x14ac:dyDescent="0.2">
      <c r="A2569" s="2029">
        <v>211</v>
      </c>
      <c r="B2569" s="4998"/>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INDEX($M$2543:$M$2598,MATCH(ROWS($Q$2543:Q2569),$Q$2543:$Q$2598,0))</f>
        <v/>
      </c>
      <c r="S2569" s="1812">
        <f t="shared" si="117"/>
        <v>0</v>
      </c>
      <c r="T2569" s="1815">
        <f>SUM($S$2544:S2569)</f>
        <v>0</v>
      </c>
      <c r="U2569" s="5189"/>
      <c r="V2569" s="3085">
        <f>Principal!O48</f>
        <v>0</v>
      </c>
      <c r="AB2569" s="413"/>
      <c r="AC2569" s="2795"/>
    </row>
    <row r="2570" spans="1:29" ht="12.75" customHeight="1" x14ac:dyDescent="0.2">
      <c r="A2570" s="2029">
        <v>211</v>
      </c>
      <c r="B2570" s="4998"/>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INDEX($M$2543:$M$2598,MATCH(ROWS($Q$2543:Q2570),$Q$2543:$Q$2598,0))</f>
        <v/>
      </c>
      <c r="S2570" s="1812">
        <f t="shared" si="117"/>
        <v>0</v>
      </c>
      <c r="T2570" s="1815">
        <f>SUM($S$2544:S2570)</f>
        <v>0</v>
      </c>
      <c r="U2570" s="5189"/>
      <c r="V2570" s="3085">
        <f>Principal!O49</f>
        <v>0</v>
      </c>
      <c r="AB2570" s="413"/>
      <c r="AC2570" s="2795"/>
    </row>
    <row r="2571" spans="1:29" ht="12.75" customHeight="1" x14ac:dyDescent="0.2">
      <c r="A2571" s="2029">
        <v>211</v>
      </c>
      <c r="B2571" s="4998"/>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INDEX($M$2543:$M$2598,MATCH(ROWS($Q$2543:Q2571),$Q$2543:$Q$2598,0))</f>
        <v/>
      </c>
      <c r="S2571" s="1812">
        <f t="shared" si="117"/>
        <v>0</v>
      </c>
      <c r="T2571" s="1815">
        <f>SUM($S$2544:S2571)</f>
        <v>0</v>
      </c>
      <c r="U2571" s="5189"/>
      <c r="V2571" s="3085">
        <f>Principal!O50</f>
        <v>0</v>
      </c>
      <c r="AB2571" s="413"/>
      <c r="AC2571" s="2795"/>
    </row>
    <row r="2572" spans="1:29" ht="12.75" customHeight="1" x14ac:dyDescent="0.2">
      <c r="A2572" s="2029">
        <v>211</v>
      </c>
      <c r="B2572" s="4998"/>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INDEX($M$2543:$M$2598,MATCH(ROWS($Q$2543:Q2572),$Q$2543:$Q$2598,0))</f>
        <v/>
      </c>
      <c r="S2572" s="1812">
        <f t="shared" si="117"/>
        <v>0</v>
      </c>
      <c r="T2572" s="1815">
        <f>SUM($S$2544:S2572)</f>
        <v>0</v>
      </c>
      <c r="U2572" s="5189"/>
      <c r="V2572" s="3085">
        <f>Principal!O51</f>
        <v>0</v>
      </c>
      <c r="AB2572" s="413"/>
      <c r="AC2572" s="2795"/>
    </row>
    <row r="2573" spans="1:29" ht="12.75" customHeight="1" x14ac:dyDescent="0.2">
      <c r="A2573" s="2029">
        <v>211</v>
      </c>
      <c r="B2573" s="4998"/>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INDEX($M$2543:$M$2598,MATCH(ROWS($Q$2543:Q2573),$Q$2543:$Q$2598,0))</f>
        <v/>
      </c>
      <c r="S2573" s="1812">
        <f t="shared" si="117"/>
        <v>0</v>
      </c>
      <c r="T2573" s="1815">
        <f>SUM($S$2544:S2573)</f>
        <v>0</v>
      </c>
      <c r="U2573" s="5189"/>
      <c r="V2573" s="3085">
        <f>Principal!O52</f>
        <v>0</v>
      </c>
      <c r="AB2573" s="413"/>
      <c r="AC2573" s="2795"/>
    </row>
    <row r="2574" spans="1:29" ht="12.75" customHeight="1" x14ac:dyDescent="0.2">
      <c r="A2574" s="2029">
        <v>211</v>
      </c>
      <c r="B2574" s="4998"/>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INDEX($M$2543:$M$2598,MATCH(ROWS($Q$2543:Q2574),$Q$2543:$Q$2598,0))</f>
        <v/>
      </c>
      <c r="S2574" s="1812">
        <f t="shared" si="117"/>
        <v>0</v>
      </c>
      <c r="T2574" s="1815">
        <f>SUM($S$2544:S2574)</f>
        <v>0</v>
      </c>
      <c r="U2574" s="5189"/>
      <c r="V2574" s="3085">
        <f>Principal!O53</f>
        <v>0</v>
      </c>
      <c r="AB2574" s="413"/>
      <c r="AC2574" s="2795"/>
    </row>
    <row r="2575" spans="1:29" ht="12.75" customHeight="1" x14ac:dyDescent="0.2">
      <c r="A2575" s="2029">
        <v>211</v>
      </c>
      <c r="B2575" s="4998"/>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189"/>
      <c r="V2575" s="3085">
        <f>Principal!O54</f>
        <v>0</v>
      </c>
      <c r="AB2575" s="413"/>
      <c r="AC2575" s="2795"/>
    </row>
    <row r="2576" spans="1:29" ht="12.75" customHeight="1" x14ac:dyDescent="0.2">
      <c r="A2576" s="2029">
        <v>211</v>
      </c>
      <c r="B2576" s="4998"/>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9"/>
        <v>17</v>
      </c>
      <c r="R2576" s="1814" t="str">
        <f>INDEX($M$2543:$M$2598,MATCH(ROWS($Q$2543:Q2576),$Q$2543:$Q$2598,0))</f>
        <v/>
      </c>
      <c r="S2576" s="1812">
        <f t="shared" si="117"/>
        <v>0</v>
      </c>
      <c r="T2576" s="1815">
        <f>SUM($S$2544:S2576)</f>
        <v>0</v>
      </c>
      <c r="U2576" s="5189"/>
      <c r="V2576" s="3085">
        <f>Principal!O55</f>
        <v>0</v>
      </c>
      <c r="AB2576" s="413"/>
      <c r="AC2576" s="2795"/>
    </row>
    <row r="2577" spans="1:29" ht="12.75" customHeight="1" x14ac:dyDescent="0.2">
      <c r="A2577" s="2029">
        <v>211</v>
      </c>
      <c r="B2577" s="4998"/>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9"/>
        <v>33</v>
      </c>
      <c r="R2577" s="1814" t="str">
        <f>INDEX($M$2543:$M$2598,MATCH(ROWS($Q$2543:Q2577),$Q$2543:$Q$2598,0))</f>
        <v/>
      </c>
      <c r="S2577" s="1812">
        <f t="shared" si="117"/>
        <v>0</v>
      </c>
      <c r="T2577" s="1815">
        <f>SUM($S$2544:S2577)</f>
        <v>0</v>
      </c>
      <c r="U2577" s="5189"/>
      <c r="V2577" s="3085">
        <f>Principal!O56</f>
        <v>0</v>
      </c>
      <c r="AB2577" s="413"/>
      <c r="AC2577" s="2795"/>
    </row>
    <row r="2578" spans="1:29" ht="12.75" customHeight="1" x14ac:dyDescent="0.2">
      <c r="A2578" s="2029">
        <v>211</v>
      </c>
      <c r="B2578" s="4998"/>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9"/>
        <v>41</v>
      </c>
      <c r="R2578" s="1814" t="str">
        <f>INDEX($M$2543:$M$2598,MATCH(ROWS($Q$2543:Q2578),$Q$2543:$Q$2598,0))</f>
        <v/>
      </c>
      <c r="S2578" s="1812">
        <f t="shared" si="117"/>
        <v>0</v>
      </c>
      <c r="T2578" s="1815">
        <f>SUM($S$2544:S2578)</f>
        <v>0</v>
      </c>
      <c r="U2578" s="5189"/>
      <c r="V2578" s="3085">
        <f>Principal!O57</f>
        <v>0</v>
      </c>
      <c r="AB2578" s="413"/>
      <c r="AC2578" s="2795"/>
    </row>
    <row r="2579" spans="1:29" ht="12.75" customHeight="1" x14ac:dyDescent="0.2">
      <c r="A2579" s="2029">
        <v>211</v>
      </c>
      <c r="B2579" s="4998"/>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9"/>
        <v>44</v>
      </c>
      <c r="R2579" s="1814" t="str">
        <f>INDEX($M$2543:$M$2598,MATCH(ROWS($Q$2543:Q2579),$Q$2543:$Q$2598,0))</f>
        <v/>
      </c>
      <c r="S2579" s="1812">
        <f t="shared" si="117"/>
        <v>0</v>
      </c>
      <c r="T2579" s="1815">
        <f>SUM($S$2544:S2579)</f>
        <v>0</v>
      </c>
      <c r="U2579" s="5189"/>
      <c r="V2579" s="3085">
        <f>Principal!O58</f>
        <v>0</v>
      </c>
      <c r="AB2579" s="413"/>
      <c r="AC2579" s="2795"/>
    </row>
    <row r="2580" spans="1:29" ht="12.75" customHeight="1" x14ac:dyDescent="0.2">
      <c r="A2580" s="2029">
        <v>211</v>
      </c>
      <c r="B2580" s="4998"/>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9"/>
        <v>48</v>
      </c>
      <c r="R2580" s="1814" t="str">
        <f>INDEX($M$2543:$M$2598,MATCH(ROWS($Q$2543:Q2580),$Q$2543:$Q$2598,0))</f>
        <v/>
      </c>
      <c r="S2580" s="1812">
        <f t="shared" si="117"/>
        <v>0</v>
      </c>
      <c r="T2580" s="1815">
        <f>SUM($S$2544:S2580)</f>
        <v>0</v>
      </c>
      <c r="U2580" s="5189"/>
      <c r="V2580" s="3085">
        <f>Principal!O59</f>
        <v>0</v>
      </c>
      <c r="AB2580" s="413"/>
      <c r="AC2580" s="2795"/>
    </row>
    <row r="2581" spans="1:29" ht="12.75" customHeight="1" x14ac:dyDescent="0.2">
      <c r="A2581" s="2029">
        <v>211</v>
      </c>
      <c r="B2581" s="4998"/>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9"/>
        <v>51</v>
      </c>
      <c r="R2581" s="1814" t="str">
        <f>INDEX($M$2543:$M$2598,MATCH(ROWS($Q$2543:Q2581),$Q$2543:$Q$2598,0))</f>
        <v/>
      </c>
      <c r="S2581" s="1812">
        <f t="shared" si="117"/>
        <v>0</v>
      </c>
      <c r="T2581" s="1815">
        <f>SUM($S$2544:S2581)</f>
        <v>0</v>
      </c>
      <c r="U2581" s="5189"/>
      <c r="V2581" s="3085">
        <f>Principal!O60</f>
        <v>0</v>
      </c>
      <c r="AB2581" s="413"/>
      <c r="AC2581" s="2795"/>
    </row>
    <row r="2582" spans="1:29" ht="12.75" customHeight="1" x14ac:dyDescent="0.2">
      <c r="A2582" s="2029">
        <v>211</v>
      </c>
      <c r="B2582" s="4998"/>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9"/>
        <v>6</v>
      </c>
      <c r="R2582" s="1814" t="str">
        <f>INDEX($M$2543:$M$2598,MATCH(ROWS($Q$2543:Q2582),$Q$2543:$Q$2598,0))</f>
        <v/>
      </c>
      <c r="S2582" s="1812">
        <f t="shared" si="117"/>
        <v>0</v>
      </c>
      <c r="T2582" s="1815">
        <f>SUM($S$2544:S2582)</f>
        <v>0</v>
      </c>
      <c r="U2582" s="5189"/>
      <c r="V2582" s="3085">
        <f>Principal!O61</f>
        <v>0</v>
      </c>
      <c r="AB2582" s="413"/>
      <c r="AC2582" s="2795"/>
    </row>
    <row r="2583" spans="1:29" ht="12.75" customHeight="1" x14ac:dyDescent="0.2">
      <c r="A2583" s="2029">
        <v>211</v>
      </c>
      <c r="B2583" s="4998"/>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9"/>
        <v>8</v>
      </c>
      <c r="R2583" s="1814" t="str">
        <f>INDEX($M$2543:$M$2598,MATCH(ROWS($Q$2543:Q2583),$Q$2543:$Q$2598,0))</f>
        <v/>
      </c>
      <c r="S2583" s="1812">
        <f t="shared" si="117"/>
        <v>0</v>
      </c>
      <c r="T2583" s="1815">
        <f>SUM($S$2544:S2583)</f>
        <v>0</v>
      </c>
      <c r="U2583" s="5189"/>
      <c r="V2583" s="3085">
        <f>Principal!O62</f>
        <v>0</v>
      </c>
      <c r="AB2583" s="413"/>
      <c r="AC2583" s="2795"/>
    </row>
    <row r="2584" spans="1:29" ht="12.75" customHeight="1" x14ac:dyDescent="0.2">
      <c r="A2584" s="2029">
        <v>211</v>
      </c>
      <c r="B2584" s="4998"/>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9"/>
        <v>20</v>
      </c>
      <c r="R2584" s="1814" t="str">
        <f>INDEX($M$2543:$M$2598,MATCH(ROWS($Q$2543:Q2584),$Q$2543:$Q$2598,0))</f>
        <v/>
      </c>
      <c r="S2584" s="1812">
        <f t="shared" si="117"/>
        <v>0</v>
      </c>
      <c r="T2584" s="1815">
        <f>SUM($S$2544:S2584)</f>
        <v>0</v>
      </c>
      <c r="U2584" s="5189"/>
      <c r="V2584" s="3085">
        <f>Principal!O63</f>
        <v>0</v>
      </c>
      <c r="AB2584" s="413"/>
      <c r="AC2584" s="2795"/>
    </row>
    <row r="2585" spans="1:29" ht="12.75" customHeight="1" x14ac:dyDescent="0.2">
      <c r="A2585" s="2029">
        <v>211</v>
      </c>
      <c r="B2585" s="4998"/>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9"/>
        <v>42</v>
      </c>
      <c r="R2585" s="1814" t="str">
        <f>INDEX($M$2543:$M$2598,MATCH(ROWS($Q$2543:Q2585),$Q$2543:$Q$2598,0))</f>
        <v/>
      </c>
      <c r="S2585" s="1812">
        <f t="shared" si="117"/>
        <v>0</v>
      </c>
      <c r="T2585" s="1815">
        <f>SUM($S$2544:S2585)</f>
        <v>0</v>
      </c>
      <c r="U2585" s="5189"/>
      <c r="V2585" s="3085">
        <f>Principal!O64</f>
        <v>0</v>
      </c>
      <c r="AB2585" s="413"/>
      <c r="AC2585" s="2795"/>
    </row>
    <row r="2586" spans="1:29" ht="12.75" customHeight="1" x14ac:dyDescent="0.2">
      <c r="A2586" s="2029">
        <v>211</v>
      </c>
      <c r="B2586" s="4998"/>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9"/>
        <v>3</v>
      </c>
      <c r="R2586" s="1814" t="str">
        <f>INDEX($M$2543:$M$2598,MATCH(ROWS($Q$2543:Q2586),$Q$2543:$Q$2598,0))</f>
        <v/>
      </c>
      <c r="S2586" s="1812">
        <f t="shared" si="117"/>
        <v>0</v>
      </c>
      <c r="T2586" s="1815">
        <f>SUM($S$2544:S2586)</f>
        <v>0</v>
      </c>
      <c r="U2586" s="5189"/>
      <c r="V2586" s="3085">
        <f>Principal!O65</f>
        <v>0</v>
      </c>
      <c r="AB2586" s="413"/>
      <c r="AC2586" s="2795"/>
    </row>
    <row r="2587" spans="1:29" ht="12.75" customHeight="1" x14ac:dyDescent="0.2">
      <c r="A2587" s="2029">
        <v>211</v>
      </c>
      <c r="B2587" s="4998"/>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9"/>
        <v>5</v>
      </c>
      <c r="R2587" s="1814" t="str">
        <f>INDEX($M$2543:$M$2598,MATCH(ROWS($Q$2543:Q2587),$Q$2543:$Q$2598,0))</f>
        <v/>
      </c>
      <c r="S2587" s="1812">
        <f t="shared" si="117"/>
        <v>0</v>
      </c>
      <c r="T2587" s="1815">
        <f>SUM($S$2544:S2587)</f>
        <v>0</v>
      </c>
      <c r="U2587" s="5189"/>
      <c r="V2587" s="3085">
        <f>Principal!O66</f>
        <v>0</v>
      </c>
      <c r="AB2587" s="413"/>
      <c r="AC2587" s="2795"/>
    </row>
    <row r="2588" spans="1:29" ht="12.75" customHeight="1" x14ac:dyDescent="0.2">
      <c r="A2588" s="2029">
        <v>211</v>
      </c>
      <c r="B2588" s="4998"/>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9"/>
        <v>30</v>
      </c>
      <c r="R2588" s="1814" t="str">
        <f>INDEX($M$2543:$M$2598,MATCH(ROWS($Q$2543:Q2588),$Q$2543:$Q$2598,0))</f>
        <v/>
      </c>
      <c r="S2588" s="1812">
        <f t="shared" si="117"/>
        <v>0</v>
      </c>
      <c r="T2588" s="1815">
        <f>SUM($S$2544:S2588)</f>
        <v>0</v>
      </c>
      <c r="U2588" s="5189"/>
      <c r="V2588" s="3085">
        <f>Principal!O67</f>
        <v>0</v>
      </c>
      <c r="AB2588" s="413"/>
      <c r="AC2588" s="2795"/>
    </row>
    <row r="2589" spans="1:29" ht="12.75" customHeight="1" x14ac:dyDescent="0.2">
      <c r="A2589" s="2029">
        <v>211</v>
      </c>
      <c r="B2589" s="4998"/>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9"/>
        <v>45</v>
      </c>
      <c r="R2589" s="1814" t="str">
        <f>INDEX($M$2543:$M$2598,MATCH(ROWS($Q$2543:Q2589),$Q$2543:$Q$2598,0))</f>
        <v/>
      </c>
      <c r="S2589" s="1812">
        <f t="shared" si="117"/>
        <v>0</v>
      </c>
      <c r="T2589" s="1815">
        <f>SUM($S$2544:S2589)</f>
        <v>0</v>
      </c>
      <c r="U2589" s="5189"/>
      <c r="V2589" s="3085">
        <f>Principal!O68</f>
        <v>0</v>
      </c>
      <c r="AB2589" s="413"/>
      <c r="AC2589" s="2795"/>
    </row>
    <row r="2590" spans="1:29" ht="12.75" customHeight="1" x14ac:dyDescent="0.2">
      <c r="A2590" s="2029">
        <v>211</v>
      </c>
      <c r="B2590" s="4998"/>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9"/>
        <v>10</v>
      </c>
      <c r="R2590" s="1814" t="str">
        <f>INDEX($M$2543:$M$2598,MATCH(ROWS($Q$2543:Q2590),$Q$2543:$Q$2598,0))</f>
        <v/>
      </c>
      <c r="S2590" s="1812">
        <f t="shared" si="117"/>
        <v>0</v>
      </c>
      <c r="T2590" s="1815">
        <f>SUM($S$2544:S2590)</f>
        <v>0</v>
      </c>
      <c r="U2590" s="5189"/>
      <c r="V2590" s="3085">
        <f>Principal!O69</f>
        <v>0</v>
      </c>
      <c r="AB2590" s="413"/>
      <c r="AC2590" s="2795"/>
    </row>
    <row r="2591" spans="1:29" ht="12.75" customHeight="1" x14ac:dyDescent="0.2">
      <c r="A2591" s="2029">
        <v>211</v>
      </c>
      <c r="B2591" s="4998"/>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9"/>
        <v>35</v>
      </c>
      <c r="R2591" s="1814" t="str">
        <f>INDEX($M$2543:$M$2598,MATCH(ROWS($Q$2543:Q2591),$Q$2543:$Q$2598,0))</f>
        <v/>
      </c>
      <c r="S2591" s="1812">
        <f t="shared" si="117"/>
        <v>0</v>
      </c>
      <c r="T2591" s="1815">
        <f>SUM($S$2544:S2591)</f>
        <v>0</v>
      </c>
      <c r="U2591" s="5189"/>
      <c r="V2591" s="3085">
        <f>Principal!O70</f>
        <v>0</v>
      </c>
      <c r="AB2591" s="413"/>
      <c r="AC2591" s="2795"/>
    </row>
    <row r="2592" spans="1:29" ht="12.75" customHeight="1" x14ac:dyDescent="0.2">
      <c r="A2592" s="2029">
        <v>211</v>
      </c>
      <c r="B2592" s="4998"/>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9"/>
        <v>16</v>
      </c>
      <c r="R2592" s="1814" t="str">
        <f>INDEX($M$2543:$M$2598,MATCH(ROWS($Q$2543:Q2592),$Q$2543:$Q$2598,0))</f>
        <v/>
      </c>
      <c r="S2592" s="1812">
        <f t="shared" si="117"/>
        <v>0</v>
      </c>
      <c r="T2592" s="1815">
        <f>SUM($S$2544:S2592)</f>
        <v>0</v>
      </c>
      <c r="U2592" s="5189"/>
      <c r="V2592" s="3085">
        <f>Principal!O71</f>
        <v>0</v>
      </c>
      <c r="AB2592" s="413"/>
      <c r="AC2592" s="2795"/>
    </row>
    <row r="2593" spans="1:29" ht="12.75" customHeight="1" x14ac:dyDescent="0.2">
      <c r="A2593" s="2029">
        <v>211</v>
      </c>
      <c r="B2593" s="4998"/>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9"/>
        <v>15</v>
      </c>
      <c r="R2593" s="1814" t="str">
        <f>INDEX($M$2543:$M$2598,MATCH(ROWS($Q$2543:Q2593),$Q$2543:$Q$2598,0))</f>
        <v/>
      </c>
      <c r="S2593" s="1812">
        <f t="shared" si="117"/>
        <v>0</v>
      </c>
      <c r="T2593" s="1815">
        <f>SUM($S$2544:S2593)</f>
        <v>0</v>
      </c>
      <c r="U2593" s="5189"/>
      <c r="V2593" s="3085">
        <f>Principal!O72</f>
        <v>0</v>
      </c>
      <c r="AB2593" s="413"/>
      <c r="AC2593" s="2795"/>
    </row>
    <row r="2594" spans="1:29" ht="12.75" customHeight="1" x14ac:dyDescent="0.2">
      <c r="A2594" s="2029">
        <v>211</v>
      </c>
      <c r="B2594" s="4998"/>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189"/>
      <c r="V2594" s="3085">
        <f>Principal!O73</f>
        <v>0</v>
      </c>
      <c r="AB2594" s="413"/>
      <c r="AC2594" s="2795"/>
    </row>
    <row r="2595" spans="1:29" ht="12.75" customHeight="1" x14ac:dyDescent="0.2">
      <c r="A2595" s="2029">
        <v>211</v>
      </c>
      <c r="B2595" s="4998"/>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189"/>
      <c r="V2595" s="3085">
        <f>Principal!O74</f>
        <v>0</v>
      </c>
      <c r="AB2595" s="413"/>
      <c r="AC2595" s="2795"/>
    </row>
    <row r="2596" spans="1:29" ht="12.75" customHeight="1" x14ac:dyDescent="0.2">
      <c r="A2596" s="2029">
        <v>211</v>
      </c>
      <c r="B2596" s="4998"/>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189"/>
      <c r="V2596" s="3085">
        <f>Principal!O75</f>
        <v>0</v>
      </c>
      <c r="AB2596" s="413"/>
      <c r="AC2596" s="2795"/>
    </row>
    <row r="2597" spans="1:29" ht="12.75" customHeight="1" x14ac:dyDescent="0.2">
      <c r="A2597" s="2029">
        <v>211</v>
      </c>
      <c r="B2597" s="4998"/>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189"/>
      <c r="V2597" s="3085">
        <f>Principal!O76</f>
        <v>0</v>
      </c>
      <c r="AB2597" s="413"/>
      <c r="AC2597" s="2795"/>
    </row>
    <row r="2598" spans="1:29" ht="12.75" customHeight="1" thickBot="1" x14ac:dyDescent="0.25">
      <c r="A2598" s="2029">
        <v>211</v>
      </c>
      <c r="B2598" s="4998"/>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190"/>
      <c r="V2598" s="3086">
        <f>Principal!O77</f>
        <v>0</v>
      </c>
      <c r="AB2598" s="413"/>
      <c r="AC2598" s="2795"/>
    </row>
    <row r="2599" spans="1:29" ht="12.75" customHeight="1" x14ac:dyDescent="0.2">
      <c r="A2599" s="2029">
        <v>211</v>
      </c>
      <c r="B2599" s="4998"/>
      <c r="C2599" s="615" t="str">
        <f>IF(Ki!$H$61="-",", "&amp;Ki!$C$61,"")</f>
        <v/>
      </c>
      <c r="D2599" s="68"/>
      <c r="E2599" s="69"/>
      <c r="H2599" s="413"/>
      <c r="I2599" s="1761"/>
      <c r="N2599" s="413"/>
      <c r="O2599" s="2112"/>
      <c r="AB2599" s="413"/>
      <c r="AC2599" s="2795"/>
    </row>
    <row r="2600" spans="1:29" ht="12.75" customHeight="1" x14ac:dyDescent="0.2">
      <c r="A2600" s="2029">
        <v>211</v>
      </c>
      <c r="B2600" s="4998"/>
      <c r="C2600" s="615" t="str">
        <f>IF(Ki!$H$62="-",", "&amp;Ki!$C$62,"")</f>
        <v/>
      </c>
      <c r="D2600" s="68"/>
      <c r="E2600" s="69"/>
      <c r="H2600" s="413"/>
      <c r="I2600" s="1761"/>
      <c r="N2600" s="413"/>
      <c r="O2600" s="2112"/>
      <c r="AB2600" s="413"/>
      <c r="AC2600" s="2795"/>
    </row>
    <row r="2601" spans="1:29" ht="12.75" customHeight="1" x14ac:dyDescent="0.2">
      <c r="A2601" s="2029">
        <v>211</v>
      </c>
      <c r="B2601" s="4998"/>
      <c r="C2601" s="615" t="str">
        <f>IF(OR(Ki!$H$63="-",Ki!$P$63="-"),", "&amp;"Inhumanidad","")</f>
        <v/>
      </c>
      <c r="D2601" s="68"/>
      <c r="E2601" s="69"/>
      <c r="H2601" s="413"/>
      <c r="I2601" s="1761"/>
      <c r="N2601" s="413"/>
      <c r="O2601" s="2112"/>
      <c r="AB2601" s="413"/>
      <c r="AC2601" s="2795"/>
    </row>
    <row r="2602" spans="1:29" ht="12.75" customHeight="1" thickBot="1" x14ac:dyDescent="0.25">
      <c r="A2602" s="2029">
        <v>211</v>
      </c>
      <c r="B2602" s="4998"/>
      <c r="C2602" s="616" t="str">
        <f>IF(OR(Ki!$H$63="-",Ki!$P$63="-"),", "&amp;"Zen","")</f>
        <v/>
      </c>
      <c r="D2602" s="199"/>
      <c r="E2602" s="200"/>
      <c r="H2602" s="413"/>
      <c r="I2602" s="1761"/>
      <c r="N2602" s="413"/>
      <c r="O2602" s="2112"/>
      <c r="AB2602" s="413"/>
      <c r="AC2602" s="2795"/>
    </row>
    <row r="2603" spans="1:29" ht="12.75" customHeight="1" x14ac:dyDescent="0.2">
      <c r="A2603" s="2029">
        <v>211</v>
      </c>
      <c r="B2603" s="4998"/>
      <c r="H2603" s="413"/>
      <c r="I2603" s="1761"/>
      <c r="N2603" s="413"/>
      <c r="O2603" s="2112"/>
      <c r="AB2603" s="413"/>
      <c r="AC2603" s="2795"/>
    </row>
    <row r="2604" spans="1:29" ht="12.75" customHeight="1" x14ac:dyDescent="0.2">
      <c r="A2604" s="2029">
        <v>211</v>
      </c>
      <c r="B2604" s="4998"/>
      <c r="C2604" s="5142" t="s">
        <v>916</v>
      </c>
      <c r="D2604" s="5142"/>
      <c r="E2604" s="5142"/>
      <c r="F2604" s="5184"/>
      <c r="H2604" s="413"/>
      <c r="I2604" s="1761"/>
      <c r="N2604" s="413"/>
      <c r="O2604" s="2112"/>
      <c r="AB2604" s="413"/>
      <c r="AC2604" s="2795"/>
    </row>
    <row r="2605" spans="1:29" ht="12.75" customHeight="1" x14ac:dyDescent="0.2">
      <c r="A2605" s="2029">
        <v>211</v>
      </c>
      <c r="B2605" s="4998"/>
      <c r="C2605" s="5185"/>
      <c r="D2605" s="5185"/>
      <c r="E2605" s="5185"/>
      <c r="F2605" s="4148"/>
      <c r="H2605" s="413"/>
      <c r="I2605" s="1761"/>
      <c r="N2605" s="413"/>
      <c r="O2605" s="2112"/>
      <c r="AB2605" s="413"/>
      <c r="AC2605" s="2795"/>
    </row>
    <row r="2606" spans="1:29" ht="12.75" customHeight="1" x14ac:dyDescent="0.2">
      <c r="A2606" s="2029">
        <v>211</v>
      </c>
      <c r="B2606" s="4998"/>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98"/>
      <c r="C2607" s="2413" t="str">
        <f t="shared" ref="C2607:C2622" si="120">IF(D2607="","",COUNTIF($D$2607:$D$2649,"&lt;="&amp;D2607)-SUMPRODUCT(--($D$2607:$D$2649="")))</f>
        <v/>
      </c>
      <c r="D2607" s="1799" t="str">
        <f>IF(Combate!AH11=" ","",Combate!AH11)</f>
        <v/>
      </c>
      <c r="E2607" s="2333" t="str">
        <f>IF(ISNA(VLOOKUP(MIN($C$2607:$C$2649)+A1-1,$C$2607:$D$2649,2,0)),"",VLOOKUP(MIN($C$2607:$C$2649)+A1-1,$C$2607:$D$2649,2,0))</f>
        <v/>
      </c>
      <c r="F2607" s="5138"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98"/>
      <c r="C2608" s="2412" t="str">
        <f t="shared" si="120"/>
        <v/>
      </c>
      <c r="D2608" s="1799" t="str">
        <f>IF(Combate!AH12=" ","",Combate!AH12)</f>
        <v/>
      </c>
      <c r="E2608" s="2334" t="str">
        <f t="shared" ref="E2608:E2649" si="121">IF(ISNA(VLOOKUP(MIN($C$2607:$C$2649)+A2-1,$C$2607:$D$2649,2,0)),"",", "&amp;VLOOKUP(MIN($C$2607:$C$2649)+A2-1,$C$2607:$D$2649,2,0))</f>
        <v/>
      </c>
      <c r="F2608" s="5138"/>
      <c r="H2608" s="413"/>
      <c r="I2608" s="1761"/>
      <c r="N2608" s="413"/>
      <c r="O2608" s="2112"/>
      <c r="AB2608" s="413"/>
      <c r="AC2608" s="2795"/>
    </row>
    <row r="2609" spans="1:31" ht="12.75" customHeight="1" x14ac:dyDescent="0.2">
      <c r="A2609" s="2029">
        <v>211</v>
      </c>
      <c r="B2609" s="4998"/>
      <c r="C2609" s="2412" t="str">
        <f t="shared" si="120"/>
        <v/>
      </c>
      <c r="D2609" s="1799" t="str">
        <f>IF(Combate!AH13=" ","",Combate!AH13)</f>
        <v/>
      </c>
      <c r="E2609" s="2334" t="str">
        <f t="shared" si="121"/>
        <v/>
      </c>
      <c r="F2609" s="5138"/>
      <c r="H2609" s="3149" t="s">
        <v>9178</v>
      </c>
      <c r="I2609" s="3150"/>
      <c r="J2609" s="3150"/>
      <c r="K2609" s="3150"/>
      <c r="L2609" s="3150"/>
      <c r="M2609" s="3150"/>
      <c r="N2609" s="3150"/>
      <c r="O2609" s="3150"/>
      <c r="P2609" s="3150"/>
      <c r="Q2609" s="3150"/>
      <c r="R2609" s="3150"/>
      <c r="S2609" s="3150"/>
      <c r="T2609" s="3150"/>
      <c r="U2609" s="3150"/>
      <c r="V2609" s="3150"/>
      <c r="W2609" s="3150"/>
      <c r="X2609" s="3150"/>
      <c r="Y2609" s="3150"/>
      <c r="Z2609" s="3150"/>
      <c r="AA2609" s="3150"/>
      <c r="AB2609" s="3150"/>
      <c r="AC2609" s="3151"/>
    </row>
    <row r="2610" spans="1:31" ht="12.75" customHeight="1" x14ac:dyDescent="0.2">
      <c r="A2610" s="2029">
        <v>211</v>
      </c>
      <c r="B2610" s="4998"/>
      <c r="C2610" s="2412" t="str">
        <f t="shared" si="120"/>
        <v/>
      </c>
      <c r="D2610" s="1799" t="str">
        <f>IF(Combate!AH14=" ","",Combate!AH14)</f>
        <v/>
      </c>
      <c r="E2610" s="2334" t="str">
        <f t="shared" si="121"/>
        <v/>
      </c>
      <c r="F2610" s="5138"/>
      <c r="H2610" s="4980" t="s">
        <v>9177</v>
      </c>
      <c r="I2610" s="5142"/>
      <c r="J2610" s="3965" t="s">
        <v>9176</v>
      </c>
      <c r="K2610" s="3965"/>
      <c r="L2610" s="3965"/>
      <c r="M2610" s="3965"/>
      <c r="N2610" s="3965"/>
      <c r="O2610" s="3965"/>
      <c r="P2610" s="3965"/>
      <c r="Q2610" s="3965"/>
      <c r="R2610" s="3965"/>
      <c r="S2610" s="3965"/>
      <c r="T2610" s="3965"/>
      <c r="U2610" s="3965"/>
      <c r="V2610" s="3965"/>
      <c r="W2610" s="3965"/>
      <c r="X2610" s="3965"/>
      <c r="Y2610" s="3965"/>
      <c r="Z2610" s="3965"/>
      <c r="AA2610" s="3965"/>
      <c r="AB2610" s="3965"/>
      <c r="AC2610" s="4148"/>
    </row>
    <row r="2611" spans="1:31" ht="12.75" customHeight="1" x14ac:dyDescent="0.2">
      <c r="A2611" s="2029">
        <v>211</v>
      </c>
      <c r="B2611" s="4998"/>
      <c r="C2611" s="2412" t="str">
        <f t="shared" si="120"/>
        <v/>
      </c>
      <c r="D2611" s="1799" t="str">
        <f>IF(Combate!AH15=" ","",Combate!AH15)</f>
        <v/>
      </c>
      <c r="E2611" s="2334" t="str">
        <f t="shared" si="121"/>
        <v/>
      </c>
      <c r="F2611" s="5138"/>
      <c r="H2611" s="2344" t="s">
        <v>1677</v>
      </c>
      <c r="I2611" s="2895" t="s">
        <v>9188</v>
      </c>
      <c r="J2611" s="5143" t="str">
        <f>IF(ISNA(VLOOKUP(A1,$AD$2614:$AE$2641,2,FALSE)),"",VLOOKUP(A1,$AD$2614:$AE$2641,2,FALSE))</f>
        <v/>
      </c>
      <c r="K2611" s="5126"/>
      <c r="L2611" s="5126" t="str">
        <f>IF(ISNA(VLOOKUP(B1,$AD$2614:$AE$2641,2,FALSE)),"",VLOOKUP(B1,$AD$2614:$AE$2641,2,FALSE))</f>
        <v/>
      </c>
      <c r="M2611" s="5126"/>
      <c r="N2611" s="5126" t="str">
        <f>IF(ISNA(VLOOKUP(C1,$AD$2614:$AE$2641,2,FALSE)),"",VLOOKUP(C1,$AD$2614:$AE$2641,2,FALSE))</f>
        <v/>
      </c>
      <c r="O2611" s="5126"/>
      <c r="P2611" s="5126" t="str">
        <f>IF(ISNA(VLOOKUP(D1,$AD$2614:$AE$2641,2,FALSE)),"",VLOOKUP(D1,$AD$2614:$AE$2641,2,FALSE))</f>
        <v/>
      </c>
      <c r="Q2611" s="5126"/>
      <c r="R2611" s="5126" t="str">
        <f>IF(ISNA(VLOOKUP(E1,$AD$2614:$AE$2641,2,FALSE)),"",VLOOKUP(E1,$AD$2614:$AE$2641,2,FALSE))</f>
        <v/>
      </c>
      <c r="S2611" s="5126"/>
      <c r="T2611" s="5126" t="str">
        <f>IF(ISNA(VLOOKUP(F1,$AD$2614:$AE$2641,2,FALSE)),"",VLOOKUP(F1,$AD$2614:$AE$2641,2,FALSE))</f>
        <v/>
      </c>
      <c r="U2611" s="5126"/>
      <c r="V2611" s="5126" t="str">
        <f>IF(ISNA(VLOOKUP(G1,$AD$2614:$AE$2641,2,FALSE)),"",VLOOKUP(G1,$AD$2614:$AE$2641,2,FALSE))</f>
        <v/>
      </c>
      <c r="W2611" s="5126"/>
      <c r="X2611" s="5126" t="str">
        <f>IF(ISNA(VLOOKUP(H1,$AD$2614:$AE$2641,2,FALSE)),"",VLOOKUP(H1,$AD$2614:$AE$2641,2,FALSE))</f>
        <v/>
      </c>
      <c r="Y2611" s="5126"/>
      <c r="Z2611" s="5126" t="str">
        <f>IF(ISNA(VLOOKUP(I1,$AD$2614:$AE$2641,2,FALSE)),"",VLOOKUP(I1,$AD$2614:$AE$2641,2,FALSE))</f>
        <v/>
      </c>
      <c r="AA2611" s="5126"/>
      <c r="AB2611" s="5126" t="str">
        <f>IF(ISNA(VLOOKUP(J1,$AD$2614:$AE$2641,2,FALSE)),"",VLOOKUP(J1,$AD$2614:$AE$2641,2,FALSE))</f>
        <v/>
      </c>
      <c r="AC2611" s="5144"/>
    </row>
    <row r="2612" spans="1:31" ht="12.75" customHeight="1" x14ac:dyDescent="0.2">
      <c r="A2612" s="2029">
        <v>211</v>
      </c>
      <c r="B2612" s="4998"/>
      <c r="C2612" s="2412" t="str">
        <f t="shared" si="120"/>
        <v/>
      </c>
      <c r="D2612" s="2318" t="str">
        <f>IF(Combate!AH16=" ","",Combate!AH16)</f>
        <v/>
      </c>
      <c r="E2612" s="2334" t="str">
        <f t="shared" si="121"/>
        <v/>
      </c>
      <c r="F2612" s="5138"/>
      <c r="H2612" s="2304" t="str">
        <f>IF(ISNA(VLOOKUP(A1,Principal!$S$42:$AH$69,10,FALSE)),"",IF(VLOOKUP(A1,Principal!$S$42:$AH$69,10,FALSE)=0,"",INDEX(PoderesDeCriatura_Adquiridos,MATCH(A1,Principal!$S$42:$S$69,0))))</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19" t="s">
        <v>9179</v>
      </c>
      <c r="AE2612" s="5120"/>
    </row>
    <row r="2613" spans="1:31" ht="12.75" customHeight="1" x14ac:dyDescent="0.2">
      <c r="A2613" s="2029">
        <v>211</v>
      </c>
      <c r="B2613" s="4998"/>
      <c r="C2613" s="2412" t="str">
        <f t="shared" si="120"/>
        <v/>
      </c>
      <c r="D2613" s="1799" t="str">
        <f>Combate!X19</f>
        <v/>
      </c>
      <c r="E2613" s="2334" t="str">
        <f t="shared" si="121"/>
        <v/>
      </c>
      <c r="F2613" s="5138"/>
      <c r="H2613" s="2304" t="str">
        <f>IF(ISNA(VLOOKUP(A2,Principal!$S$42:$AH$69,10,FALSE)),"",IF(VLOOKUP(A2,Principal!$S$42:$AH$69,10,FALSE)=0,"",INDEX(PoderesDeCriatura_Adquiridos,MATCH(A2,Principal!$S$42:$S$69,0))))</f>
        <v/>
      </c>
      <c r="I2613" s="2475"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98"/>
      <c r="C2614" s="2412" t="str">
        <f t="shared" si="120"/>
        <v/>
      </c>
      <c r="D2614" s="1799" t="str">
        <f>Combate!X20</f>
        <v/>
      </c>
      <c r="E2614" s="2334" t="str">
        <f t="shared" si="121"/>
        <v/>
      </c>
      <c r="F2614" s="5138"/>
      <c r="H2614" s="2304" t="str">
        <f>IF(ISNA(VLOOKUP(A3,Principal!$S$42:$AH$69,10,FALSE)),"",IF(VLOOKUP(A3,Principal!$S$42:$AH$69,10,FALSE)=0,"",INDEX(PoderesDeCriatura_Adquiridos,MATCH(A3,Principal!$S$42:$S$69,0))))</f>
        <v/>
      </c>
      <c r="I2614" s="2475" t="str">
        <f t="shared" ref="I2614:I2641" si="122">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98"/>
      <c r="C2615" s="2412" t="str">
        <f t="shared" si="120"/>
        <v/>
      </c>
      <c r="D2615" s="1799" t="str">
        <f>Combate!X21</f>
        <v/>
      </c>
      <c r="E2615" s="2334" t="str">
        <f t="shared" si="121"/>
        <v/>
      </c>
      <c r="F2615" s="5138"/>
      <c r="H2615" s="2304" t="str">
        <f>IF(ISNA(VLOOKUP(A4,Principal!$S$42:$AH$69,10,FALSE)),"",IF(VLOOKUP(A4,Principal!$S$42:$AH$69,10,FALSE)=0,"",INDEX(PoderesDeCriatura_Adquiridos,MATCH(A4,Principal!$S$42:$S$69,0))))</f>
        <v/>
      </c>
      <c r="I2615" s="2475" t="str">
        <f t="shared" si="122"/>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3">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3"/>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4">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5">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6">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7">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8">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9">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0">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98"/>
      <c r="C2616" s="2412" t="str">
        <f t="shared" si="120"/>
        <v/>
      </c>
      <c r="D2616" s="1799" t="str">
        <f>Combate!X22</f>
        <v/>
      </c>
      <c r="E2616" s="2334" t="str">
        <f t="shared" si="121"/>
        <v/>
      </c>
      <c r="F2616" s="5138"/>
      <c r="H2616" s="2304" t="str">
        <f>IF(ISNA(VLOOKUP(A5,Principal!$S$42:$AH$69,10,FALSE)),"",IF(VLOOKUP(A5,Principal!$S$42:$AH$69,10,FALSE)=0,"",INDEX(PoderesDeCriatura_Adquiridos,MATCH(A5,Principal!$S$42:$S$69,0))))</f>
        <v/>
      </c>
      <c r="I2616" s="2475" t="str">
        <f t="shared" si="122"/>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3"/>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3"/>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2">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3">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4">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5">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6">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7">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8">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98"/>
      <c r="C2617" s="2412" t="str">
        <f t="shared" si="120"/>
        <v/>
      </c>
      <c r="D2617" s="1799" t="str">
        <f>Combate!X23</f>
        <v/>
      </c>
      <c r="E2617" s="2334" t="str">
        <f t="shared" si="121"/>
        <v/>
      </c>
      <c r="F2617" s="5138"/>
      <c r="H2617" s="2304" t="str">
        <f>IF(ISNA(VLOOKUP(A6,Principal!$S$42:$AH$69,10,FALSE)),"",IF(VLOOKUP(A6,Principal!$S$42:$AH$69,10,FALSE)=0,"",INDEX(PoderesDeCriatura_Adquiridos,MATCH(A6,Principal!$S$42:$S$69,0))))</f>
        <v/>
      </c>
      <c r="I2617" s="2475" t="str">
        <f t="shared" si="122"/>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3"/>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3"/>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0">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1">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2">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3">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4">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5">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6">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98"/>
      <c r="C2618" s="2412" t="str">
        <f t="shared" si="120"/>
        <v/>
      </c>
      <c r="D2618" s="1799" t="str">
        <f>Combate!X24</f>
        <v/>
      </c>
      <c r="E2618" s="2334" t="str">
        <f t="shared" si="121"/>
        <v/>
      </c>
      <c r="F2618" s="5138"/>
      <c r="H2618" s="2304" t="str">
        <f>IF(ISNA(VLOOKUP(A7,Principal!$S$42:$AH$69,10,FALSE)),"",IF(VLOOKUP(A7,Principal!$S$42:$AH$69,10,FALSE)=0,"",INDEX(PoderesDeCriatura_Adquiridos,MATCH(A7,Principal!$S$42:$S$69,0))))</f>
        <v/>
      </c>
      <c r="I2618" s="2475" t="str">
        <f t="shared" si="122"/>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3"/>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3"/>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8">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9">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0">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1">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2">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3">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4">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98"/>
      <c r="C2619" s="2412" t="str">
        <f t="shared" si="120"/>
        <v/>
      </c>
      <c r="D2619" s="1799" t="str">
        <f>Combate!X25</f>
        <v/>
      </c>
      <c r="E2619" s="2334" t="str">
        <f t="shared" si="121"/>
        <v/>
      </c>
      <c r="F2619" s="5138"/>
      <c r="H2619" s="2304" t="str">
        <f>IF(ISNA(VLOOKUP(A8,Principal!$S$42:$AH$69,10,FALSE)),"",IF(VLOOKUP(A8,Principal!$S$42:$AH$69,10,FALSE)=0,"",INDEX(PoderesDeCriatura_Adquiridos,MATCH(A8,Principal!$S$42:$S$69,0))))</f>
        <v/>
      </c>
      <c r="I2619" s="2475" t="str">
        <f t="shared" si="122"/>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3"/>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3"/>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6">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7">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8">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9">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0">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1">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2">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98"/>
      <c r="C2620" s="2412" t="str">
        <f t="shared" si="120"/>
        <v/>
      </c>
      <c r="D2620" s="1799" t="str">
        <f>Combate!X26</f>
        <v/>
      </c>
      <c r="E2620" s="2334" t="str">
        <f t="shared" si="121"/>
        <v/>
      </c>
      <c r="F2620" s="5138"/>
      <c r="H2620" s="2304" t="str">
        <f>IF(ISNA(VLOOKUP(A9,Principal!$S$42:$AH$69,10,FALSE)),"",IF(VLOOKUP(A9,Principal!$S$42:$AH$69,10,FALSE)=0,"",INDEX(PoderesDeCriatura_Adquiridos,MATCH(A9,Principal!$S$42:$S$69,0))))</f>
        <v/>
      </c>
      <c r="I2620" s="2475" t="str">
        <f t="shared" si="122"/>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3"/>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3"/>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4">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5">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6">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7">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8">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9">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0">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98"/>
      <c r="C2621" s="2412" t="str">
        <f t="shared" si="120"/>
        <v/>
      </c>
      <c r="D2621" s="1799" t="str">
        <f>Combate!X27</f>
        <v/>
      </c>
      <c r="E2621" s="2334" t="str">
        <f t="shared" si="121"/>
        <v/>
      </c>
      <c r="F2621" s="5138"/>
      <c r="H2621" s="2304" t="str">
        <f>IF(ISNA(VLOOKUP(A10,Principal!$S$42:$AH$69,10,FALSE)),"",IF(VLOOKUP(A10,Principal!$S$42:$AH$69,10,FALSE)=0,"",INDEX(PoderesDeCriatura_Adquiridos,MATCH(A10,Principal!$S$42:$S$69,0))))</f>
        <v/>
      </c>
      <c r="I2621" s="2475" t="str">
        <f t="shared" si="122"/>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3"/>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3"/>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2">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3">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4">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5">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6">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7">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8">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98"/>
      <c r="C2622" s="2412" t="str">
        <f t="shared" si="120"/>
        <v/>
      </c>
      <c r="D2622" s="2319" t="str">
        <f>Combate!X28</f>
        <v/>
      </c>
      <c r="E2622" s="2334" t="str">
        <f t="shared" si="121"/>
        <v/>
      </c>
      <c r="F2622" s="5138"/>
      <c r="H2622" s="2304" t="str">
        <f>IF(ISNA(VLOOKUP(A11,Principal!$S$42:$AH$69,10,FALSE)),"",IF(VLOOKUP(A11,Principal!$S$42:$AH$69,10,FALSE)=0,"",INDEX(PoderesDeCriatura_Adquiridos,MATCH(A11,Principal!$S$42:$S$69,0))))</f>
        <v/>
      </c>
      <c r="I2622" s="2475" t="str">
        <f t="shared" si="122"/>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3"/>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3"/>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0">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1">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2">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3">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4">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5">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6">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98"/>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138"/>
      <c r="H2623" s="2304" t="str">
        <f>IF(ISNA(VLOOKUP(A12,Principal!$S$42:$AH$69,10,FALSE)),"",IF(VLOOKUP(A12,Principal!$S$42:$AH$69,10,FALSE)=0,"",INDEX(PoderesDeCriatura_Adquiridos,MATCH(A12,Principal!$S$42:$S$69,0))))</f>
        <v/>
      </c>
      <c r="I2623" s="2475" t="str">
        <f t="shared" si="122"/>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3"/>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3"/>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9">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0">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1">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2">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3">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4">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5">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98"/>
      <c r="C2624" s="2416" t="str">
        <f t="shared" si="188"/>
        <v/>
      </c>
      <c r="D2624" s="1799" t="str">
        <f>Combate!X32</f>
        <v/>
      </c>
      <c r="E2624" s="2334" t="str">
        <f t="shared" si="121"/>
        <v/>
      </c>
      <c r="F2624" s="5138"/>
      <c r="H2624" s="2304" t="str">
        <f>IF(ISNA(VLOOKUP(A13,Principal!$S$42:$AH$69,10,FALSE)),"",IF(VLOOKUP(A13,Principal!$S$42:$AH$69,10,FALSE)=0,"",INDEX(PoderesDeCriatura_Adquiridos,MATCH(A13,Principal!$S$42:$S$69,0))))</f>
        <v/>
      </c>
      <c r="I2624" s="2475" t="str">
        <f t="shared" si="122"/>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3"/>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3"/>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7">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8">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9">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0">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1">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2">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3">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98"/>
      <c r="C2625" s="2416" t="str">
        <f t="shared" si="188"/>
        <v/>
      </c>
      <c r="D2625" s="1799" t="str">
        <f>Combate!X33</f>
        <v/>
      </c>
      <c r="E2625" s="2334" t="str">
        <f t="shared" si="121"/>
        <v/>
      </c>
      <c r="F2625" s="5138"/>
      <c r="H2625" s="2304" t="str">
        <f>IF(ISNA(VLOOKUP(A14,Principal!$S$42:$AH$69,10,FALSE)),"",IF(VLOOKUP(A14,Principal!$S$42:$AH$69,10,FALSE)=0,"",INDEX(PoderesDeCriatura_Adquiridos,MATCH(A14,Principal!$S$42:$S$69,0))))</f>
        <v/>
      </c>
      <c r="I2625" s="2475" t="str">
        <f t="shared" si="122"/>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3"/>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3"/>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5">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6">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7">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8">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9">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0">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1">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98"/>
      <c r="C2626" s="2416" t="str">
        <f t="shared" si="188"/>
        <v/>
      </c>
      <c r="D2626" s="1799" t="str">
        <f>Combate!X34</f>
        <v/>
      </c>
      <c r="E2626" s="2334" t="str">
        <f t="shared" si="121"/>
        <v/>
      </c>
      <c r="F2626" s="5138"/>
      <c r="H2626" s="2304" t="str">
        <f>IF(ISNA(VLOOKUP(A15,Principal!$S$42:$AH$69,10,FALSE)),"",IF(VLOOKUP(A15,Principal!$S$42:$AH$69,10,FALSE)=0,"",INDEX(PoderesDeCriatura_Adquiridos,MATCH(A15,Principal!$S$42:$S$69,0))))</f>
        <v/>
      </c>
      <c r="I2626" s="2475" t="str">
        <f t="shared" si="122"/>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3"/>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3"/>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3">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4">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5">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6">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7">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8">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9">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98"/>
      <c r="C2627" s="2416" t="str">
        <f t="shared" si="188"/>
        <v/>
      </c>
      <c r="D2627" s="1799" t="str">
        <f>Combate!X35</f>
        <v/>
      </c>
      <c r="E2627" s="2334" t="str">
        <f t="shared" si="121"/>
        <v/>
      </c>
      <c r="F2627" s="5138"/>
      <c r="H2627" s="2304" t="str">
        <f>IF(ISNA(VLOOKUP(A16,Principal!$S$42:$AH$69,10,FALSE)),"",IF(VLOOKUP(A16,Principal!$S$42:$AH$69,10,FALSE)=0,"",INDEX(PoderesDeCriatura_Adquiridos,MATCH(A16,Principal!$S$42:$S$69,0))))</f>
        <v/>
      </c>
      <c r="I2627" s="2475" t="str">
        <f t="shared" si="122"/>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3"/>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3"/>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1">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2">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3">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4">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5">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6">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7">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98"/>
      <c r="C2628" s="2416" t="str">
        <f t="shared" si="188"/>
        <v/>
      </c>
      <c r="D2628" s="1799" t="str">
        <f>Combate!X36</f>
        <v/>
      </c>
      <c r="E2628" s="2334" t="str">
        <f t="shared" si="121"/>
        <v/>
      </c>
      <c r="F2628" s="5138"/>
      <c r="H2628" s="2304" t="str">
        <f>IF(ISNA(VLOOKUP(A17,Principal!$S$42:$AH$69,10,FALSE)),"",IF(VLOOKUP(A17,Principal!$S$42:$AH$69,10,FALSE)=0,"",INDEX(PoderesDeCriatura_Adquiridos,MATCH(A17,Principal!$S$42:$S$69,0))))</f>
        <v/>
      </c>
      <c r="I2628" s="2475" t="str">
        <f t="shared" si="122"/>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3"/>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3"/>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9">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0">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1">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2">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3">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4">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5">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98"/>
      <c r="C2629" s="2416" t="str">
        <f t="shared" si="188"/>
        <v/>
      </c>
      <c r="D2629" s="1799" t="str">
        <f>Combate!X37</f>
        <v/>
      </c>
      <c r="E2629" s="2334" t="str">
        <f t="shared" si="121"/>
        <v/>
      </c>
      <c r="F2629" s="5138"/>
      <c r="H2629" s="2304" t="str">
        <f>IF(ISNA(VLOOKUP(A18,Principal!$S$42:$AH$69,10,FALSE)),"",IF(VLOOKUP(A18,Principal!$S$42:$AH$69,10,FALSE)=0,"",INDEX(PoderesDeCriatura_Adquiridos,MATCH(A18,Principal!$S$42:$S$69,0))))</f>
        <v/>
      </c>
      <c r="I2629" s="2475" t="str">
        <f t="shared" si="122"/>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3"/>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3"/>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7">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8">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9">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0">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1">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2">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3">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98"/>
      <c r="C2630" s="2416" t="str">
        <f t="shared" si="188"/>
        <v/>
      </c>
      <c r="D2630" s="1799" t="str">
        <f>Combate!X38</f>
        <v/>
      </c>
      <c r="E2630" s="2334" t="str">
        <f t="shared" si="121"/>
        <v/>
      </c>
      <c r="F2630" s="5138"/>
      <c r="H2630" s="2304" t="str">
        <f>IF(ISNA(VLOOKUP(A19,Principal!$S$42:$AH$69,10,FALSE)),"",IF(VLOOKUP(A19,Principal!$S$42:$AH$69,10,FALSE)=0,"",INDEX(PoderesDeCriatura_Adquiridos,MATCH(A19,Principal!$S$42:$S$69,0))))</f>
        <v/>
      </c>
      <c r="I2630" s="2475" t="str">
        <f t="shared" si="122"/>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3"/>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3"/>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5">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6">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7">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8">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9">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0">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1">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98"/>
      <c r="C2631" s="2416" t="str">
        <f t="shared" si="188"/>
        <v/>
      </c>
      <c r="D2631" s="1799" t="str">
        <f>Combate!X39</f>
        <v/>
      </c>
      <c r="E2631" s="2334" t="str">
        <f t="shared" si="121"/>
        <v/>
      </c>
      <c r="F2631" s="5138"/>
      <c r="H2631" s="2304" t="str">
        <f>IF(ISNA(VLOOKUP(A20,Principal!$S$42:$AH$69,10,FALSE)),"",IF(VLOOKUP(A20,Principal!$S$42:$AH$69,10,FALSE)=0,"",INDEX(PoderesDeCriatura_Adquiridos,MATCH(A20,Principal!$S$42:$S$69,0))))</f>
        <v/>
      </c>
      <c r="I2631" s="2475" t="str">
        <f t="shared" si="122"/>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3"/>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3"/>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3">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4">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5">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6">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7">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8">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9">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98"/>
      <c r="C2632" s="2416" t="str">
        <f t="shared" si="188"/>
        <v/>
      </c>
      <c r="D2632" s="1799" t="str">
        <f>Combate!X40</f>
        <v/>
      </c>
      <c r="E2632" s="2334" t="str">
        <f t="shared" si="121"/>
        <v/>
      </c>
      <c r="F2632" s="5138"/>
      <c r="H2632" s="2304" t="str">
        <f>IF(ISNA(VLOOKUP(A21,Principal!$S$42:$AH$69,10,FALSE)),"",IF(VLOOKUP(A21,Principal!$S$42:$AH$69,10,FALSE)=0,"",INDEX(PoderesDeCriatura_Adquiridos,MATCH(A21,Principal!$S$42:$S$69,0))))</f>
        <v/>
      </c>
      <c r="I2632" s="2475" t="str">
        <f t="shared" si="122"/>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3"/>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3"/>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1">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2">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3">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4">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5">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6">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7">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98"/>
      <c r="C2633" s="2416" t="str">
        <f t="shared" si="188"/>
        <v/>
      </c>
      <c r="D2633" s="1799" t="str">
        <f>Combate!X41</f>
        <v/>
      </c>
      <c r="E2633" s="2334" t="str">
        <f t="shared" si="121"/>
        <v/>
      </c>
      <c r="F2633" s="5138"/>
      <c r="H2633" s="2304" t="str">
        <f>IF(ISNA(VLOOKUP(A22,Principal!$S$42:$AH$69,10,FALSE)),"",IF(VLOOKUP(A22,Principal!$S$42:$AH$69,10,FALSE)=0,"",INDEX(PoderesDeCriatura_Adquiridos,MATCH(A22,Principal!$S$42:$S$69,0))))</f>
        <v/>
      </c>
      <c r="I2633" s="2475" t="str">
        <f t="shared" si="122"/>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3"/>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3"/>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9">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0">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1">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2">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3">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4">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5">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98"/>
      <c r="C2634" s="2416" t="str">
        <f t="shared" si="188"/>
        <v/>
      </c>
      <c r="D2634" s="1799" t="str">
        <f>Combate!X42</f>
        <v/>
      </c>
      <c r="E2634" s="2334" t="str">
        <f t="shared" si="121"/>
        <v/>
      </c>
      <c r="F2634" s="5138"/>
      <c r="H2634" s="2304" t="str">
        <f>IF(ISNA(VLOOKUP(A23,Principal!$S$42:$AH$69,10,FALSE)),"",IF(VLOOKUP(A23,Principal!$S$42:$AH$69,10,FALSE)=0,"",INDEX(PoderesDeCriatura_Adquiridos,MATCH(A23,Principal!$S$42:$S$69,0))))</f>
        <v/>
      </c>
      <c r="I2634" s="2475" t="str">
        <f t="shared" si="122"/>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3"/>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3"/>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7">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8">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9">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0">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1">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2">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3">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98"/>
      <c r="C2635" s="2416" t="str">
        <f t="shared" si="188"/>
        <v/>
      </c>
      <c r="D2635" s="1799" t="str">
        <f>Combate!X43</f>
        <v/>
      </c>
      <c r="E2635" s="2334" t="str">
        <f t="shared" si="121"/>
        <v/>
      </c>
      <c r="F2635" s="5138"/>
      <c r="H2635" s="2304" t="str">
        <f>IF(ISNA(VLOOKUP(A24,Principal!$S$42:$AH$69,10,FALSE)),"",IF(VLOOKUP(A24,Principal!$S$42:$AH$69,10,FALSE)=0,"",INDEX(PoderesDeCriatura_Adquiridos,MATCH(A24,Principal!$S$42:$S$69,0))))</f>
        <v/>
      </c>
      <c r="I2635" s="2475" t="str">
        <f t="shared" si="122"/>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3"/>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3"/>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5">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6">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7">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8">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9">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0">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1">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98"/>
      <c r="C2636" s="2416" t="str">
        <f t="shared" si="188"/>
        <v/>
      </c>
      <c r="D2636" s="1799" t="str">
        <f>Combate!X44</f>
        <v/>
      </c>
      <c r="E2636" s="2334" t="str">
        <f t="shared" si="121"/>
        <v/>
      </c>
      <c r="F2636" s="5138"/>
      <c r="H2636" s="2304" t="str">
        <f>IF(ISNA(VLOOKUP(A25,Principal!$S$42:$AH$69,10,FALSE)),"",IF(VLOOKUP(A25,Principal!$S$42:$AH$69,10,FALSE)=0,"",INDEX(PoderesDeCriatura_Adquiridos,MATCH(A25,Principal!$S$42:$S$69,0))))</f>
        <v/>
      </c>
      <c r="I2636" s="2475" t="str">
        <f t="shared" si="122"/>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3"/>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3"/>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3">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4">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5">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6">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7">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8">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9">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98"/>
      <c r="C2637" s="2416" t="str">
        <f t="shared" si="188"/>
        <v/>
      </c>
      <c r="D2637" s="1799" t="str">
        <f>Combate!X45</f>
        <v/>
      </c>
      <c r="E2637" s="2334" t="str">
        <f t="shared" si="121"/>
        <v/>
      </c>
      <c r="F2637" s="5138"/>
      <c r="H2637" s="2304" t="str">
        <f>IF(ISNA(VLOOKUP(A26,Principal!$S$42:$AH$69,10,FALSE)),"",IF(VLOOKUP(A26,Principal!$S$42:$AH$69,10,FALSE)=0,"",INDEX(PoderesDeCriatura_Adquiridos,MATCH(A26,Principal!$S$42:$S$69,0))))</f>
        <v/>
      </c>
      <c r="I2637" s="2475" t="str">
        <f t="shared" si="122"/>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3"/>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3"/>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1">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2">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3">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4">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5">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6">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7">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98"/>
      <c r="C2638" s="2416" t="str">
        <f t="shared" si="188"/>
        <v/>
      </c>
      <c r="D2638" s="1799" t="str">
        <f>Combate!X46</f>
        <v/>
      </c>
      <c r="E2638" s="2334" t="str">
        <f t="shared" si="121"/>
        <v/>
      </c>
      <c r="F2638" s="5138"/>
      <c r="H2638" s="2304" t="str">
        <f>IF(ISNA(VLOOKUP(A27,Principal!$S$42:$AH$69,10,FALSE)),"",IF(VLOOKUP(A27,Principal!$S$42:$AH$69,10,FALSE)=0,"",INDEX(PoderesDeCriatura_Adquiridos,MATCH(A27,Principal!$S$42:$S$69,0))))</f>
        <v/>
      </c>
      <c r="I2638" s="2475" t="str">
        <f t="shared" si="122"/>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3"/>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3"/>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9">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0">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1">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2">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3">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4">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5">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98"/>
      <c r="C2639" s="2416" t="str">
        <f t="shared" si="188"/>
        <v/>
      </c>
      <c r="D2639" s="1799" t="str">
        <f>Combate!X47</f>
        <v/>
      </c>
      <c r="E2639" s="2334" t="str">
        <f t="shared" si="121"/>
        <v/>
      </c>
      <c r="F2639" s="5138"/>
      <c r="H2639" s="2304" t="str">
        <f>IF(ISNA(VLOOKUP(A28,Principal!$S$42:$AH$69,10,FALSE)),"",IF(VLOOKUP(A28,Principal!$S$42:$AH$69,10,FALSE)=0,"",INDEX(PoderesDeCriatura_Adquiridos,MATCH(A28,Principal!$S$42:$S$69,0))))</f>
        <v/>
      </c>
      <c r="I2639" s="2475" t="str">
        <f t="shared" si="122"/>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3"/>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3"/>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7">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8">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9">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0">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1">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2">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3">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98"/>
      <c r="C2640" s="2416" t="str">
        <f t="shared" si="188"/>
        <v/>
      </c>
      <c r="D2640" s="1799" t="str">
        <f>Combate!X48</f>
        <v/>
      </c>
      <c r="E2640" s="2334" t="str">
        <f t="shared" si="121"/>
        <v/>
      </c>
      <c r="F2640" s="5138"/>
      <c r="H2640" s="2304" t="str">
        <f>IF(ISNA(VLOOKUP(A29,Principal!$S$42:$AH$69,10,FALSE)),"",IF(VLOOKUP(A29,Principal!$S$42:$AH$69,10,FALSE)=0,"",INDEX(PoderesDeCriatura_Adquiridos,MATCH(A29,Principal!$S$42:$S$69,0))))</f>
        <v/>
      </c>
      <c r="I2640" s="2475" t="str">
        <f t="shared" si="122"/>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3"/>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3"/>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5">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6">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7">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8">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9">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0">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1">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98"/>
      <c r="C2641" s="2416" t="str">
        <f t="shared" si="188"/>
        <v/>
      </c>
      <c r="D2641" s="1799" t="str">
        <f>Combate!X49</f>
        <v/>
      </c>
      <c r="E2641" s="2334" t="str">
        <f t="shared" si="121"/>
        <v/>
      </c>
      <c r="F2641" s="5138"/>
      <c r="H2641" s="2304" t="str">
        <f>IF(ISNA(VLOOKUP(A30,Principal!$S$42:$AH$69,10,FALSE)),"",IF(VLOOKUP(A30,Principal!$S$42:$AH$69,10,FALSE)=0,"",INDEX(PoderesDeCriatura_Adquiridos,MATCH(A30,Principal!$S$42:$S$69,0))))</f>
        <v/>
      </c>
      <c r="I2641" s="2896" t="str">
        <f t="shared" si="122"/>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3"/>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3"/>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3">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4">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5">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6">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7">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8">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9">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98"/>
      <c r="C2642" s="2412" t="str">
        <f t="shared" ref="C2642:C2649" si="341">IF(D2642="","",COUNTIF($D$2607:$D$2649,"&lt;="&amp;D2642)-SUMPRODUCT(--($D$2607:$D$2649="")))</f>
        <v/>
      </c>
      <c r="D2642" s="1799" t="str">
        <f>Combate!X50</f>
        <v/>
      </c>
      <c r="E2642" s="2334" t="str">
        <f t="shared" si="121"/>
        <v/>
      </c>
      <c r="F2642" s="5138"/>
      <c r="H2642" s="5140" t="str">
        <f>I2612&amp;I2613&amp;I2614&amp;I2615&amp;I2616&amp;I2617&amp;I2618&amp;I2619&amp;I2620&amp;I2621&amp;I2622&amp;I2623&amp;I2624&amp;I2625&amp;I2626&amp;I2627&amp;I2628&amp;I2629&amp;I2630&amp;I2631&amp;I2632&amp;I2633&amp;I2634&amp;I2636&amp;I2635&amp;I2637&amp;I2638&amp;I2640&amp;I2639&amp;I2641</f>
        <v/>
      </c>
      <c r="I2642" s="5141"/>
      <c r="J2642" s="5123" t="str">
        <f>IF(J2611="","",J2611&amp;" ("&amp;K2613&amp;K2614&amp;K2615&amp;K2616&amp;K2617&amp;K2618&amp;K2619&amp;K2620&amp;K2621&amp;K2622&amp;K2623&amp;K2624&amp;K2625&amp;K2626&amp;K2627&amp;K2628&amp;K2629&amp;K2630&amp;K2631&amp;K2632&amp;K2633&amp;K2634&amp;K2635&amp;K2636&amp;K2637&amp;K2638&amp;K2639&amp;K2640&amp;K2641&amp;")")</f>
        <v/>
      </c>
      <c r="K2642" s="5123"/>
      <c r="L2642" s="5123" t="str">
        <f>IF(L2611="","",L2611&amp;" ("&amp;M2613&amp;M2614&amp;M2615&amp;M2616&amp;M2617&amp;M2618&amp;M2619&amp;M2620&amp;M2621&amp;M2622&amp;M2623&amp;M2624&amp;M2625&amp;M2626&amp;M2627&amp;M2628&amp;M2629&amp;M2630&amp;M2631&amp;M2632&amp;M2633&amp;M2634&amp;M2635&amp;M2636&amp;M2637&amp;M2638&amp;M2639&amp;M2640&amp;M2641&amp;")")</f>
        <v/>
      </c>
      <c r="M2642" s="5123"/>
      <c r="N2642" s="5123" t="str">
        <f>IF(N2611="","",N2611&amp;" ("&amp;O2613&amp;O2614&amp;O2615&amp;O2616&amp;O2617&amp;O2618&amp;O2619&amp;O2620&amp;O2621&amp;O2622&amp;O2623&amp;O2624&amp;O2625&amp;O2626&amp;O2627&amp;O2628&amp;O2629&amp;O2630&amp;O2631&amp;O2632&amp;O2633&amp;O2634&amp;O2635&amp;O2636&amp;O2637&amp;O2638&amp;O2639&amp;O2640&amp;O2641&amp;")")</f>
        <v/>
      </c>
      <c r="O2642" s="5123"/>
      <c r="P2642" s="5123" t="str">
        <f>IF(P2611="","",P2611&amp;" ("&amp;Q2613&amp;Q2614&amp;Q2615&amp;Q2616&amp;Q2617&amp;Q2618&amp;Q2619&amp;Q2620&amp;Q2621&amp;Q2622&amp;Q2623&amp;Q2624&amp;Q2625&amp;Q2626&amp;Q2627&amp;Q2628&amp;Q2629&amp;Q2630&amp;Q2631&amp;Q2632&amp;Q2633&amp;Q2634&amp;Q2635&amp;Q2636&amp;Q2637&amp;Q2638&amp;Q2639&amp;Q2640&amp;Q2641&amp;")")</f>
        <v/>
      </c>
      <c r="Q2642" s="5123"/>
      <c r="R2642" s="5123" t="str">
        <f>IF(R2611="","",R2611&amp;" ("&amp;S2613&amp;S2614&amp;S2615&amp;S2616&amp;S2617&amp;S2618&amp;S2619&amp;S2620&amp;S2621&amp;S2622&amp;S2623&amp;S2624&amp;S2625&amp;S2626&amp;S2627&amp;S2628&amp;S2629&amp;S2630&amp;S2631&amp;S2632&amp;S2633&amp;S2634&amp;S2635&amp;S2636&amp;S2637&amp;S2638&amp;S2639&amp;S2640&amp;S2641&amp;")")</f>
        <v/>
      </c>
      <c r="S2642" s="5123"/>
      <c r="T2642" s="5123" t="str">
        <f>IF(T2611="","",T2611&amp;" ("&amp;U2613&amp;U2614&amp;U2615&amp;U2616&amp;U2617&amp;U2618&amp;U2619&amp;U2620&amp;U2621&amp;U2622&amp;U2623&amp;U2624&amp;U2625&amp;U2626&amp;U2627&amp;U2628&amp;U2629&amp;U2630&amp;U2631&amp;U2632&amp;U2633&amp;U2634&amp;U2635&amp;U2636&amp;U2637&amp;U2638&amp;U2639&amp;U2640&amp;U2641&amp;")")</f>
        <v/>
      </c>
      <c r="U2642" s="5123"/>
      <c r="V2642" s="5123" t="str">
        <f>IF(V2611="","",V2611&amp;" ("&amp;W2613&amp;W2614&amp;W2615&amp;W2616&amp;W2617&amp;W2618&amp;W2619&amp;W2620&amp;W2621&amp;W2622&amp;W2623&amp;W2624&amp;W2625&amp;W2626&amp;W2627&amp;W2628&amp;W2629&amp;W2630&amp;W2631&amp;W2632&amp;W2633&amp;W2634&amp;W2635&amp;W2636&amp;W2637&amp;W2638&amp;W2639&amp;W2640&amp;W2641&amp;")")</f>
        <v/>
      </c>
      <c r="W2642" s="5123"/>
      <c r="X2642" s="5123" t="str">
        <f>IF(X2611="","",X2611&amp;" ("&amp;Y2613&amp;Y2614&amp;Y2615&amp;Y2616&amp;Y2617&amp;Y2618&amp;Y2619&amp;Y2620&amp;Y2621&amp;Y2622&amp;Y2623&amp;Y2624&amp;Y2625&amp;Y2626&amp;Y2627&amp;Y2628&amp;Y2629&amp;Y2630&amp;Y2631&amp;Y2632&amp;Y2633&amp;Y2634&amp;Y2635&amp;Y2636&amp;Y2637&amp;Y2638&amp;Y2639&amp;Y2640&amp;Y2641&amp;")")</f>
        <v/>
      </c>
      <c r="Y2642" s="5123"/>
      <c r="Z2642" s="512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3"/>
      <c r="AB2642" s="512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3"/>
    </row>
    <row r="2643" spans="1:31" ht="12.75" customHeight="1" x14ac:dyDescent="0.2">
      <c r="A2643" s="2029">
        <v>211</v>
      </c>
      <c r="B2643" s="4998"/>
      <c r="C2643" s="2412" t="str">
        <f t="shared" si="341"/>
        <v/>
      </c>
      <c r="D2643" s="1799" t="str">
        <f>Combate!X51</f>
        <v/>
      </c>
      <c r="E2643" s="2334" t="str">
        <f t="shared" si="121"/>
        <v/>
      </c>
      <c r="F2643" s="5138"/>
      <c r="H2643" s="5140"/>
      <c r="I2643" s="5141"/>
      <c r="J2643" s="5124" t="str">
        <f>J2642&amp;IF(L2642="","",", "&amp;L2642)&amp;IF(N2642="","",", "&amp;N2642)&amp;IF(P2642="","",", "&amp;P2642)&amp;IF(R2642="","",", "&amp;R2642)&amp;IF(T2642="","",", "&amp;T2642)&amp;IF(V2642="","",", "&amp;V2642)&amp;IF(X2642="","",", "&amp;X2642)&amp;IF(Z2642="","",", "&amp;Z2642)&amp;IF(AB2642="","",", "&amp;AB2642)</f>
        <v/>
      </c>
      <c r="K2643" s="5124"/>
      <c r="L2643" s="5124"/>
      <c r="M2643" s="5124"/>
      <c r="N2643" s="5124"/>
      <c r="O2643" s="5124"/>
      <c r="P2643" s="5124"/>
      <c r="Q2643" s="5124"/>
      <c r="R2643" s="5124"/>
      <c r="S2643" s="5124"/>
      <c r="T2643" s="5124"/>
      <c r="U2643" s="5124"/>
      <c r="V2643" s="5124"/>
      <c r="W2643" s="5124"/>
      <c r="X2643" s="5124"/>
      <c r="Y2643" s="5124"/>
      <c r="Z2643" s="5124"/>
      <c r="AA2643" s="5124"/>
      <c r="AB2643" s="5124"/>
      <c r="AC2643" s="5125"/>
    </row>
    <row r="2644" spans="1:31" ht="12.75" customHeight="1" x14ac:dyDescent="0.2">
      <c r="A2644" s="2029">
        <v>211</v>
      </c>
      <c r="B2644" s="4998"/>
      <c r="C2644" s="2412" t="str">
        <f t="shared" si="341"/>
        <v/>
      </c>
      <c r="D2644" s="1799" t="str">
        <f>Combate!X52</f>
        <v/>
      </c>
      <c r="E2644" s="2334" t="str">
        <f t="shared" si="121"/>
        <v/>
      </c>
      <c r="F2644" s="5138"/>
      <c r="H2644" s="5132" t="str">
        <f>J2643&amp;IF(J2643="",H2642,", "&amp;H2642)</f>
        <v/>
      </c>
      <c r="I2644" s="5133"/>
      <c r="J2644" s="5133"/>
      <c r="K2644" s="5133"/>
      <c r="L2644" s="5133"/>
      <c r="M2644" s="5133"/>
      <c r="N2644" s="5133"/>
      <c r="O2644" s="5133"/>
      <c r="P2644" s="5133"/>
      <c r="Q2644" s="5133"/>
      <c r="R2644" s="5133"/>
      <c r="S2644" s="5133"/>
      <c r="T2644" s="5133"/>
      <c r="U2644" s="5133"/>
      <c r="V2644" s="5133"/>
      <c r="W2644" s="5133"/>
      <c r="X2644" s="5133"/>
      <c r="Y2644" s="5133"/>
      <c r="Z2644" s="5133"/>
      <c r="AA2644" s="5133"/>
      <c r="AB2644" s="5133"/>
      <c r="AC2644" s="5134"/>
    </row>
    <row r="2645" spans="1:31" ht="12.75" customHeight="1" thickBot="1" x14ac:dyDescent="0.25">
      <c r="A2645" s="2029">
        <v>211</v>
      </c>
      <c r="B2645" s="4998"/>
      <c r="C2645" s="2412" t="str">
        <f t="shared" si="341"/>
        <v/>
      </c>
      <c r="D2645" s="2101" t="str">
        <f>Combate!X55</f>
        <v/>
      </c>
      <c r="E2645" s="2334" t="str">
        <f t="shared" si="121"/>
        <v/>
      </c>
      <c r="F2645" s="5138"/>
      <c r="H2645" s="5135"/>
      <c r="I2645" s="5136"/>
      <c r="J2645" s="5136"/>
      <c r="K2645" s="5136"/>
      <c r="L2645" s="5136"/>
      <c r="M2645" s="5136"/>
      <c r="N2645" s="5136"/>
      <c r="O2645" s="5136"/>
      <c r="P2645" s="5136"/>
      <c r="Q2645" s="5136"/>
      <c r="R2645" s="5136"/>
      <c r="S2645" s="5136"/>
      <c r="T2645" s="5136"/>
      <c r="U2645" s="5136"/>
      <c r="V2645" s="5136"/>
      <c r="W2645" s="5136"/>
      <c r="X2645" s="5136"/>
      <c r="Y2645" s="5136"/>
      <c r="Z2645" s="5136"/>
      <c r="AA2645" s="5136"/>
      <c r="AB2645" s="5136"/>
      <c r="AC2645" s="5137"/>
    </row>
    <row r="2646" spans="1:31" ht="12.75" customHeight="1" x14ac:dyDescent="0.2">
      <c r="A2646" s="2029">
        <v>211</v>
      </c>
      <c r="B2646" s="4998"/>
      <c r="C2646" s="2412" t="str">
        <f t="shared" si="341"/>
        <v/>
      </c>
      <c r="D2646" s="1799" t="str">
        <f>Combate!X57</f>
        <v/>
      </c>
      <c r="E2646" s="2334" t="str">
        <f t="shared" si="121"/>
        <v/>
      </c>
      <c r="F2646" s="5138"/>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98"/>
      <c r="C2647" s="2412" t="str">
        <f t="shared" si="341"/>
        <v/>
      </c>
      <c r="D2647" s="1799" t="str">
        <f>Combate!X59</f>
        <v/>
      </c>
      <c r="E2647" s="2334" t="str">
        <f t="shared" si="121"/>
        <v/>
      </c>
      <c r="F2647" s="5138"/>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98"/>
      <c r="C2648" s="2412" t="str">
        <f t="shared" si="341"/>
        <v/>
      </c>
      <c r="D2648" s="1799" t="str">
        <f>Combate!X61</f>
        <v/>
      </c>
      <c r="E2648" s="2334" t="str">
        <f t="shared" si="121"/>
        <v/>
      </c>
      <c r="F2648" s="5138"/>
      <c r="H2648" s="413"/>
      <c r="I2648" s="1761"/>
      <c r="N2648" s="413"/>
      <c r="O2648" s="2112"/>
      <c r="AB2648" s="413"/>
      <c r="AC2648" s="2795"/>
    </row>
    <row r="2649" spans="1:31" ht="12.75" customHeight="1" thickBot="1" x14ac:dyDescent="0.25">
      <c r="A2649" s="2029">
        <v>211</v>
      </c>
      <c r="B2649" s="4998"/>
      <c r="C2649" s="2414" t="str">
        <f t="shared" si="341"/>
        <v/>
      </c>
      <c r="D2649" s="1800" t="str">
        <f>Combate!X63</f>
        <v/>
      </c>
      <c r="E2649" s="2335" t="str">
        <f t="shared" si="121"/>
        <v/>
      </c>
      <c r="F2649" s="5139"/>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219"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3" t="s">
        <v>4691</v>
      </c>
      <c r="D2" s="5234"/>
      <c r="E2" s="5234"/>
      <c r="F2" s="5234"/>
      <c r="G2" s="5234"/>
      <c r="H2" s="5234"/>
      <c r="I2" s="5234"/>
      <c r="J2" s="5234"/>
      <c r="K2" s="5234"/>
      <c r="L2" s="5234"/>
      <c r="M2" s="5234"/>
      <c r="N2" s="5234"/>
      <c r="O2" s="5234"/>
      <c r="P2" s="5234"/>
      <c r="Q2" s="5234"/>
      <c r="R2" s="5234"/>
      <c r="S2" s="5234"/>
      <c r="T2" s="5234"/>
      <c r="U2" s="5234"/>
      <c r="V2" s="5234"/>
      <c r="W2" s="5234"/>
      <c r="X2" s="5234"/>
      <c r="Y2" s="5234"/>
      <c r="Z2" s="5235"/>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36"/>
      <c r="D3" s="5237"/>
      <c r="E3" s="5237"/>
      <c r="F3" s="5237"/>
      <c r="G3" s="5237"/>
      <c r="H3" s="5237"/>
      <c r="I3" s="5237"/>
      <c r="J3" s="5237"/>
      <c r="K3" s="5237"/>
      <c r="L3" s="5237"/>
      <c r="M3" s="5237"/>
      <c r="N3" s="5237"/>
      <c r="O3" s="5237"/>
      <c r="P3" s="5237"/>
      <c r="Q3" s="5237"/>
      <c r="R3" s="5237"/>
      <c r="S3" s="5237"/>
      <c r="T3" s="5237"/>
      <c r="U3" s="5237"/>
      <c r="V3" s="5237"/>
      <c r="W3" s="5237"/>
      <c r="X3" s="5237"/>
      <c r="Y3" s="5237"/>
      <c r="Z3" s="5238"/>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2"/>
      <c r="AB4" s="5232"/>
      <c r="AC4" s="1165"/>
      <c r="AD4" s="5232"/>
      <c r="AE4" s="5232"/>
      <c r="AF4" s="1165"/>
      <c r="AG4" s="1166"/>
      <c r="AH4" s="1167"/>
      <c r="AI4" s="1165"/>
      <c r="AJ4" s="5232"/>
      <c r="AK4" s="5232"/>
      <c r="AL4" s="1165"/>
      <c r="AM4" s="5232"/>
      <c r="AN4" s="5232"/>
      <c r="AO4" s="1165"/>
      <c r="AP4" s="5232"/>
      <c r="AQ4" s="5232"/>
      <c r="AR4" s="1165"/>
      <c r="AS4" s="5232"/>
      <c r="AT4" s="5232"/>
      <c r="AU4" s="1165"/>
      <c r="AV4" s="5232"/>
      <c r="AW4" s="5232"/>
      <c r="AX4" s="1165"/>
      <c r="AY4" s="5232"/>
      <c r="AZ4" s="5232"/>
      <c r="BA4" s="1165"/>
      <c r="BB4" s="5232"/>
      <c r="BC4" s="5232"/>
      <c r="BD4" s="1165"/>
      <c r="BE4" s="5232"/>
      <c r="BF4" s="5232"/>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39"/>
      <c r="AB5" s="5239"/>
      <c r="AC5" s="1170"/>
      <c r="AD5" s="5239"/>
      <c r="AE5" s="5239"/>
      <c r="AF5" s="1170"/>
      <c r="AG5" s="1171"/>
      <c r="AH5" s="1172"/>
      <c r="AI5" s="1170"/>
      <c r="AJ5" s="5239"/>
      <c r="AK5" s="5239"/>
      <c r="AL5" s="1170"/>
      <c r="AM5" s="5239"/>
      <c r="AN5" s="5239"/>
      <c r="AO5" s="1170"/>
      <c r="AP5" s="5239"/>
      <c r="AQ5" s="5239"/>
      <c r="AR5" s="1170"/>
      <c r="AS5" s="5239"/>
      <c r="AT5" s="5239"/>
      <c r="AU5" s="1170"/>
      <c r="AV5" s="5239"/>
      <c r="AW5" s="5239"/>
      <c r="AX5" s="1170"/>
      <c r="AY5" s="5239"/>
      <c r="AZ5" s="5239"/>
      <c r="BA5" s="1170"/>
      <c r="BB5" s="5239"/>
      <c r="BC5" s="5239"/>
      <c r="BD5" s="1170"/>
      <c r="BE5" s="5239"/>
      <c r="BF5" s="5239"/>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56" t="s">
        <v>3130</v>
      </c>
      <c r="D2" s="4257"/>
      <c r="E2" s="4257"/>
      <c r="F2" s="4257"/>
      <c r="G2" s="4258"/>
      <c r="I2" s="4259" t="s">
        <v>3131</v>
      </c>
      <c r="J2" s="4260"/>
      <c r="L2" s="5246" t="s">
        <v>3132</v>
      </c>
    </row>
    <row r="3" spans="1:27" x14ac:dyDescent="0.2">
      <c r="A3" s="618">
        <v>3</v>
      </c>
      <c r="C3" s="4259"/>
      <c r="D3" s="4260"/>
      <c r="E3" s="4260"/>
      <c r="F3" s="4260"/>
      <c r="G3" s="4261"/>
      <c r="I3" s="4259"/>
      <c r="J3" s="4260"/>
      <c r="L3" s="5247"/>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56" t="s">
        <v>2739</v>
      </c>
      <c r="D15" s="4258"/>
      <c r="F15" s="4256" t="s">
        <v>3174</v>
      </c>
      <c r="G15" s="4257"/>
      <c r="H15" s="4257"/>
      <c r="I15" s="4257"/>
      <c r="J15" s="4257"/>
      <c r="K15" s="4257"/>
      <c r="L15" s="4257"/>
      <c r="M15" s="4257"/>
      <c r="N15" s="4258"/>
      <c r="AA15" s="630"/>
    </row>
    <row r="16" spans="1:27" x14ac:dyDescent="0.2">
      <c r="A16" s="618">
        <v>16</v>
      </c>
      <c r="C16" s="4259"/>
      <c r="D16" s="4261"/>
      <c r="F16" s="4259"/>
      <c r="G16" s="4260"/>
      <c r="H16" s="4260"/>
      <c r="I16" s="4260"/>
      <c r="J16" s="4260"/>
      <c r="K16" s="4260"/>
      <c r="L16" s="4260"/>
      <c r="M16" s="4260"/>
      <c r="N16" s="4261"/>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56" t="s">
        <v>3191</v>
      </c>
      <c r="D27" s="4257"/>
      <c r="E27" s="4257"/>
      <c r="F27" s="4257"/>
      <c r="G27" s="4257"/>
      <c r="H27" s="4257"/>
      <c r="I27" s="4257"/>
      <c r="J27" s="4257"/>
      <c r="K27" s="4258"/>
    </row>
    <row r="28" spans="1:27" ht="12.75" customHeight="1" thickBot="1" x14ac:dyDescent="0.25">
      <c r="A28" s="618">
        <v>28</v>
      </c>
      <c r="C28" s="5248"/>
      <c r="D28" s="5249"/>
      <c r="E28" s="5249"/>
      <c r="F28" s="5249"/>
      <c r="G28" s="5249"/>
      <c r="H28" s="5249"/>
      <c r="I28" s="5249"/>
      <c r="J28" s="5249"/>
      <c r="K28" s="5250"/>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2" t="s">
        <v>3192</v>
      </c>
      <c r="D89" s="5253"/>
      <c r="E89" s="5253"/>
      <c r="F89" s="5253"/>
      <c r="G89" s="651" t="s">
        <v>3193</v>
      </c>
      <c r="H89" s="652"/>
      <c r="I89" s="653"/>
      <c r="J89" s="653"/>
      <c r="K89" s="653"/>
      <c r="L89" s="653"/>
      <c r="M89" s="653"/>
      <c r="N89" s="653"/>
      <c r="O89" s="653"/>
      <c r="P89" s="653"/>
      <c r="Q89" s="653"/>
      <c r="R89" s="5240" t="s">
        <v>3194</v>
      </c>
    </row>
    <row r="90" spans="1:18" ht="13.5" thickBot="1" x14ac:dyDescent="0.25">
      <c r="C90" s="5242" t="s">
        <v>3195</v>
      </c>
      <c r="D90" s="5242"/>
      <c r="E90" s="5242"/>
      <c r="F90" s="655" t="s">
        <v>2740</v>
      </c>
      <c r="G90" s="654" t="s">
        <v>3196</v>
      </c>
      <c r="H90" s="655" t="s">
        <v>3197</v>
      </c>
      <c r="I90" s="631"/>
      <c r="J90" s="631"/>
      <c r="K90" s="631"/>
      <c r="L90" s="5243" t="s">
        <v>1866</v>
      </c>
      <c r="M90" s="5243"/>
      <c r="N90" s="5243"/>
      <c r="O90" s="5243"/>
      <c r="P90" s="5243"/>
      <c r="Q90" s="5243"/>
      <c r="R90" s="5241"/>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44" t="s">
        <v>3200</v>
      </c>
      <c r="M92" s="5245"/>
      <c r="N92" s="5245"/>
      <c r="O92" s="5245"/>
      <c r="P92" s="5245"/>
      <c r="Q92" s="5245"/>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44" t="s">
        <v>3202</v>
      </c>
      <c r="M93" s="5245"/>
      <c r="N93" s="5245"/>
      <c r="O93" s="5245"/>
      <c r="P93" s="5245"/>
      <c r="Q93" s="5245"/>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44" t="s">
        <v>3204</v>
      </c>
      <c r="M94" s="5245"/>
      <c r="N94" s="5245"/>
      <c r="O94" s="5245"/>
      <c r="P94" s="5245"/>
      <c r="Q94" s="5245"/>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44" t="s">
        <v>3206</v>
      </c>
      <c r="M95" s="5245"/>
      <c r="N95" s="5245"/>
      <c r="O95" s="5245"/>
      <c r="P95" s="5245"/>
      <c r="Q95" s="5245"/>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51" t="s">
        <v>3208</v>
      </c>
      <c r="M96" s="5245"/>
      <c r="N96" s="5245"/>
      <c r="O96" s="5245"/>
      <c r="P96" s="5245"/>
      <c r="Q96" s="5245"/>
      <c r="R96" s="1944" t="s">
        <v>1769</v>
      </c>
    </row>
    <row r="97" spans="2:18" x14ac:dyDescent="0.2">
      <c r="B97" s="659">
        <f t="shared" si="0"/>
        <v>0</v>
      </c>
      <c r="C97" s="657" t="s">
        <v>3209</v>
      </c>
      <c r="D97" s="657"/>
      <c r="E97" s="657"/>
      <c r="F97" s="658"/>
      <c r="G97" s="1925"/>
      <c r="H97" s="1925"/>
      <c r="I97" s="1925" t="s">
        <v>1769</v>
      </c>
      <c r="J97" s="1927" t="s">
        <v>1769</v>
      </c>
      <c r="K97" s="1925" t="s">
        <v>1769</v>
      </c>
      <c r="L97" s="5244"/>
      <c r="M97" s="5245"/>
      <c r="N97" s="5245"/>
      <c r="O97" s="5245"/>
      <c r="P97" s="5245"/>
      <c r="Q97" s="5245"/>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44" t="s">
        <v>3211</v>
      </c>
      <c r="M98" s="5245"/>
      <c r="N98" s="5245"/>
      <c r="O98" s="5245"/>
      <c r="P98" s="5245"/>
      <c r="Q98" s="5245"/>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44" t="s">
        <v>3213</v>
      </c>
      <c r="M99" s="5245"/>
      <c r="N99" s="5245"/>
      <c r="O99" s="5245"/>
      <c r="P99" s="5245"/>
      <c r="Q99" s="5245"/>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44" t="s">
        <v>3215</v>
      </c>
      <c r="M100" s="5245"/>
      <c r="N100" s="5245"/>
      <c r="O100" s="5245"/>
      <c r="P100" s="5245"/>
      <c r="Q100" s="5245"/>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51" t="s">
        <v>3217</v>
      </c>
      <c r="M101" s="5245"/>
      <c r="N101" s="5245"/>
      <c r="O101" s="5245"/>
      <c r="P101" s="5245"/>
      <c r="Q101" s="5245"/>
      <c r="R101" s="1945"/>
    </row>
    <row r="102" spans="2:18" x14ac:dyDescent="0.2">
      <c r="B102" s="659">
        <f t="shared" si="0"/>
        <v>0</v>
      </c>
      <c r="C102" s="657" t="s">
        <v>3218</v>
      </c>
      <c r="D102" s="657"/>
      <c r="E102" s="657"/>
      <c r="F102" s="658"/>
      <c r="G102" s="1925"/>
      <c r="H102" s="1925"/>
      <c r="I102" s="1925" t="s">
        <v>1769</v>
      </c>
      <c r="J102" s="1925" t="s">
        <v>1769</v>
      </c>
      <c r="K102" s="1925" t="s">
        <v>1769</v>
      </c>
      <c r="L102" s="5244"/>
      <c r="M102" s="5245"/>
      <c r="N102" s="5245"/>
      <c r="O102" s="5245"/>
      <c r="P102" s="5245"/>
      <c r="Q102" s="5245"/>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51" t="s">
        <v>3220</v>
      </c>
      <c r="M103" s="5245"/>
      <c r="N103" s="5245"/>
      <c r="O103" s="5245"/>
      <c r="P103" s="5245"/>
      <c r="Q103" s="5245"/>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51" t="s">
        <v>3222</v>
      </c>
      <c r="M104" s="5245"/>
      <c r="N104" s="5245"/>
      <c r="O104" s="5245"/>
      <c r="P104" s="5245"/>
      <c r="Q104" s="5245"/>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51" t="s">
        <v>3224</v>
      </c>
      <c r="M105" s="5245"/>
      <c r="N105" s="5245"/>
      <c r="O105" s="5245"/>
      <c r="P105" s="5245"/>
      <c r="Q105" s="5245"/>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44"/>
      <c r="M106" s="5245"/>
      <c r="N106" s="5245"/>
      <c r="O106" s="5245"/>
      <c r="P106" s="5245"/>
      <c r="Q106" s="5245"/>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44" t="s">
        <v>3227</v>
      </c>
      <c r="M107" s="5245"/>
      <c r="N107" s="5245"/>
      <c r="O107" s="5245"/>
      <c r="P107" s="5245"/>
      <c r="Q107" s="5245"/>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51" t="s">
        <v>3229</v>
      </c>
      <c r="M108" s="5245"/>
      <c r="N108" s="5245"/>
      <c r="O108" s="5245"/>
      <c r="P108" s="5245"/>
      <c r="Q108" s="5245"/>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57" t="s">
        <v>3231</v>
      </c>
      <c r="M109" s="5258"/>
      <c r="N109" s="5258"/>
      <c r="O109" s="5258"/>
      <c r="P109" s="5258"/>
      <c r="Q109" s="5258"/>
      <c r="R109" s="1944" t="s">
        <v>1769</v>
      </c>
    </row>
    <row r="110" spans="2:18" ht="13.5" thickBot="1" x14ac:dyDescent="0.25">
      <c r="B110" s="659">
        <f>G110</f>
        <v>0</v>
      </c>
      <c r="C110" s="5254" t="s">
        <v>3232</v>
      </c>
      <c r="D110" s="5255"/>
      <c r="E110" s="5255"/>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56" t="s">
        <v>1866</v>
      </c>
      <c r="M111" s="5256"/>
      <c r="N111" s="5256"/>
      <c r="O111" s="5256"/>
      <c r="P111" s="5256"/>
      <c r="Q111" s="5256"/>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45" t="s">
        <v>3237</v>
      </c>
      <c r="M112" s="5245"/>
      <c r="N112" s="5245"/>
      <c r="O112" s="5245"/>
      <c r="P112" s="5245"/>
      <c r="Q112" s="5245"/>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45" t="s">
        <v>3239</v>
      </c>
      <c r="M113" s="5245"/>
      <c r="N113" s="5245"/>
      <c r="O113" s="5245"/>
      <c r="P113" s="5245"/>
      <c r="Q113" s="5245"/>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45" t="s">
        <v>3241</v>
      </c>
      <c r="M114" s="5245"/>
      <c r="N114" s="5245"/>
      <c r="O114" s="5245"/>
      <c r="P114" s="5245"/>
      <c r="Q114" s="5245"/>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45" t="s">
        <v>3243</v>
      </c>
      <c r="M115" s="5245"/>
      <c r="N115" s="5245"/>
      <c r="O115" s="5245"/>
      <c r="P115" s="5245"/>
      <c r="Q115" s="5245"/>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45" t="s">
        <v>3244</v>
      </c>
      <c r="M116" s="5245"/>
      <c r="N116" s="5245"/>
      <c r="O116" s="5245"/>
      <c r="P116" s="5245"/>
      <c r="Q116" s="5245"/>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45" t="s">
        <v>3246</v>
      </c>
      <c r="M117" s="5245"/>
      <c r="N117" s="5245"/>
      <c r="O117" s="5245"/>
      <c r="P117" s="5245"/>
      <c r="Q117" s="5245"/>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59" t="str">
        <f>"+2 FUE al alcance y +"&amp;Sheele!H15&amp;" al daño de proyectiles de quien esté en contacto con ella."</f>
        <v>+2 FUE al alcance y +10 al daño de proyectiles de quien esté en contacto con ella.</v>
      </c>
      <c r="M118" s="5245"/>
      <c r="N118" s="5245"/>
      <c r="O118" s="5245"/>
      <c r="P118" s="5245"/>
      <c r="Q118" s="5245"/>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59" t="s">
        <v>3249</v>
      </c>
      <c r="M119" s="5245"/>
      <c r="N119" s="5245"/>
      <c r="O119" s="5245"/>
      <c r="P119" s="5245"/>
      <c r="Q119" s="5245"/>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45" t="str">
        <f>"Aquel en contacto RF "&amp;Sheele!N21*2+Sheele!H15&amp;" o daño igual al nivel de fracaso. Inmune a ataques físicos"</f>
        <v>Aquel en contacto RF 70 o daño igual al nivel de fracaso. Inmune a ataques físicos</v>
      </c>
      <c r="M120" s="5245"/>
      <c r="N120" s="5245"/>
      <c r="O120" s="5245"/>
      <c r="P120" s="5245"/>
      <c r="Q120" s="5245"/>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60" t="s">
        <v>3253</v>
      </c>
      <c r="M121" s="5258"/>
      <c r="N121" s="5258"/>
      <c r="O121" s="5258"/>
      <c r="P121" s="5258"/>
      <c r="Q121" s="5258"/>
      <c r="R121" s="1944" t="s">
        <v>1769</v>
      </c>
    </row>
    <row r="122" spans="2:18" x14ac:dyDescent="0.2">
      <c r="B122" s="659">
        <f t="shared" si="0"/>
        <v>0</v>
      </c>
      <c r="C122" s="1936" t="s">
        <v>3144</v>
      </c>
      <c r="D122" s="673"/>
      <c r="E122" s="673"/>
      <c r="F122" s="665"/>
      <c r="G122" s="670"/>
      <c r="H122" s="669"/>
      <c r="I122" s="674" t="s">
        <v>3234</v>
      </c>
      <c r="J122" s="667" t="s">
        <v>3235</v>
      </c>
      <c r="K122" s="666" t="s">
        <v>1891</v>
      </c>
      <c r="L122" s="5256" t="s">
        <v>1866</v>
      </c>
      <c r="M122" s="5256"/>
      <c r="N122" s="5256"/>
      <c r="O122" s="5256"/>
      <c r="P122" s="5256"/>
      <c r="Q122" s="5256"/>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45" t="s">
        <v>3256</v>
      </c>
      <c r="M123" s="5245"/>
      <c r="N123" s="5245"/>
      <c r="O123" s="5245"/>
      <c r="P123" s="5245"/>
      <c r="Q123" s="5245"/>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45" t="str">
        <f>"Ataque CON, Área "&amp;Sheele!N21&amp;"m. Aquellos en contacto son inmunes. Impacto FUE "&amp;Sheele!G15</f>
        <v>Ataque CON, Área 30m. Aquellos en contacto son inmunes. Impacto FUE 8</v>
      </c>
      <c r="M124" s="5245"/>
      <c r="N124" s="5245"/>
      <c r="O124" s="5245"/>
      <c r="P124" s="5245"/>
      <c r="Q124" s="5245"/>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45" t="s">
        <v>3259</v>
      </c>
      <c r="M125" s="5245"/>
      <c r="N125" s="5245"/>
      <c r="O125" s="5245"/>
      <c r="P125" s="5245"/>
      <c r="Q125" s="5245"/>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45" t="str">
        <f>"Ataque automático 50m. RM o RF "&amp;Sheele!N21*2+Sheele!H15&amp;", -5 por cada TA en FRI. Parálisis total si &gt; 40"</f>
        <v>Ataque automático 50m. RM o RF 70, -5 por cada TA en FRI. Parálisis total si &gt; 40</v>
      </c>
      <c r="M126" s="5245"/>
      <c r="N126" s="5245"/>
      <c r="O126" s="5245"/>
      <c r="P126" s="5245"/>
      <c r="Q126" s="5245"/>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45" t="s">
        <v>3262</v>
      </c>
      <c r="M127" s="5245"/>
      <c r="N127" s="5245"/>
      <c r="O127" s="5245"/>
      <c r="P127" s="5245"/>
      <c r="Q127" s="5245"/>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45" t="s">
        <v>3264</v>
      </c>
      <c r="M128" s="5245"/>
      <c r="N128" s="5245"/>
      <c r="O128" s="5245"/>
      <c r="P128" s="5245"/>
      <c r="Q128" s="5245"/>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45" t="s">
        <v>3266</v>
      </c>
      <c r="M129" s="5245"/>
      <c r="N129" s="5245"/>
      <c r="O129" s="5245"/>
      <c r="P129" s="5245"/>
      <c r="Q129" s="5245"/>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59" t="s">
        <v>3249</v>
      </c>
      <c r="M130" s="5245"/>
      <c r="N130" s="5245"/>
      <c r="O130" s="5245"/>
      <c r="P130" s="5245"/>
      <c r="Q130" s="5245"/>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45" t="s">
        <v>3268</v>
      </c>
      <c r="M131" s="5245"/>
      <c r="N131" s="5245"/>
      <c r="O131" s="5245"/>
      <c r="P131" s="5245"/>
      <c r="Q131" s="5245"/>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58" t="s">
        <v>3269</v>
      </c>
      <c r="M132" s="5258"/>
      <c r="N132" s="5258"/>
      <c r="O132" s="5258"/>
      <c r="P132" s="5258"/>
      <c r="Q132" s="5258"/>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56" t="s">
        <v>1866</v>
      </c>
      <c r="M133" s="5256"/>
      <c r="N133" s="5256"/>
      <c r="O133" s="5256"/>
      <c r="P133" s="5256"/>
      <c r="Q133" s="5256"/>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45" t="s">
        <v>3271</v>
      </c>
      <c r="M134" s="5245"/>
      <c r="N134" s="5245"/>
      <c r="O134" s="5245"/>
      <c r="P134" s="5245"/>
      <c r="Q134" s="5245"/>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45" t="s">
        <v>3273</v>
      </c>
      <c r="M135" s="5245"/>
      <c r="N135" s="5245"/>
      <c r="O135" s="5245"/>
      <c r="P135" s="5245"/>
      <c r="Q135" s="5245"/>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45" t="s">
        <v>3275</v>
      </c>
      <c r="M136" s="5245"/>
      <c r="N136" s="5245"/>
      <c r="O136" s="5245"/>
      <c r="P136" s="5245"/>
      <c r="Q136" s="5245"/>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45" t="str">
        <f>"Area CAL "&amp;Sheele!G16&amp;"m. Cada aatque sucesivo dobla el área y +10 daño"</f>
        <v>Area CAL 6m. Cada aatque sucesivo dobla el área y +10 daño</v>
      </c>
      <c r="M137" s="5245"/>
      <c r="N137" s="5245"/>
      <c r="O137" s="5245"/>
      <c r="P137" s="5245"/>
      <c r="Q137" s="5245"/>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45" t="str">
        <f>"La Sheele controla el fuego de hasta "&amp;Sheele!G15&amp;" intensidades. Puede atacar con él."</f>
        <v>La Sheele controla el fuego de hasta 8 intensidades. Puede atacar con él.</v>
      </c>
      <c r="M138" s="5245"/>
      <c r="N138" s="5245"/>
      <c r="O138" s="5245"/>
      <c r="P138" s="5245"/>
      <c r="Q138" s="5245"/>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59" t="s">
        <v>3249</v>
      </c>
      <c r="M139" s="5245"/>
      <c r="N139" s="5245"/>
      <c r="O139" s="5245"/>
      <c r="P139" s="5245"/>
      <c r="Q139" s="5245"/>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45" t="str">
        <f>"Aquel en contacto puede usar CAL como crítico secundario en sus armas, y éstas tienen +"&amp;Sheele!H15&amp;" daño."</f>
        <v>Aquel en contacto puede usar CAL como crítico secundario en sus armas, y éstas tienen +10 daño.</v>
      </c>
      <c r="M140" s="5245"/>
      <c r="N140" s="5245"/>
      <c r="O140" s="5245"/>
      <c r="P140" s="5245"/>
      <c r="Q140" s="5245"/>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45" t="str">
        <f>"A voluntad, solo vulnerable a energía o frío. En contacto RF "&amp;Sheele!N21*2+Sheele!H15&amp;" o daño = nivel fracaso."</f>
        <v>A voluntad, solo vulnerable a energía o frío. En contacto RF 70 o daño = nivel fracaso.</v>
      </c>
      <c r="M141" s="5245"/>
      <c r="N141" s="5245"/>
      <c r="O141" s="5245"/>
      <c r="P141" s="5245"/>
      <c r="Q141" s="5245"/>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59" t="s">
        <v>3282</v>
      </c>
      <c r="M142" s="5245"/>
      <c r="N142" s="5245"/>
      <c r="O142" s="5245"/>
      <c r="P142" s="5245"/>
      <c r="Q142" s="5245"/>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60" t="s">
        <v>3284</v>
      </c>
      <c r="M143" s="5258"/>
      <c r="N143" s="5258"/>
      <c r="O143" s="5258"/>
      <c r="P143" s="5258"/>
      <c r="Q143" s="5258"/>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56" t="s">
        <v>1866</v>
      </c>
      <c r="M144" s="5256"/>
      <c r="N144" s="5256"/>
      <c r="O144" s="5256"/>
      <c r="P144" s="5256"/>
      <c r="Q144" s="5256"/>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45" t="s">
        <v>3286</v>
      </c>
      <c r="M145" s="5245"/>
      <c r="N145" s="5245"/>
      <c r="O145" s="5245"/>
      <c r="P145" s="5245"/>
      <c r="Q145" s="5245"/>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45" t="str">
        <f>"Ataque automático  25m. RM "&amp;Sheele!N21*2+Sheele!H15&amp;" o -50 turno y x0.5 movimiento"</f>
        <v>Ataque automático  25m. RM 70 o -50 turno y x0.5 movimiento</v>
      </c>
      <c r="M146" s="5245"/>
      <c r="N146" s="5245"/>
      <c r="O146" s="5245"/>
      <c r="P146" s="5245"/>
      <c r="Q146" s="5245"/>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45" t="s">
        <v>3289</v>
      </c>
      <c r="M147" s="5245"/>
      <c r="N147" s="5245"/>
      <c r="O147" s="5245"/>
      <c r="P147" s="5245"/>
      <c r="Q147" s="5245"/>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45" t="str">
        <f>"Area "&amp;Sheele!N21*2&amp;"m. Construcciones e individuos sobre el suelo control de AGI "&amp;Sheele!E12*2&amp;" o derribados"</f>
        <v>Area 60m. Construcciones e individuos sobre el suelo control de AGI 4 o derribados</v>
      </c>
      <c r="M148" s="5245"/>
      <c r="N148" s="5245"/>
      <c r="O148" s="5245"/>
      <c r="P148" s="5245"/>
      <c r="Q148" s="5245"/>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59" t="s">
        <v>3292</v>
      </c>
      <c r="M149" s="5245"/>
      <c r="N149" s="5245"/>
      <c r="O149" s="5245"/>
      <c r="P149" s="5245"/>
      <c r="Q149" s="5245"/>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45" t="s">
        <v>3294</v>
      </c>
      <c r="M150" s="5245"/>
      <c r="N150" s="5245"/>
      <c r="O150" s="5245"/>
      <c r="P150" s="5245"/>
      <c r="Q150" s="5245"/>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45" t="str">
        <f>"Ataque 100m. De lograr daño, Control FUE "&amp;Sheele!E12+Sheele!E15+Sheele!E16&amp;" -1 por TA CON. 10 daño/fallo (50 a acumulación)"</f>
        <v>Ataque 100m. De lograr daño, Control FUE 16 -1 por TA CON. 10 daño/fallo (50 a acumulación)</v>
      </c>
      <c r="M151" s="5245"/>
      <c r="N151" s="5245"/>
      <c r="O151" s="5245"/>
      <c r="P151" s="5245"/>
      <c r="Q151" s="5245"/>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59" t="s">
        <v>3249</v>
      </c>
      <c r="M152" s="5245"/>
      <c r="N152" s="5245"/>
      <c r="O152" s="5245"/>
      <c r="P152" s="5245"/>
      <c r="Q152" s="5245"/>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45" t="str">
        <f>"Movimiento subterráneo de Tipo "&amp;Sheele!L31</f>
        <v>Movimiento subterráneo de Tipo 8</v>
      </c>
      <c r="M153" s="5245"/>
      <c r="N153" s="5245"/>
      <c r="O153" s="5245"/>
      <c r="P153" s="5245"/>
      <c r="Q153" s="5245"/>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58" t="s">
        <v>3298</v>
      </c>
      <c r="M154" s="5258"/>
      <c r="N154" s="5258"/>
      <c r="O154" s="5258"/>
      <c r="P154" s="5258"/>
      <c r="Q154" s="5258"/>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56" t="s">
        <v>1866</v>
      </c>
      <c r="M155" s="5256"/>
      <c r="N155" s="5256"/>
      <c r="O155" s="5256"/>
      <c r="P155" s="5256"/>
      <c r="Q155" s="5256"/>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45" t="str">
        <f>"Crea "&amp;Sheele!G15&amp;" proyectiles durante máximo "&amp;Sheele!G16&amp;" asaltos. Máximo "&amp;ROUNDDOWN(Sheele!G11/2,0)&amp;" ataques/ turno. Ataca en ENE."</f>
        <v>Crea 8 proyectiles durante máximo 6 asaltos. Máximo 4 ataques/ turno. Ataca en ENE.</v>
      </c>
      <c r="M156" s="5245"/>
      <c r="N156" s="5245"/>
      <c r="O156" s="5245"/>
      <c r="P156" s="5245"/>
      <c r="Q156" s="5245"/>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45" t="str">
        <f>"Ataque ENE. +15 Proy cada asalto que lo prepare, máximo "&amp;Sheele!G15&amp;" asaltos."</f>
        <v>Ataque ENE. +15 Proy cada asalto que lo prepare, máximo 8 asaltos.</v>
      </c>
      <c r="M157" s="5245"/>
      <c r="N157" s="5245"/>
      <c r="O157" s="5245"/>
      <c r="P157" s="5245"/>
      <c r="Q157" s="5245"/>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45" t="str">
        <f>"5 asaltos. +"&amp;Sheele!H15*2&amp;" a toda acción y al ACT transferible. Después, -50 ata (10/ asalto)"</f>
        <v>5 asaltos. +20 a toda acción y al ACT transferible. Después, -50 ata (10/ asalto)</v>
      </c>
      <c r="M158" s="5245"/>
      <c r="N158" s="5245"/>
      <c r="O158" s="5245"/>
      <c r="P158" s="5245"/>
      <c r="Q158" s="5245"/>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45" t="str">
        <f>"Cura "&amp;Sheele!N21&amp;" PV o elimina penalizadores por el mismo valor. 1 uso/ persona/ día."</f>
        <v>Cura 30 PV o elimina penalizadores por el mismo valor. 1 uso/ persona/ día.</v>
      </c>
      <c r="M159" s="5245"/>
      <c r="N159" s="5245"/>
      <c r="O159" s="5245"/>
      <c r="P159" s="5245"/>
      <c r="Q159" s="5245"/>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45" t="s">
        <v>3303</v>
      </c>
      <c r="M160" s="5245"/>
      <c r="N160" s="5245"/>
      <c r="O160" s="5245"/>
      <c r="P160" s="5245"/>
      <c r="Q160" s="5245"/>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59" t="s">
        <v>3304</v>
      </c>
      <c r="M161" s="5245"/>
      <c r="N161" s="5245"/>
      <c r="O161" s="5245"/>
      <c r="P161" s="5245"/>
      <c r="Q161" s="5245"/>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59" t="s">
        <v>3306</v>
      </c>
      <c r="M162" s="5245"/>
      <c r="N162" s="5245"/>
      <c r="O162" s="5245"/>
      <c r="P162" s="5245"/>
      <c r="Q162" s="5245"/>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59" t="s">
        <v>3249</v>
      </c>
      <c r="M163" s="5245"/>
      <c r="N163" s="5245"/>
      <c r="O163" s="5245"/>
      <c r="P163" s="5245"/>
      <c r="Q163" s="5245"/>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45" t="str">
        <f>"A voluntad. inmune a los ataques físicos. Puede cegar 1 turno por cada 10 de fallo en RM "&amp;Sheele!N21*2+Sheele!H15</f>
        <v>A voluntad. inmune a los ataques físicos. Puede cegar 1 turno por cada 10 de fallo en RM 70</v>
      </c>
      <c r="M164" s="5245"/>
      <c r="N164" s="5245"/>
      <c r="O164" s="5245"/>
      <c r="P164" s="5245"/>
      <c r="Q164" s="5245"/>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60" t="s">
        <v>3309</v>
      </c>
      <c r="M165" s="5258"/>
      <c r="N165" s="5258"/>
      <c r="O165" s="5258"/>
      <c r="P165" s="5258"/>
      <c r="Q165" s="5258"/>
      <c r="R165" s="1944" t="s">
        <v>1769</v>
      </c>
    </row>
    <row r="166" spans="2:18" x14ac:dyDescent="0.2">
      <c r="B166" s="1935">
        <f t="shared" si="1"/>
        <v>0</v>
      </c>
      <c r="C166" s="1936" t="s">
        <v>3161</v>
      </c>
      <c r="D166" s="673"/>
      <c r="E166" s="673"/>
      <c r="F166" s="665"/>
      <c r="G166" s="670"/>
      <c r="H166" s="669"/>
      <c r="I166" s="674" t="s">
        <v>3234</v>
      </c>
      <c r="J166" s="667" t="s">
        <v>3235</v>
      </c>
      <c r="K166" s="666" t="s">
        <v>1891</v>
      </c>
      <c r="L166" s="5256" t="s">
        <v>1866</v>
      </c>
      <c r="M166" s="5256"/>
      <c r="N166" s="5256"/>
      <c r="O166" s="5256"/>
      <c r="P166" s="5256"/>
      <c r="Q166" s="5256"/>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61" t="s">
        <v>3311</v>
      </c>
      <c r="M167" s="5262"/>
      <c r="N167" s="5262"/>
      <c r="O167" s="5262"/>
      <c r="P167" s="5262"/>
      <c r="Q167" s="5262"/>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45" t="s">
        <v>3313</v>
      </c>
      <c r="M168" s="5245"/>
      <c r="N168" s="5245"/>
      <c r="O168" s="5245"/>
      <c r="P168" s="5245"/>
      <c r="Q168" s="5245"/>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45" t="str">
        <f>"Defensa. RM "&amp;Sheele!N21*2+Sheele!H15&amp;" (Pres·2+ POD) o -50 a toda acción que se recupera a 10/asalto"</f>
        <v>Defensa. RM 70 (Pres·2+ POD) o -50 a toda acción que se recupera a 10/asalto</v>
      </c>
      <c r="M169" s="5245"/>
      <c r="N169" s="5245"/>
      <c r="O169" s="5245"/>
      <c r="P169" s="5245"/>
      <c r="Q169" s="5245"/>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45" t="s">
        <v>3316</v>
      </c>
      <c r="M170" s="5245"/>
      <c r="N170" s="5245"/>
      <c r="O170" s="5245"/>
      <c r="P170" s="5245"/>
      <c r="Q170" s="5245"/>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45" t="str">
        <f>"Un blanco a 50m. RM "&amp;Sheele!N21*2&amp;" (Pres·2) o sufre -"&amp;Sheele!H15*2&amp;" (POD·2) a toda acción."</f>
        <v>Un blanco a 50m. RM 60 (Pres·2) o sufre -20 (POD·2) a toda acción.</v>
      </c>
      <c r="M171" s="5245"/>
      <c r="N171" s="5245"/>
      <c r="O171" s="5245"/>
      <c r="P171" s="5245"/>
      <c r="Q171" s="5245"/>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45" t="str">
        <f>"5 asaltos. +"&amp;Sheele!H15*2&amp;" (POD·2) ATA y al ACT trasferible. Al finalizar, -50 ATA (-10/asalto)"</f>
        <v>5 asaltos. +20 (POD·2) ATA y al ACT trasferible. Al finalizar, -50 ATA (-10/asalto)</v>
      </c>
      <c r="M172" s="5245"/>
      <c r="N172" s="5245"/>
      <c r="O172" s="5245"/>
      <c r="P172" s="5245"/>
      <c r="Q172" s="5245"/>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45" t="str">
        <f>"Objetivo durmiendo. RM "&amp;Sheele!N21*2+Sheele!H15&amp;" (Pres·2+ POD) o malos sueños. En la Vigilia es más potente"</f>
        <v>Objetivo durmiendo. RM 70 (Pres·2+ POD) o malos sueños. En la Vigilia es más potente</v>
      </c>
      <c r="M173" s="5245"/>
      <c r="N173" s="5245"/>
      <c r="O173" s="5245"/>
      <c r="P173" s="5245"/>
      <c r="Q173" s="5245"/>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45" t="s">
        <v>3321</v>
      </c>
      <c r="M174" s="5245"/>
      <c r="N174" s="5245"/>
      <c r="O174" s="5245"/>
      <c r="P174" s="5245"/>
      <c r="Q174" s="5245"/>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59" t="s">
        <v>3249</v>
      </c>
      <c r="M175" s="5245"/>
      <c r="N175" s="5245"/>
      <c r="O175" s="5245"/>
      <c r="P175" s="5245"/>
      <c r="Q175" s="5245"/>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58" t="str">
        <f>"Puede atacar y defender usando su proyección. Daño base "&amp;Sheele!N21+Sheele!H12</f>
        <v>Puede atacar y defender usando su proyección. Daño base 10</v>
      </c>
      <c r="M176" s="5258"/>
      <c r="N176" s="5258"/>
      <c r="O176" s="5258"/>
      <c r="P176" s="5258"/>
      <c r="Q176" s="5258"/>
      <c r="R176" s="1944"/>
    </row>
    <row r="177" spans="2:18" x14ac:dyDescent="0.2">
      <c r="B177" s="659">
        <f t="shared" si="1"/>
        <v>0</v>
      </c>
      <c r="C177" s="1936" t="s">
        <v>3166</v>
      </c>
      <c r="D177" s="673"/>
      <c r="E177" s="673"/>
      <c r="F177" s="665"/>
      <c r="G177" s="670"/>
      <c r="H177" s="669"/>
      <c r="I177" s="674" t="s">
        <v>3234</v>
      </c>
      <c r="J177" s="667" t="s">
        <v>3235</v>
      </c>
      <c r="K177" s="666" t="s">
        <v>1891</v>
      </c>
      <c r="L177" s="5256" t="s">
        <v>1866</v>
      </c>
      <c r="M177" s="5256"/>
      <c r="N177" s="5256"/>
      <c r="O177" s="5256"/>
      <c r="P177" s="5256"/>
      <c r="Q177" s="5256"/>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45" t="str">
        <f>"Ataque de presa de FUE "&amp;Sheele!G15&amp;". Se puede mantener pagando el coste de zeon."</f>
        <v>Ataque de presa de FUE 8. Se puede mantener pagando el coste de zeon.</v>
      </c>
      <c r="M178" s="5245"/>
      <c r="N178" s="5245"/>
      <c r="O178" s="5245"/>
      <c r="P178" s="5245"/>
      <c r="Q178" s="5245"/>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45" t="str">
        <f>"Escudo de aguante "&amp;10*Sheele!N21&amp;", que dura máximo "&amp;Sheele!G16&amp;" asaltos."</f>
        <v>Escudo de aguante 300, que dura máximo 6 asaltos.</v>
      </c>
      <c r="M179" s="5245"/>
      <c r="N179" s="5245"/>
      <c r="O179" s="5245"/>
      <c r="P179" s="5245"/>
      <c r="Q179" s="5245"/>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45" t="s">
        <v>3327</v>
      </c>
      <c r="M180" s="5245"/>
      <c r="N180" s="5245"/>
      <c r="O180" s="5245"/>
      <c r="P180" s="5245"/>
      <c r="Q180" s="5245"/>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45" t="str">
        <f>"Cura "&amp;Sheele!N21*2&amp;" PV. 1 uso/ persona/ día."</f>
        <v>Cura 60 PV. 1 uso/ persona/ día.</v>
      </c>
      <c r="M181" s="5245"/>
      <c r="N181" s="5245"/>
      <c r="O181" s="5245"/>
      <c r="P181" s="5245"/>
      <c r="Q181" s="5245"/>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45" t="s">
        <v>3329</v>
      </c>
      <c r="M182" s="5245"/>
      <c r="N182" s="5245"/>
      <c r="O182" s="5245"/>
      <c r="P182" s="5245"/>
      <c r="Q182" s="5245"/>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59" t="s">
        <v>3331</v>
      </c>
      <c r="M183" s="5245"/>
      <c r="N183" s="5245"/>
      <c r="O183" s="5245"/>
      <c r="P183" s="5245"/>
      <c r="Q183" s="5245"/>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45" t="s">
        <v>3333</v>
      </c>
      <c r="M184" s="5245"/>
      <c r="N184" s="5245"/>
      <c r="O184" s="5245"/>
      <c r="P184" s="5245"/>
      <c r="Q184" s="5245"/>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59" t="s">
        <v>3249</v>
      </c>
      <c r="M185" s="5245"/>
      <c r="N185" s="5245"/>
      <c r="O185" s="5245"/>
      <c r="P185" s="5245"/>
      <c r="Q185" s="5245"/>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45" t="s">
        <v>3335</v>
      </c>
      <c r="M186" s="5245"/>
      <c r="N186" s="5245"/>
      <c r="O186" s="5245"/>
      <c r="P186" s="5245"/>
      <c r="Q186" s="5245"/>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60" t="s">
        <v>3337</v>
      </c>
      <c r="M187" s="5258"/>
      <c r="N187" s="5258"/>
      <c r="O187" s="5258"/>
      <c r="P187" s="5258"/>
      <c r="Q187" s="5258"/>
      <c r="R187" s="1944" t="s">
        <v>1769</v>
      </c>
    </row>
    <row r="188" spans="2:18" x14ac:dyDescent="0.2">
      <c r="B188" s="659">
        <f t="shared" si="1"/>
        <v>0</v>
      </c>
      <c r="C188" s="1936" t="s">
        <v>3170</v>
      </c>
      <c r="D188" s="673"/>
      <c r="E188" s="673"/>
      <c r="F188" s="665"/>
      <c r="G188" s="670"/>
      <c r="H188" s="669"/>
      <c r="I188" s="674" t="s">
        <v>3234</v>
      </c>
      <c r="J188" s="667" t="s">
        <v>3235</v>
      </c>
      <c r="K188" s="666" t="s">
        <v>1891</v>
      </c>
      <c r="L188" s="5256" t="s">
        <v>1866</v>
      </c>
      <c r="M188" s="5256"/>
      <c r="N188" s="5256"/>
      <c r="O188" s="5256"/>
      <c r="P188" s="5256"/>
      <c r="Q188" s="5256"/>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45" t="s">
        <v>3339</v>
      </c>
      <c r="M189" s="5245"/>
      <c r="N189" s="5245"/>
      <c r="O189" s="5245"/>
      <c r="P189" s="5245"/>
      <c r="Q189" s="5245"/>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45" t="s">
        <v>3341</v>
      </c>
      <c r="M190" s="5245"/>
      <c r="N190" s="5245"/>
      <c r="O190" s="5245"/>
      <c r="P190" s="5245"/>
      <c r="Q190" s="5245"/>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45" t="s">
        <v>3343</v>
      </c>
      <c r="M191" s="5245"/>
      <c r="N191" s="5245"/>
      <c r="O191" s="5245"/>
      <c r="P191" s="5245"/>
      <c r="Q191" s="5245"/>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45" t="str">
        <f>"Area automática 25m. RM "&amp;Sheele!N21*2+Sheele!H15&amp;" o -[fracaso] a hab. perceptivas y -0.5*[fracaso] ata."</f>
        <v>Area automática 25m. RM 70 o -[fracaso] a hab. perceptivas y -0.5*[fracaso] ata.</v>
      </c>
      <c r="M192" s="5245"/>
      <c r="N192" s="5245"/>
      <c r="O192" s="5245"/>
      <c r="P192" s="5245"/>
      <c r="Q192" s="5245"/>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45" t="s">
        <v>3346</v>
      </c>
      <c r="M193" s="5245"/>
      <c r="N193" s="5245"/>
      <c r="O193" s="5245"/>
      <c r="P193" s="5245"/>
      <c r="Q193" s="5245"/>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59" t="s">
        <v>3348</v>
      </c>
      <c r="M194" s="5245"/>
      <c r="N194" s="5245"/>
      <c r="O194" s="5245"/>
      <c r="P194" s="5245"/>
      <c r="Q194" s="5245"/>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45" t="str">
        <f>"Defensa. Crea "&amp;Sheele!G15&amp;" copias. Se desvanece 1/ turno y 1/ defensa. Area las destruye todas."</f>
        <v>Defensa. Crea 8 copias. Se desvanece 1/ turno y 1/ defensa. Area las destruye todas.</v>
      </c>
      <c r="M195" s="5245"/>
      <c r="N195" s="5245"/>
      <c r="O195" s="5245"/>
      <c r="P195" s="5245"/>
      <c r="Q195" s="5245"/>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45" t="s">
        <v>3351</v>
      </c>
      <c r="M196" s="5245"/>
      <c r="N196" s="5245"/>
      <c r="O196" s="5245"/>
      <c r="P196" s="5245"/>
      <c r="Q196" s="5245"/>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59" t="s">
        <v>3249</v>
      </c>
      <c r="M197" s="5245"/>
      <c r="N197" s="5245"/>
      <c r="O197" s="5245"/>
      <c r="P197" s="5245"/>
      <c r="Q197" s="5245"/>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73" t="str">
        <f>"Solo vulnerable a destrucción de sortilegios. Grado Base, valor zeonico "&amp;Sheele!P29</f>
        <v>Solo vulnerable a destrucción de sortilegios. Grado Base, valor zeonico 60</v>
      </c>
      <c r="M198" s="5273"/>
      <c r="N198" s="5273"/>
      <c r="O198" s="5273"/>
      <c r="P198" s="5273"/>
      <c r="Q198" s="5273"/>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85" t="s">
        <v>3355</v>
      </c>
      <c r="C201" s="5286"/>
      <c r="D201" s="5286"/>
      <c r="E201" s="5286"/>
      <c r="F201" s="5286"/>
      <c r="G201" s="5286"/>
      <c r="H201" s="5286"/>
      <c r="I201" s="5286"/>
      <c r="J201" s="5286"/>
      <c r="K201" s="5286"/>
      <c r="L201" s="5286"/>
      <c r="M201" s="5287"/>
    </row>
    <row r="202" spans="2:18" x14ac:dyDescent="0.2">
      <c r="B202" s="5288"/>
      <c r="C202" s="5289"/>
      <c r="D202" s="5289"/>
      <c r="E202" s="5289"/>
      <c r="F202" s="5289"/>
      <c r="G202" s="5289"/>
      <c r="H202" s="5289"/>
      <c r="I202" s="5289"/>
      <c r="J202" s="5289"/>
      <c r="K202" s="5289"/>
      <c r="L202" s="5289"/>
      <c r="M202" s="5290"/>
    </row>
    <row r="203" spans="2:18" x14ac:dyDescent="0.2">
      <c r="B203" s="1453"/>
      <c r="C203" s="1360">
        <v>1</v>
      </c>
      <c r="D203" s="1360">
        <v>2</v>
      </c>
      <c r="E203" s="1360">
        <v>3</v>
      </c>
      <c r="F203" s="1360">
        <v>4</v>
      </c>
      <c r="G203" s="1360">
        <v>5</v>
      </c>
      <c r="H203" s="1360">
        <v>6</v>
      </c>
      <c r="I203" s="1360">
        <v>7</v>
      </c>
      <c r="J203" s="1360">
        <v>8</v>
      </c>
      <c r="K203" s="1450" t="s">
        <v>8174</v>
      </c>
      <c r="L203" s="5267" t="s">
        <v>3356</v>
      </c>
      <c r="M203" s="5268"/>
    </row>
    <row r="204" spans="2:18" x14ac:dyDescent="0.2">
      <c r="B204" s="1449"/>
      <c r="C204" s="5265" t="s">
        <v>1931</v>
      </c>
      <c r="D204" s="5266"/>
      <c r="E204" s="1452" t="str">
        <f t="array" ref="E204:H204">TRANSPOSE(C205:D208)</f>
        <v>Vuelo Místico 10</v>
      </c>
      <c r="F204" s="1452" t="str">
        <v>Movimiento Defensivo</v>
      </c>
      <c r="G204" s="1452" t="str">
        <v xml:space="preserve"> </v>
      </c>
      <c r="H204" s="1452" t="str">
        <v xml:space="preserve"> </v>
      </c>
      <c r="I204" s="1451"/>
      <c r="J204" s="1448"/>
      <c r="K204" s="1443"/>
      <c r="L204" s="5269"/>
      <c r="M204" s="5270"/>
    </row>
    <row r="205" spans="2:18" x14ac:dyDescent="0.2">
      <c r="B205" s="675"/>
      <c r="C205" s="5263" t="s">
        <v>3357</v>
      </c>
      <c r="D205" s="5264"/>
      <c r="E205" s="5275" t="s">
        <v>3358</v>
      </c>
      <c r="F205" s="5275"/>
      <c r="G205" s="5275"/>
      <c r="H205" s="5275"/>
      <c r="I205" s="5275"/>
      <c r="J205" s="5275"/>
      <c r="K205" s="658" t="s">
        <v>1769</v>
      </c>
      <c r="L205" s="5271">
        <v>10</v>
      </c>
      <c r="M205" s="5272"/>
    </row>
    <row r="206" spans="2:18" x14ac:dyDescent="0.2">
      <c r="B206" s="675"/>
      <c r="C206" s="5263" t="s">
        <v>3359</v>
      </c>
      <c r="D206" s="5264"/>
      <c r="E206" s="5275" t="s">
        <v>3360</v>
      </c>
      <c r="F206" s="5276"/>
      <c r="G206" s="5276"/>
      <c r="H206" s="5276"/>
      <c r="I206" s="5276"/>
      <c r="J206" s="5276"/>
      <c r="K206" s="658" t="s">
        <v>1769</v>
      </c>
      <c r="L206" s="5271"/>
      <c r="M206" s="5272"/>
    </row>
    <row r="207" spans="2:18" x14ac:dyDescent="0.2">
      <c r="B207" s="623"/>
      <c r="C207" s="5244" t="s">
        <v>3361</v>
      </c>
      <c r="D207" s="5274"/>
      <c r="E207" s="5275"/>
      <c r="F207" s="5276"/>
      <c r="G207" s="5276"/>
      <c r="H207" s="5276"/>
      <c r="I207" s="5276"/>
      <c r="J207" s="5276"/>
      <c r="K207" s="658"/>
      <c r="L207" s="5244"/>
      <c r="M207" s="5279"/>
    </row>
    <row r="208" spans="2:18" x14ac:dyDescent="0.2">
      <c r="B208" s="623"/>
      <c r="C208" s="5244" t="s">
        <v>3361</v>
      </c>
      <c r="D208" s="5274"/>
      <c r="E208" s="5275"/>
      <c r="F208" s="5276"/>
      <c r="G208" s="5276"/>
      <c r="H208" s="5276"/>
      <c r="I208" s="5276"/>
      <c r="J208" s="5276"/>
      <c r="K208" s="658"/>
      <c r="L208" s="5244"/>
      <c r="M208" s="5279"/>
    </row>
    <row r="209" spans="2:13" x14ac:dyDescent="0.2">
      <c r="B209" s="1449"/>
      <c r="C209" s="5265" t="s">
        <v>1934</v>
      </c>
      <c r="D209" s="5266"/>
      <c r="E209" s="1452" t="str">
        <f t="array" ref="E209:H209">TRANSPOSE(C210:D213)</f>
        <v>Vuelo Místico 4</v>
      </c>
      <c r="F209" s="1452" t="str">
        <v>Movimiento Acuático</v>
      </c>
      <c r="G209" s="1452" t="str">
        <v>Respiración Acuática</v>
      </c>
      <c r="H209" s="1452" t="str">
        <v>Resistencia Física</v>
      </c>
      <c r="I209" s="1447"/>
      <c r="J209" s="1448"/>
      <c r="K209" s="1446"/>
      <c r="L209" s="5277"/>
      <c r="M209" s="5278"/>
    </row>
    <row r="210" spans="2:13" x14ac:dyDescent="0.2">
      <c r="B210" s="675"/>
      <c r="C210" s="5263" t="s">
        <v>3362</v>
      </c>
      <c r="D210" s="5264"/>
      <c r="E210" s="5275" t="s">
        <v>3363</v>
      </c>
      <c r="F210" s="5275"/>
      <c r="G210" s="5275"/>
      <c r="H210" s="5275"/>
      <c r="I210" s="5275"/>
      <c r="J210" s="5275"/>
      <c r="K210" s="658" t="s">
        <v>1769</v>
      </c>
      <c r="L210" s="5271">
        <v>4</v>
      </c>
      <c r="M210" s="5272"/>
    </row>
    <row r="211" spans="2:13" x14ac:dyDescent="0.2">
      <c r="B211" s="675"/>
      <c r="C211" s="5263" t="s">
        <v>3364</v>
      </c>
      <c r="D211" s="5264"/>
      <c r="E211" s="5275" t="s">
        <v>3365</v>
      </c>
      <c r="F211" s="5276"/>
      <c r="G211" s="5276"/>
      <c r="H211" s="5276"/>
      <c r="I211" s="5276"/>
      <c r="J211" s="5276"/>
      <c r="K211" s="658" t="s">
        <v>1769</v>
      </c>
      <c r="L211" s="5271"/>
      <c r="M211" s="5272"/>
    </row>
    <row r="212" spans="2:13" x14ac:dyDescent="0.2">
      <c r="B212" s="623"/>
      <c r="C212" s="5244" t="s">
        <v>3366</v>
      </c>
      <c r="D212" s="5274"/>
      <c r="E212" s="5275" t="s">
        <v>3367</v>
      </c>
      <c r="F212" s="5276"/>
      <c r="G212" s="5276"/>
      <c r="H212" s="5276"/>
      <c r="I212" s="5276"/>
      <c r="J212" s="5276"/>
      <c r="K212" s="658" t="s">
        <v>1769</v>
      </c>
      <c r="L212" s="5271"/>
      <c r="M212" s="5272"/>
    </row>
    <row r="213" spans="2:13" x14ac:dyDescent="0.2">
      <c r="B213" s="623"/>
      <c r="C213" s="5244" t="s">
        <v>3368</v>
      </c>
      <c r="D213" s="5274"/>
      <c r="E213" s="5275" t="s">
        <v>3369</v>
      </c>
      <c r="F213" s="5276"/>
      <c r="G213" s="5276"/>
      <c r="H213" s="5276"/>
      <c r="I213" s="5276"/>
      <c r="J213" s="5276"/>
      <c r="K213" s="658" t="s">
        <v>1769</v>
      </c>
      <c r="L213" s="5271"/>
      <c r="M213" s="5272"/>
    </row>
    <row r="214" spans="2:13" x14ac:dyDescent="0.2">
      <c r="B214" s="1449"/>
      <c r="C214" s="5265" t="s">
        <v>1938</v>
      </c>
      <c r="D214" s="5266"/>
      <c r="E214" s="1452" t="str">
        <f t="array" ref="E214:H214">TRANSPOSE(C215:D218)</f>
        <v>Vuelo Místico 6</v>
      </c>
      <c r="F214" s="1452" t="str">
        <v>Control de Llamas</v>
      </c>
      <c r="G214" s="1452" t="str">
        <v xml:space="preserve"> </v>
      </c>
      <c r="H214" s="1452" t="str">
        <v xml:space="preserve"> </v>
      </c>
      <c r="I214" s="1447"/>
      <c r="J214" s="1448"/>
      <c r="K214" s="1446"/>
      <c r="L214" s="5277"/>
      <c r="M214" s="5278"/>
    </row>
    <row r="215" spans="2:13" x14ac:dyDescent="0.2">
      <c r="B215" s="675"/>
      <c r="C215" s="5263" t="s">
        <v>3370</v>
      </c>
      <c r="D215" s="5264"/>
      <c r="E215" s="5275" t="s">
        <v>3371</v>
      </c>
      <c r="F215" s="5275"/>
      <c r="G215" s="5275"/>
      <c r="H215" s="5275"/>
      <c r="I215" s="5275"/>
      <c r="J215" s="5275"/>
      <c r="K215" s="658" t="s">
        <v>1769</v>
      </c>
      <c r="L215" s="5271">
        <v>6</v>
      </c>
      <c r="M215" s="5272"/>
    </row>
    <row r="216" spans="2:13" x14ac:dyDescent="0.2">
      <c r="B216" s="675"/>
      <c r="C216" s="5263" t="s">
        <v>3372</v>
      </c>
      <c r="D216" s="5264"/>
      <c r="E216" s="5275" t="str">
        <f>"Controlar llamas de intensidades no superiores a "&amp;Sheele!G15/2&amp;". Puede atacar con ellas."</f>
        <v>Controlar llamas de intensidades no superiores a 4. Puede atacar con ellas.</v>
      </c>
      <c r="F216" s="5276"/>
      <c r="G216" s="5276"/>
      <c r="H216" s="5276"/>
      <c r="I216" s="5276"/>
      <c r="J216" s="5276"/>
      <c r="K216" s="658" t="s">
        <v>1769</v>
      </c>
      <c r="L216" s="5271"/>
      <c r="M216" s="5272"/>
    </row>
    <row r="217" spans="2:13" x14ac:dyDescent="0.2">
      <c r="B217" s="623"/>
      <c r="C217" s="5244" t="s">
        <v>3361</v>
      </c>
      <c r="D217" s="5274"/>
      <c r="E217" s="5275"/>
      <c r="F217" s="5276"/>
      <c r="G217" s="5276"/>
      <c r="H217" s="5276"/>
      <c r="I217" s="5276"/>
      <c r="J217" s="5276"/>
      <c r="K217" s="658"/>
      <c r="L217" s="5244"/>
      <c r="M217" s="5279"/>
    </row>
    <row r="218" spans="2:13" x14ac:dyDescent="0.2">
      <c r="B218" s="623"/>
      <c r="C218" s="5244" t="s">
        <v>3361</v>
      </c>
      <c r="D218" s="5274"/>
      <c r="E218" s="5275"/>
      <c r="F218" s="5276"/>
      <c r="G218" s="5276"/>
      <c r="H218" s="5276"/>
      <c r="I218" s="5276"/>
      <c r="J218" s="5276"/>
      <c r="K218" s="658"/>
      <c r="L218" s="5244"/>
      <c r="M218" s="5279"/>
    </row>
    <row r="219" spans="2:13" x14ac:dyDescent="0.2">
      <c r="B219" s="1449"/>
      <c r="C219" s="5265" t="s">
        <v>2034</v>
      </c>
      <c r="D219" s="5266"/>
      <c r="E219" s="1452" t="str">
        <f t="array" ref="E219:H219">TRANSPOSE(C220:D223)</f>
        <v>Vuelo Místico 4</v>
      </c>
      <c r="F219" s="1452" t="str">
        <v>Resistencia</v>
      </c>
      <c r="G219" s="1452" t="str">
        <v xml:space="preserve"> </v>
      </c>
      <c r="H219" s="1452" t="str">
        <v xml:space="preserve"> </v>
      </c>
      <c r="I219" s="1447"/>
      <c r="J219" s="1448"/>
      <c r="K219" s="1446"/>
      <c r="L219" s="5277"/>
      <c r="M219" s="5278"/>
    </row>
    <row r="220" spans="2:13" x14ac:dyDescent="0.2">
      <c r="B220" s="675"/>
      <c r="C220" s="5263" t="s">
        <v>3362</v>
      </c>
      <c r="D220" s="5264"/>
      <c r="E220" s="5275" t="s">
        <v>3363</v>
      </c>
      <c r="F220" s="5275"/>
      <c r="G220" s="5275"/>
      <c r="H220" s="5275"/>
      <c r="I220" s="5275"/>
      <c r="J220" s="5275"/>
      <c r="K220" s="658" t="s">
        <v>1769</v>
      </c>
      <c r="L220" s="5271">
        <v>4</v>
      </c>
      <c r="M220" s="5272"/>
    </row>
    <row r="221" spans="2:13" x14ac:dyDescent="0.2">
      <c r="B221" s="675"/>
      <c r="C221" s="5263" t="s">
        <v>3308</v>
      </c>
      <c r="D221" s="5264"/>
      <c r="E221" s="5275" t="s">
        <v>3373</v>
      </c>
      <c r="F221" s="5276"/>
      <c r="G221" s="5276"/>
      <c r="H221" s="5276"/>
      <c r="I221" s="5276"/>
      <c r="J221" s="5276"/>
      <c r="K221" s="658" t="s">
        <v>1769</v>
      </c>
      <c r="L221" s="5271"/>
      <c r="M221" s="5272"/>
    </row>
    <row r="222" spans="2:13" x14ac:dyDescent="0.2">
      <c r="B222" s="623"/>
      <c r="C222" s="5244" t="s">
        <v>3361</v>
      </c>
      <c r="D222" s="5274"/>
      <c r="E222" s="5275"/>
      <c r="F222" s="5276"/>
      <c r="G222" s="5276"/>
      <c r="H222" s="5276"/>
      <c r="I222" s="5276"/>
      <c r="J222" s="5276"/>
      <c r="K222" s="658"/>
      <c r="L222" s="5244"/>
      <c r="M222" s="5279"/>
    </row>
    <row r="223" spans="2:13" x14ac:dyDescent="0.2">
      <c r="B223" s="623"/>
      <c r="C223" s="5244" t="s">
        <v>3361</v>
      </c>
      <c r="D223" s="5274"/>
      <c r="E223" s="5275"/>
      <c r="F223" s="5276"/>
      <c r="G223" s="5276"/>
      <c r="H223" s="5276"/>
      <c r="I223" s="5276"/>
      <c r="J223" s="5276"/>
      <c r="K223" s="658"/>
      <c r="L223" s="5244"/>
      <c r="M223" s="5279"/>
    </row>
    <row r="224" spans="2:13" x14ac:dyDescent="0.2">
      <c r="B224" s="1449"/>
      <c r="C224" s="5265" t="s">
        <v>2029</v>
      </c>
      <c r="D224" s="5266"/>
      <c r="E224" s="1452" t="str">
        <f t="array" ref="E224:H224">TRANSPOSE(C225:D228)</f>
        <v>Vuelo  Místico 6</v>
      </c>
      <c r="F224" s="1452" t="str">
        <v>Visión de Luz</v>
      </c>
      <c r="G224" s="1452" t="str">
        <v>Luminosa</v>
      </c>
      <c r="H224" s="1452" t="str">
        <v xml:space="preserve"> </v>
      </c>
      <c r="I224" s="1447"/>
      <c r="J224" s="1448"/>
      <c r="K224" s="1446"/>
      <c r="L224" s="5277"/>
      <c r="M224" s="5278"/>
    </row>
    <row r="225" spans="2:13" x14ac:dyDescent="0.2">
      <c r="B225" s="675"/>
      <c r="C225" s="5263" t="s">
        <v>3374</v>
      </c>
      <c r="D225" s="5264"/>
      <c r="E225" s="5275" t="s">
        <v>3371</v>
      </c>
      <c r="F225" s="5275"/>
      <c r="G225" s="5275"/>
      <c r="H225" s="5275"/>
      <c r="I225" s="5275"/>
      <c r="J225" s="5275"/>
      <c r="K225" s="658" t="s">
        <v>1769</v>
      </c>
      <c r="L225" s="5271">
        <v>6</v>
      </c>
      <c r="M225" s="5272"/>
    </row>
    <row r="226" spans="2:13" x14ac:dyDescent="0.2">
      <c r="B226" s="675"/>
      <c r="C226" s="5263" t="s">
        <v>3375</v>
      </c>
      <c r="D226" s="5264"/>
      <c r="E226" s="5275" t="s">
        <v>3376</v>
      </c>
      <c r="F226" s="5276"/>
      <c r="G226" s="5276"/>
      <c r="H226" s="5276"/>
      <c r="I226" s="5276"/>
      <c r="J226" s="5276"/>
      <c r="K226" s="658" t="s">
        <v>1769</v>
      </c>
      <c r="L226" s="5271"/>
      <c r="M226" s="5272"/>
    </row>
    <row r="227" spans="2:13" x14ac:dyDescent="0.2">
      <c r="B227" s="623"/>
      <c r="C227" s="5244" t="s">
        <v>3377</v>
      </c>
      <c r="D227" s="5274"/>
      <c r="E227" s="5275" t="s">
        <v>3378</v>
      </c>
      <c r="F227" s="5276"/>
      <c r="G227" s="5276"/>
      <c r="H227" s="5276"/>
      <c r="I227" s="5276"/>
      <c r="J227" s="5276"/>
      <c r="K227" s="658" t="s">
        <v>1769</v>
      </c>
      <c r="L227" s="5271"/>
      <c r="M227" s="5272"/>
    </row>
    <row r="228" spans="2:13" x14ac:dyDescent="0.2">
      <c r="B228" s="623"/>
      <c r="C228" s="5244" t="s">
        <v>3361</v>
      </c>
      <c r="D228" s="5274"/>
      <c r="E228" s="5275"/>
      <c r="F228" s="5276"/>
      <c r="G228" s="5276"/>
      <c r="H228" s="5276"/>
      <c r="I228" s="5276"/>
      <c r="J228" s="5276"/>
      <c r="K228" s="658"/>
      <c r="L228" s="5244"/>
      <c r="M228" s="5279"/>
    </row>
    <row r="229" spans="2:13" x14ac:dyDescent="0.2">
      <c r="B229" s="1449"/>
      <c r="C229" s="5265" t="s">
        <v>2030</v>
      </c>
      <c r="D229" s="5266"/>
      <c r="E229" s="1452" t="str">
        <f t="array" ref="E229:H229">TRANSPOSE(C230:D233)</f>
        <v>Vuelo Místico 8</v>
      </c>
      <c r="F229" s="1452" t="str">
        <v>Visión oscura</v>
      </c>
      <c r="G229" s="1452" t="str">
        <v>Invisible en la Sombra</v>
      </c>
      <c r="H229" s="1452" t="str">
        <v xml:space="preserve"> </v>
      </c>
      <c r="I229" s="1447"/>
      <c r="J229" s="1448"/>
      <c r="K229" s="1446"/>
      <c r="L229" s="5277"/>
      <c r="M229" s="5278"/>
    </row>
    <row r="230" spans="2:13" x14ac:dyDescent="0.2">
      <c r="B230" s="675"/>
      <c r="C230" s="5263" t="s">
        <v>3379</v>
      </c>
      <c r="D230" s="5264"/>
      <c r="E230" s="5275" t="s">
        <v>3380</v>
      </c>
      <c r="F230" s="5275"/>
      <c r="G230" s="5275"/>
      <c r="H230" s="5275"/>
      <c r="I230" s="5275"/>
      <c r="J230" s="5275"/>
      <c r="K230" s="658" t="s">
        <v>1769</v>
      </c>
      <c r="L230" s="5271">
        <v>8</v>
      </c>
      <c r="M230" s="5272"/>
    </row>
    <row r="231" spans="2:13" x14ac:dyDescent="0.2">
      <c r="B231" s="675"/>
      <c r="C231" s="5263" t="s">
        <v>3381</v>
      </c>
      <c r="D231" s="5264"/>
      <c r="E231" s="5275" t="s">
        <v>3382</v>
      </c>
      <c r="F231" s="5276"/>
      <c r="G231" s="5276"/>
      <c r="H231" s="5276"/>
      <c r="I231" s="5276"/>
      <c r="J231" s="5276"/>
      <c r="K231" s="658" t="s">
        <v>1769</v>
      </c>
      <c r="L231" s="5271"/>
      <c r="M231" s="5272"/>
    </row>
    <row r="232" spans="2:13" x14ac:dyDescent="0.2">
      <c r="B232" s="623"/>
      <c r="C232" s="5244" t="s">
        <v>3383</v>
      </c>
      <c r="D232" s="5274"/>
      <c r="E232" s="5275" t="s">
        <v>3384</v>
      </c>
      <c r="F232" s="5276"/>
      <c r="G232" s="5276"/>
      <c r="H232" s="5276"/>
      <c r="I232" s="5276"/>
      <c r="J232" s="5276"/>
      <c r="K232" s="658" t="s">
        <v>1769</v>
      </c>
      <c r="L232" s="5271"/>
      <c r="M232" s="5272"/>
    </row>
    <row r="233" spans="2:13" x14ac:dyDescent="0.2">
      <c r="B233" s="623"/>
      <c r="C233" s="5244" t="s">
        <v>3361</v>
      </c>
      <c r="D233" s="5274"/>
      <c r="E233" s="5275"/>
      <c r="F233" s="5276"/>
      <c r="G233" s="5276"/>
      <c r="H233" s="5276"/>
      <c r="I233" s="5276"/>
      <c r="J233" s="5276"/>
      <c r="K233" s="658"/>
      <c r="L233" s="5244"/>
      <c r="M233" s="5279"/>
    </row>
    <row r="234" spans="2:13" x14ac:dyDescent="0.2">
      <c r="B234" s="1449"/>
      <c r="C234" s="5265" t="s">
        <v>3165</v>
      </c>
      <c r="D234" s="5266"/>
      <c r="E234" s="1452" t="str">
        <f t="array" ref="E234:H234">TRANSPOSE(C235:D238)</f>
        <v>Vuelo Místico 6</v>
      </c>
      <c r="F234" s="1452" t="str">
        <v>Naturaleza Sanadora</v>
      </c>
      <c r="G234" s="1452" t="str">
        <v xml:space="preserve"> </v>
      </c>
      <c r="H234" s="1452" t="str">
        <v xml:space="preserve"> </v>
      </c>
      <c r="I234" s="1447"/>
      <c r="J234" s="1448"/>
      <c r="K234" s="1446"/>
      <c r="L234" s="5277"/>
      <c r="M234" s="5278"/>
    </row>
    <row r="235" spans="2:13" x14ac:dyDescent="0.2">
      <c r="B235" s="675"/>
      <c r="C235" s="5263" t="s">
        <v>3370</v>
      </c>
      <c r="D235" s="5264"/>
      <c r="E235" s="5275" t="s">
        <v>3371</v>
      </c>
      <c r="F235" s="5275"/>
      <c r="G235" s="5275"/>
      <c r="H235" s="5275"/>
      <c r="I235" s="5275"/>
      <c r="J235" s="5275"/>
      <c r="K235" s="658" t="s">
        <v>1769</v>
      </c>
      <c r="L235" s="5271">
        <v>6</v>
      </c>
      <c r="M235" s="5272"/>
    </row>
    <row r="236" spans="2:13" x14ac:dyDescent="0.2">
      <c r="B236" s="675"/>
      <c r="C236" s="5263" t="s">
        <v>3385</v>
      </c>
      <c r="D236" s="5264"/>
      <c r="E236" s="5275" t="s">
        <v>3386</v>
      </c>
      <c r="F236" s="5276"/>
      <c r="G236" s="5276"/>
      <c r="H236" s="5276"/>
      <c r="I236" s="5276"/>
      <c r="J236" s="5276"/>
      <c r="K236" s="658" t="s">
        <v>1769</v>
      </c>
      <c r="L236" s="5271"/>
      <c r="M236" s="5272"/>
    </row>
    <row r="237" spans="2:13" x14ac:dyDescent="0.2">
      <c r="B237" s="623"/>
      <c r="C237" s="5244" t="s">
        <v>3361</v>
      </c>
      <c r="D237" s="5274"/>
      <c r="E237" s="5275"/>
      <c r="F237" s="5276"/>
      <c r="G237" s="5276"/>
      <c r="H237" s="5276"/>
      <c r="I237" s="5276"/>
      <c r="J237" s="5276"/>
      <c r="K237" s="658"/>
      <c r="L237" s="5244"/>
      <c r="M237" s="5279"/>
    </row>
    <row r="238" spans="2:13" x14ac:dyDescent="0.2">
      <c r="B238" s="623"/>
      <c r="C238" s="5244" t="s">
        <v>3361</v>
      </c>
      <c r="D238" s="5274"/>
      <c r="E238" s="5275"/>
      <c r="F238" s="5276"/>
      <c r="G238" s="5276"/>
      <c r="H238" s="5276"/>
      <c r="I238" s="5276"/>
      <c r="J238" s="5276"/>
      <c r="K238" s="658"/>
      <c r="L238" s="5244"/>
      <c r="M238" s="5279"/>
    </row>
    <row r="239" spans="2:13" x14ac:dyDescent="0.2">
      <c r="B239" s="1449"/>
      <c r="C239" s="5265" t="s">
        <v>2041</v>
      </c>
      <c r="D239" s="5266"/>
      <c r="E239" s="1452" t="str">
        <f t="array" ref="E239:H239">TRANSPOSE(C240:D243)</f>
        <v>Vuelo Místico 6</v>
      </c>
      <c r="F239" s="1452" t="str">
        <v>La que Todo lo Ve</v>
      </c>
      <c r="G239" s="1452" t="str">
        <v>Destellos de Ilusión</v>
      </c>
      <c r="H239" s="1452" t="str">
        <v xml:space="preserve"> </v>
      </c>
      <c r="I239" s="1447"/>
      <c r="J239" s="1448"/>
      <c r="K239" s="1446"/>
      <c r="L239" s="5277"/>
      <c r="M239" s="5278"/>
    </row>
    <row r="240" spans="2:13" x14ac:dyDescent="0.2">
      <c r="B240" s="675"/>
      <c r="C240" s="5263" t="s">
        <v>3370</v>
      </c>
      <c r="D240" s="5264"/>
      <c r="E240" s="5275" t="s">
        <v>3371</v>
      </c>
      <c r="F240" s="5275"/>
      <c r="G240" s="5275"/>
      <c r="H240" s="5275"/>
      <c r="I240" s="5275"/>
      <c r="J240" s="5275"/>
      <c r="K240" s="658" t="s">
        <v>1769</v>
      </c>
      <c r="L240" s="5271">
        <v>6</v>
      </c>
      <c r="M240" s="5272"/>
    </row>
    <row r="241" spans="2:13" x14ac:dyDescent="0.2">
      <c r="B241" s="675"/>
      <c r="C241" s="5263" t="s">
        <v>3387</v>
      </c>
      <c r="D241" s="5264"/>
      <c r="E241" s="5275" t="s">
        <v>3388</v>
      </c>
      <c r="F241" s="5276"/>
      <c r="G241" s="5276"/>
      <c r="H241" s="5276"/>
      <c r="I241" s="5276"/>
      <c r="J241" s="5276"/>
      <c r="K241" s="658" t="s">
        <v>1769</v>
      </c>
      <c r="L241" s="5271"/>
      <c r="M241" s="5272"/>
    </row>
    <row r="242" spans="2:13" x14ac:dyDescent="0.2">
      <c r="B242" s="623"/>
      <c r="C242" s="5244" t="s">
        <v>3389</v>
      </c>
      <c r="D242" s="5274"/>
      <c r="E242" s="5275" t="s">
        <v>3390</v>
      </c>
      <c r="F242" s="5276"/>
      <c r="G242" s="5276"/>
      <c r="H242" s="5276"/>
      <c r="I242" s="5276"/>
      <c r="J242" s="5276"/>
      <c r="K242" s="658" t="s">
        <v>1769</v>
      </c>
      <c r="L242" s="5271"/>
      <c r="M242" s="5272"/>
    </row>
    <row r="243" spans="2:13" ht="13.5" thickBot="1" x14ac:dyDescent="0.25">
      <c r="B243" s="1444"/>
      <c r="C243" s="5282" t="s">
        <v>3361</v>
      </c>
      <c r="D243" s="5283"/>
      <c r="E243" s="5280"/>
      <c r="F243" s="5281"/>
      <c r="G243" s="5281"/>
      <c r="H243" s="5281"/>
      <c r="I243" s="5281"/>
      <c r="J243" s="5281"/>
      <c r="K243" s="1445"/>
      <c r="L243" s="5282"/>
      <c r="M243" s="5284"/>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91" t="s">
        <v>9302</v>
      </c>
      <c r="V3" s="5291"/>
      <c r="W3" s="5291"/>
      <c r="X3" s="5291"/>
      <c r="Y3" s="5291"/>
      <c r="Z3" s="5291"/>
      <c r="AA3" s="5291"/>
      <c r="AB3" s="5291"/>
      <c r="AC3" s="5291"/>
      <c r="AD3" s="5291"/>
      <c r="AE3" s="5291"/>
      <c r="AF3" s="5291"/>
      <c r="AG3" s="5291"/>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91"/>
      <c r="V4" s="5291"/>
      <c r="W4" s="5291"/>
      <c r="X4" s="5291"/>
      <c r="Y4" s="5291"/>
      <c r="Z4" s="5291"/>
      <c r="AA4" s="5291"/>
      <c r="AB4" s="5291"/>
      <c r="AC4" s="5291"/>
      <c r="AD4" s="5291"/>
      <c r="AE4" s="5291"/>
      <c r="AF4" s="5291"/>
      <c r="AG4" s="5291"/>
      <c r="AO4" s="5232"/>
      <c r="AP4" s="5232"/>
      <c r="AQ4" s="1165"/>
      <c r="AR4" s="5232"/>
      <c r="AS4" s="5232"/>
      <c r="AT4" s="1165"/>
      <c r="AU4" s="5232"/>
      <c r="AV4" s="5232"/>
      <c r="AW4" s="1165"/>
      <c r="AX4" s="5232"/>
      <c r="AY4" s="5232"/>
      <c r="AZ4" s="1165"/>
      <c r="BA4" s="5232"/>
      <c r="BB4" s="5232"/>
      <c r="BC4" s="1165"/>
      <c r="BD4" s="5232"/>
      <c r="BE4" s="5232"/>
      <c r="BF4" s="1165"/>
      <c r="BG4" s="1155"/>
      <c r="BH4" s="1155"/>
      <c r="BI4" s="1155"/>
      <c r="BJ4" s="1155"/>
    </row>
    <row r="5" spans="1:62" ht="12.75" customHeight="1" x14ac:dyDescent="0.2">
      <c r="A5" s="2143">
        <v>5</v>
      </c>
      <c r="B5" s="5293"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3" t="s">
        <v>9031</v>
      </c>
      <c r="T5" s="1170"/>
      <c r="U5" s="784"/>
      <c r="V5" s="784">
        <v>1</v>
      </c>
      <c r="W5" s="784">
        <v>2</v>
      </c>
      <c r="X5" s="784">
        <v>3</v>
      </c>
      <c r="Y5" s="784">
        <v>4</v>
      </c>
      <c r="Z5" s="784">
        <v>5</v>
      </c>
      <c r="AA5" s="784">
        <v>6</v>
      </c>
      <c r="AB5" s="784">
        <v>7</v>
      </c>
      <c r="AC5" s="784">
        <v>8</v>
      </c>
      <c r="AD5" s="1163">
        <v>9</v>
      </c>
      <c r="AE5" s="1163">
        <v>10</v>
      </c>
      <c r="AF5" s="1163"/>
      <c r="AG5" s="5292" t="s">
        <v>9304</v>
      </c>
      <c r="AO5" s="5239"/>
      <c r="AP5" s="5239"/>
      <c r="AQ5" s="1170"/>
      <c r="AR5" s="5239"/>
      <c r="AS5" s="5239"/>
      <c r="AT5" s="1170"/>
      <c r="AU5" s="5239"/>
      <c r="AV5" s="5239"/>
      <c r="AW5" s="1170"/>
      <c r="AX5" s="5239"/>
      <c r="AY5" s="5239"/>
      <c r="AZ5" s="1170"/>
      <c r="BA5" s="5239"/>
      <c r="BB5" s="5239"/>
      <c r="BC5" s="1170"/>
      <c r="BD5" s="5239"/>
      <c r="BE5" s="5239"/>
      <c r="BF5" s="1170"/>
      <c r="BG5" s="1155"/>
      <c r="BH5" s="1155"/>
      <c r="BI5" s="1155"/>
      <c r="BJ5" s="1155"/>
    </row>
    <row r="6" spans="1:62" ht="12.75" customHeight="1" thickBot="1" x14ac:dyDescent="0.25">
      <c r="A6" s="2143">
        <v>6</v>
      </c>
      <c r="B6" s="5294"/>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94"/>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92"/>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95" t="s">
        <v>9285</v>
      </c>
      <c r="D148" s="5296"/>
      <c r="G148" s="5295" t="s">
        <v>9285</v>
      </c>
      <c r="H148" s="5296"/>
    </row>
    <row r="149" spans="1:35" ht="12.75" customHeight="1" thickBot="1" x14ac:dyDescent="0.25">
      <c r="C149" s="5297" t="e">
        <f>Poderes_Psi_Disponibles</f>
        <v>#VALUE!</v>
      </c>
      <c r="D149" s="5297"/>
      <c r="G149" s="5297" t="e">
        <f>Pod_Psi_Innatos_Disponibles</f>
        <v>#VALUE!</v>
      </c>
      <c r="H149" s="5297"/>
    </row>
    <row r="150" spans="1:35" ht="12.75" customHeight="1" thickBot="1" x14ac:dyDescent="0.25">
      <c r="C150" s="4256" t="s">
        <v>9018</v>
      </c>
      <c r="D150" s="4258"/>
      <c r="G150" s="4256" t="s">
        <v>9283</v>
      </c>
      <c r="H150" s="4258"/>
    </row>
    <row r="151" spans="1:35" ht="12.75" customHeight="1" x14ac:dyDescent="0.2">
      <c r="C151" s="4259"/>
      <c r="D151" s="4261"/>
      <c r="F151" s="5293" t="s">
        <v>9284</v>
      </c>
      <c r="G151" s="4259"/>
      <c r="H151" s="4261"/>
    </row>
    <row r="152" spans="1:35" ht="12.75" customHeight="1" thickBot="1" x14ac:dyDescent="0.25">
      <c r="C152" s="4259"/>
      <c r="D152" s="4261"/>
      <c r="F152" s="5294"/>
      <c r="G152" s="4259"/>
      <c r="H152" s="4261"/>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98" t="s">
        <v>3427</v>
      </c>
      <c r="AC1" s="5298"/>
      <c r="AD1" s="5298"/>
      <c r="AE1" s="5298"/>
      <c r="AF1" s="5298"/>
      <c r="AG1" s="5298"/>
      <c r="AH1" s="5298"/>
      <c r="AI1" s="5298"/>
      <c r="AJ1" s="5298"/>
      <c r="AK1" s="5298"/>
      <c r="AM1" s="815"/>
      <c r="AN1" s="815"/>
      <c r="AO1" s="1379"/>
      <c r="AP1" s="1379"/>
      <c r="AQ1" s="815"/>
      <c r="AR1" s="815"/>
      <c r="AS1" s="815"/>
      <c r="AT1" s="815"/>
      <c r="AU1" s="815"/>
      <c r="AV1" s="815"/>
    </row>
    <row r="2" spans="1:48" ht="12.75" customHeight="1" x14ac:dyDescent="0.2">
      <c r="A2" s="765" t="s">
        <v>3429</v>
      </c>
      <c r="B2" s="766"/>
      <c r="C2" s="767" t="s">
        <v>3430</v>
      </c>
      <c r="E2" s="5302" t="s">
        <v>3431</v>
      </c>
      <c r="F2" s="5303"/>
      <c r="G2" s="768"/>
      <c r="H2" s="5302" t="s">
        <v>641</v>
      </c>
      <c r="I2" s="5304"/>
      <c r="J2" s="5303"/>
      <c r="L2" s="5302" t="s">
        <v>3432</v>
      </c>
      <c r="M2" s="5304"/>
      <c r="N2" s="5303"/>
      <c r="P2" s="5305" t="s">
        <v>3433</v>
      </c>
      <c r="Q2" s="5306"/>
      <c r="R2" s="5306"/>
      <c r="S2" s="5307"/>
      <c r="U2" s="5308" t="s">
        <v>3434</v>
      </c>
      <c r="V2" s="5309"/>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310" t="s">
        <v>1815</v>
      </c>
      <c r="R3" s="5310"/>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311" t="s">
        <v>3472</v>
      </c>
      <c r="AK4" s="5299"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312"/>
      <c r="AK5" s="5300"/>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301" t="s">
        <v>3471</v>
      </c>
      <c r="M11" s="5301"/>
      <c r="N11" s="5301"/>
      <c r="O11" s="5301"/>
      <c r="P11" s="5301"/>
      <c r="Q11" s="5301"/>
      <c r="R11" s="5301"/>
      <c r="S11" s="5301"/>
      <c r="T11" s="5301" t="s">
        <v>3472</v>
      </c>
      <c r="U11" s="5301"/>
      <c r="V11" s="5301"/>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96"/>
      <c r="D3" s="4497"/>
      <c r="E3" s="4497"/>
      <c r="F3" s="4497"/>
      <c r="G3" s="4497"/>
      <c r="H3" s="4497"/>
      <c r="I3" s="1214"/>
      <c r="J3" s="1214"/>
      <c r="K3" s="1214"/>
      <c r="L3" s="1214"/>
      <c r="M3" s="1214"/>
      <c r="N3" s="1214"/>
      <c r="O3" s="1214"/>
      <c r="P3" s="1214"/>
      <c r="Q3" s="1215"/>
      <c r="R3" s="1216"/>
      <c r="S3" s="1210"/>
      <c r="T3" s="1210"/>
      <c r="U3" s="615"/>
      <c r="V3" s="4496"/>
      <c r="W3" s="4497"/>
      <c r="X3" s="4497"/>
      <c r="Y3" s="4497"/>
      <c r="Z3" s="4497"/>
      <c r="AA3" s="4497"/>
      <c r="AB3" s="2248"/>
      <c r="AC3" s="2248"/>
      <c r="AD3" s="2248"/>
      <c r="AE3" s="2248"/>
      <c r="AF3" s="2248"/>
      <c r="AG3" s="2248"/>
      <c r="AH3" s="2248"/>
      <c r="AI3" s="2248"/>
      <c r="AJ3" s="1215"/>
      <c r="AK3" s="1216"/>
      <c r="AL3" s="1210"/>
      <c r="AM3" s="1210"/>
      <c r="AN3" s="615"/>
      <c r="AO3" s="4496"/>
      <c r="AP3" s="4497"/>
      <c r="AQ3" s="4497"/>
      <c r="AR3" s="4497"/>
      <c r="AS3" s="4497"/>
      <c r="AT3" s="4497"/>
      <c r="AU3" s="1214"/>
      <c r="AV3" s="1214"/>
      <c r="AW3" s="1214"/>
      <c r="AX3" s="1214"/>
      <c r="AY3" s="1214"/>
      <c r="AZ3" s="1214"/>
      <c r="BA3" s="1214"/>
      <c r="BB3" s="1214"/>
      <c r="BC3" s="1215"/>
      <c r="BD3" s="1216"/>
      <c r="BE3" s="1210"/>
    </row>
    <row r="4" spans="1:57" ht="12" customHeight="1" x14ac:dyDescent="0.2">
      <c r="A4" s="1210"/>
      <c r="B4" s="615"/>
      <c r="C4" s="4498"/>
      <c r="D4" s="4499"/>
      <c r="E4" s="4499"/>
      <c r="F4" s="4499"/>
      <c r="G4" s="4499"/>
      <c r="H4" s="4499"/>
      <c r="I4" s="1219"/>
      <c r="J4" s="4502" t="s">
        <v>1628</v>
      </c>
      <c r="K4" s="4503"/>
      <c r="L4" s="3119" t="str">
        <f>IF(OR(General!$G$22="",General!$G$22=0),"",General!$G$22)</f>
        <v/>
      </c>
      <c r="M4" s="3119"/>
      <c r="N4" s="3119"/>
      <c r="O4" s="3119"/>
      <c r="P4" s="3119"/>
      <c r="Q4" s="813"/>
      <c r="R4" s="1216"/>
      <c r="S4" s="1210"/>
      <c r="T4" s="1210"/>
      <c r="U4" s="615"/>
      <c r="V4" s="4498"/>
      <c r="W4" s="4499"/>
      <c r="X4" s="4499"/>
      <c r="Y4" s="4499"/>
      <c r="Z4" s="4499"/>
      <c r="AA4" s="4499"/>
      <c r="AB4" s="2249"/>
      <c r="AC4" s="4494" t="s">
        <v>8160</v>
      </c>
      <c r="AD4" s="4495"/>
      <c r="AE4" s="4495"/>
      <c r="AF4" s="4495"/>
      <c r="AG4" s="4495"/>
      <c r="AH4" s="4495"/>
      <c r="AI4" s="4495"/>
      <c r="AJ4" s="813"/>
      <c r="AK4" s="1216"/>
      <c r="AL4" s="1210"/>
      <c r="AM4" s="1210"/>
      <c r="AN4" s="615"/>
      <c r="AO4" s="4498"/>
      <c r="AP4" s="4499"/>
      <c r="AQ4" s="4499"/>
      <c r="AR4" s="4499"/>
      <c r="AS4" s="4499"/>
      <c r="AT4" s="4499"/>
      <c r="AU4" s="1219"/>
      <c r="AV4" s="4494" t="s">
        <v>8160</v>
      </c>
      <c r="AW4" s="4495"/>
      <c r="AX4" s="4495"/>
      <c r="AY4" s="4495"/>
      <c r="AZ4" s="4495"/>
      <c r="BA4" s="4495"/>
      <c r="BB4" s="4495"/>
      <c r="BC4" s="813"/>
      <c r="BD4" s="1216"/>
      <c r="BE4" s="1210"/>
    </row>
    <row r="5" spans="1:57" ht="12" customHeight="1" x14ac:dyDescent="0.2">
      <c r="A5" s="1210"/>
      <c r="B5" s="615"/>
      <c r="C5" s="4498"/>
      <c r="D5" s="4499"/>
      <c r="E5" s="4499"/>
      <c r="F5" s="4499"/>
      <c r="G5" s="4499"/>
      <c r="H5" s="4499"/>
      <c r="I5" s="1219"/>
      <c r="J5" s="4490" t="s">
        <v>1629</v>
      </c>
      <c r="K5" s="4491"/>
      <c r="L5" s="4492" t="str">
        <f>Principal!$L$5</f>
        <v>Hechicero</v>
      </c>
      <c r="M5" s="4493"/>
      <c r="N5" s="4493"/>
      <c r="O5" s="1221" t="s">
        <v>1630</v>
      </c>
      <c r="P5" s="1222" t="str">
        <f>Principal!$P$5</f>
        <v>1</v>
      </c>
      <c r="Q5" s="1223"/>
      <c r="R5" s="1216"/>
      <c r="S5" s="1210"/>
      <c r="T5" s="1210"/>
      <c r="U5" s="615"/>
      <c r="V5" s="4498"/>
      <c r="W5" s="4499"/>
      <c r="X5" s="4499"/>
      <c r="Y5" s="4499"/>
      <c r="Z5" s="4499"/>
      <c r="AA5" s="4499"/>
      <c r="AB5" s="2249"/>
      <c r="AC5" s="4495"/>
      <c r="AD5" s="4495"/>
      <c r="AE5" s="4495"/>
      <c r="AF5" s="4495"/>
      <c r="AG5" s="4495"/>
      <c r="AH5" s="4495"/>
      <c r="AI5" s="4495"/>
      <c r="AJ5" s="1223"/>
      <c r="AK5" s="1216"/>
      <c r="AL5" s="1210"/>
      <c r="AM5" s="1210"/>
      <c r="AN5" s="615"/>
      <c r="AO5" s="4498"/>
      <c r="AP5" s="4499"/>
      <c r="AQ5" s="4499"/>
      <c r="AR5" s="4499"/>
      <c r="AS5" s="4499"/>
      <c r="AT5" s="4499"/>
      <c r="AU5" s="1219"/>
      <c r="AV5" s="4495"/>
      <c r="AW5" s="4495"/>
      <c r="AX5" s="4495"/>
      <c r="AY5" s="4495"/>
      <c r="AZ5" s="4495"/>
      <c r="BA5" s="4495"/>
      <c r="BB5" s="4495"/>
      <c r="BC5" s="1223"/>
      <c r="BD5" s="1216"/>
      <c r="BE5" s="1210"/>
    </row>
    <row r="6" spans="1:57" ht="12" customHeight="1" x14ac:dyDescent="0.2">
      <c r="A6" s="1210"/>
      <c r="B6" s="615"/>
      <c r="C6" s="4498"/>
      <c r="D6" s="4499"/>
      <c r="E6" s="4499"/>
      <c r="F6" s="4499"/>
      <c r="G6" s="4499"/>
      <c r="H6" s="4499"/>
      <c r="I6" s="1219"/>
      <c r="J6" s="4494" t="s">
        <v>8161</v>
      </c>
      <c r="K6" s="4495"/>
      <c r="L6" s="4495"/>
      <c r="M6" s="4495"/>
      <c r="N6" s="4495"/>
      <c r="O6" s="4495"/>
      <c r="P6" s="4495"/>
      <c r="Q6" s="1223"/>
      <c r="R6" s="1216"/>
      <c r="S6" s="1210"/>
      <c r="T6" s="1210"/>
      <c r="U6" s="615"/>
      <c r="V6" s="4498"/>
      <c r="W6" s="4499"/>
      <c r="X6" s="4499"/>
      <c r="Y6" s="4499"/>
      <c r="Z6" s="4499"/>
      <c r="AA6" s="4499"/>
      <c r="AB6" s="2249"/>
      <c r="AC6" s="5318"/>
      <c r="AD6" s="5319"/>
      <c r="AE6" s="5319"/>
      <c r="AF6" s="5319"/>
      <c r="AG6" s="5319"/>
      <c r="AH6" s="5319"/>
      <c r="AI6" s="5319"/>
      <c r="AJ6" s="1223"/>
      <c r="AK6" s="1216"/>
      <c r="AL6" s="1210"/>
      <c r="AM6" s="1210"/>
      <c r="AN6" s="615"/>
      <c r="AO6" s="4498"/>
      <c r="AP6" s="4499"/>
      <c r="AQ6" s="4499"/>
      <c r="AR6" s="4499"/>
      <c r="AS6" s="4499"/>
      <c r="AT6" s="4499"/>
      <c r="AU6" s="1219"/>
      <c r="AV6" s="5318"/>
      <c r="AW6" s="5319"/>
      <c r="AX6" s="5319"/>
      <c r="AY6" s="5319"/>
      <c r="AZ6" s="5319"/>
      <c r="BA6" s="5319"/>
      <c r="BB6" s="5319"/>
      <c r="BC6" s="1223"/>
      <c r="BD6" s="1216"/>
      <c r="BE6" s="1210"/>
    </row>
    <row r="7" spans="1:57" ht="12" customHeight="1" x14ac:dyDescent="0.2">
      <c r="A7" s="1210"/>
      <c r="B7" s="615"/>
      <c r="C7" s="4498"/>
      <c r="D7" s="4499"/>
      <c r="E7" s="4499"/>
      <c r="F7" s="4499"/>
      <c r="G7" s="4499"/>
      <c r="H7" s="4499"/>
      <c r="I7" s="1219"/>
      <c r="J7" s="4495"/>
      <c r="K7" s="4495"/>
      <c r="L7" s="4495"/>
      <c r="M7" s="4495"/>
      <c r="N7" s="4495"/>
      <c r="O7" s="4495"/>
      <c r="P7" s="4495"/>
      <c r="Q7" s="1223"/>
      <c r="R7" s="1216"/>
      <c r="S7" s="1210"/>
      <c r="T7" s="1210"/>
      <c r="U7" s="615"/>
      <c r="V7" s="4498"/>
      <c r="W7" s="4499"/>
      <c r="X7" s="4499"/>
      <c r="Y7" s="4499"/>
      <c r="Z7" s="4499"/>
      <c r="AA7" s="4499"/>
      <c r="AB7" s="2249"/>
      <c r="AC7" s="5319"/>
      <c r="AD7" s="5319"/>
      <c r="AE7" s="5319"/>
      <c r="AF7" s="5319"/>
      <c r="AG7" s="5319"/>
      <c r="AH7" s="5319"/>
      <c r="AI7" s="5319"/>
      <c r="AJ7" s="1223"/>
      <c r="AK7" s="1216"/>
      <c r="AL7" s="1210"/>
      <c r="AM7" s="1210"/>
      <c r="AN7" s="615"/>
      <c r="AO7" s="4498"/>
      <c r="AP7" s="4499"/>
      <c r="AQ7" s="4499"/>
      <c r="AR7" s="4499"/>
      <c r="AS7" s="4499"/>
      <c r="AT7" s="4499"/>
      <c r="AU7" s="1219"/>
      <c r="AV7" s="5319"/>
      <c r="AW7" s="5319"/>
      <c r="AX7" s="5319"/>
      <c r="AY7" s="5319"/>
      <c r="AZ7" s="5319"/>
      <c r="BA7" s="5319"/>
      <c r="BB7" s="5319"/>
      <c r="BC7" s="1223"/>
      <c r="BD7" s="1216"/>
      <c r="BE7" s="1210"/>
    </row>
    <row r="8" spans="1:57" ht="12" customHeight="1" thickBot="1" x14ac:dyDescent="0.25">
      <c r="A8" s="1210"/>
      <c r="B8" s="615"/>
      <c r="C8" s="4500"/>
      <c r="D8" s="4501"/>
      <c r="E8" s="4501"/>
      <c r="F8" s="4501"/>
      <c r="G8" s="4501"/>
      <c r="H8" s="4501"/>
      <c r="I8" s="1228"/>
      <c r="J8" s="1228"/>
      <c r="K8" s="1228"/>
      <c r="L8" s="1228"/>
      <c r="M8" s="1228"/>
      <c r="N8" s="1228"/>
      <c r="O8" s="1228"/>
      <c r="P8" s="1228"/>
      <c r="Q8" s="1229"/>
      <c r="R8" s="1216"/>
      <c r="S8" s="1210"/>
      <c r="T8" s="1210"/>
      <c r="U8" s="615"/>
      <c r="V8" s="4500"/>
      <c r="W8" s="4501"/>
      <c r="X8" s="4501"/>
      <c r="Y8" s="4501"/>
      <c r="Z8" s="4501"/>
      <c r="AA8" s="4501"/>
      <c r="AB8" s="2251"/>
      <c r="AC8" s="2251"/>
      <c r="AD8" s="2251"/>
      <c r="AE8" s="2251"/>
      <c r="AF8" s="2251"/>
      <c r="AG8" s="2251"/>
      <c r="AH8" s="2251"/>
      <c r="AI8" s="2251"/>
      <c r="AJ8" s="1229"/>
      <c r="AK8" s="1216"/>
      <c r="AL8" s="1210"/>
      <c r="AM8" s="1210"/>
      <c r="AN8" s="615"/>
      <c r="AO8" s="4500"/>
      <c r="AP8" s="4501"/>
      <c r="AQ8" s="4501"/>
      <c r="AR8" s="4501"/>
      <c r="AS8" s="4501"/>
      <c r="AT8" s="4501"/>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3"/>
      <c r="D10" s="5314"/>
      <c r="E10" s="5314"/>
      <c r="F10" s="5314"/>
      <c r="G10" s="5314"/>
      <c r="H10" s="1230" t="s">
        <v>1630</v>
      </c>
      <c r="I10" s="1231" t="str">
        <f>IF(C10=0,"",VLOOKUP(C10,'Tablas Magia'!$D$6:$Z$680,3,FALSE))</f>
        <v/>
      </c>
      <c r="J10" s="5315" t="s">
        <v>8162</v>
      </c>
      <c r="K10" s="5315"/>
      <c r="L10" s="5315"/>
      <c r="M10" s="5316" t="str">
        <f>IF(C10=0,"",VLOOKUP(C10,'Tablas Magia'!$D$6:$Z$680,2,FALSE))</f>
        <v/>
      </c>
      <c r="N10" s="5316"/>
      <c r="O10" s="5316"/>
      <c r="P10" s="5316"/>
      <c r="Q10" s="5317"/>
      <c r="R10" s="1216"/>
      <c r="S10" s="1210"/>
      <c r="T10" s="1210"/>
      <c r="U10" s="615"/>
      <c r="V10" s="5313"/>
      <c r="W10" s="5314"/>
      <c r="X10" s="5314"/>
      <c r="Y10" s="5314"/>
      <c r="Z10" s="5314"/>
      <c r="AA10" s="1230" t="s">
        <v>1630</v>
      </c>
      <c r="AB10" s="1231" t="str">
        <f>IF(V10=0,"",VLOOKUP(V10,'Tablas Magia'!$D$6:$Z$680,3,FALSE))</f>
        <v/>
      </c>
      <c r="AC10" s="5315" t="s">
        <v>8162</v>
      </c>
      <c r="AD10" s="5315"/>
      <c r="AE10" s="5315"/>
      <c r="AF10" s="5316" t="str">
        <f>IF(V10=0,"",VLOOKUP(V10,'Tablas Magia'!$D$6:$Z$680,2,FALSE))</f>
        <v/>
      </c>
      <c r="AG10" s="5316"/>
      <c r="AH10" s="5316"/>
      <c r="AI10" s="5316"/>
      <c r="AJ10" s="5317"/>
      <c r="AK10" s="1216"/>
      <c r="AL10" s="1210"/>
      <c r="AM10" s="1210"/>
      <c r="AN10" s="615"/>
      <c r="AO10" s="5313"/>
      <c r="AP10" s="5314"/>
      <c r="AQ10" s="5314"/>
      <c r="AR10" s="5314"/>
      <c r="AS10" s="5314"/>
      <c r="AT10" s="1230" t="s">
        <v>1630</v>
      </c>
      <c r="AU10" s="1231" t="str">
        <f>IF(AO10=0,"",VLOOKUP(AO10,'Tablas Magia'!$D$6:$Z$680,3,FALSE))</f>
        <v/>
      </c>
      <c r="AV10" s="5315" t="s">
        <v>8162</v>
      </c>
      <c r="AW10" s="5315"/>
      <c r="AX10" s="5315"/>
      <c r="AY10" s="5316" t="str">
        <f>IF(AO10=0,"",VLOOKUP(AO10,'Tablas Magia'!$D$6:$Z$680,2,FALSE))</f>
        <v/>
      </c>
      <c r="AZ10" s="5316"/>
      <c r="BA10" s="5316"/>
      <c r="BB10" s="5316"/>
      <c r="BC10" s="5317"/>
      <c r="BD10" s="1216"/>
      <c r="BE10" s="1210"/>
    </row>
    <row r="11" spans="1:57" ht="12" customHeight="1" x14ac:dyDescent="0.2">
      <c r="A11" s="1210"/>
      <c r="B11" s="615"/>
      <c r="C11" s="5333" t="s">
        <v>8163</v>
      </c>
      <c r="D11" s="5334"/>
      <c r="E11" s="1232" t="s">
        <v>8164</v>
      </c>
      <c r="F11" s="1232" t="s">
        <v>1824</v>
      </c>
      <c r="G11" s="1232" t="s">
        <v>3467</v>
      </c>
      <c r="H11" s="1233" t="s">
        <v>2175</v>
      </c>
      <c r="I11" s="5330" t="str">
        <f>IF(C10=0,"",VLOOKUP(C10,'Tablas Magia'!$D$6:$Z$680,5,FALSE))</f>
        <v/>
      </c>
      <c r="J11" s="5330"/>
      <c r="K11" s="5331" t="s">
        <v>8165</v>
      </c>
      <c r="L11" s="5331"/>
      <c r="M11" s="5330" t="str">
        <f>IF(C10=0,"",VLOOKUP(C10,'Tablas Magia'!$D$6:$Z$680,6,FALSE))</f>
        <v/>
      </c>
      <c r="N11" s="5330"/>
      <c r="O11" s="5332" t="s">
        <v>8166</v>
      </c>
      <c r="P11" s="5332"/>
      <c r="Q11" s="1234" t="str">
        <f>IF(C10=0,"",VLOOKUP(C10,'Tablas Magia'!$D$6:$Z$680,4,FALSE))</f>
        <v/>
      </c>
      <c r="R11" s="1216"/>
      <c r="S11" s="1210"/>
      <c r="T11" s="1210"/>
      <c r="U11" s="615"/>
      <c r="V11" s="5333" t="s">
        <v>8163</v>
      </c>
      <c r="W11" s="5334"/>
      <c r="X11" s="1232" t="s">
        <v>8164</v>
      </c>
      <c r="Y11" s="1232" t="s">
        <v>1824</v>
      </c>
      <c r="Z11" s="1232" t="s">
        <v>3467</v>
      </c>
      <c r="AA11" s="1233" t="s">
        <v>2175</v>
      </c>
      <c r="AB11" s="5330" t="str">
        <f>IF(V10=0,"",VLOOKUP(V10,'Tablas Magia'!$D$6:$Z$680,5,FALSE))</f>
        <v/>
      </c>
      <c r="AC11" s="5330"/>
      <c r="AD11" s="5331" t="s">
        <v>8165</v>
      </c>
      <c r="AE11" s="5331"/>
      <c r="AF11" s="5330" t="str">
        <f>IF(V10=0,"",VLOOKUP(V10,'Tablas Magia'!$D$6:$Z$680,6,FALSE))</f>
        <v/>
      </c>
      <c r="AG11" s="5330"/>
      <c r="AH11" s="5332" t="s">
        <v>8166</v>
      </c>
      <c r="AI11" s="5332"/>
      <c r="AJ11" s="1234" t="str">
        <f>IF(V10=0,"",VLOOKUP(V10,'Tablas Magia'!$D$6:$Z$680,4,FALSE))</f>
        <v/>
      </c>
      <c r="AK11" s="1216"/>
      <c r="AL11" s="1210"/>
      <c r="AM11" s="1210"/>
      <c r="AN11" s="615"/>
      <c r="AO11" s="5333" t="s">
        <v>8163</v>
      </c>
      <c r="AP11" s="5334"/>
      <c r="AQ11" s="1232" t="s">
        <v>8164</v>
      </c>
      <c r="AR11" s="1232" t="s">
        <v>1824</v>
      </c>
      <c r="AS11" s="1232" t="s">
        <v>3467</v>
      </c>
      <c r="AT11" s="1233" t="s">
        <v>2175</v>
      </c>
      <c r="AU11" s="5330" t="str">
        <f>IF(AO10=0,"",VLOOKUP(AO10,'Tablas Magia'!$D$6:$Z$680,5,FALSE))</f>
        <v/>
      </c>
      <c r="AV11" s="5330"/>
      <c r="AW11" s="5331" t="s">
        <v>8165</v>
      </c>
      <c r="AX11" s="5331"/>
      <c r="AY11" s="5330" t="str">
        <f>IF(AO10=0,"",VLOOKUP(AO10,'Tablas Magia'!$D$6:$Z$680,6,FALSE))</f>
        <v/>
      </c>
      <c r="AZ11" s="5330"/>
      <c r="BA11" s="5332" t="s">
        <v>8166</v>
      </c>
      <c r="BB11" s="5332"/>
      <c r="BC11" s="1234" t="str">
        <f>IF(AO10=0,"",VLOOKUP(AO10,'Tablas Magia'!$D$6:$Z$680,4,FALSE))</f>
        <v/>
      </c>
      <c r="BD11" s="1216"/>
      <c r="BE11" s="1210"/>
    </row>
    <row r="12" spans="1:57" ht="12" customHeight="1" x14ac:dyDescent="0.2">
      <c r="A12" s="1210"/>
      <c r="B12" s="615"/>
      <c r="C12" s="5325" t="s">
        <v>1677</v>
      </c>
      <c r="D12" s="5326"/>
      <c r="E12" s="1235" t="str">
        <f>IF(C10=0,"",VLOOKUP(C10,'Tablas Magia'!$D$6:$Z$680,7,FALSE))</f>
        <v/>
      </c>
      <c r="F12" s="1235" t="str">
        <f>IF(C10=0,"",VLOOKUP(C10,'Tablas Magia'!$D$6:$Z$680,11,FALSE))</f>
        <v/>
      </c>
      <c r="G12" s="1236" t="str">
        <f>IF(C10=0,"",VLOOKUP(C10,'Tablas Magia'!$D$6:$Z$680,15,FALSE))</f>
        <v/>
      </c>
      <c r="H12" s="5327" t="str">
        <f>IF(C10=0,"",VLOOKUP(C10,'Tablas Magia'!$D$6:$Z$680,19,FALSE))</f>
        <v/>
      </c>
      <c r="I12" s="5328"/>
      <c r="J12" s="5328"/>
      <c r="K12" s="5328"/>
      <c r="L12" s="5328"/>
      <c r="M12" s="5328"/>
      <c r="N12" s="5328"/>
      <c r="O12" s="5328"/>
      <c r="P12" s="5328"/>
      <c r="Q12" s="5329"/>
      <c r="R12" s="1216"/>
      <c r="S12" s="1210"/>
      <c r="T12" s="1210"/>
      <c r="U12" s="615"/>
      <c r="V12" s="5325" t="s">
        <v>1677</v>
      </c>
      <c r="W12" s="5326"/>
      <c r="X12" s="1235" t="str">
        <f>IF(V10=0,"",VLOOKUP(V10,'Tablas Magia'!$D$6:$Z$680,7,FALSE))</f>
        <v/>
      </c>
      <c r="Y12" s="1235" t="str">
        <f>IF(V10=0,"",VLOOKUP(V10,'Tablas Magia'!$D$6:$Z$680,11,FALSE))</f>
        <v/>
      </c>
      <c r="Z12" s="1236" t="str">
        <f>IF(V10=0,"",VLOOKUP(V10,'Tablas Magia'!$D$6:$Z$680,15,FALSE))</f>
        <v/>
      </c>
      <c r="AA12" s="5327" t="str">
        <f>IF(V10=0,"",VLOOKUP(V10,'Tablas Magia'!$D$6:$Z$680,19,FALSE))</f>
        <v/>
      </c>
      <c r="AB12" s="5328"/>
      <c r="AC12" s="5328"/>
      <c r="AD12" s="5328"/>
      <c r="AE12" s="5328"/>
      <c r="AF12" s="5328"/>
      <c r="AG12" s="5328"/>
      <c r="AH12" s="5328"/>
      <c r="AI12" s="5328"/>
      <c r="AJ12" s="5329"/>
      <c r="AK12" s="1216"/>
      <c r="AL12" s="1210"/>
      <c r="AM12" s="1210"/>
      <c r="AN12" s="615"/>
      <c r="AO12" s="5325" t="s">
        <v>1677</v>
      </c>
      <c r="AP12" s="5326"/>
      <c r="AQ12" s="1235" t="str">
        <f>IF(AO10=0,"",VLOOKUP(AO10,'Tablas Magia'!$D$6:$Z$680,7,FALSE))</f>
        <v/>
      </c>
      <c r="AR12" s="1235" t="str">
        <f>IF(AO10=0,"",VLOOKUP(AO10,'Tablas Magia'!$D$6:$Z$680,11,FALSE))</f>
        <v/>
      </c>
      <c r="AS12" s="1236" t="str">
        <f>IF(AO10=0,"",VLOOKUP(AO10,'Tablas Magia'!$D$6:$Z$680,15,FALSE))</f>
        <v/>
      </c>
      <c r="AT12" s="5327" t="str">
        <f>IF(AO10=0,"",VLOOKUP(AO10,'Tablas Magia'!$D$6:$Z$680,19,FALSE))</f>
        <v/>
      </c>
      <c r="AU12" s="5328"/>
      <c r="AV12" s="5328"/>
      <c r="AW12" s="5328"/>
      <c r="AX12" s="5328"/>
      <c r="AY12" s="5328"/>
      <c r="AZ12" s="5328"/>
      <c r="BA12" s="5328"/>
      <c r="BB12" s="5328"/>
      <c r="BC12" s="5329"/>
      <c r="BD12" s="1216"/>
      <c r="BE12" s="1210"/>
    </row>
    <row r="13" spans="1:57" ht="12" customHeight="1" x14ac:dyDescent="0.2">
      <c r="A13" s="1210"/>
      <c r="B13" s="615"/>
      <c r="C13" s="5320" t="s">
        <v>4705</v>
      </c>
      <c r="D13" s="5321"/>
      <c r="E13" s="1237" t="str">
        <f>IF(C10=0,"",VLOOKUP(C10,'Tablas Magia'!$D$6:$Z$680,8,FALSE))</f>
        <v/>
      </c>
      <c r="F13" s="1237" t="str">
        <f>IF(C10=0,"",VLOOKUP(C10,'Tablas Magia'!$D$6:$Z$680,12,FALSE))</f>
        <v/>
      </c>
      <c r="G13" s="1238" t="str">
        <f>IF(C10=0,"",VLOOKUP(C10,'Tablas Magia'!$D$6:$Z$680,16,FALSE))</f>
        <v/>
      </c>
      <c r="H13" s="5322" t="str">
        <f>IF(C10=0,"",VLOOKUP(C10,'Tablas Magia'!$D$6:$Z$680,20,FALSE))</f>
        <v/>
      </c>
      <c r="I13" s="5323"/>
      <c r="J13" s="5323"/>
      <c r="K13" s="5323"/>
      <c r="L13" s="5323"/>
      <c r="M13" s="5323"/>
      <c r="N13" s="5323"/>
      <c r="O13" s="5323"/>
      <c r="P13" s="5323"/>
      <c r="Q13" s="5324"/>
      <c r="R13" s="1216"/>
      <c r="S13" s="1210"/>
      <c r="T13" s="1210"/>
      <c r="U13" s="615"/>
      <c r="V13" s="5320" t="s">
        <v>4705</v>
      </c>
      <c r="W13" s="5321"/>
      <c r="X13" s="1237" t="str">
        <f>IF(V10=0,"",VLOOKUP(V10,'Tablas Magia'!$D$6:$Z$680,8,FALSE))</f>
        <v/>
      </c>
      <c r="Y13" s="1237" t="str">
        <f>IF(V10=0,"",VLOOKUP(V10,'Tablas Magia'!$D$6:$Z$680,12,FALSE))</f>
        <v/>
      </c>
      <c r="Z13" s="1238" t="str">
        <f>IF(V10=0,"",VLOOKUP(V10,'Tablas Magia'!$D$6:$Z$680,16,FALSE))</f>
        <v/>
      </c>
      <c r="AA13" s="5322" t="str">
        <f>IF(V10=0,"",VLOOKUP(V10,'Tablas Magia'!$D$6:$Z$680,20,FALSE))</f>
        <v/>
      </c>
      <c r="AB13" s="5323"/>
      <c r="AC13" s="5323"/>
      <c r="AD13" s="5323"/>
      <c r="AE13" s="5323"/>
      <c r="AF13" s="5323"/>
      <c r="AG13" s="5323"/>
      <c r="AH13" s="5323"/>
      <c r="AI13" s="5323"/>
      <c r="AJ13" s="5324"/>
      <c r="AK13" s="1216"/>
      <c r="AL13" s="1210"/>
      <c r="AM13" s="1210"/>
      <c r="AN13" s="615"/>
      <c r="AO13" s="5320" t="s">
        <v>4705</v>
      </c>
      <c r="AP13" s="5321"/>
      <c r="AQ13" s="1237" t="str">
        <f>IF(AO10=0,"",VLOOKUP(AO10,'Tablas Magia'!$D$6:$Z$680,8,FALSE))</f>
        <v/>
      </c>
      <c r="AR13" s="1237" t="str">
        <f>IF(AO10=0,"",VLOOKUP(AO10,'Tablas Magia'!$D$6:$Z$680,12,FALSE))</f>
        <v/>
      </c>
      <c r="AS13" s="1238" t="str">
        <f>IF(AO10=0,"",VLOOKUP(AO10,'Tablas Magia'!$D$6:$Z$680,16,FALSE))</f>
        <v/>
      </c>
      <c r="AT13" s="5322" t="str">
        <f>IF(AO10=0,"",VLOOKUP(AO10,'Tablas Magia'!$D$6:$Z$680,20,FALSE))</f>
        <v/>
      </c>
      <c r="AU13" s="5323"/>
      <c r="AV13" s="5323"/>
      <c r="AW13" s="5323"/>
      <c r="AX13" s="5323"/>
      <c r="AY13" s="5323"/>
      <c r="AZ13" s="5323"/>
      <c r="BA13" s="5323"/>
      <c r="BB13" s="5323"/>
      <c r="BC13" s="5324"/>
      <c r="BD13" s="1216"/>
      <c r="BE13" s="1210"/>
    </row>
    <row r="14" spans="1:57" ht="12" customHeight="1" x14ac:dyDescent="0.2">
      <c r="A14" s="1210"/>
      <c r="B14" s="615"/>
      <c r="C14" s="5325" t="s">
        <v>4706</v>
      </c>
      <c r="D14" s="5326"/>
      <c r="E14" s="1235" t="str">
        <f>IF(C10=0,"",VLOOKUP(C10,'Tablas Magia'!$D$6:$Z$680,9,FALSE))</f>
        <v/>
      </c>
      <c r="F14" s="1235" t="str">
        <f>IF(C10=0,"",VLOOKUP(C10,'Tablas Magia'!$D$6:$Z$680,13,FALSE))</f>
        <v/>
      </c>
      <c r="G14" s="1236" t="str">
        <f>IF(C10=0,"",VLOOKUP(C10,'Tablas Magia'!$D$6:$Z$680,17,FALSE))</f>
        <v/>
      </c>
      <c r="H14" s="5327" t="str">
        <f>IF(C10=0,"",VLOOKUP(C10,'Tablas Magia'!$D$6:$Z$680,21,FALSE))</f>
        <v/>
      </c>
      <c r="I14" s="5328"/>
      <c r="J14" s="5328"/>
      <c r="K14" s="5328"/>
      <c r="L14" s="5328"/>
      <c r="M14" s="5328"/>
      <c r="N14" s="5328"/>
      <c r="O14" s="5328"/>
      <c r="P14" s="5328"/>
      <c r="Q14" s="5329"/>
      <c r="R14" s="1216"/>
      <c r="S14" s="1210"/>
      <c r="T14" s="1210"/>
      <c r="U14" s="615"/>
      <c r="V14" s="5325" t="s">
        <v>4706</v>
      </c>
      <c r="W14" s="5326"/>
      <c r="X14" s="1235" t="str">
        <f>IF(V10=0,"",VLOOKUP(V10,'Tablas Magia'!$D$6:$Z$680,9,FALSE))</f>
        <v/>
      </c>
      <c r="Y14" s="1235" t="str">
        <f>IF(V10=0,"",VLOOKUP(V10,'Tablas Magia'!$D$6:$Z$680,13,FALSE))</f>
        <v/>
      </c>
      <c r="Z14" s="1236" t="str">
        <f>IF(V10=0,"",VLOOKUP(V10,'Tablas Magia'!$D$6:$Z$680,17,FALSE))</f>
        <v/>
      </c>
      <c r="AA14" s="5327" t="str">
        <f>IF(V10=0,"",VLOOKUP(V10,'Tablas Magia'!$D$6:$Z$680,21,FALSE))</f>
        <v/>
      </c>
      <c r="AB14" s="5328"/>
      <c r="AC14" s="5328"/>
      <c r="AD14" s="5328"/>
      <c r="AE14" s="5328"/>
      <c r="AF14" s="5328"/>
      <c r="AG14" s="5328"/>
      <c r="AH14" s="5328"/>
      <c r="AI14" s="5328"/>
      <c r="AJ14" s="5329"/>
      <c r="AK14" s="1216"/>
      <c r="AL14" s="1210"/>
      <c r="AM14" s="1210"/>
      <c r="AN14" s="615"/>
      <c r="AO14" s="5325" t="s">
        <v>4706</v>
      </c>
      <c r="AP14" s="5326"/>
      <c r="AQ14" s="1235" t="str">
        <f>IF(AO10=0,"",VLOOKUP(AO10,'Tablas Magia'!$D$6:$Z$680,9,FALSE))</f>
        <v/>
      </c>
      <c r="AR14" s="1235" t="str">
        <f>IF(AO10=0,"",VLOOKUP(AO10,'Tablas Magia'!$D$6:$Z$680,13,FALSE))</f>
        <v/>
      </c>
      <c r="AS14" s="1236" t="str">
        <f>IF(AO10=0,"",VLOOKUP(AO10,'Tablas Magia'!$D$6:$Z$680,17,FALSE))</f>
        <v/>
      </c>
      <c r="AT14" s="5327" t="str">
        <f>IF(AO10=0,"",VLOOKUP(AO10,'Tablas Magia'!$D$6:$Z$680,21,FALSE))</f>
        <v/>
      </c>
      <c r="AU14" s="5328"/>
      <c r="AV14" s="5328"/>
      <c r="AW14" s="5328"/>
      <c r="AX14" s="5328"/>
      <c r="AY14" s="5328"/>
      <c r="AZ14" s="5328"/>
      <c r="BA14" s="5328"/>
      <c r="BB14" s="5328"/>
      <c r="BC14" s="5329"/>
      <c r="BD14" s="1216"/>
      <c r="BE14" s="1210"/>
    </row>
    <row r="15" spans="1:57" ht="12" customHeight="1" thickBot="1" x14ac:dyDescent="0.25">
      <c r="A15" s="1210"/>
      <c r="B15" s="615"/>
      <c r="C15" s="5335" t="s">
        <v>4707</v>
      </c>
      <c r="D15" s="5336"/>
      <c r="E15" s="1239" t="str">
        <f>IF(C10=0,"",VLOOKUP(C10,'Tablas Magia'!$D$6:$Z$680,10,FALSE))</f>
        <v/>
      </c>
      <c r="F15" s="1239" t="str">
        <f>IF(C10=0,"",VLOOKUP(C10,'Tablas Magia'!$D$6:$Z$680,14,FALSE))</f>
        <v/>
      </c>
      <c r="G15" s="1240" t="str">
        <f>IF(C10=0,"",VLOOKUP(C10,'Tablas Magia'!$D$6:$Z$680,18,FALSE))</f>
        <v/>
      </c>
      <c r="H15" s="5337" t="str">
        <f>IF(C10=0,"",VLOOKUP(C10,'Tablas Magia'!$D$6:$Z$680,22,FALSE))</f>
        <v/>
      </c>
      <c r="I15" s="5338"/>
      <c r="J15" s="5338"/>
      <c r="K15" s="5338"/>
      <c r="L15" s="5338"/>
      <c r="M15" s="5338"/>
      <c r="N15" s="5338"/>
      <c r="O15" s="5338"/>
      <c r="P15" s="5338"/>
      <c r="Q15" s="5339"/>
      <c r="R15" s="1216"/>
      <c r="S15" s="1210"/>
      <c r="T15" s="1210"/>
      <c r="U15" s="615"/>
      <c r="V15" s="5335" t="s">
        <v>4707</v>
      </c>
      <c r="W15" s="5336"/>
      <c r="X15" s="1239" t="str">
        <f>IF(V10=0,"",VLOOKUP(V10,'Tablas Magia'!$D$6:$Z$680,10,FALSE))</f>
        <v/>
      </c>
      <c r="Y15" s="1239" t="str">
        <f>IF(V10=0,"",VLOOKUP(V10,'Tablas Magia'!$D$6:$Z$680,14,FALSE))</f>
        <v/>
      </c>
      <c r="Z15" s="1240" t="str">
        <f>IF(V10=0,"",VLOOKUP(V10,'Tablas Magia'!$D$6:$Z$680,18,FALSE))</f>
        <v/>
      </c>
      <c r="AA15" s="5337" t="str">
        <f>IF(V10=0,"",VLOOKUP(V10,'Tablas Magia'!$D$6:$Z$680,22,FALSE))</f>
        <v/>
      </c>
      <c r="AB15" s="5338"/>
      <c r="AC15" s="5338"/>
      <c r="AD15" s="5338"/>
      <c r="AE15" s="5338"/>
      <c r="AF15" s="5338"/>
      <c r="AG15" s="5338"/>
      <c r="AH15" s="5338"/>
      <c r="AI15" s="5338"/>
      <c r="AJ15" s="5339"/>
      <c r="AK15" s="1216"/>
      <c r="AL15" s="1210"/>
      <c r="AM15" s="1210"/>
      <c r="AN15" s="615"/>
      <c r="AO15" s="5335" t="s">
        <v>4707</v>
      </c>
      <c r="AP15" s="5336"/>
      <c r="AQ15" s="1239" t="str">
        <f>IF(AO10=0,"",VLOOKUP(AO10,'Tablas Magia'!$D$6:$Z$680,10,FALSE))</f>
        <v/>
      </c>
      <c r="AR15" s="1239" t="str">
        <f>IF(AO10=0,"",VLOOKUP(AO10,'Tablas Magia'!$D$6:$Z$680,14,FALSE))</f>
        <v/>
      </c>
      <c r="AS15" s="1240" t="str">
        <f>IF(AO10=0,"",VLOOKUP(AO10,'Tablas Magia'!$D$6:$Z$680,18,FALSE))</f>
        <v/>
      </c>
      <c r="AT15" s="5337" t="str">
        <f>IF(AO10=0,"",VLOOKUP(AO10,'Tablas Magia'!$D$6:$Z$680,22,FALSE))</f>
        <v/>
      </c>
      <c r="AU15" s="5338"/>
      <c r="AV15" s="5338"/>
      <c r="AW15" s="5338"/>
      <c r="AX15" s="5338"/>
      <c r="AY15" s="5338"/>
      <c r="AZ15" s="5338"/>
      <c r="BA15" s="5338"/>
      <c r="BB15" s="5338"/>
      <c r="BC15" s="5339"/>
      <c r="BD15" s="1216"/>
      <c r="BE15" s="1210"/>
    </row>
    <row r="16" spans="1:57" ht="12" customHeight="1" x14ac:dyDescent="0.2">
      <c r="A16" s="1210"/>
      <c r="B16" s="615"/>
      <c r="C16" s="5340" t="str">
        <f>IF(C10=0,"",VLOOKUP(C10,'Tablas Magia'!$D$6:$Z$680,23,FALSE))</f>
        <v/>
      </c>
      <c r="D16" s="5341"/>
      <c r="E16" s="5341"/>
      <c r="F16" s="5341"/>
      <c r="G16" s="5341"/>
      <c r="H16" s="5341"/>
      <c r="I16" s="5341"/>
      <c r="J16" s="5341"/>
      <c r="K16" s="5341"/>
      <c r="L16" s="5341"/>
      <c r="M16" s="5341"/>
      <c r="N16" s="5341"/>
      <c r="O16" s="5341"/>
      <c r="P16" s="5341"/>
      <c r="Q16" s="5342"/>
      <c r="R16" s="1216"/>
      <c r="S16" s="1210"/>
      <c r="T16" s="1210"/>
      <c r="U16" s="615"/>
      <c r="V16" s="5340" t="str">
        <f>IF(V10=0,"",VLOOKUP(V10,'Tablas Magia'!$D$6:$Z$680,23,FALSE))</f>
        <v/>
      </c>
      <c r="W16" s="5341"/>
      <c r="X16" s="5341"/>
      <c r="Y16" s="5341"/>
      <c r="Z16" s="5341"/>
      <c r="AA16" s="5341"/>
      <c r="AB16" s="5341"/>
      <c r="AC16" s="5341"/>
      <c r="AD16" s="5341"/>
      <c r="AE16" s="5341"/>
      <c r="AF16" s="5341"/>
      <c r="AG16" s="5341"/>
      <c r="AH16" s="5341"/>
      <c r="AI16" s="5341"/>
      <c r="AJ16" s="5342"/>
      <c r="AK16" s="1216"/>
      <c r="AL16" s="1210"/>
      <c r="AM16" s="1210"/>
      <c r="AN16" s="615"/>
      <c r="AO16" s="5340" t="str">
        <f>IF(AO10=0,"",VLOOKUP(AO10,'Tablas Magia'!$D$6:$Z$680,23,FALSE))</f>
        <v/>
      </c>
      <c r="AP16" s="5341"/>
      <c r="AQ16" s="5341"/>
      <c r="AR16" s="5341"/>
      <c r="AS16" s="5341"/>
      <c r="AT16" s="5341"/>
      <c r="AU16" s="5341"/>
      <c r="AV16" s="5341"/>
      <c r="AW16" s="5341"/>
      <c r="AX16" s="5341"/>
      <c r="AY16" s="5341"/>
      <c r="AZ16" s="5341"/>
      <c r="BA16" s="5341"/>
      <c r="BB16" s="5341"/>
      <c r="BC16" s="5342"/>
      <c r="BD16" s="1216"/>
      <c r="BE16" s="1210"/>
    </row>
    <row r="17" spans="1:57" ht="12" customHeight="1" x14ac:dyDescent="0.2">
      <c r="A17" s="1210"/>
      <c r="B17" s="615"/>
      <c r="C17" s="5343"/>
      <c r="D17" s="5344"/>
      <c r="E17" s="5344"/>
      <c r="F17" s="5344"/>
      <c r="G17" s="5344"/>
      <c r="H17" s="5344"/>
      <c r="I17" s="5344"/>
      <c r="J17" s="5344"/>
      <c r="K17" s="5344"/>
      <c r="L17" s="5344"/>
      <c r="M17" s="5344"/>
      <c r="N17" s="5344"/>
      <c r="O17" s="5344"/>
      <c r="P17" s="5344"/>
      <c r="Q17" s="5345"/>
      <c r="R17" s="1216"/>
      <c r="S17" s="1210"/>
      <c r="T17" s="1210"/>
      <c r="U17" s="615"/>
      <c r="V17" s="5343"/>
      <c r="W17" s="5344"/>
      <c r="X17" s="5344"/>
      <c r="Y17" s="5344"/>
      <c r="Z17" s="5344"/>
      <c r="AA17" s="5344"/>
      <c r="AB17" s="5344"/>
      <c r="AC17" s="5344"/>
      <c r="AD17" s="5344"/>
      <c r="AE17" s="5344"/>
      <c r="AF17" s="5344"/>
      <c r="AG17" s="5344"/>
      <c r="AH17" s="5344"/>
      <c r="AI17" s="5344"/>
      <c r="AJ17" s="5345"/>
      <c r="AK17" s="1216"/>
      <c r="AL17" s="1210"/>
      <c r="AM17" s="1210"/>
      <c r="AN17" s="615"/>
      <c r="AO17" s="5343"/>
      <c r="AP17" s="5344"/>
      <c r="AQ17" s="5344"/>
      <c r="AR17" s="5344"/>
      <c r="AS17" s="5344"/>
      <c r="AT17" s="5344"/>
      <c r="AU17" s="5344"/>
      <c r="AV17" s="5344"/>
      <c r="AW17" s="5344"/>
      <c r="AX17" s="5344"/>
      <c r="AY17" s="5344"/>
      <c r="AZ17" s="5344"/>
      <c r="BA17" s="5344"/>
      <c r="BB17" s="5344"/>
      <c r="BC17" s="5345"/>
      <c r="BD17" s="1216"/>
      <c r="BE17" s="1210"/>
    </row>
    <row r="18" spans="1:57" ht="12" customHeight="1" x14ac:dyDescent="0.2">
      <c r="A18" s="1210"/>
      <c r="B18" s="615"/>
      <c r="C18" s="5343"/>
      <c r="D18" s="5344"/>
      <c r="E18" s="5344"/>
      <c r="F18" s="5344"/>
      <c r="G18" s="5344"/>
      <c r="H18" s="5344"/>
      <c r="I18" s="5344"/>
      <c r="J18" s="5344"/>
      <c r="K18" s="5344"/>
      <c r="L18" s="5344"/>
      <c r="M18" s="5344"/>
      <c r="N18" s="5344"/>
      <c r="O18" s="5344"/>
      <c r="P18" s="5344"/>
      <c r="Q18" s="5345"/>
      <c r="R18" s="1216"/>
      <c r="S18" s="1210"/>
      <c r="T18" s="1210"/>
      <c r="U18" s="615"/>
      <c r="V18" s="5343"/>
      <c r="W18" s="5344"/>
      <c r="X18" s="5344"/>
      <c r="Y18" s="5344"/>
      <c r="Z18" s="5344"/>
      <c r="AA18" s="5344"/>
      <c r="AB18" s="5344"/>
      <c r="AC18" s="5344"/>
      <c r="AD18" s="5344"/>
      <c r="AE18" s="5344"/>
      <c r="AF18" s="5344"/>
      <c r="AG18" s="5344"/>
      <c r="AH18" s="5344"/>
      <c r="AI18" s="5344"/>
      <c r="AJ18" s="5345"/>
      <c r="AK18" s="1216"/>
      <c r="AL18" s="1210"/>
      <c r="AM18" s="1210"/>
      <c r="AN18" s="615"/>
      <c r="AO18" s="5343"/>
      <c r="AP18" s="5344"/>
      <c r="AQ18" s="5344"/>
      <c r="AR18" s="5344"/>
      <c r="AS18" s="5344"/>
      <c r="AT18" s="5344"/>
      <c r="AU18" s="5344"/>
      <c r="AV18" s="5344"/>
      <c r="AW18" s="5344"/>
      <c r="AX18" s="5344"/>
      <c r="AY18" s="5344"/>
      <c r="AZ18" s="5344"/>
      <c r="BA18" s="5344"/>
      <c r="BB18" s="5344"/>
      <c r="BC18" s="5345"/>
      <c r="BD18" s="1216"/>
      <c r="BE18" s="1210"/>
    </row>
    <row r="19" spans="1:57" ht="12" customHeight="1" thickBot="1" x14ac:dyDescent="0.25">
      <c r="A19" s="1210"/>
      <c r="B19" s="615"/>
      <c r="C19" s="5346"/>
      <c r="D19" s="5347"/>
      <c r="E19" s="5347"/>
      <c r="F19" s="5347"/>
      <c r="G19" s="5347"/>
      <c r="H19" s="5347"/>
      <c r="I19" s="5347"/>
      <c r="J19" s="5347"/>
      <c r="K19" s="5347"/>
      <c r="L19" s="5347"/>
      <c r="M19" s="5347"/>
      <c r="N19" s="5347"/>
      <c r="O19" s="5347"/>
      <c r="P19" s="5347"/>
      <c r="Q19" s="5348"/>
      <c r="R19" s="1216"/>
      <c r="S19" s="1210"/>
      <c r="T19" s="1210"/>
      <c r="U19" s="615"/>
      <c r="V19" s="5346"/>
      <c r="W19" s="5347"/>
      <c r="X19" s="5347"/>
      <c r="Y19" s="5347"/>
      <c r="Z19" s="5347"/>
      <c r="AA19" s="5347"/>
      <c r="AB19" s="5347"/>
      <c r="AC19" s="5347"/>
      <c r="AD19" s="5347"/>
      <c r="AE19" s="5347"/>
      <c r="AF19" s="5347"/>
      <c r="AG19" s="5347"/>
      <c r="AH19" s="5347"/>
      <c r="AI19" s="5347"/>
      <c r="AJ19" s="5348"/>
      <c r="AK19" s="1216"/>
      <c r="AL19" s="1210"/>
      <c r="AM19" s="1210"/>
      <c r="AN19" s="615"/>
      <c r="AO19" s="5346"/>
      <c r="AP19" s="5347"/>
      <c r="AQ19" s="5347"/>
      <c r="AR19" s="5347"/>
      <c r="AS19" s="5347"/>
      <c r="AT19" s="5347"/>
      <c r="AU19" s="5347"/>
      <c r="AV19" s="5347"/>
      <c r="AW19" s="5347"/>
      <c r="AX19" s="5347"/>
      <c r="AY19" s="5347"/>
      <c r="AZ19" s="5347"/>
      <c r="BA19" s="5347"/>
      <c r="BB19" s="5347"/>
      <c r="BC19" s="5348"/>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3"/>
      <c r="D21" s="5314"/>
      <c r="E21" s="5314"/>
      <c r="F21" s="5314"/>
      <c r="G21" s="5314"/>
      <c r="H21" s="1230" t="s">
        <v>1630</v>
      </c>
      <c r="I21" s="1231" t="str">
        <f>IF(C21=0,"",VLOOKUP(C21,'Tablas Magia'!$D$6:$Z$680,3,FALSE))</f>
        <v/>
      </c>
      <c r="J21" s="5315" t="s">
        <v>8162</v>
      </c>
      <c r="K21" s="5315"/>
      <c r="L21" s="5315"/>
      <c r="M21" s="5316" t="str">
        <f>IF(C21=0,"",VLOOKUP(C21,'Tablas Magia'!$D$6:$Z$680,2,FALSE))</f>
        <v/>
      </c>
      <c r="N21" s="5316"/>
      <c r="O21" s="5316"/>
      <c r="P21" s="5316"/>
      <c r="Q21" s="5317"/>
      <c r="R21" s="1216"/>
      <c r="S21" s="1210"/>
      <c r="T21" s="1210"/>
      <c r="U21" s="615"/>
      <c r="V21" s="5313"/>
      <c r="W21" s="5314"/>
      <c r="X21" s="5314"/>
      <c r="Y21" s="5314"/>
      <c r="Z21" s="5314"/>
      <c r="AA21" s="1230" t="s">
        <v>1630</v>
      </c>
      <c r="AB21" s="1231" t="str">
        <f>IF(V21=0,"",VLOOKUP(V21,'Tablas Magia'!$D$6:$Z$680,3,FALSE))</f>
        <v/>
      </c>
      <c r="AC21" s="5315" t="s">
        <v>8162</v>
      </c>
      <c r="AD21" s="5315"/>
      <c r="AE21" s="5315"/>
      <c r="AF21" s="5316" t="str">
        <f>IF(V21=0,"",VLOOKUP(V21,'Tablas Magia'!$D$6:$Z$680,2,FALSE))</f>
        <v/>
      </c>
      <c r="AG21" s="5316"/>
      <c r="AH21" s="5316"/>
      <c r="AI21" s="5316"/>
      <c r="AJ21" s="5317"/>
      <c r="AK21" s="1216"/>
      <c r="AL21" s="1210"/>
      <c r="AM21" s="1210"/>
      <c r="AN21" s="615"/>
      <c r="AO21" s="5313"/>
      <c r="AP21" s="5314"/>
      <c r="AQ21" s="5314"/>
      <c r="AR21" s="5314"/>
      <c r="AS21" s="5314"/>
      <c r="AT21" s="1230" t="s">
        <v>1630</v>
      </c>
      <c r="AU21" s="1231" t="str">
        <f>IF(AO21=0,"",VLOOKUP(AO21,'Tablas Magia'!$D$6:$Z$680,3,FALSE))</f>
        <v/>
      </c>
      <c r="AV21" s="5315" t="s">
        <v>8162</v>
      </c>
      <c r="AW21" s="5315"/>
      <c r="AX21" s="5315"/>
      <c r="AY21" s="5316" t="str">
        <f>IF(AO21=0,"",VLOOKUP(AO21,'Tablas Magia'!$D$6:$Z$680,2,FALSE))</f>
        <v/>
      </c>
      <c r="AZ21" s="5316"/>
      <c r="BA21" s="5316"/>
      <c r="BB21" s="5316"/>
      <c r="BC21" s="5317"/>
      <c r="BD21" s="1216"/>
      <c r="BE21" s="1210"/>
    </row>
    <row r="22" spans="1:57" ht="12" customHeight="1" x14ac:dyDescent="0.2">
      <c r="A22" s="1210"/>
      <c r="B22" s="615"/>
      <c r="C22" s="5333" t="s">
        <v>8163</v>
      </c>
      <c r="D22" s="5334"/>
      <c r="E22" s="1232" t="s">
        <v>8164</v>
      </c>
      <c r="F22" s="1232" t="s">
        <v>1824</v>
      </c>
      <c r="G22" s="1232" t="s">
        <v>3467</v>
      </c>
      <c r="H22" s="1233" t="s">
        <v>2175</v>
      </c>
      <c r="I22" s="5330" t="str">
        <f>IF(C21=0,"",VLOOKUP(C21,'Tablas Magia'!$D$6:$Z$680,5,FALSE))</f>
        <v/>
      </c>
      <c r="J22" s="5330"/>
      <c r="K22" s="5331" t="s">
        <v>8165</v>
      </c>
      <c r="L22" s="5331"/>
      <c r="M22" s="5330" t="str">
        <f>IF(C21=0,"",VLOOKUP(C21,'Tablas Magia'!$D$6:$Z$680,6,FALSE))</f>
        <v/>
      </c>
      <c r="N22" s="5330"/>
      <c r="O22" s="5332" t="s">
        <v>8166</v>
      </c>
      <c r="P22" s="5332"/>
      <c r="Q22" s="1234" t="str">
        <f>IF(C21=0,"",VLOOKUP(C21,'Tablas Magia'!$D$6:$Z$680,4,FALSE))</f>
        <v/>
      </c>
      <c r="R22" s="1216"/>
      <c r="S22" s="1210"/>
      <c r="T22" s="1210"/>
      <c r="U22" s="615"/>
      <c r="V22" s="5333" t="s">
        <v>8163</v>
      </c>
      <c r="W22" s="5334"/>
      <c r="X22" s="1232" t="s">
        <v>8164</v>
      </c>
      <c r="Y22" s="1232" t="s">
        <v>1824</v>
      </c>
      <c r="Z22" s="1232" t="s">
        <v>3467</v>
      </c>
      <c r="AA22" s="1233" t="s">
        <v>2175</v>
      </c>
      <c r="AB22" s="5330" t="str">
        <f>IF(V21=0,"",VLOOKUP(V21,'Tablas Magia'!$D$6:$Z$680,5,FALSE))</f>
        <v/>
      </c>
      <c r="AC22" s="5330"/>
      <c r="AD22" s="5331" t="s">
        <v>8165</v>
      </c>
      <c r="AE22" s="5331"/>
      <c r="AF22" s="5330" t="str">
        <f>IF(V21=0,"",VLOOKUP(V21,'Tablas Magia'!$D$6:$Z$680,6,FALSE))</f>
        <v/>
      </c>
      <c r="AG22" s="5330"/>
      <c r="AH22" s="5332" t="s">
        <v>8166</v>
      </c>
      <c r="AI22" s="5332"/>
      <c r="AJ22" s="1234" t="str">
        <f>IF(V21=0,"",VLOOKUP(V21,'Tablas Magia'!$D$6:$Z$680,4,FALSE))</f>
        <v/>
      </c>
      <c r="AK22" s="1216"/>
      <c r="AL22" s="1210"/>
      <c r="AM22" s="1210"/>
      <c r="AN22" s="615"/>
      <c r="AO22" s="5333" t="s">
        <v>8163</v>
      </c>
      <c r="AP22" s="5334"/>
      <c r="AQ22" s="1232" t="s">
        <v>8164</v>
      </c>
      <c r="AR22" s="1232" t="s">
        <v>1824</v>
      </c>
      <c r="AS22" s="1232" t="s">
        <v>3467</v>
      </c>
      <c r="AT22" s="1233" t="s">
        <v>2175</v>
      </c>
      <c r="AU22" s="5330" t="str">
        <f>IF(AO21=0,"",VLOOKUP(AO21,'Tablas Magia'!$D$6:$Z$680,5,FALSE))</f>
        <v/>
      </c>
      <c r="AV22" s="5330"/>
      <c r="AW22" s="5331" t="s">
        <v>8165</v>
      </c>
      <c r="AX22" s="5331"/>
      <c r="AY22" s="5330" t="str">
        <f>IF(AO21=0,"",VLOOKUP(AO21,'Tablas Magia'!$D$6:$Z$680,6,FALSE))</f>
        <v/>
      </c>
      <c r="AZ22" s="5330"/>
      <c r="BA22" s="5332" t="s">
        <v>8166</v>
      </c>
      <c r="BB22" s="5332"/>
      <c r="BC22" s="1234" t="str">
        <f>IF(AO21=0,"",VLOOKUP(AO21,'Tablas Magia'!$D$6:$Z$680,4,FALSE))</f>
        <v/>
      </c>
      <c r="BD22" s="1216"/>
      <c r="BE22" s="1210"/>
    </row>
    <row r="23" spans="1:57" ht="12" customHeight="1" x14ac:dyDescent="0.2">
      <c r="A23" s="1210"/>
      <c r="B23" s="615"/>
      <c r="C23" s="5325" t="s">
        <v>1677</v>
      </c>
      <c r="D23" s="5326"/>
      <c r="E23" s="1235" t="str">
        <f>IF(C21=0,"",VLOOKUP(C21,'Tablas Magia'!$D$6:$Z$680,7,FALSE))</f>
        <v/>
      </c>
      <c r="F23" s="1235" t="str">
        <f>IF(C21=0,"",VLOOKUP(C21,'Tablas Magia'!$D$6:$Z$680,11,FALSE))</f>
        <v/>
      </c>
      <c r="G23" s="1236" t="str">
        <f>IF(C21=0,"",VLOOKUP(C21,'Tablas Magia'!$D$6:$Z$680,15,FALSE))</f>
        <v/>
      </c>
      <c r="H23" s="5327" t="str">
        <f>IF(C21=0,"",VLOOKUP(C21,'Tablas Magia'!$D$6:$Z$680,19,FALSE))</f>
        <v/>
      </c>
      <c r="I23" s="5328"/>
      <c r="J23" s="5328"/>
      <c r="K23" s="5328"/>
      <c r="L23" s="5328"/>
      <c r="M23" s="5328"/>
      <c r="N23" s="5328"/>
      <c r="O23" s="5328"/>
      <c r="P23" s="5328"/>
      <c r="Q23" s="5329"/>
      <c r="R23" s="1216"/>
      <c r="S23" s="1210"/>
      <c r="T23" s="1210"/>
      <c r="U23" s="615"/>
      <c r="V23" s="5325" t="s">
        <v>1677</v>
      </c>
      <c r="W23" s="5326"/>
      <c r="X23" s="1235" t="str">
        <f>IF(V21=0,"",VLOOKUP(V21,'Tablas Magia'!$D$6:$Z$680,7,FALSE))</f>
        <v/>
      </c>
      <c r="Y23" s="1235" t="str">
        <f>IF(V21=0,"",VLOOKUP(V21,'Tablas Magia'!$D$6:$Z$680,11,FALSE))</f>
        <v/>
      </c>
      <c r="Z23" s="1236" t="str">
        <f>IF(V21=0,"",VLOOKUP(V21,'Tablas Magia'!$D$6:$Z$680,15,FALSE))</f>
        <v/>
      </c>
      <c r="AA23" s="5327" t="str">
        <f>IF(V21=0,"",VLOOKUP(V21,'Tablas Magia'!$D$6:$Z$680,19,FALSE))</f>
        <v/>
      </c>
      <c r="AB23" s="5328"/>
      <c r="AC23" s="5328"/>
      <c r="AD23" s="5328"/>
      <c r="AE23" s="5328"/>
      <c r="AF23" s="5328"/>
      <c r="AG23" s="5328"/>
      <c r="AH23" s="5328"/>
      <c r="AI23" s="5328"/>
      <c r="AJ23" s="5329"/>
      <c r="AK23" s="1216"/>
      <c r="AL23" s="1210"/>
      <c r="AM23" s="1210"/>
      <c r="AN23" s="615"/>
      <c r="AO23" s="5325" t="s">
        <v>1677</v>
      </c>
      <c r="AP23" s="5326"/>
      <c r="AQ23" s="1235" t="str">
        <f>IF(AO21=0,"",VLOOKUP(AO21,'Tablas Magia'!$D$6:$Z$680,7,FALSE))</f>
        <v/>
      </c>
      <c r="AR23" s="1235" t="str">
        <f>IF(AO21=0,"",VLOOKUP(AO21,'Tablas Magia'!$D$6:$Z$680,11,FALSE))</f>
        <v/>
      </c>
      <c r="AS23" s="1236" t="str">
        <f>IF(AO21=0,"",VLOOKUP(AO21,'Tablas Magia'!$D$6:$Z$680,15,FALSE))</f>
        <v/>
      </c>
      <c r="AT23" s="5327" t="str">
        <f>IF(AO21=0,"",VLOOKUP(AO21,'Tablas Magia'!$D$6:$Z$680,19,FALSE))</f>
        <v/>
      </c>
      <c r="AU23" s="5328"/>
      <c r="AV23" s="5328"/>
      <c r="AW23" s="5328"/>
      <c r="AX23" s="5328"/>
      <c r="AY23" s="5328"/>
      <c r="AZ23" s="5328"/>
      <c r="BA23" s="5328"/>
      <c r="BB23" s="5328"/>
      <c r="BC23" s="5329"/>
      <c r="BD23" s="1216"/>
      <c r="BE23" s="1210"/>
    </row>
    <row r="24" spans="1:57" ht="12" customHeight="1" x14ac:dyDescent="0.2">
      <c r="A24" s="1210"/>
      <c r="B24" s="615"/>
      <c r="C24" s="5320" t="s">
        <v>4705</v>
      </c>
      <c r="D24" s="5321"/>
      <c r="E24" s="1237" t="str">
        <f>IF(C21=0,"",VLOOKUP(C21,'Tablas Magia'!$D$6:$Z$680,8,FALSE))</f>
        <v/>
      </c>
      <c r="F24" s="1237" t="str">
        <f>IF(C21=0,"",VLOOKUP(C21,'Tablas Magia'!$D$6:$Z$680,12,FALSE))</f>
        <v/>
      </c>
      <c r="G24" s="1238" t="str">
        <f>IF(C21=0,"",VLOOKUP(C21,'Tablas Magia'!$D$6:$Z$680,16,FALSE))</f>
        <v/>
      </c>
      <c r="H24" s="5322" t="str">
        <f>IF(C21=0,"",VLOOKUP(C21,'Tablas Magia'!$D$6:$Z$680,20,FALSE))</f>
        <v/>
      </c>
      <c r="I24" s="5323"/>
      <c r="J24" s="5323"/>
      <c r="K24" s="5323"/>
      <c r="L24" s="5323"/>
      <c r="M24" s="5323"/>
      <c r="N24" s="5323"/>
      <c r="O24" s="5323"/>
      <c r="P24" s="5323"/>
      <c r="Q24" s="5324"/>
      <c r="R24" s="1216"/>
      <c r="S24" s="1210"/>
      <c r="T24" s="1210"/>
      <c r="U24" s="615"/>
      <c r="V24" s="5320" t="s">
        <v>4705</v>
      </c>
      <c r="W24" s="5321"/>
      <c r="X24" s="1237" t="str">
        <f>IF(V21=0,"",VLOOKUP(V21,'Tablas Magia'!$D$6:$Z$680,8,FALSE))</f>
        <v/>
      </c>
      <c r="Y24" s="1237" t="str">
        <f>IF(V21=0,"",VLOOKUP(V21,'Tablas Magia'!$D$6:$Z$680,12,FALSE))</f>
        <v/>
      </c>
      <c r="Z24" s="1238" t="str">
        <f>IF(V21=0,"",VLOOKUP(V21,'Tablas Magia'!$D$6:$Z$680,16,FALSE))</f>
        <v/>
      </c>
      <c r="AA24" s="5322" t="str">
        <f>IF(V21=0,"",VLOOKUP(V21,'Tablas Magia'!$D$6:$Z$680,20,FALSE))</f>
        <v/>
      </c>
      <c r="AB24" s="5323"/>
      <c r="AC24" s="5323"/>
      <c r="AD24" s="5323"/>
      <c r="AE24" s="5323"/>
      <c r="AF24" s="5323"/>
      <c r="AG24" s="5323"/>
      <c r="AH24" s="5323"/>
      <c r="AI24" s="5323"/>
      <c r="AJ24" s="5324"/>
      <c r="AK24" s="1216"/>
      <c r="AL24" s="1210"/>
      <c r="AM24" s="1210"/>
      <c r="AN24" s="615"/>
      <c r="AO24" s="5320" t="s">
        <v>4705</v>
      </c>
      <c r="AP24" s="5321"/>
      <c r="AQ24" s="1237" t="str">
        <f>IF(AO21=0,"",VLOOKUP(AO21,'Tablas Magia'!$D$6:$Z$680,8,FALSE))</f>
        <v/>
      </c>
      <c r="AR24" s="1237" t="str">
        <f>IF(AO21=0,"",VLOOKUP(AO21,'Tablas Magia'!$D$6:$Z$680,12,FALSE))</f>
        <v/>
      </c>
      <c r="AS24" s="1238" t="str">
        <f>IF(AO21=0,"",VLOOKUP(AO21,'Tablas Magia'!$D$6:$Z$680,16,FALSE))</f>
        <v/>
      </c>
      <c r="AT24" s="5322" t="str">
        <f>IF(AO21=0,"",VLOOKUP(AO21,'Tablas Magia'!$D$6:$Z$680,20,FALSE))</f>
        <v/>
      </c>
      <c r="AU24" s="5323"/>
      <c r="AV24" s="5323"/>
      <c r="AW24" s="5323"/>
      <c r="AX24" s="5323"/>
      <c r="AY24" s="5323"/>
      <c r="AZ24" s="5323"/>
      <c r="BA24" s="5323"/>
      <c r="BB24" s="5323"/>
      <c r="BC24" s="5324"/>
      <c r="BD24" s="1216"/>
      <c r="BE24" s="1210"/>
    </row>
    <row r="25" spans="1:57" ht="12" customHeight="1" x14ac:dyDescent="0.2">
      <c r="A25" s="1210"/>
      <c r="B25" s="615"/>
      <c r="C25" s="5325" t="s">
        <v>4706</v>
      </c>
      <c r="D25" s="5326"/>
      <c r="E25" s="1235" t="str">
        <f>IF(C21=0,"",VLOOKUP(C21,'Tablas Magia'!$D$6:$Z$680,9,FALSE))</f>
        <v/>
      </c>
      <c r="F25" s="1235" t="str">
        <f>IF(C21=0,"",VLOOKUP(C21,'Tablas Magia'!$D$6:$Z$680,13,FALSE))</f>
        <v/>
      </c>
      <c r="G25" s="1236" t="str">
        <f>IF(C21=0,"",VLOOKUP(C21,'Tablas Magia'!$D$6:$Z$680,17,FALSE))</f>
        <v/>
      </c>
      <c r="H25" s="5327" t="str">
        <f>IF(C21=0,"",VLOOKUP(C21,'Tablas Magia'!$D$6:$Z$680,21,FALSE))</f>
        <v/>
      </c>
      <c r="I25" s="5328"/>
      <c r="J25" s="5328"/>
      <c r="K25" s="5328"/>
      <c r="L25" s="5328"/>
      <c r="M25" s="5328"/>
      <c r="N25" s="5328"/>
      <c r="O25" s="5328"/>
      <c r="P25" s="5328"/>
      <c r="Q25" s="5329"/>
      <c r="R25" s="1216"/>
      <c r="S25" s="1210"/>
      <c r="T25" s="1210"/>
      <c r="U25" s="615"/>
      <c r="V25" s="5325" t="s">
        <v>4706</v>
      </c>
      <c r="W25" s="5326"/>
      <c r="X25" s="1235" t="str">
        <f>IF(V21=0,"",VLOOKUP(V21,'Tablas Magia'!$D$6:$Z$680,9,FALSE))</f>
        <v/>
      </c>
      <c r="Y25" s="1235" t="str">
        <f>IF(V21=0,"",VLOOKUP(V21,'Tablas Magia'!$D$6:$Z$680,13,FALSE))</f>
        <v/>
      </c>
      <c r="Z25" s="1236" t="str">
        <f>IF(V21=0,"",VLOOKUP(V21,'Tablas Magia'!$D$6:$Z$680,17,FALSE))</f>
        <v/>
      </c>
      <c r="AA25" s="5327" t="str">
        <f>IF(V21=0,"",VLOOKUP(V21,'Tablas Magia'!$D$6:$Z$680,21,FALSE))</f>
        <v/>
      </c>
      <c r="AB25" s="5328"/>
      <c r="AC25" s="5328"/>
      <c r="AD25" s="5328"/>
      <c r="AE25" s="5328"/>
      <c r="AF25" s="5328"/>
      <c r="AG25" s="5328"/>
      <c r="AH25" s="5328"/>
      <c r="AI25" s="5328"/>
      <c r="AJ25" s="5329"/>
      <c r="AK25" s="1216"/>
      <c r="AL25" s="1210"/>
      <c r="AM25" s="1210"/>
      <c r="AN25" s="615"/>
      <c r="AO25" s="5325" t="s">
        <v>4706</v>
      </c>
      <c r="AP25" s="5326"/>
      <c r="AQ25" s="1235" t="str">
        <f>IF(AO21=0,"",VLOOKUP(AO21,'Tablas Magia'!$D$6:$Z$680,9,FALSE))</f>
        <v/>
      </c>
      <c r="AR25" s="1235" t="str">
        <f>IF(AO21=0,"",VLOOKUP(AO21,'Tablas Magia'!$D$6:$Z$680,13,FALSE))</f>
        <v/>
      </c>
      <c r="AS25" s="1236" t="str">
        <f>IF(AO21=0,"",VLOOKUP(AO21,'Tablas Magia'!$D$6:$Z$680,17,FALSE))</f>
        <v/>
      </c>
      <c r="AT25" s="5327" t="str">
        <f>IF(AO21=0,"",VLOOKUP(AO21,'Tablas Magia'!$D$6:$Z$680,21,FALSE))</f>
        <v/>
      </c>
      <c r="AU25" s="5328"/>
      <c r="AV25" s="5328"/>
      <c r="AW25" s="5328"/>
      <c r="AX25" s="5328"/>
      <c r="AY25" s="5328"/>
      <c r="AZ25" s="5328"/>
      <c r="BA25" s="5328"/>
      <c r="BB25" s="5328"/>
      <c r="BC25" s="5329"/>
      <c r="BD25" s="1216"/>
      <c r="BE25" s="1210"/>
    </row>
    <row r="26" spans="1:57" ht="12" customHeight="1" thickBot="1" x14ac:dyDescent="0.25">
      <c r="A26" s="1210"/>
      <c r="B26" s="615"/>
      <c r="C26" s="5335" t="s">
        <v>4707</v>
      </c>
      <c r="D26" s="5336"/>
      <c r="E26" s="1239" t="str">
        <f>IF(C21=0,"",VLOOKUP(C21,'Tablas Magia'!$D$6:$Z$680,10,FALSE))</f>
        <v/>
      </c>
      <c r="F26" s="1239" t="str">
        <f>IF(C21=0,"",VLOOKUP(C21,'Tablas Magia'!$D$6:$Z$680,14,FALSE))</f>
        <v/>
      </c>
      <c r="G26" s="1240" t="str">
        <f>IF(C21=0,"",VLOOKUP(C21,'Tablas Magia'!$D$6:$Z$680,18,FALSE))</f>
        <v/>
      </c>
      <c r="H26" s="5337" t="str">
        <f>IF(C21=0,"",VLOOKUP(C21,'Tablas Magia'!$D$6:$Z$680,22,FALSE))</f>
        <v/>
      </c>
      <c r="I26" s="5338"/>
      <c r="J26" s="5338"/>
      <c r="K26" s="5338"/>
      <c r="L26" s="5338"/>
      <c r="M26" s="5338"/>
      <c r="N26" s="5338"/>
      <c r="O26" s="5338"/>
      <c r="P26" s="5338"/>
      <c r="Q26" s="5339"/>
      <c r="R26" s="1216"/>
      <c r="S26" s="1210"/>
      <c r="T26" s="1210"/>
      <c r="U26" s="615"/>
      <c r="V26" s="5335" t="s">
        <v>4707</v>
      </c>
      <c r="W26" s="5336"/>
      <c r="X26" s="1239" t="str">
        <f>IF(V21=0,"",VLOOKUP(V21,'Tablas Magia'!$D$6:$Z$680,10,FALSE))</f>
        <v/>
      </c>
      <c r="Y26" s="1239" t="str">
        <f>IF(V21=0,"",VLOOKUP(V21,'Tablas Magia'!$D$6:$Z$680,14,FALSE))</f>
        <v/>
      </c>
      <c r="Z26" s="1240" t="str">
        <f>IF(V21=0,"",VLOOKUP(V21,'Tablas Magia'!$D$6:$Z$680,18,FALSE))</f>
        <v/>
      </c>
      <c r="AA26" s="5337" t="str">
        <f>IF(V21=0,"",VLOOKUP(V21,'Tablas Magia'!$D$6:$Z$680,22,FALSE))</f>
        <v/>
      </c>
      <c r="AB26" s="5338"/>
      <c r="AC26" s="5338"/>
      <c r="AD26" s="5338"/>
      <c r="AE26" s="5338"/>
      <c r="AF26" s="5338"/>
      <c r="AG26" s="5338"/>
      <c r="AH26" s="5338"/>
      <c r="AI26" s="5338"/>
      <c r="AJ26" s="5339"/>
      <c r="AK26" s="1216"/>
      <c r="AL26" s="1210"/>
      <c r="AM26" s="1210"/>
      <c r="AN26" s="615"/>
      <c r="AO26" s="5335" t="s">
        <v>4707</v>
      </c>
      <c r="AP26" s="5336"/>
      <c r="AQ26" s="1239" t="str">
        <f>IF(AO21=0,"",VLOOKUP(AO21,'Tablas Magia'!$D$6:$Z$680,10,FALSE))</f>
        <v/>
      </c>
      <c r="AR26" s="1239" t="str">
        <f>IF(AO21=0,"",VLOOKUP(AO21,'Tablas Magia'!$D$6:$Z$680,14,FALSE))</f>
        <v/>
      </c>
      <c r="AS26" s="1240" t="str">
        <f>IF(AO21=0,"",VLOOKUP(AO21,'Tablas Magia'!$D$6:$Z$680,18,FALSE))</f>
        <v/>
      </c>
      <c r="AT26" s="5337" t="str">
        <f>IF(AO21=0,"",VLOOKUP(AO21,'Tablas Magia'!$D$6:$Z$680,22,FALSE))</f>
        <v/>
      </c>
      <c r="AU26" s="5338"/>
      <c r="AV26" s="5338"/>
      <c r="AW26" s="5338"/>
      <c r="AX26" s="5338"/>
      <c r="AY26" s="5338"/>
      <c r="AZ26" s="5338"/>
      <c r="BA26" s="5338"/>
      <c r="BB26" s="5338"/>
      <c r="BC26" s="5339"/>
      <c r="BD26" s="1216"/>
      <c r="BE26" s="1210"/>
    </row>
    <row r="27" spans="1:57" ht="12" customHeight="1" x14ac:dyDescent="0.2">
      <c r="A27" s="1210"/>
      <c r="B27" s="615"/>
      <c r="C27" s="5340" t="str">
        <f>IF(C21=0,"",VLOOKUP(C21,'Tablas Magia'!$D$6:$Z$680,23,FALSE))</f>
        <v/>
      </c>
      <c r="D27" s="5341"/>
      <c r="E27" s="5341"/>
      <c r="F27" s="5341"/>
      <c r="G27" s="5341"/>
      <c r="H27" s="5341"/>
      <c r="I27" s="5341"/>
      <c r="J27" s="5341"/>
      <c r="K27" s="5341"/>
      <c r="L27" s="5341"/>
      <c r="M27" s="5341"/>
      <c r="N27" s="5341"/>
      <c r="O27" s="5341"/>
      <c r="P27" s="5341"/>
      <c r="Q27" s="5342"/>
      <c r="R27" s="1216"/>
      <c r="S27" s="1210"/>
      <c r="T27" s="1210"/>
      <c r="U27" s="615"/>
      <c r="V27" s="5340" t="str">
        <f>IF(V21=0,"",VLOOKUP(V21,'Tablas Magia'!$D$6:$Z$680,23,FALSE))</f>
        <v/>
      </c>
      <c r="W27" s="5341"/>
      <c r="X27" s="5341"/>
      <c r="Y27" s="5341"/>
      <c r="Z27" s="5341"/>
      <c r="AA27" s="5341"/>
      <c r="AB27" s="5341"/>
      <c r="AC27" s="5341"/>
      <c r="AD27" s="5341"/>
      <c r="AE27" s="5341"/>
      <c r="AF27" s="5341"/>
      <c r="AG27" s="5341"/>
      <c r="AH27" s="5341"/>
      <c r="AI27" s="5341"/>
      <c r="AJ27" s="5342"/>
      <c r="AK27" s="1216"/>
      <c r="AL27" s="1210"/>
      <c r="AM27" s="1210"/>
      <c r="AN27" s="615"/>
      <c r="AO27" s="5340" t="str">
        <f>IF(AO21=0,"",VLOOKUP(AO21,'Tablas Magia'!$D$6:$Z$680,23,FALSE))</f>
        <v/>
      </c>
      <c r="AP27" s="5341"/>
      <c r="AQ27" s="5341"/>
      <c r="AR27" s="5341"/>
      <c r="AS27" s="5341"/>
      <c r="AT27" s="5341"/>
      <c r="AU27" s="5341"/>
      <c r="AV27" s="5341"/>
      <c r="AW27" s="5341"/>
      <c r="AX27" s="5341"/>
      <c r="AY27" s="5341"/>
      <c r="AZ27" s="5341"/>
      <c r="BA27" s="5341"/>
      <c r="BB27" s="5341"/>
      <c r="BC27" s="5342"/>
      <c r="BD27" s="1216"/>
      <c r="BE27" s="1210"/>
    </row>
    <row r="28" spans="1:57" ht="12" customHeight="1" x14ac:dyDescent="0.2">
      <c r="A28" s="1210"/>
      <c r="B28" s="615"/>
      <c r="C28" s="5343"/>
      <c r="D28" s="5344"/>
      <c r="E28" s="5344"/>
      <c r="F28" s="5344"/>
      <c r="G28" s="5344"/>
      <c r="H28" s="5344"/>
      <c r="I28" s="5344"/>
      <c r="J28" s="5344"/>
      <c r="K28" s="5344"/>
      <c r="L28" s="5344"/>
      <c r="M28" s="5344"/>
      <c r="N28" s="5344"/>
      <c r="O28" s="5344"/>
      <c r="P28" s="5344"/>
      <c r="Q28" s="5345"/>
      <c r="R28" s="1216"/>
      <c r="S28" s="1210"/>
      <c r="T28" s="1210"/>
      <c r="U28" s="615"/>
      <c r="V28" s="5343"/>
      <c r="W28" s="5344"/>
      <c r="X28" s="5344"/>
      <c r="Y28" s="5344"/>
      <c r="Z28" s="5344"/>
      <c r="AA28" s="5344"/>
      <c r="AB28" s="5344"/>
      <c r="AC28" s="5344"/>
      <c r="AD28" s="5344"/>
      <c r="AE28" s="5344"/>
      <c r="AF28" s="5344"/>
      <c r="AG28" s="5344"/>
      <c r="AH28" s="5344"/>
      <c r="AI28" s="5344"/>
      <c r="AJ28" s="5345"/>
      <c r="AK28" s="1216"/>
      <c r="AL28" s="1210"/>
      <c r="AM28" s="1210"/>
      <c r="AN28" s="615"/>
      <c r="AO28" s="5343"/>
      <c r="AP28" s="5344"/>
      <c r="AQ28" s="5344"/>
      <c r="AR28" s="5344"/>
      <c r="AS28" s="5344"/>
      <c r="AT28" s="5344"/>
      <c r="AU28" s="5344"/>
      <c r="AV28" s="5344"/>
      <c r="AW28" s="5344"/>
      <c r="AX28" s="5344"/>
      <c r="AY28" s="5344"/>
      <c r="AZ28" s="5344"/>
      <c r="BA28" s="5344"/>
      <c r="BB28" s="5344"/>
      <c r="BC28" s="5345"/>
      <c r="BD28" s="1216"/>
      <c r="BE28" s="1210"/>
    </row>
    <row r="29" spans="1:57" ht="12" customHeight="1" x14ac:dyDescent="0.2">
      <c r="A29" s="1210"/>
      <c r="B29" s="615"/>
      <c r="C29" s="5343"/>
      <c r="D29" s="5344"/>
      <c r="E29" s="5344"/>
      <c r="F29" s="5344"/>
      <c r="G29" s="5344"/>
      <c r="H29" s="5344"/>
      <c r="I29" s="5344"/>
      <c r="J29" s="5344"/>
      <c r="K29" s="5344"/>
      <c r="L29" s="5344"/>
      <c r="M29" s="5344"/>
      <c r="N29" s="5344"/>
      <c r="O29" s="5344"/>
      <c r="P29" s="5344"/>
      <c r="Q29" s="5345"/>
      <c r="R29" s="1216"/>
      <c r="S29" s="1210"/>
      <c r="T29" s="1210"/>
      <c r="U29" s="615"/>
      <c r="V29" s="5343"/>
      <c r="W29" s="5344"/>
      <c r="X29" s="5344"/>
      <c r="Y29" s="5344"/>
      <c r="Z29" s="5344"/>
      <c r="AA29" s="5344"/>
      <c r="AB29" s="5344"/>
      <c r="AC29" s="5344"/>
      <c r="AD29" s="5344"/>
      <c r="AE29" s="5344"/>
      <c r="AF29" s="5344"/>
      <c r="AG29" s="5344"/>
      <c r="AH29" s="5344"/>
      <c r="AI29" s="5344"/>
      <c r="AJ29" s="5345"/>
      <c r="AK29" s="1216"/>
      <c r="AL29" s="1210"/>
      <c r="AM29" s="1210"/>
      <c r="AN29" s="615"/>
      <c r="AO29" s="5343"/>
      <c r="AP29" s="5344"/>
      <c r="AQ29" s="5344"/>
      <c r="AR29" s="5344"/>
      <c r="AS29" s="5344"/>
      <c r="AT29" s="5344"/>
      <c r="AU29" s="5344"/>
      <c r="AV29" s="5344"/>
      <c r="AW29" s="5344"/>
      <c r="AX29" s="5344"/>
      <c r="AY29" s="5344"/>
      <c r="AZ29" s="5344"/>
      <c r="BA29" s="5344"/>
      <c r="BB29" s="5344"/>
      <c r="BC29" s="5345"/>
      <c r="BD29" s="1216"/>
      <c r="BE29" s="1210"/>
    </row>
    <row r="30" spans="1:57" ht="12" customHeight="1" thickBot="1" x14ac:dyDescent="0.25">
      <c r="A30" s="1210"/>
      <c r="B30" s="615"/>
      <c r="C30" s="5346"/>
      <c r="D30" s="5347"/>
      <c r="E30" s="5347"/>
      <c r="F30" s="5347"/>
      <c r="G30" s="5347"/>
      <c r="H30" s="5347"/>
      <c r="I30" s="5347"/>
      <c r="J30" s="5347"/>
      <c r="K30" s="5347"/>
      <c r="L30" s="5347"/>
      <c r="M30" s="5347"/>
      <c r="N30" s="5347"/>
      <c r="O30" s="5347"/>
      <c r="P30" s="5347"/>
      <c r="Q30" s="5348"/>
      <c r="R30" s="1216"/>
      <c r="S30" s="1210"/>
      <c r="T30" s="1210"/>
      <c r="U30" s="615"/>
      <c r="V30" s="5346"/>
      <c r="W30" s="5347"/>
      <c r="X30" s="5347"/>
      <c r="Y30" s="5347"/>
      <c r="Z30" s="5347"/>
      <c r="AA30" s="5347"/>
      <c r="AB30" s="5347"/>
      <c r="AC30" s="5347"/>
      <c r="AD30" s="5347"/>
      <c r="AE30" s="5347"/>
      <c r="AF30" s="5347"/>
      <c r="AG30" s="5347"/>
      <c r="AH30" s="5347"/>
      <c r="AI30" s="5347"/>
      <c r="AJ30" s="5348"/>
      <c r="AK30" s="1216"/>
      <c r="AL30" s="1210"/>
      <c r="AM30" s="1210"/>
      <c r="AN30" s="615"/>
      <c r="AO30" s="5346"/>
      <c r="AP30" s="5347"/>
      <c r="AQ30" s="5347"/>
      <c r="AR30" s="5347"/>
      <c r="AS30" s="5347"/>
      <c r="AT30" s="5347"/>
      <c r="AU30" s="5347"/>
      <c r="AV30" s="5347"/>
      <c r="AW30" s="5347"/>
      <c r="AX30" s="5347"/>
      <c r="AY30" s="5347"/>
      <c r="AZ30" s="5347"/>
      <c r="BA30" s="5347"/>
      <c r="BB30" s="5347"/>
      <c r="BC30" s="5348"/>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3"/>
      <c r="D32" s="5314"/>
      <c r="E32" s="5314"/>
      <c r="F32" s="5314"/>
      <c r="G32" s="5314"/>
      <c r="H32" s="1230" t="s">
        <v>1630</v>
      </c>
      <c r="I32" s="1231" t="str">
        <f>IF(C32=0,"",VLOOKUP(C32,'Tablas Magia'!$D$6:$Z$680,3,FALSE))</f>
        <v/>
      </c>
      <c r="J32" s="5315" t="s">
        <v>8162</v>
      </c>
      <c r="K32" s="5315"/>
      <c r="L32" s="5315"/>
      <c r="M32" s="5316" t="str">
        <f>IF(C32=0,"",VLOOKUP(C32,'Tablas Magia'!$D$6:$Z$680,2,FALSE))</f>
        <v/>
      </c>
      <c r="N32" s="5316"/>
      <c r="O32" s="5316"/>
      <c r="P32" s="5316"/>
      <c r="Q32" s="5317"/>
      <c r="R32" s="1216"/>
      <c r="S32" s="1210"/>
      <c r="T32" s="1210"/>
      <c r="U32" s="615"/>
      <c r="V32" s="5313"/>
      <c r="W32" s="5314"/>
      <c r="X32" s="5314"/>
      <c r="Y32" s="5314"/>
      <c r="Z32" s="5314"/>
      <c r="AA32" s="1230" t="s">
        <v>1630</v>
      </c>
      <c r="AB32" s="1231" t="str">
        <f>IF(V32=0,"",VLOOKUP(V32,'Tablas Magia'!$D$6:$Z$680,3,FALSE))</f>
        <v/>
      </c>
      <c r="AC32" s="5315" t="s">
        <v>8162</v>
      </c>
      <c r="AD32" s="5315"/>
      <c r="AE32" s="5315"/>
      <c r="AF32" s="5316" t="str">
        <f>IF(V32=0,"",VLOOKUP(V32,'Tablas Magia'!$D$6:$Z$680,2,FALSE))</f>
        <v/>
      </c>
      <c r="AG32" s="5316"/>
      <c r="AH32" s="5316"/>
      <c r="AI32" s="5316"/>
      <c r="AJ32" s="5317"/>
      <c r="AK32" s="1216"/>
      <c r="AL32" s="1210"/>
      <c r="AM32" s="1210"/>
      <c r="AN32" s="615"/>
      <c r="AO32" s="5313"/>
      <c r="AP32" s="5314"/>
      <c r="AQ32" s="5314"/>
      <c r="AR32" s="5314"/>
      <c r="AS32" s="5314"/>
      <c r="AT32" s="1230" t="s">
        <v>1630</v>
      </c>
      <c r="AU32" s="1231" t="str">
        <f>IF(AO32=0,"",VLOOKUP(AO32,'Tablas Magia'!$D$6:$Z$680,3,FALSE))</f>
        <v/>
      </c>
      <c r="AV32" s="5315" t="s">
        <v>8162</v>
      </c>
      <c r="AW32" s="5315"/>
      <c r="AX32" s="5315"/>
      <c r="AY32" s="5316" t="str">
        <f>IF(AO32=0,"",VLOOKUP(AO32,'Tablas Magia'!$D$6:$Z$680,2,FALSE))</f>
        <v/>
      </c>
      <c r="AZ32" s="5316"/>
      <c r="BA32" s="5316"/>
      <c r="BB32" s="5316"/>
      <c r="BC32" s="5317"/>
      <c r="BD32" s="1216"/>
      <c r="BE32" s="1210"/>
    </row>
    <row r="33" spans="1:57" ht="12" customHeight="1" x14ac:dyDescent="0.2">
      <c r="A33" s="1210"/>
      <c r="B33" s="615"/>
      <c r="C33" s="5333" t="s">
        <v>8163</v>
      </c>
      <c r="D33" s="5334"/>
      <c r="E33" s="1232" t="s">
        <v>8164</v>
      </c>
      <c r="F33" s="1232" t="s">
        <v>1824</v>
      </c>
      <c r="G33" s="1232" t="s">
        <v>3467</v>
      </c>
      <c r="H33" s="1233" t="s">
        <v>2175</v>
      </c>
      <c r="I33" s="5330" t="str">
        <f>IF(C32=0,"",VLOOKUP(C32,'Tablas Magia'!$D$6:$Z$680,5,FALSE))</f>
        <v/>
      </c>
      <c r="J33" s="5330"/>
      <c r="K33" s="5331" t="s">
        <v>8165</v>
      </c>
      <c r="L33" s="5331"/>
      <c r="M33" s="5330" t="str">
        <f>IF(C32=0,"",VLOOKUP(C32,'Tablas Magia'!$D$6:$Z$680,6,FALSE))</f>
        <v/>
      </c>
      <c r="N33" s="5330"/>
      <c r="O33" s="5332" t="s">
        <v>8166</v>
      </c>
      <c r="P33" s="5332"/>
      <c r="Q33" s="1234" t="str">
        <f>IF(C32=0,"",VLOOKUP(C32,'Tablas Magia'!$D$6:$Z$680,4,FALSE))</f>
        <v/>
      </c>
      <c r="R33" s="1216"/>
      <c r="S33" s="1210"/>
      <c r="T33" s="1210"/>
      <c r="U33" s="615"/>
      <c r="V33" s="5333" t="s">
        <v>8163</v>
      </c>
      <c r="W33" s="5334"/>
      <c r="X33" s="1232" t="s">
        <v>8164</v>
      </c>
      <c r="Y33" s="1232" t="s">
        <v>1824</v>
      </c>
      <c r="Z33" s="1232" t="s">
        <v>3467</v>
      </c>
      <c r="AA33" s="1233" t="s">
        <v>2175</v>
      </c>
      <c r="AB33" s="5330" t="str">
        <f>IF(V32=0,"",VLOOKUP(V32,'Tablas Magia'!$D$6:$Z$680,5,FALSE))</f>
        <v/>
      </c>
      <c r="AC33" s="5330"/>
      <c r="AD33" s="5331" t="s">
        <v>8165</v>
      </c>
      <c r="AE33" s="5331"/>
      <c r="AF33" s="5330" t="str">
        <f>IF(V32=0,"",VLOOKUP(V32,'Tablas Magia'!$D$6:$Z$680,6,FALSE))</f>
        <v/>
      </c>
      <c r="AG33" s="5330"/>
      <c r="AH33" s="5332" t="s">
        <v>8166</v>
      </c>
      <c r="AI33" s="5332"/>
      <c r="AJ33" s="1234" t="str">
        <f>IF(V32=0,"",VLOOKUP(V32,'Tablas Magia'!$D$6:$Z$680,4,FALSE))</f>
        <v/>
      </c>
      <c r="AK33" s="1216"/>
      <c r="AL33" s="1210"/>
      <c r="AM33" s="1210"/>
      <c r="AN33" s="615"/>
      <c r="AO33" s="5333" t="s">
        <v>8163</v>
      </c>
      <c r="AP33" s="5334"/>
      <c r="AQ33" s="1232" t="s">
        <v>8164</v>
      </c>
      <c r="AR33" s="1232" t="s">
        <v>1824</v>
      </c>
      <c r="AS33" s="1232" t="s">
        <v>3467</v>
      </c>
      <c r="AT33" s="1233" t="s">
        <v>2175</v>
      </c>
      <c r="AU33" s="5330" t="str">
        <f>IF(AO32=0,"",VLOOKUP(AO32,'Tablas Magia'!$D$6:$Z$680,5,FALSE))</f>
        <v/>
      </c>
      <c r="AV33" s="5330"/>
      <c r="AW33" s="5331" t="s">
        <v>8165</v>
      </c>
      <c r="AX33" s="5331"/>
      <c r="AY33" s="5330" t="str">
        <f>IF(AO32=0,"",VLOOKUP(AO32,'Tablas Magia'!$D$6:$Z$680,6,FALSE))</f>
        <v/>
      </c>
      <c r="AZ33" s="5330"/>
      <c r="BA33" s="5332" t="s">
        <v>8166</v>
      </c>
      <c r="BB33" s="5332"/>
      <c r="BC33" s="1234" t="str">
        <f>IF(AO32=0,"",VLOOKUP(AO32,'Tablas Magia'!$D$6:$Z$680,4,FALSE))</f>
        <v/>
      </c>
      <c r="BD33" s="1216"/>
      <c r="BE33" s="1210"/>
    </row>
    <row r="34" spans="1:57" ht="12" customHeight="1" x14ac:dyDescent="0.2">
      <c r="A34" s="1210"/>
      <c r="B34" s="615"/>
      <c r="C34" s="5325" t="s">
        <v>1677</v>
      </c>
      <c r="D34" s="5326"/>
      <c r="E34" s="1235" t="str">
        <f>IF(C32=0,"",VLOOKUP(C32,'Tablas Magia'!$D$6:$Z$680,7,FALSE))</f>
        <v/>
      </c>
      <c r="F34" s="1235" t="str">
        <f>IF(C32=0,"",VLOOKUP(C32,'Tablas Magia'!$D$6:$Z$680,11,FALSE))</f>
        <v/>
      </c>
      <c r="G34" s="1236" t="str">
        <f>IF(C32=0,"",VLOOKUP(C32,'Tablas Magia'!$D$6:$Z$680,15,FALSE))</f>
        <v/>
      </c>
      <c r="H34" s="5327" t="str">
        <f>IF(C32=0,"",VLOOKUP(C32,'Tablas Magia'!$D$6:$Z$680,19,FALSE))</f>
        <v/>
      </c>
      <c r="I34" s="5328"/>
      <c r="J34" s="5328"/>
      <c r="K34" s="5328"/>
      <c r="L34" s="5328"/>
      <c r="M34" s="5328"/>
      <c r="N34" s="5328"/>
      <c r="O34" s="5328"/>
      <c r="P34" s="5328"/>
      <c r="Q34" s="5329"/>
      <c r="R34" s="1216"/>
      <c r="S34" s="1210"/>
      <c r="T34" s="1210"/>
      <c r="U34" s="615"/>
      <c r="V34" s="5325" t="s">
        <v>1677</v>
      </c>
      <c r="W34" s="5326"/>
      <c r="X34" s="1235" t="str">
        <f>IF(V32=0,"",VLOOKUP(V32,'Tablas Magia'!$D$6:$Z$680,7,FALSE))</f>
        <v/>
      </c>
      <c r="Y34" s="1235" t="str">
        <f>IF(V32=0,"",VLOOKUP(V32,'Tablas Magia'!$D$6:$Z$680,11,FALSE))</f>
        <v/>
      </c>
      <c r="Z34" s="1236" t="str">
        <f>IF(V32=0,"",VLOOKUP(V32,'Tablas Magia'!$D$6:$Z$680,15,FALSE))</f>
        <v/>
      </c>
      <c r="AA34" s="5327" t="str">
        <f>IF(V32=0,"",VLOOKUP(V32,'Tablas Magia'!$D$6:$Z$680,19,FALSE))</f>
        <v/>
      </c>
      <c r="AB34" s="5328"/>
      <c r="AC34" s="5328"/>
      <c r="AD34" s="5328"/>
      <c r="AE34" s="5328"/>
      <c r="AF34" s="5328"/>
      <c r="AG34" s="5328"/>
      <c r="AH34" s="5328"/>
      <c r="AI34" s="5328"/>
      <c r="AJ34" s="5329"/>
      <c r="AK34" s="1216"/>
      <c r="AL34" s="1210"/>
      <c r="AM34" s="1210"/>
      <c r="AN34" s="615"/>
      <c r="AO34" s="5325" t="s">
        <v>1677</v>
      </c>
      <c r="AP34" s="5326"/>
      <c r="AQ34" s="1235" t="str">
        <f>IF(AO32=0,"",VLOOKUP(AO32,'Tablas Magia'!$D$6:$Z$680,7,FALSE))</f>
        <v/>
      </c>
      <c r="AR34" s="1235" t="str">
        <f>IF(AO32=0,"",VLOOKUP(AO32,'Tablas Magia'!$D$6:$Z$680,11,FALSE))</f>
        <v/>
      </c>
      <c r="AS34" s="1236" t="str">
        <f>IF(AO32=0,"",VLOOKUP(AO32,'Tablas Magia'!$D$6:$Z$680,15,FALSE))</f>
        <v/>
      </c>
      <c r="AT34" s="5327" t="str">
        <f>IF(AO32=0,"",VLOOKUP(AO32,'Tablas Magia'!$D$6:$Z$680,19,FALSE))</f>
        <v/>
      </c>
      <c r="AU34" s="5328"/>
      <c r="AV34" s="5328"/>
      <c r="AW34" s="5328"/>
      <c r="AX34" s="5328"/>
      <c r="AY34" s="5328"/>
      <c r="AZ34" s="5328"/>
      <c r="BA34" s="5328"/>
      <c r="BB34" s="5328"/>
      <c r="BC34" s="5329"/>
      <c r="BD34" s="1216"/>
      <c r="BE34" s="1210"/>
    </row>
    <row r="35" spans="1:57" ht="12" customHeight="1" x14ac:dyDescent="0.2">
      <c r="A35" s="1210"/>
      <c r="B35" s="615"/>
      <c r="C35" s="5320" t="s">
        <v>4705</v>
      </c>
      <c r="D35" s="5321"/>
      <c r="E35" s="1237" t="str">
        <f>IF(C32=0,"",VLOOKUP(C32,'Tablas Magia'!$D$6:$Z$680,8,FALSE))</f>
        <v/>
      </c>
      <c r="F35" s="1237" t="str">
        <f>IF(C32=0,"",VLOOKUP(C32,'Tablas Magia'!$D$6:$Z$680,12,FALSE))</f>
        <v/>
      </c>
      <c r="G35" s="1238" t="str">
        <f>IF(C32=0,"",VLOOKUP(C32,'Tablas Magia'!$D$6:$Z$680,16,FALSE))</f>
        <v/>
      </c>
      <c r="H35" s="5322" t="str">
        <f>IF(C32=0,"",VLOOKUP(C32,'Tablas Magia'!$D$6:$Z$680,20,FALSE))</f>
        <v/>
      </c>
      <c r="I35" s="5323"/>
      <c r="J35" s="5323"/>
      <c r="K35" s="5323"/>
      <c r="L35" s="5323"/>
      <c r="M35" s="5323"/>
      <c r="N35" s="5323"/>
      <c r="O35" s="5323"/>
      <c r="P35" s="5323"/>
      <c r="Q35" s="5324"/>
      <c r="R35" s="1216"/>
      <c r="S35" s="1210"/>
      <c r="T35" s="1210"/>
      <c r="U35" s="615"/>
      <c r="V35" s="5320" t="s">
        <v>4705</v>
      </c>
      <c r="W35" s="5321"/>
      <c r="X35" s="1237" t="str">
        <f>IF(V32=0,"",VLOOKUP(V32,'Tablas Magia'!$D$6:$Z$680,8,FALSE))</f>
        <v/>
      </c>
      <c r="Y35" s="1237" t="str">
        <f>IF(V32=0,"",VLOOKUP(V32,'Tablas Magia'!$D$6:$Z$680,12,FALSE))</f>
        <v/>
      </c>
      <c r="Z35" s="1238" t="str">
        <f>IF(V32=0,"",VLOOKUP(V32,'Tablas Magia'!$D$6:$Z$680,16,FALSE))</f>
        <v/>
      </c>
      <c r="AA35" s="5322" t="str">
        <f>IF(V32=0,"",VLOOKUP(V32,'Tablas Magia'!$D$6:$Z$680,20,FALSE))</f>
        <v/>
      </c>
      <c r="AB35" s="5323"/>
      <c r="AC35" s="5323"/>
      <c r="AD35" s="5323"/>
      <c r="AE35" s="5323"/>
      <c r="AF35" s="5323"/>
      <c r="AG35" s="5323"/>
      <c r="AH35" s="5323"/>
      <c r="AI35" s="5323"/>
      <c r="AJ35" s="5324"/>
      <c r="AK35" s="1216"/>
      <c r="AL35" s="1210"/>
      <c r="AM35" s="1210"/>
      <c r="AN35" s="615"/>
      <c r="AO35" s="5320" t="s">
        <v>4705</v>
      </c>
      <c r="AP35" s="5321"/>
      <c r="AQ35" s="1237" t="str">
        <f>IF(AO32=0,"",VLOOKUP(AO32,'Tablas Magia'!$D$6:$Z$680,8,FALSE))</f>
        <v/>
      </c>
      <c r="AR35" s="1237" t="str">
        <f>IF(AO32=0,"",VLOOKUP(AO32,'Tablas Magia'!$D$6:$Z$680,12,FALSE))</f>
        <v/>
      </c>
      <c r="AS35" s="1238" t="str">
        <f>IF(AO32=0,"",VLOOKUP(AO32,'Tablas Magia'!$D$6:$Z$680,16,FALSE))</f>
        <v/>
      </c>
      <c r="AT35" s="5322" t="str">
        <f>IF(AO32=0,"",VLOOKUP(AO32,'Tablas Magia'!$D$6:$Z$680,20,FALSE))</f>
        <v/>
      </c>
      <c r="AU35" s="5323"/>
      <c r="AV35" s="5323"/>
      <c r="AW35" s="5323"/>
      <c r="AX35" s="5323"/>
      <c r="AY35" s="5323"/>
      <c r="AZ35" s="5323"/>
      <c r="BA35" s="5323"/>
      <c r="BB35" s="5323"/>
      <c r="BC35" s="5324"/>
      <c r="BD35" s="1216"/>
      <c r="BE35" s="1210"/>
    </row>
    <row r="36" spans="1:57" ht="12" customHeight="1" x14ac:dyDescent="0.2">
      <c r="A36" s="1210"/>
      <c r="B36" s="615"/>
      <c r="C36" s="5325" t="s">
        <v>4706</v>
      </c>
      <c r="D36" s="5326"/>
      <c r="E36" s="1235" t="str">
        <f>IF(C32=0,"",VLOOKUP(C32,'Tablas Magia'!$D$6:$Z$680,9,FALSE))</f>
        <v/>
      </c>
      <c r="F36" s="1235" t="str">
        <f>IF(C32=0,"",VLOOKUP(C32,'Tablas Magia'!$D$6:$Z$680,13,FALSE))</f>
        <v/>
      </c>
      <c r="G36" s="1236" t="str">
        <f>IF(C32=0,"",VLOOKUP(C32,'Tablas Magia'!$D$6:$Z$680,17,FALSE))</f>
        <v/>
      </c>
      <c r="H36" s="5327" t="str">
        <f>IF(C32=0,"",VLOOKUP(C32,'Tablas Magia'!$D$6:$Z$680,21,FALSE))</f>
        <v/>
      </c>
      <c r="I36" s="5328"/>
      <c r="J36" s="5328"/>
      <c r="K36" s="5328"/>
      <c r="L36" s="5328"/>
      <c r="M36" s="5328"/>
      <c r="N36" s="5328"/>
      <c r="O36" s="5328"/>
      <c r="P36" s="5328"/>
      <c r="Q36" s="5329"/>
      <c r="R36" s="1216"/>
      <c r="S36" s="1210"/>
      <c r="T36" s="1210"/>
      <c r="U36" s="615"/>
      <c r="V36" s="5325" t="s">
        <v>4706</v>
      </c>
      <c r="W36" s="5326"/>
      <c r="X36" s="1235" t="str">
        <f>IF(V32=0,"",VLOOKUP(V32,'Tablas Magia'!$D$6:$Z$680,9,FALSE))</f>
        <v/>
      </c>
      <c r="Y36" s="1235" t="str">
        <f>IF(V32=0,"",VLOOKUP(V32,'Tablas Magia'!$D$6:$Z$680,13,FALSE))</f>
        <v/>
      </c>
      <c r="Z36" s="1236" t="str">
        <f>IF(V32=0,"",VLOOKUP(V32,'Tablas Magia'!$D$6:$Z$680,17,FALSE))</f>
        <v/>
      </c>
      <c r="AA36" s="5327" t="str">
        <f>IF(V32=0,"",VLOOKUP(V32,'Tablas Magia'!$D$6:$Z$680,21,FALSE))</f>
        <v/>
      </c>
      <c r="AB36" s="5328"/>
      <c r="AC36" s="5328"/>
      <c r="AD36" s="5328"/>
      <c r="AE36" s="5328"/>
      <c r="AF36" s="5328"/>
      <c r="AG36" s="5328"/>
      <c r="AH36" s="5328"/>
      <c r="AI36" s="5328"/>
      <c r="AJ36" s="5329"/>
      <c r="AK36" s="1216"/>
      <c r="AL36" s="1210"/>
      <c r="AM36" s="1210"/>
      <c r="AN36" s="615"/>
      <c r="AO36" s="5325" t="s">
        <v>4706</v>
      </c>
      <c r="AP36" s="5326"/>
      <c r="AQ36" s="1235" t="str">
        <f>IF(AO32=0,"",VLOOKUP(AO32,'Tablas Magia'!$D$6:$Z$680,9,FALSE))</f>
        <v/>
      </c>
      <c r="AR36" s="1235" t="str">
        <f>IF(AO32=0,"",VLOOKUP(AO32,'Tablas Magia'!$D$6:$Z$680,13,FALSE))</f>
        <v/>
      </c>
      <c r="AS36" s="1236" t="str">
        <f>IF(AO32=0,"",VLOOKUP(AO32,'Tablas Magia'!$D$6:$Z$680,17,FALSE))</f>
        <v/>
      </c>
      <c r="AT36" s="5327" t="str">
        <f>IF(AO32=0,"",VLOOKUP(AO32,'Tablas Magia'!$D$6:$Z$680,21,FALSE))</f>
        <v/>
      </c>
      <c r="AU36" s="5328"/>
      <c r="AV36" s="5328"/>
      <c r="AW36" s="5328"/>
      <c r="AX36" s="5328"/>
      <c r="AY36" s="5328"/>
      <c r="AZ36" s="5328"/>
      <c r="BA36" s="5328"/>
      <c r="BB36" s="5328"/>
      <c r="BC36" s="5329"/>
      <c r="BD36" s="1216"/>
      <c r="BE36" s="1210"/>
    </row>
    <row r="37" spans="1:57" ht="12" customHeight="1" thickBot="1" x14ac:dyDescent="0.25">
      <c r="A37" s="1210"/>
      <c r="B37" s="615"/>
      <c r="C37" s="5335" t="s">
        <v>4707</v>
      </c>
      <c r="D37" s="5336"/>
      <c r="E37" s="1239" t="str">
        <f>IF(C32=0,"",VLOOKUP(C32,'Tablas Magia'!$D$6:$Z$680,10,FALSE))</f>
        <v/>
      </c>
      <c r="F37" s="1239" t="str">
        <f>IF(C32=0,"",VLOOKUP(C32,'Tablas Magia'!$D$6:$Z$680,14,FALSE))</f>
        <v/>
      </c>
      <c r="G37" s="1240" t="str">
        <f>IF(C32=0,"",VLOOKUP(C32,'Tablas Magia'!$D$6:$Z$680,18,FALSE))</f>
        <v/>
      </c>
      <c r="H37" s="5337" t="str">
        <f>IF(C32=0,"",VLOOKUP(C32,'Tablas Magia'!$D$6:$Z$680,22,FALSE))</f>
        <v/>
      </c>
      <c r="I37" s="5338"/>
      <c r="J37" s="5338"/>
      <c r="K37" s="5338"/>
      <c r="L37" s="5338"/>
      <c r="M37" s="5338"/>
      <c r="N37" s="5338"/>
      <c r="O37" s="5338"/>
      <c r="P37" s="5338"/>
      <c r="Q37" s="5339"/>
      <c r="R37" s="1216"/>
      <c r="S37" s="1210"/>
      <c r="T37" s="1210"/>
      <c r="U37" s="615"/>
      <c r="V37" s="5335" t="s">
        <v>4707</v>
      </c>
      <c r="W37" s="5336"/>
      <c r="X37" s="1239" t="str">
        <f>IF(V32=0,"",VLOOKUP(V32,'Tablas Magia'!$D$6:$Z$680,10,FALSE))</f>
        <v/>
      </c>
      <c r="Y37" s="1239" t="str">
        <f>IF(V32=0,"",VLOOKUP(V32,'Tablas Magia'!$D$6:$Z$680,14,FALSE))</f>
        <v/>
      </c>
      <c r="Z37" s="1240" t="str">
        <f>IF(V32=0,"",VLOOKUP(V32,'Tablas Magia'!$D$6:$Z$680,18,FALSE))</f>
        <v/>
      </c>
      <c r="AA37" s="5337" t="str">
        <f>IF(V32=0,"",VLOOKUP(V32,'Tablas Magia'!$D$6:$Z$680,22,FALSE))</f>
        <v/>
      </c>
      <c r="AB37" s="5338"/>
      <c r="AC37" s="5338"/>
      <c r="AD37" s="5338"/>
      <c r="AE37" s="5338"/>
      <c r="AF37" s="5338"/>
      <c r="AG37" s="5338"/>
      <c r="AH37" s="5338"/>
      <c r="AI37" s="5338"/>
      <c r="AJ37" s="5339"/>
      <c r="AK37" s="1216"/>
      <c r="AL37" s="1210"/>
      <c r="AM37" s="1210"/>
      <c r="AN37" s="615"/>
      <c r="AO37" s="5335" t="s">
        <v>4707</v>
      </c>
      <c r="AP37" s="5336"/>
      <c r="AQ37" s="1239" t="str">
        <f>IF(AO32=0,"",VLOOKUP(AO32,'Tablas Magia'!$D$6:$Z$680,10,FALSE))</f>
        <v/>
      </c>
      <c r="AR37" s="1239" t="str">
        <f>IF(AO32=0,"",VLOOKUP(AO32,'Tablas Magia'!$D$6:$Z$680,14,FALSE))</f>
        <v/>
      </c>
      <c r="AS37" s="1240" t="str">
        <f>IF(AO32=0,"",VLOOKUP(AO32,'Tablas Magia'!$D$6:$Z$680,18,FALSE))</f>
        <v/>
      </c>
      <c r="AT37" s="5337" t="str">
        <f>IF(AO32=0,"",VLOOKUP(AO32,'Tablas Magia'!$D$6:$Z$680,22,FALSE))</f>
        <v/>
      </c>
      <c r="AU37" s="5338"/>
      <c r="AV37" s="5338"/>
      <c r="AW37" s="5338"/>
      <c r="AX37" s="5338"/>
      <c r="AY37" s="5338"/>
      <c r="AZ37" s="5338"/>
      <c r="BA37" s="5338"/>
      <c r="BB37" s="5338"/>
      <c r="BC37" s="5339"/>
      <c r="BD37" s="1216"/>
      <c r="BE37" s="1210"/>
    </row>
    <row r="38" spans="1:57" ht="12" customHeight="1" x14ac:dyDescent="0.2">
      <c r="A38" s="1210"/>
      <c r="B38" s="615"/>
      <c r="C38" s="5340" t="str">
        <f>IF(C32=0,"",VLOOKUP(C32,'Tablas Magia'!$D$6:$Z$680,23,FALSE))</f>
        <v/>
      </c>
      <c r="D38" s="5341"/>
      <c r="E38" s="5341"/>
      <c r="F38" s="5341"/>
      <c r="G38" s="5341"/>
      <c r="H38" s="5341"/>
      <c r="I38" s="5341"/>
      <c r="J38" s="5341"/>
      <c r="K38" s="5341"/>
      <c r="L38" s="5341"/>
      <c r="M38" s="5341"/>
      <c r="N38" s="5341"/>
      <c r="O38" s="5341"/>
      <c r="P38" s="5341"/>
      <c r="Q38" s="5342"/>
      <c r="R38" s="1216"/>
      <c r="S38" s="1210"/>
      <c r="T38" s="1210"/>
      <c r="U38" s="615"/>
      <c r="V38" s="5340" t="str">
        <f>IF(V32=0,"",VLOOKUP(V32,'Tablas Magia'!$D$6:$Z$680,23,FALSE))</f>
        <v/>
      </c>
      <c r="W38" s="5341"/>
      <c r="X38" s="5341"/>
      <c r="Y38" s="5341"/>
      <c r="Z38" s="5341"/>
      <c r="AA38" s="5341"/>
      <c r="AB38" s="5341"/>
      <c r="AC38" s="5341"/>
      <c r="AD38" s="5341"/>
      <c r="AE38" s="5341"/>
      <c r="AF38" s="5341"/>
      <c r="AG38" s="5341"/>
      <c r="AH38" s="5341"/>
      <c r="AI38" s="5341"/>
      <c r="AJ38" s="5342"/>
      <c r="AK38" s="1216"/>
      <c r="AL38" s="1210"/>
      <c r="AM38" s="1210"/>
      <c r="AN38" s="615"/>
      <c r="AO38" s="5340" t="str">
        <f>IF(AO32=0,"",VLOOKUP(AO32,'Tablas Magia'!$D$6:$Z$680,23,FALSE))</f>
        <v/>
      </c>
      <c r="AP38" s="5341"/>
      <c r="AQ38" s="5341"/>
      <c r="AR38" s="5341"/>
      <c r="AS38" s="5341"/>
      <c r="AT38" s="5341"/>
      <c r="AU38" s="5341"/>
      <c r="AV38" s="5341"/>
      <c r="AW38" s="5341"/>
      <c r="AX38" s="5341"/>
      <c r="AY38" s="5341"/>
      <c r="AZ38" s="5341"/>
      <c r="BA38" s="5341"/>
      <c r="BB38" s="5341"/>
      <c r="BC38" s="5342"/>
      <c r="BD38" s="1216"/>
      <c r="BE38" s="1210"/>
    </row>
    <row r="39" spans="1:57" ht="12" customHeight="1" x14ac:dyDescent="0.2">
      <c r="A39" s="1210"/>
      <c r="B39" s="615"/>
      <c r="C39" s="5343"/>
      <c r="D39" s="5344"/>
      <c r="E39" s="5344"/>
      <c r="F39" s="5344"/>
      <c r="G39" s="5344"/>
      <c r="H39" s="5344"/>
      <c r="I39" s="5344"/>
      <c r="J39" s="5344"/>
      <c r="K39" s="5344"/>
      <c r="L39" s="5344"/>
      <c r="M39" s="5344"/>
      <c r="N39" s="5344"/>
      <c r="O39" s="5344"/>
      <c r="P39" s="5344"/>
      <c r="Q39" s="5345"/>
      <c r="R39" s="1216"/>
      <c r="S39" s="1210"/>
      <c r="T39" s="1210"/>
      <c r="U39" s="615"/>
      <c r="V39" s="5343"/>
      <c r="W39" s="5344"/>
      <c r="X39" s="5344"/>
      <c r="Y39" s="5344"/>
      <c r="Z39" s="5344"/>
      <c r="AA39" s="5344"/>
      <c r="AB39" s="5344"/>
      <c r="AC39" s="5344"/>
      <c r="AD39" s="5344"/>
      <c r="AE39" s="5344"/>
      <c r="AF39" s="5344"/>
      <c r="AG39" s="5344"/>
      <c r="AH39" s="5344"/>
      <c r="AI39" s="5344"/>
      <c r="AJ39" s="5345"/>
      <c r="AK39" s="1216"/>
      <c r="AL39" s="1210"/>
      <c r="AM39" s="1210"/>
      <c r="AN39" s="615"/>
      <c r="AO39" s="5343"/>
      <c r="AP39" s="5344"/>
      <c r="AQ39" s="5344"/>
      <c r="AR39" s="5344"/>
      <c r="AS39" s="5344"/>
      <c r="AT39" s="5344"/>
      <c r="AU39" s="5344"/>
      <c r="AV39" s="5344"/>
      <c r="AW39" s="5344"/>
      <c r="AX39" s="5344"/>
      <c r="AY39" s="5344"/>
      <c r="AZ39" s="5344"/>
      <c r="BA39" s="5344"/>
      <c r="BB39" s="5344"/>
      <c r="BC39" s="5345"/>
      <c r="BD39" s="1216"/>
      <c r="BE39" s="1210"/>
    </row>
    <row r="40" spans="1:57" ht="12" customHeight="1" x14ac:dyDescent="0.2">
      <c r="A40" s="1210"/>
      <c r="B40" s="615"/>
      <c r="C40" s="5343"/>
      <c r="D40" s="5344"/>
      <c r="E40" s="5344"/>
      <c r="F40" s="5344"/>
      <c r="G40" s="5344"/>
      <c r="H40" s="5344"/>
      <c r="I40" s="5344"/>
      <c r="J40" s="5344"/>
      <c r="K40" s="5344"/>
      <c r="L40" s="5344"/>
      <c r="M40" s="5344"/>
      <c r="N40" s="5344"/>
      <c r="O40" s="5344"/>
      <c r="P40" s="5344"/>
      <c r="Q40" s="5345"/>
      <c r="R40" s="1216"/>
      <c r="S40" s="1210"/>
      <c r="T40" s="1210"/>
      <c r="U40" s="615"/>
      <c r="V40" s="5343"/>
      <c r="W40" s="5344"/>
      <c r="X40" s="5344"/>
      <c r="Y40" s="5344"/>
      <c r="Z40" s="5344"/>
      <c r="AA40" s="5344"/>
      <c r="AB40" s="5344"/>
      <c r="AC40" s="5344"/>
      <c r="AD40" s="5344"/>
      <c r="AE40" s="5344"/>
      <c r="AF40" s="5344"/>
      <c r="AG40" s="5344"/>
      <c r="AH40" s="5344"/>
      <c r="AI40" s="5344"/>
      <c r="AJ40" s="5345"/>
      <c r="AK40" s="1216"/>
      <c r="AL40" s="1210"/>
      <c r="AM40" s="1210"/>
      <c r="AN40" s="615"/>
      <c r="AO40" s="5343"/>
      <c r="AP40" s="5344"/>
      <c r="AQ40" s="5344"/>
      <c r="AR40" s="5344"/>
      <c r="AS40" s="5344"/>
      <c r="AT40" s="5344"/>
      <c r="AU40" s="5344"/>
      <c r="AV40" s="5344"/>
      <c r="AW40" s="5344"/>
      <c r="AX40" s="5344"/>
      <c r="AY40" s="5344"/>
      <c r="AZ40" s="5344"/>
      <c r="BA40" s="5344"/>
      <c r="BB40" s="5344"/>
      <c r="BC40" s="5345"/>
      <c r="BD40" s="1216"/>
      <c r="BE40" s="1210"/>
    </row>
    <row r="41" spans="1:57" ht="12" customHeight="1" thickBot="1" x14ac:dyDescent="0.25">
      <c r="A41" s="1210"/>
      <c r="B41" s="615"/>
      <c r="C41" s="5346"/>
      <c r="D41" s="5347"/>
      <c r="E41" s="5347"/>
      <c r="F41" s="5347"/>
      <c r="G41" s="5347"/>
      <c r="H41" s="5347"/>
      <c r="I41" s="5347"/>
      <c r="J41" s="5347"/>
      <c r="K41" s="5347"/>
      <c r="L41" s="5347"/>
      <c r="M41" s="5347"/>
      <c r="N41" s="5347"/>
      <c r="O41" s="5347"/>
      <c r="P41" s="5347"/>
      <c r="Q41" s="5348"/>
      <c r="R41" s="1216"/>
      <c r="S41" s="1210"/>
      <c r="T41" s="1210"/>
      <c r="U41" s="615"/>
      <c r="V41" s="5346"/>
      <c r="W41" s="5347"/>
      <c r="X41" s="5347"/>
      <c r="Y41" s="5347"/>
      <c r="Z41" s="5347"/>
      <c r="AA41" s="5347"/>
      <c r="AB41" s="5347"/>
      <c r="AC41" s="5347"/>
      <c r="AD41" s="5347"/>
      <c r="AE41" s="5347"/>
      <c r="AF41" s="5347"/>
      <c r="AG41" s="5347"/>
      <c r="AH41" s="5347"/>
      <c r="AI41" s="5347"/>
      <c r="AJ41" s="5348"/>
      <c r="AK41" s="1216"/>
      <c r="AL41" s="1210"/>
      <c r="AM41" s="1210"/>
      <c r="AN41" s="615"/>
      <c r="AO41" s="5346"/>
      <c r="AP41" s="5347"/>
      <c r="AQ41" s="5347"/>
      <c r="AR41" s="5347"/>
      <c r="AS41" s="5347"/>
      <c r="AT41" s="5347"/>
      <c r="AU41" s="5347"/>
      <c r="AV41" s="5347"/>
      <c r="AW41" s="5347"/>
      <c r="AX41" s="5347"/>
      <c r="AY41" s="5347"/>
      <c r="AZ41" s="5347"/>
      <c r="BA41" s="5347"/>
      <c r="BB41" s="5347"/>
      <c r="BC41" s="5348"/>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3"/>
      <c r="D43" s="5314"/>
      <c r="E43" s="5314"/>
      <c r="F43" s="5314"/>
      <c r="G43" s="5314"/>
      <c r="H43" s="1230" t="s">
        <v>1630</v>
      </c>
      <c r="I43" s="1231" t="str">
        <f>IF(C43=0,"",VLOOKUP(C43,'Tablas Magia'!$D$6:$Z$680,3,FALSE))</f>
        <v/>
      </c>
      <c r="J43" s="5315" t="s">
        <v>8162</v>
      </c>
      <c r="K43" s="5315"/>
      <c r="L43" s="5315"/>
      <c r="M43" s="5316" t="str">
        <f>IF(C43=0,"",VLOOKUP(C43,'Tablas Magia'!$D$6:$Z$680,2,FALSE))</f>
        <v/>
      </c>
      <c r="N43" s="5316"/>
      <c r="O43" s="5316"/>
      <c r="P43" s="5316"/>
      <c r="Q43" s="5317"/>
      <c r="R43" s="1216"/>
      <c r="S43" s="1210"/>
      <c r="T43" s="1210"/>
      <c r="U43" s="615"/>
      <c r="V43" s="5313"/>
      <c r="W43" s="5314"/>
      <c r="X43" s="5314"/>
      <c r="Y43" s="5314"/>
      <c r="Z43" s="5314"/>
      <c r="AA43" s="1230" t="s">
        <v>1630</v>
      </c>
      <c r="AB43" s="1231" t="str">
        <f>IF(V43=0,"",VLOOKUP(V43,'Tablas Magia'!$D$6:$Z$680,3,FALSE))</f>
        <v/>
      </c>
      <c r="AC43" s="5315" t="s">
        <v>8162</v>
      </c>
      <c r="AD43" s="5315"/>
      <c r="AE43" s="5315"/>
      <c r="AF43" s="5316" t="str">
        <f>IF(V43=0,"",VLOOKUP(V43,'Tablas Magia'!$D$6:$Z$680,2,FALSE))</f>
        <v/>
      </c>
      <c r="AG43" s="5316"/>
      <c r="AH43" s="5316"/>
      <c r="AI43" s="5316"/>
      <c r="AJ43" s="5317"/>
      <c r="AK43" s="1216"/>
      <c r="AL43" s="1210"/>
      <c r="AM43" s="1210"/>
      <c r="AN43" s="615"/>
      <c r="AO43" s="5313"/>
      <c r="AP43" s="5314"/>
      <c r="AQ43" s="5314"/>
      <c r="AR43" s="5314"/>
      <c r="AS43" s="5314"/>
      <c r="AT43" s="1230" t="s">
        <v>1630</v>
      </c>
      <c r="AU43" s="1231" t="str">
        <f>IF(AO43=0,"",VLOOKUP(AO43,'Tablas Magia'!$D$6:$Z$680,3,FALSE))</f>
        <v/>
      </c>
      <c r="AV43" s="5315" t="s">
        <v>8162</v>
      </c>
      <c r="AW43" s="5315"/>
      <c r="AX43" s="5315"/>
      <c r="AY43" s="5316" t="str">
        <f>IF(AO43=0,"",VLOOKUP(AO43,'Tablas Magia'!$D$6:$Z$680,2,FALSE))</f>
        <v/>
      </c>
      <c r="AZ43" s="5316"/>
      <c r="BA43" s="5316"/>
      <c r="BB43" s="5316"/>
      <c r="BC43" s="5317"/>
      <c r="BD43" s="1216"/>
      <c r="BE43" s="1210"/>
    </row>
    <row r="44" spans="1:57" ht="12" customHeight="1" x14ac:dyDescent="0.2">
      <c r="A44" s="1210"/>
      <c r="B44" s="615"/>
      <c r="C44" s="5333" t="s">
        <v>8163</v>
      </c>
      <c r="D44" s="5334"/>
      <c r="E44" s="1232" t="s">
        <v>8164</v>
      </c>
      <c r="F44" s="1232" t="s">
        <v>1824</v>
      </c>
      <c r="G44" s="1232" t="s">
        <v>3467</v>
      </c>
      <c r="H44" s="1233" t="s">
        <v>2175</v>
      </c>
      <c r="I44" s="5330" t="str">
        <f>IF(C43=0,"",VLOOKUP(C43,'Tablas Magia'!$D$6:$Z$680,5,FALSE))</f>
        <v/>
      </c>
      <c r="J44" s="5330"/>
      <c r="K44" s="5331" t="s">
        <v>8165</v>
      </c>
      <c r="L44" s="5331"/>
      <c r="M44" s="5330" t="str">
        <f>IF(C43=0,"",VLOOKUP(C43,'Tablas Magia'!$D$6:$Z$680,6,FALSE))</f>
        <v/>
      </c>
      <c r="N44" s="5330"/>
      <c r="O44" s="5332" t="s">
        <v>8166</v>
      </c>
      <c r="P44" s="5332"/>
      <c r="Q44" s="1234" t="str">
        <f>IF(C43=0,"",VLOOKUP(C43,'Tablas Magia'!$D$6:$Z$680,4,FALSE))</f>
        <v/>
      </c>
      <c r="R44" s="1216"/>
      <c r="S44" s="1210"/>
      <c r="T44" s="1210"/>
      <c r="U44" s="615"/>
      <c r="V44" s="5333" t="s">
        <v>8163</v>
      </c>
      <c r="W44" s="5334"/>
      <c r="X44" s="1232" t="s">
        <v>8164</v>
      </c>
      <c r="Y44" s="1232" t="s">
        <v>1824</v>
      </c>
      <c r="Z44" s="1232" t="s">
        <v>3467</v>
      </c>
      <c r="AA44" s="1233" t="s">
        <v>2175</v>
      </c>
      <c r="AB44" s="5330" t="str">
        <f>IF(V43=0,"",VLOOKUP(V43,'Tablas Magia'!$D$6:$Z$680,5,FALSE))</f>
        <v/>
      </c>
      <c r="AC44" s="5330"/>
      <c r="AD44" s="5331" t="s">
        <v>8165</v>
      </c>
      <c r="AE44" s="5331"/>
      <c r="AF44" s="5330" t="str">
        <f>IF(V43=0,"",VLOOKUP(V43,'Tablas Magia'!$D$6:$Z$680,6,FALSE))</f>
        <v/>
      </c>
      <c r="AG44" s="5330"/>
      <c r="AH44" s="5332" t="s">
        <v>8166</v>
      </c>
      <c r="AI44" s="5332"/>
      <c r="AJ44" s="1234" t="str">
        <f>IF(V43=0,"",VLOOKUP(V43,'Tablas Magia'!$D$6:$Z$680,4,FALSE))</f>
        <v/>
      </c>
      <c r="AK44" s="1216"/>
      <c r="AL44" s="1210"/>
      <c r="AM44" s="1210"/>
      <c r="AN44" s="615"/>
      <c r="AO44" s="5333" t="s">
        <v>8163</v>
      </c>
      <c r="AP44" s="5334"/>
      <c r="AQ44" s="1232" t="s">
        <v>8164</v>
      </c>
      <c r="AR44" s="1232" t="s">
        <v>1824</v>
      </c>
      <c r="AS44" s="1232" t="s">
        <v>3467</v>
      </c>
      <c r="AT44" s="1233" t="s">
        <v>2175</v>
      </c>
      <c r="AU44" s="5330" t="str">
        <f>IF(AO43=0,"",VLOOKUP(AO43,'Tablas Magia'!$D$6:$Z$680,5,FALSE))</f>
        <v/>
      </c>
      <c r="AV44" s="5330"/>
      <c r="AW44" s="5331" t="s">
        <v>8165</v>
      </c>
      <c r="AX44" s="5331"/>
      <c r="AY44" s="5330" t="str">
        <f>IF(AO43=0,"",VLOOKUP(AO43,'Tablas Magia'!$D$6:$Z$680,6,FALSE))</f>
        <v/>
      </c>
      <c r="AZ44" s="5330"/>
      <c r="BA44" s="5332" t="s">
        <v>8166</v>
      </c>
      <c r="BB44" s="5332"/>
      <c r="BC44" s="1234" t="str">
        <f>IF(AO43=0,"",VLOOKUP(AO43,'Tablas Magia'!$D$6:$Z$680,4,FALSE))</f>
        <v/>
      </c>
      <c r="BD44" s="1216"/>
      <c r="BE44" s="1210"/>
    </row>
    <row r="45" spans="1:57" ht="12" customHeight="1" x14ac:dyDescent="0.2">
      <c r="A45" s="1210"/>
      <c r="B45" s="615"/>
      <c r="C45" s="5325" t="s">
        <v>1677</v>
      </c>
      <c r="D45" s="5326"/>
      <c r="E45" s="1235" t="str">
        <f>IF(C43=0,"",VLOOKUP(C43,'Tablas Magia'!$D$6:$Z$680,7,FALSE))</f>
        <v/>
      </c>
      <c r="F45" s="1235" t="str">
        <f>IF(C43=0,"",VLOOKUP(C43,'Tablas Magia'!$D$6:$Z$680,11,FALSE))</f>
        <v/>
      </c>
      <c r="G45" s="1236" t="str">
        <f>IF(C43=0,"",VLOOKUP(C43,'Tablas Magia'!$D$6:$Z$680,15,FALSE))</f>
        <v/>
      </c>
      <c r="H45" s="5327" t="str">
        <f>IF(C43=0,"",VLOOKUP(C43,'Tablas Magia'!$D$6:$Z$680,19,FALSE))</f>
        <v/>
      </c>
      <c r="I45" s="5328"/>
      <c r="J45" s="5328"/>
      <c r="K45" s="5328"/>
      <c r="L45" s="5328"/>
      <c r="M45" s="5328"/>
      <c r="N45" s="5328"/>
      <c r="O45" s="5328"/>
      <c r="P45" s="5328"/>
      <c r="Q45" s="5329"/>
      <c r="R45" s="1216"/>
      <c r="S45" s="1210"/>
      <c r="T45" s="1210"/>
      <c r="U45" s="615"/>
      <c r="V45" s="5325" t="s">
        <v>1677</v>
      </c>
      <c r="W45" s="5326"/>
      <c r="X45" s="1235" t="str">
        <f>IF(V43=0,"",VLOOKUP(V43,'Tablas Magia'!$D$6:$Z$680,7,FALSE))</f>
        <v/>
      </c>
      <c r="Y45" s="1235" t="str">
        <f>IF(V43=0,"",VLOOKUP(V43,'Tablas Magia'!$D$6:$Z$680,11,FALSE))</f>
        <v/>
      </c>
      <c r="Z45" s="1236" t="str">
        <f>IF(V43=0,"",VLOOKUP(V43,'Tablas Magia'!$D$6:$Z$680,15,FALSE))</f>
        <v/>
      </c>
      <c r="AA45" s="5327" t="str">
        <f>IF(V43=0,"",VLOOKUP(V43,'Tablas Magia'!$D$6:$Z$680,19,FALSE))</f>
        <v/>
      </c>
      <c r="AB45" s="5328"/>
      <c r="AC45" s="5328"/>
      <c r="AD45" s="5328"/>
      <c r="AE45" s="5328"/>
      <c r="AF45" s="5328"/>
      <c r="AG45" s="5328"/>
      <c r="AH45" s="5328"/>
      <c r="AI45" s="5328"/>
      <c r="AJ45" s="5329"/>
      <c r="AK45" s="1216"/>
      <c r="AL45" s="1210"/>
      <c r="AM45" s="1210"/>
      <c r="AN45" s="615"/>
      <c r="AO45" s="5325" t="s">
        <v>1677</v>
      </c>
      <c r="AP45" s="5326"/>
      <c r="AQ45" s="1235" t="str">
        <f>IF(AO43=0,"",VLOOKUP(AO43,'Tablas Magia'!$D$6:$Z$680,7,FALSE))</f>
        <v/>
      </c>
      <c r="AR45" s="1235" t="str">
        <f>IF(AO43=0,"",VLOOKUP(AO43,'Tablas Magia'!$D$6:$Z$680,11,FALSE))</f>
        <v/>
      </c>
      <c r="AS45" s="1236" t="str">
        <f>IF(AO43=0,"",VLOOKUP(AO43,'Tablas Magia'!$D$6:$Z$680,15,FALSE))</f>
        <v/>
      </c>
      <c r="AT45" s="5327" t="str">
        <f>IF(AO43=0,"",VLOOKUP(AO43,'Tablas Magia'!$D$6:$Z$680,19,FALSE))</f>
        <v/>
      </c>
      <c r="AU45" s="5328"/>
      <c r="AV45" s="5328"/>
      <c r="AW45" s="5328"/>
      <c r="AX45" s="5328"/>
      <c r="AY45" s="5328"/>
      <c r="AZ45" s="5328"/>
      <c r="BA45" s="5328"/>
      <c r="BB45" s="5328"/>
      <c r="BC45" s="5329"/>
      <c r="BD45" s="1216"/>
      <c r="BE45" s="1210"/>
    </row>
    <row r="46" spans="1:57" ht="12" customHeight="1" x14ac:dyDescent="0.2">
      <c r="A46" s="1210"/>
      <c r="B46" s="615"/>
      <c r="C46" s="5320" t="s">
        <v>4705</v>
      </c>
      <c r="D46" s="5321"/>
      <c r="E46" s="1237" t="str">
        <f>IF(C43=0,"",VLOOKUP(C43,'Tablas Magia'!$D$6:$Z$680,8,FALSE))</f>
        <v/>
      </c>
      <c r="F46" s="1237" t="str">
        <f>IF(C43=0,"",VLOOKUP(C43,'Tablas Magia'!$D$6:$Z$680,12,FALSE))</f>
        <v/>
      </c>
      <c r="G46" s="1238" t="str">
        <f>IF(C43=0,"",VLOOKUP(C43,'Tablas Magia'!$D$6:$Z$680,16,FALSE))</f>
        <v/>
      </c>
      <c r="H46" s="5322" t="str">
        <f>IF(C43=0,"",VLOOKUP(C43,'Tablas Magia'!$D$6:$Z$680,20,FALSE))</f>
        <v/>
      </c>
      <c r="I46" s="5323"/>
      <c r="J46" s="5323"/>
      <c r="K46" s="5323"/>
      <c r="L46" s="5323"/>
      <c r="M46" s="5323"/>
      <c r="N46" s="5323"/>
      <c r="O46" s="5323"/>
      <c r="P46" s="5323"/>
      <c r="Q46" s="5324"/>
      <c r="R46" s="1216"/>
      <c r="S46" s="1210"/>
      <c r="T46" s="1210"/>
      <c r="U46" s="615"/>
      <c r="V46" s="5320" t="s">
        <v>4705</v>
      </c>
      <c r="W46" s="5321"/>
      <c r="X46" s="1237" t="str">
        <f>IF(V43=0,"",VLOOKUP(V43,'Tablas Magia'!$D$6:$Z$680,8,FALSE))</f>
        <v/>
      </c>
      <c r="Y46" s="1237" t="str">
        <f>IF(V43=0,"",VLOOKUP(V43,'Tablas Magia'!$D$6:$Z$680,12,FALSE))</f>
        <v/>
      </c>
      <c r="Z46" s="1238" t="str">
        <f>IF(V43=0,"",VLOOKUP(V43,'Tablas Magia'!$D$6:$Z$680,16,FALSE))</f>
        <v/>
      </c>
      <c r="AA46" s="5322" t="str">
        <f>IF(V43=0,"",VLOOKUP(V43,'Tablas Magia'!$D$6:$Z$680,20,FALSE))</f>
        <v/>
      </c>
      <c r="AB46" s="5323"/>
      <c r="AC46" s="5323"/>
      <c r="AD46" s="5323"/>
      <c r="AE46" s="5323"/>
      <c r="AF46" s="5323"/>
      <c r="AG46" s="5323"/>
      <c r="AH46" s="5323"/>
      <c r="AI46" s="5323"/>
      <c r="AJ46" s="5324"/>
      <c r="AK46" s="1216"/>
      <c r="AL46" s="1210"/>
      <c r="AM46" s="1210"/>
      <c r="AN46" s="615"/>
      <c r="AO46" s="5320" t="s">
        <v>4705</v>
      </c>
      <c r="AP46" s="5321"/>
      <c r="AQ46" s="1237" t="str">
        <f>IF(AO43=0,"",VLOOKUP(AO43,'Tablas Magia'!$D$6:$Z$680,8,FALSE))</f>
        <v/>
      </c>
      <c r="AR46" s="1237" t="str">
        <f>IF(AO43=0,"",VLOOKUP(AO43,'Tablas Magia'!$D$6:$Z$680,12,FALSE))</f>
        <v/>
      </c>
      <c r="AS46" s="1238" t="str">
        <f>IF(AO43=0,"",VLOOKUP(AO43,'Tablas Magia'!$D$6:$Z$680,16,FALSE))</f>
        <v/>
      </c>
      <c r="AT46" s="5322" t="str">
        <f>IF(AO43=0,"",VLOOKUP(AO43,'Tablas Magia'!$D$6:$Z$680,20,FALSE))</f>
        <v/>
      </c>
      <c r="AU46" s="5323"/>
      <c r="AV46" s="5323"/>
      <c r="AW46" s="5323"/>
      <c r="AX46" s="5323"/>
      <c r="AY46" s="5323"/>
      <c r="AZ46" s="5323"/>
      <c r="BA46" s="5323"/>
      <c r="BB46" s="5323"/>
      <c r="BC46" s="5324"/>
      <c r="BD46" s="1216"/>
      <c r="BE46" s="1210"/>
    </row>
    <row r="47" spans="1:57" ht="12" customHeight="1" x14ac:dyDescent="0.2">
      <c r="A47" s="1210"/>
      <c r="B47" s="615"/>
      <c r="C47" s="5325" t="s">
        <v>4706</v>
      </c>
      <c r="D47" s="5326"/>
      <c r="E47" s="1235" t="str">
        <f>IF(C43=0,"",VLOOKUP(C43,'Tablas Magia'!$D$6:$Z$680,9,FALSE))</f>
        <v/>
      </c>
      <c r="F47" s="1235" t="str">
        <f>IF(C43=0,"",VLOOKUP(C43,'Tablas Magia'!$D$6:$Z$680,13,FALSE))</f>
        <v/>
      </c>
      <c r="G47" s="1236" t="str">
        <f>IF(C43=0,"",VLOOKUP(C43,'Tablas Magia'!$D$6:$Z$680,17,FALSE))</f>
        <v/>
      </c>
      <c r="H47" s="5327" t="str">
        <f>IF(C43=0,"",VLOOKUP(C43,'Tablas Magia'!$D$6:$Z$680,21,FALSE))</f>
        <v/>
      </c>
      <c r="I47" s="5328"/>
      <c r="J47" s="5328"/>
      <c r="K47" s="5328"/>
      <c r="L47" s="5328"/>
      <c r="M47" s="5328"/>
      <c r="N47" s="5328"/>
      <c r="O47" s="5328"/>
      <c r="P47" s="5328"/>
      <c r="Q47" s="5329"/>
      <c r="R47" s="1216"/>
      <c r="S47" s="1210"/>
      <c r="T47" s="1210"/>
      <c r="U47" s="615"/>
      <c r="V47" s="5325" t="s">
        <v>4706</v>
      </c>
      <c r="W47" s="5326"/>
      <c r="X47" s="1235" t="str">
        <f>IF(V43=0,"",VLOOKUP(V43,'Tablas Magia'!$D$6:$Z$680,9,FALSE))</f>
        <v/>
      </c>
      <c r="Y47" s="1235" t="str">
        <f>IF(V43=0,"",VLOOKUP(V43,'Tablas Magia'!$D$6:$Z$680,13,FALSE))</f>
        <v/>
      </c>
      <c r="Z47" s="1236" t="str">
        <f>IF(V43=0,"",VLOOKUP(V43,'Tablas Magia'!$D$6:$Z$680,17,FALSE))</f>
        <v/>
      </c>
      <c r="AA47" s="5327" t="str">
        <f>IF(V43=0,"",VLOOKUP(V43,'Tablas Magia'!$D$6:$Z$680,21,FALSE))</f>
        <v/>
      </c>
      <c r="AB47" s="5328"/>
      <c r="AC47" s="5328"/>
      <c r="AD47" s="5328"/>
      <c r="AE47" s="5328"/>
      <c r="AF47" s="5328"/>
      <c r="AG47" s="5328"/>
      <c r="AH47" s="5328"/>
      <c r="AI47" s="5328"/>
      <c r="AJ47" s="5329"/>
      <c r="AK47" s="1216"/>
      <c r="AL47" s="1210"/>
      <c r="AM47" s="1210"/>
      <c r="AN47" s="615"/>
      <c r="AO47" s="5325" t="s">
        <v>4706</v>
      </c>
      <c r="AP47" s="5326"/>
      <c r="AQ47" s="1235" t="str">
        <f>IF(AO43=0,"",VLOOKUP(AO43,'Tablas Magia'!$D$6:$Z$680,9,FALSE))</f>
        <v/>
      </c>
      <c r="AR47" s="1235" t="str">
        <f>IF(AO43=0,"",VLOOKUP(AO43,'Tablas Magia'!$D$6:$Z$680,13,FALSE))</f>
        <v/>
      </c>
      <c r="AS47" s="1236" t="str">
        <f>IF(AO43=0,"",VLOOKUP(AO43,'Tablas Magia'!$D$6:$Z$680,17,FALSE))</f>
        <v/>
      </c>
      <c r="AT47" s="5327" t="str">
        <f>IF(AO43=0,"",VLOOKUP(AO43,'Tablas Magia'!$D$6:$Z$680,21,FALSE))</f>
        <v/>
      </c>
      <c r="AU47" s="5328"/>
      <c r="AV47" s="5328"/>
      <c r="AW47" s="5328"/>
      <c r="AX47" s="5328"/>
      <c r="AY47" s="5328"/>
      <c r="AZ47" s="5328"/>
      <c r="BA47" s="5328"/>
      <c r="BB47" s="5328"/>
      <c r="BC47" s="5329"/>
      <c r="BD47" s="1216"/>
      <c r="BE47" s="1210"/>
    </row>
    <row r="48" spans="1:57" ht="12" customHeight="1" thickBot="1" x14ac:dyDescent="0.25">
      <c r="A48" s="1210"/>
      <c r="B48" s="615"/>
      <c r="C48" s="5335" t="s">
        <v>4707</v>
      </c>
      <c r="D48" s="5336"/>
      <c r="E48" s="1239" t="str">
        <f>IF(C43=0,"",VLOOKUP(C43,'Tablas Magia'!$D$6:$Z$680,10,FALSE))</f>
        <v/>
      </c>
      <c r="F48" s="1239" t="str">
        <f>IF(C43=0,"",VLOOKUP(C43,'Tablas Magia'!$D$6:$Z$680,14,FALSE))</f>
        <v/>
      </c>
      <c r="G48" s="1240" t="str">
        <f>IF(C43=0,"",VLOOKUP(C43,'Tablas Magia'!$D$6:$Z$680,18,FALSE))</f>
        <v/>
      </c>
      <c r="H48" s="5337" t="str">
        <f>IF(C43=0,"",VLOOKUP(C43,'Tablas Magia'!$D$6:$Z$680,22,FALSE))</f>
        <v/>
      </c>
      <c r="I48" s="5338"/>
      <c r="J48" s="5338"/>
      <c r="K48" s="5338"/>
      <c r="L48" s="5338"/>
      <c r="M48" s="5338"/>
      <c r="N48" s="5338"/>
      <c r="O48" s="5338"/>
      <c r="P48" s="5338"/>
      <c r="Q48" s="5339"/>
      <c r="R48" s="1216"/>
      <c r="S48" s="1210"/>
      <c r="T48" s="1210"/>
      <c r="U48" s="615"/>
      <c r="V48" s="5335" t="s">
        <v>4707</v>
      </c>
      <c r="W48" s="5336"/>
      <c r="X48" s="1239" t="str">
        <f>IF(V43=0,"",VLOOKUP(V43,'Tablas Magia'!$D$6:$Z$680,10,FALSE))</f>
        <v/>
      </c>
      <c r="Y48" s="1239" t="str">
        <f>IF(V43=0,"",VLOOKUP(V43,'Tablas Magia'!$D$6:$Z$680,14,FALSE))</f>
        <v/>
      </c>
      <c r="Z48" s="1240" t="str">
        <f>IF(V43=0,"",VLOOKUP(V43,'Tablas Magia'!$D$6:$Z$680,18,FALSE))</f>
        <v/>
      </c>
      <c r="AA48" s="5337" t="str">
        <f>IF(V43=0,"",VLOOKUP(V43,'Tablas Magia'!$D$6:$Z$680,22,FALSE))</f>
        <v/>
      </c>
      <c r="AB48" s="5338"/>
      <c r="AC48" s="5338"/>
      <c r="AD48" s="5338"/>
      <c r="AE48" s="5338"/>
      <c r="AF48" s="5338"/>
      <c r="AG48" s="5338"/>
      <c r="AH48" s="5338"/>
      <c r="AI48" s="5338"/>
      <c r="AJ48" s="5339"/>
      <c r="AK48" s="1216"/>
      <c r="AL48" s="1210"/>
      <c r="AM48" s="1210"/>
      <c r="AN48" s="615"/>
      <c r="AO48" s="5335" t="s">
        <v>4707</v>
      </c>
      <c r="AP48" s="5336"/>
      <c r="AQ48" s="1239" t="str">
        <f>IF(AO43=0,"",VLOOKUP(AO43,'Tablas Magia'!$D$6:$Z$680,10,FALSE))</f>
        <v/>
      </c>
      <c r="AR48" s="1239" t="str">
        <f>IF(AO43=0,"",VLOOKUP(AO43,'Tablas Magia'!$D$6:$Z$680,14,FALSE))</f>
        <v/>
      </c>
      <c r="AS48" s="1240" t="str">
        <f>IF(AO43=0,"",VLOOKUP(AO43,'Tablas Magia'!$D$6:$Z$680,18,FALSE))</f>
        <v/>
      </c>
      <c r="AT48" s="5337" t="str">
        <f>IF(AO43=0,"",VLOOKUP(AO43,'Tablas Magia'!$D$6:$Z$680,22,FALSE))</f>
        <v/>
      </c>
      <c r="AU48" s="5338"/>
      <c r="AV48" s="5338"/>
      <c r="AW48" s="5338"/>
      <c r="AX48" s="5338"/>
      <c r="AY48" s="5338"/>
      <c r="AZ48" s="5338"/>
      <c r="BA48" s="5338"/>
      <c r="BB48" s="5338"/>
      <c r="BC48" s="5339"/>
      <c r="BD48" s="1216"/>
      <c r="BE48" s="1210"/>
    </row>
    <row r="49" spans="1:57" ht="12" customHeight="1" x14ac:dyDescent="0.2">
      <c r="A49" s="1210"/>
      <c r="B49" s="615"/>
      <c r="C49" s="5340" t="str">
        <f>IF(C43=0,"",VLOOKUP(C43,'Tablas Magia'!$D$6:$Z$680,23,FALSE))</f>
        <v/>
      </c>
      <c r="D49" s="5341"/>
      <c r="E49" s="5341"/>
      <c r="F49" s="5341"/>
      <c r="G49" s="5341"/>
      <c r="H49" s="5341"/>
      <c r="I49" s="5341"/>
      <c r="J49" s="5341"/>
      <c r="K49" s="5341"/>
      <c r="L49" s="5341"/>
      <c r="M49" s="5341"/>
      <c r="N49" s="5341"/>
      <c r="O49" s="5341"/>
      <c r="P49" s="5341"/>
      <c r="Q49" s="5342"/>
      <c r="R49" s="1216"/>
      <c r="S49" s="1210"/>
      <c r="T49" s="1210"/>
      <c r="U49" s="615"/>
      <c r="V49" s="5340" t="str">
        <f>IF(V43=0,"",VLOOKUP(V43,'Tablas Magia'!$D$6:$Z$680,23,FALSE))</f>
        <v/>
      </c>
      <c r="W49" s="5341"/>
      <c r="X49" s="5341"/>
      <c r="Y49" s="5341"/>
      <c r="Z49" s="5341"/>
      <c r="AA49" s="5341"/>
      <c r="AB49" s="5341"/>
      <c r="AC49" s="5341"/>
      <c r="AD49" s="5341"/>
      <c r="AE49" s="5341"/>
      <c r="AF49" s="5341"/>
      <c r="AG49" s="5341"/>
      <c r="AH49" s="5341"/>
      <c r="AI49" s="5341"/>
      <c r="AJ49" s="5342"/>
      <c r="AK49" s="1216"/>
      <c r="AL49" s="1210"/>
      <c r="AM49" s="1210"/>
      <c r="AN49" s="615"/>
      <c r="AO49" s="5340" t="str">
        <f>IF(AO43=0,"",VLOOKUP(AO43,'Tablas Magia'!$D$6:$Z$680,23,FALSE))</f>
        <v/>
      </c>
      <c r="AP49" s="5341"/>
      <c r="AQ49" s="5341"/>
      <c r="AR49" s="5341"/>
      <c r="AS49" s="5341"/>
      <c r="AT49" s="5341"/>
      <c r="AU49" s="5341"/>
      <c r="AV49" s="5341"/>
      <c r="AW49" s="5341"/>
      <c r="AX49" s="5341"/>
      <c r="AY49" s="5341"/>
      <c r="AZ49" s="5341"/>
      <c r="BA49" s="5341"/>
      <c r="BB49" s="5341"/>
      <c r="BC49" s="5342"/>
      <c r="BD49" s="1216"/>
      <c r="BE49" s="1210"/>
    </row>
    <row r="50" spans="1:57" ht="12" customHeight="1" x14ac:dyDescent="0.2">
      <c r="A50" s="1210"/>
      <c r="B50" s="615"/>
      <c r="C50" s="5343"/>
      <c r="D50" s="5344"/>
      <c r="E50" s="5344"/>
      <c r="F50" s="5344"/>
      <c r="G50" s="5344"/>
      <c r="H50" s="5344"/>
      <c r="I50" s="5344"/>
      <c r="J50" s="5344"/>
      <c r="K50" s="5344"/>
      <c r="L50" s="5344"/>
      <c r="M50" s="5344"/>
      <c r="N50" s="5344"/>
      <c r="O50" s="5344"/>
      <c r="P50" s="5344"/>
      <c r="Q50" s="5345"/>
      <c r="R50" s="1216"/>
      <c r="S50" s="1210"/>
      <c r="T50" s="1210"/>
      <c r="U50" s="615"/>
      <c r="V50" s="5343"/>
      <c r="W50" s="5344"/>
      <c r="X50" s="5344"/>
      <c r="Y50" s="5344"/>
      <c r="Z50" s="5344"/>
      <c r="AA50" s="5344"/>
      <c r="AB50" s="5344"/>
      <c r="AC50" s="5344"/>
      <c r="AD50" s="5344"/>
      <c r="AE50" s="5344"/>
      <c r="AF50" s="5344"/>
      <c r="AG50" s="5344"/>
      <c r="AH50" s="5344"/>
      <c r="AI50" s="5344"/>
      <c r="AJ50" s="5345"/>
      <c r="AK50" s="1216"/>
      <c r="AL50" s="1210"/>
      <c r="AM50" s="1210"/>
      <c r="AN50" s="615"/>
      <c r="AO50" s="5343"/>
      <c r="AP50" s="5344"/>
      <c r="AQ50" s="5344"/>
      <c r="AR50" s="5344"/>
      <c r="AS50" s="5344"/>
      <c r="AT50" s="5344"/>
      <c r="AU50" s="5344"/>
      <c r="AV50" s="5344"/>
      <c r="AW50" s="5344"/>
      <c r="AX50" s="5344"/>
      <c r="AY50" s="5344"/>
      <c r="AZ50" s="5344"/>
      <c r="BA50" s="5344"/>
      <c r="BB50" s="5344"/>
      <c r="BC50" s="5345"/>
      <c r="BD50" s="1216"/>
      <c r="BE50" s="1210"/>
    </row>
    <row r="51" spans="1:57" ht="12" customHeight="1" x14ac:dyDescent="0.2">
      <c r="A51" s="1210"/>
      <c r="B51" s="615"/>
      <c r="C51" s="5343"/>
      <c r="D51" s="5344"/>
      <c r="E51" s="5344"/>
      <c r="F51" s="5344"/>
      <c r="G51" s="5344"/>
      <c r="H51" s="5344"/>
      <c r="I51" s="5344"/>
      <c r="J51" s="5344"/>
      <c r="K51" s="5344"/>
      <c r="L51" s="5344"/>
      <c r="M51" s="5344"/>
      <c r="N51" s="5344"/>
      <c r="O51" s="5344"/>
      <c r="P51" s="5344"/>
      <c r="Q51" s="5345"/>
      <c r="R51" s="1216"/>
      <c r="S51" s="1210"/>
      <c r="T51" s="1210"/>
      <c r="U51" s="615"/>
      <c r="V51" s="5343"/>
      <c r="W51" s="5344"/>
      <c r="X51" s="5344"/>
      <c r="Y51" s="5344"/>
      <c r="Z51" s="5344"/>
      <c r="AA51" s="5344"/>
      <c r="AB51" s="5344"/>
      <c r="AC51" s="5344"/>
      <c r="AD51" s="5344"/>
      <c r="AE51" s="5344"/>
      <c r="AF51" s="5344"/>
      <c r="AG51" s="5344"/>
      <c r="AH51" s="5344"/>
      <c r="AI51" s="5344"/>
      <c r="AJ51" s="5345"/>
      <c r="AK51" s="1216"/>
      <c r="AL51" s="1210"/>
      <c r="AM51" s="1210"/>
      <c r="AN51" s="615"/>
      <c r="AO51" s="5343"/>
      <c r="AP51" s="5344"/>
      <c r="AQ51" s="5344"/>
      <c r="AR51" s="5344"/>
      <c r="AS51" s="5344"/>
      <c r="AT51" s="5344"/>
      <c r="AU51" s="5344"/>
      <c r="AV51" s="5344"/>
      <c r="AW51" s="5344"/>
      <c r="AX51" s="5344"/>
      <c r="AY51" s="5344"/>
      <c r="AZ51" s="5344"/>
      <c r="BA51" s="5344"/>
      <c r="BB51" s="5344"/>
      <c r="BC51" s="5345"/>
      <c r="BD51" s="1216"/>
      <c r="BE51" s="1210"/>
    </row>
    <row r="52" spans="1:57" ht="12" customHeight="1" thickBot="1" x14ac:dyDescent="0.25">
      <c r="A52" s="1210"/>
      <c r="B52" s="615"/>
      <c r="C52" s="5346"/>
      <c r="D52" s="5347"/>
      <c r="E52" s="5347"/>
      <c r="F52" s="5347"/>
      <c r="G52" s="5347"/>
      <c r="H52" s="5347"/>
      <c r="I52" s="5347"/>
      <c r="J52" s="5347"/>
      <c r="K52" s="5347"/>
      <c r="L52" s="5347"/>
      <c r="M52" s="5347"/>
      <c r="N52" s="5347"/>
      <c r="O52" s="5347"/>
      <c r="P52" s="5347"/>
      <c r="Q52" s="5348"/>
      <c r="R52" s="1216"/>
      <c r="S52" s="1210"/>
      <c r="T52" s="1210"/>
      <c r="U52" s="615"/>
      <c r="V52" s="5346"/>
      <c r="W52" s="5347"/>
      <c r="X52" s="5347"/>
      <c r="Y52" s="5347"/>
      <c r="Z52" s="5347"/>
      <c r="AA52" s="5347"/>
      <c r="AB52" s="5347"/>
      <c r="AC52" s="5347"/>
      <c r="AD52" s="5347"/>
      <c r="AE52" s="5347"/>
      <c r="AF52" s="5347"/>
      <c r="AG52" s="5347"/>
      <c r="AH52" s="5347"/>
      <c r="AI52" s="5347"/>
      <c r="AJ52" s="5348"/>
      <c r="AK52" s="1216"/>
      <c r="AL52" s="1210"/>
      <c r="AM52" s="1210"/>
      <c r="AN52" s="615"/>
      <c r="AO52" s="5346"/>
      <c r="AP52" s="5347"/>
      <c r="AQ52" s="5347"/>
      <c r="AR52" s="5347"/>
      <c r="AS52" s="5347"/>
      <c r="AT52" s="5347"/>
      <c r="AU52" s="5347"/>
      <c r="AV52" s="5347"/>
      <c r="AW52" s="5347"/>
      <c r="AX52" s="5347"/>
      <c r="AY52" s="5347"/>
      <c r="AZ52" s="5347"/>
      <c r="BA52" s="5347"/>
      <c r="BB52" s="5347"/>
      <c r="BC52" s="5348"/>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3"/>
      <c r="D54" s="5314"/>
      <c r="E54" s="5314"/>
      <c r="F54" s="5314"/>
      <c r="G54" s="5314"/>
      <c r="H54" s="1230" t="s">
        <v>1630</v>
      </c>
      <c r="I54" s="1231" t="str">
        <f>IF(C54=0,"",VLOOKUP(C54,'Tablas Magia'!$D$6:$Z$680,3,FALSE))</f>
        <v/>
      </c>
      <c r="J54" s="5315" t="s">
        <v>8162</v>
      </c>
      <c r="K54" s="5315"/>
      <c r="L54" s="5315"/>
      <c r="M54" s="5316" t="str">
        <f>IF(C54=0,"",VLOOKUP(C54,'Tablas Magia'!$D$6:$Z$680,2,FALSE))</f>
        <v/>
      </c>
      <c r="N54" s="5316"/>
      <c r="O54" s="5316"/>
      <c r="P54" s="5316"/>
      <c r="Q54" s="5317"/>
      <c r="R54" s="1216"/>
      <c r="S54" s="1210"/>
      <c r="T54" s="1210"/>
      <c r="U54" s="615"/>
      <c r="V54" s="5313"/>
      <c r="W54" s="5314"/>
      <c r="X54" s="5314"/>
      <c r="Y54" s="5314"/>
      <c r="Z54" s="5314"/>
      <c r="AA54" s="1230" t="s">
        <v>1630</v>
      </c>
      <c r="AB54" s="1231" t="str">
        <f>IF(V54=0,"",VLOOKUP(V54,'Tablas Magia'!$D$6:$Z$680,3,FALSE))</f>
        <v/>
      </c>
      <c r="AC54" s="5315" t="s">
        <v>8162</v>
      </c>
      <c r="AD54" s="5315"/>
      <c r="AE54" s="5315"/>
      <c r="AF54" s="5316" t="str">
        <f>IF(V54=0,"",VLOOKUP(V54,'Tablas Magia'!$D$6:$Z$680,2,FALSE))</f>
        <v/>
      </c>
      <c r="AG54" s="5316"/>
      <c r="AH54" s="5316"/>
      <c r="AI54" s="5316"/>
      <c r="AJ54" s="5317"/>
      <c r="AK54" s="1216"/>
      <c r="AL54" s="1210"/>
      <c r="AM54" s="1210"/>
      <c r="AN54" s="615"/>
      <c r="AO54" s="5313"/>
      <c r="AP54" s="5314"/>
      <c r="AQ54" s="5314"/>
      <c r="AR54" s="5314"/>
      <c r="AS54" s="5314"/>
      <c r="AT54" s="1230" t="s">
        <v>1630</v>
      </c>
      <c r="AU54" s="1231" t="str">
        <f>IF(AO54=0,"",VLOOKUP(AO54,'Tablas Magia'!$D$6:$Z$680,3,FALSE))</f>
        <v/>
      </c>
      <c r="AV54" s="5315" t="s">
        <v>8162</v>
      </c>
      <c r="AW54" s="5315"/>
      <c r="AX54" s="5315"/>
      <c r="AY54" s="5316" t="str">
        <f>IF(AO54=0,"",VLOOKUP(AO54,'Tablas Magia'!$D$6:$Z$680,2,FALSE))</f>
        <v/>
      </c>
      <c r="AZ54" s="5316"/>
      <c r="BA54" s="5316"/>
      <c r="BB54" s="5316"/>
      <c r="BC54" s="5317"/>
      <c r="BD54" s="1216"/>
      <c r="BE54" s="1210"/>
    </row>
    <row r="55" spans="1:57" ht="12" customHeight="1" x14ac:dyDescent="0.2">
      <c r="A55" s="1210"/>
      <c r="B55" s="615"/>
      <c r="C55" s="5333" t="s">
        <v>8163</v>
      </c>
      <c r="D55" s="5334"/>
      <c r="E55" s="1232" t="s">
        <v>8164</v>
      </c>
      <c r="F55" s="1232" t="s">
        <v>1824</v>
      </c>
      <c r="G55" s="1232" t="s">
        <v>3467</v>
      </c>
      <c r="H55" s="1233" t="s">
        <v>2175</v>
      </c>
      <c r="I55" s="5330" t="str">
        <f>IF(C54=0,"",VLOOKUP(C54,'Tablas Magia'!$D$6:$Z$680,5,FALSE))</f>
        <v/>
      </c>
      <c r="J55" s="5330"/>
      <c r="K55" s="5331" t="s">
        <v>8165</v>
      </c>
      <c r="L55" s="5331"/>
      <c r="M55" s="5330" t="str">
        <f>IF(C54=0,"",VLOOKUP(C54,'Tablas Magia'!$D$6:$Z$680,6,FALSE))</f>
        <v/>
      </c>
      <c r="N55" s="5330"/>
      <c r="O55" s="5332" t="s">
        <v>8166</v>
      </c>
      <c r="P55" s="5332"/>
      <c r="Q55" s="1234" t="str">
        <f>IF(C54=0,"",VLOOKUP(C54,'Tablas Magia'!$D$6:$Z$680,4,FALSE))</f>
        <v/>
      </c>
      <c r="R55" s="1216"/>
      <c r="S55" s="1210"/>
      <c r="T55" s="1210"/>
      <c r="U55" s="615"/>
      <c r="V55" s="5333" t="s">
        <v>8163</v>
      </c>
      <c r="W55" s="5334"/>
      <c r="X55" s="1232" t="s">
        <v>8164</v>
      </c>
      <c r="Y55" s="1232" t="s">
        <v>1824</v>
      </c>
      <c r="Z55" s="1232" t="s">
        <v>3467</v>
      </c>
      <c r="AA55" s="1233" t="s">
        <v>2175</v>
      </c>
      <c r="AB55" s="5330" t="str">
        <f>IF(V54=0,"",VLOOKUP(V54,'Tablas Magia'!$D$6:$Z$680,5,FALSE))</f>
        <v/>
      </c>
      <c r="AC55" s="5330"/>
      <c r="AD55" s="5331" t="s">
        <v>8165</v>
      </c>
      <c r="AE55" s="5331"/>
      <c r="AF55" s="5330" t="str">
        <f>IF(V54=0,"",VLOOKUP(V54,'Tablas Magia'!$D$6:$Z$680,6,FALSE))</f>
        <v/>
      </c>
      <c r="AG55" s="5330"/>
      <c r="AH55" s="5332" t="s">
        <v>8166</v>
      </c>
      <c r="AI55" s="5332"/>
      <c r="AJ55" s="1234" t="str">
        <f>IF(V54=0,"",VLOOKUP(V54,'Tablas Magia'!$D$6:$Z$680,4,FALSE))</f>
        <v/>
      </c>
      <c r="AK55" s="1216"/>
      <c r="AL55" s="1210"/>
      <c r="AM55" s="1210"/>
      <c r="AN55" s="615"/>
      <c r="AO55" s="5333" t="s">
        <v>8163</v>
      </c>
      <c r="AP55" s="5334"/>
      <c r="AQ55" s="1232" t="s">
        <v>8164</v>
      </c>
      <c r="AR55" s="1232" t="s">
        <v>1824</v>
      </c>
      <c r="AS55" s="1232" t="s">
        <v>3467</v>
      </c>
      <c r="AT55" s="1233" t="s">
        <v>2175</v>
      </c>
      <c r="AU55" s="5330" t="str">
        <f>IF(AO54=0,"",VLOOKUP(AO54,'Tablas Magia'!$D$6:$Z$680,5,FALSE))</f>
        <v/>
      </c>
      <c r="AV55" s="5330"/>
      <c r="AW55" s="5331" t="s">
        <v>8165</v>
      </c>
      <c r="AX55" s="5331"/>
      <c r="AY55" s="5330" t="str">
        <f>IF(AO54=0,"",VLOOKUP(AO54,'Tablas Magia'!$D$6:$Z$680,6,FALSE))</f>
        <v/>
      </c>
      <c r="AZ55" s="5330"/>
      <c r="BA55" s="5332" t="s">
        <v>8166</v>
      </c>
      <c r="BB55" s="5332"/>
      <c r="BC55" s="1234" t="str">
        <f>IF(AO54=0,"",VLOOKUP(AO54,'Tablas Magia'!$D$6:$Z$680,4,FALSE))</f>
        <v/>
      </c>
      <c r="BD55" s="1216"/>
      <c r="BE55" s="1210"/>
    </row>
    <row r="56" spans="1:57" ht="12" customHeight="1" x14ac:dyDescent="0.2">
      <c r="A56" s="1210"/>
      <c r="B56" s="615"/>
      <c r="C56" s="5325" t="s">
        <v>1677</v>
      </c>
      <c r="D56" s="5326"/>
      <c r="E56" s="1235" t="str">
        <f>IF(C54=0,"",VLOOKUP(C54,'Tablas Magia'!$D$6:$Z$680,7,FALSE))</f>
        <v/>
      </c>
      <c r="F56" s="1235" t="str">
        <f>IF(C54=0,"",VLOOKUP(C54,'Tablas Magia'!$D$6:$Z$680,11,FALSE))</f>
        <v/>
      </c>
      <c r="G56" s="1236" t="str">
        <f>IF(C54=0,"",VLOOKUP(C54,'Tablas Magia'!$D$6:$Z$680,15,FALSE))</f>
        <v/>
      </c>
      <c r="H56" s="5327" t="str">
        <f>IF(C54=0,"",VLOOKUP(C54,'Tablas Magia'!$D$6:$Z$680,19,FALSE))</f>
        <v/>
      </c>
      <c r="I56" s="5328"/>
      <c r="J56" s="5328"/>
      <c r="K56" s="5328"/>
      <c r="L56" s="5328"/>
      <c r="M56" s="5328"/>
      <c r="N56" s="5328"/>
      <c r="O56" s="5328"/>
      <c r="P56" s="5328"/>
      <c r="Q56" s="5329"/>
      <c r="R56" s="1216"/>
      <c r="S56" s="1210"/>
      <c r="T56" s="1210"/>
      <c r="U56" s="615"/>
      <c r="V56" s="5325" t="s">
        <v>1677</v>
      </c>
      <c r="W56" s="5326"/>
      <c r="X56" s="1235" t="str">
        <f>IF(V54=0,"",VLOOKUP(V54,'Tablas Magia'!$D$6:$Z$680,7,FALSE))</f>
        <v/>
      </c>
      <c r="Y56" s="1235" t="str">
        <f>IF(V54=0,"",VLOOKUP(V54,'Tablas Magia'!$D$6:$Z$680,11,FALSE))</f>
        <v/>
      </c>
      <c r="Z56" s="1236" t="str">
        <f>IF(V54=0,"",VLOOKUP(V54,'Tablas Magia'!$D$6:$Z$680,15,FALSE))</f>
        <v/>
      </c>
      <c r="AA56" s="5327" t="str">
        <f>IF(V54=0,"",VLOOKUP(V54,'Tablas Magia'!$D$6:$Z$680,19,FALSE))</f>
        <v/>
      </c>
      <c r="AB56" s="5328"/>
      <c r="AC56" s="5328"/>
      <c r="AD56" s="5328"/>
      <c r="AE56" s="5328"/>
      <c r="AF56" s="5328"/>
      <c r="AG56" s="5328"/>
      <c r="AH56" s="5328"/>
      <c r="AI56" s="5328"/>
      <c r="AJ56" s="5329"/>
      <c r="AK56" s="1216"/>
      <c r="AL56" s="1210"/>
      <c r="AM56" s="1210"/>
      <c r="AN56" s="615"/>
      <c r="AO56" s="5325" t="s">
        <v>1677</v>
      </c>
      <c r="AP56" s="5326"/>
      <c r="AQ56" s="1235" t="str">
        <f>IF(AO54=0,"",VLOOKUP(AO54,'Tablas Magia'!$D$6:$Z$680,7,FALSE))</f>
        <v/>
      </c>
      <c r="AR56" s="1235" t="str">
        <f>IF(AO54=0,"",VLOOKUP(AO54,'Tablas Magia'!$D$6:$Z$680,11,FALSE))</f>
        <v/>
      </c>
      <c r="AS56" s="1236" t="str">
        <f>IF(AO54=0,"",VLOOKUP(AO54,'Tablas Magia'!$D$6:$Z$680,15,FALSE))</f>
        <v/>
      </c>
      <c r="AT56" s="5327" t="str">
        <f>IF(AO54=0,"",VLOOKUP(AO54,'Tablas Magia'!$D$6:$Z$680,19,FALSE))</f>
        <v/>
      </c>
      <c r="AU56" s="5328"/>
      <c r="AV56" s="5328"/>
      <c r="AW56" s="5328"/>
      <c r="AX56" s="5328"/>
      <c r="AY56" s="5328"/>
      <c r="AZ56" s="5328"/>
      <c r="BA56" s="5328"/>
      <c r="BB56" s="5328"/>
      <c r="BC56" s="5329"/>
      <c r="BD56" s="1216"/>
      <c r="BE56" s="1210"/>
    </row>
    <row r="57" spans="1:57" ht="12" customHeight="1" x14ac:dyDescent="0.2">
      <c r="A57" s="1210"/>
      <c r="B57" s="615"/>
      <c r="C57" s="5320" t="s">
        <v>4705</v>
      </c>
      <c r="D57" s="5321"/>
      <c r="E57" s="1237" t="str">
        <f>IF(C54=0,"",VLOOKUP(C54,'Tablas Magia'!$D$6:$Z$680,8,FALSE))</f>
        <v/>
      </c>
      <c r="F57" s="1237" t="str">
        <f>IF(C54=0,"",VLOOKUP(C54,'Tablas Magia'!$D$6:$Z$680,12,FALSE))</f>
        <v/>
      </c>
      <c r="G57" s="1238" t="str">
        <f>IF(C54=0,"",VLOOKUP(C54,'Tablas Magia'!$D$6:$Z$680,16,FALSE))</f>
        <v/>
      </c>
      <c r="H57" s="5322" t="str">
        <f>IF(C54=0,"",VLOOKUP(C54,'Tablas Magia'!$D$6:$Z$680,20,FALSE))</f>
        <v/>
      </c>
      <c r="I57" s="5323"/>
      <c r="J57" s="5323"/>
      <c r="K57" s="5323"/>
      <c r="L57" s="5323"/>
      <c r="M57" s="5323"/>
      <c r="N57" s="5323"/>
      <c r="O57" s="5323"/>
      <c r="P57" s="5323"/>
      <c r="Q57" s="5324"/>
      <c r="R57" s="1216"/>
      <c r="S57" s="1210"/>
      <c r="T57" s="1210"/>
      <c r="U57" s="615"/>
      <c r="V57" s="5320" t="s">
        <v>4705</v>
      </c>
      <c r="W57" s="5321"/>
      <c r="X57" s="1237" t="str">
        <f>IF(V54=0,"",VLOOKUP(V54,'Tablas Magia'!$D$6:$Z$680,8,FALSE))</f>
        <v/>
      </c>
      <c r="Y57" s="1237" t="str">
        <f>IF(V54=0,"",VLOOKUP(V54,'Tablas Magia'!$D$6:$Z$680,12,FALSE))</f>
        <v/>
      </c>
      <c r="Z57" s="1238" t="str">
        <f>IF(V54=0,"",VLOOKUP(V54,'Tablas Magia'!$D$6:$Z$680,16,FALSE))</f>
        <v/>
      </c>
      <c r="AA57" s="5322" t="str">
        <f>IF(V54=0,"",VLOOKUP(V54,'Tablas Magia'!$D$6:$Z$680,20,FALSE))</f>
        <v/>
      </c>
      <c r="AB57" s="5323"/>
      <c r="AC57" s="5323"/>
      <c r="AD57" s="5323"/>
      <c r="AE57" s="5323"/>
      <c r="AF57" s="5323"/>
      <c r="AG57" s="5323"/>
      <c r="AH57" s="5323"/>
      <c r="AI57" s="5323"/>
      <c r="AJ57" s="5324"/>
      <c r="AK57" s="1216"/>
      <c r="AL57" s="1210"/>
      <c r="AM57" s="1210"/>
      <c r="AN57" s="615"/>
      <c r="AO57" s="5320" t="s">
        <v>4705</v>
      </c>
      <c r="AP57" s="5321"/>
      <c r="AQ57" s="1237" t="str">
        <f>IF(AO54=0,"",VLOOKUP(AO54,'Tablas Magia'!$D$6:$Z$680,8,FALSE))</f>
        <v/>
      </c>
      <c r="AR57" s="1237" t="str">
        <f>IF(AO54=0,"",VLOOKUP(AO54,'Tablas Magia'!$D$6:$Z$680,12,FALSE))</f>
        <v/>
      </c>
      <c r="AS57" s="1238" t="str">
        <f>IF(AO54=0,"",VLOOKUP(AO54,'Tablas Magia'!$D$6:$Z$680,16,FALSE))</f>
        <v/>
      </c>
      <c r="AT57" s="5322" t="str">
        <f>IF(AO54=0,"",VLOOKUP(AO54,'Tablas Magia'!$D$6:$Z$680,20,FALSE))</f>
        <v/>
      </c>
      <c r="AU57" s="5323"/>
      <c r="AV57" s="5323"/>
      <c r="AW57" s="5323"/>
      <c r="AX57" s="5323"/>
      <c r="AY57" s="5323"/>
      <c r="AZ57" s="5323"/>
      <c r="BA57" s="5323"/>
      <c r="BB57" s="5323"/>
      <c r="BC57" s="5324"/>
      <c r="BD57" s="1216"/>
      <c r="BE57" s="1210"/>
    </row>
    <row r="58" spans="1:57" ht="12" customHeight="1" x14ac:dyDescent="0.2">
      <c r="A58" s="1210"/>
      <c r="B58" s="615"/>
      <c r="C58" s="5325" t="s">
        <v>4706</v>
      </c>
      <c r="D58" s="5326"/>
      <c r="E58" s="1235" t="str">
        <f>IF(C54=0,"",VLOOKUP(C54,'Tablas Magia'!$D$6:$Z$680,9,FALSE))</f>
        <v/>
      </c>
      <c r="F58" s="1235" t="str">
        <f>IF(C54=0,"",VLOOKUP(C54,'Tablas Magia'!$D$6:$Z$680,13,FALSE))</f>
        <v/>
      </c>
      <c r="G58" s="1236" t="str">
        <f>IF(C54=0,"",VLOOKUP(C54,'Tablas Magia'!$D$6:$Z$680,17,FALSE))</f>
        <v/>
      </c>
      <c r="H58" s="5327" t="str">
        <f>IF(C54=0,"",VLOOKUP(C54,'Tablas Magia'!$D$6:$Z$680,21,FALSE))</f>
        <v/>
      </c>
      <c r="I58" s="5328"/>
      <c r="J58" s="5328"/>
      <c r="K58" s="5328"/>
      <c r="L58" s="5328"/>
      <c r="M58" s="5328"/>
      <c r="N58" s="5328"/>
      <c r="O58" s="5328"/>
      <c r="P58" s="5328"/>
      <c r="Q58" s="5329"/>
      <c r="R58" s="1216"/>
      <c r="S58" s="1210"/>
      <c r="T58" s="1210"/>
      <c r="U58" s="615"/>
      <c r="V58" s="5325" t="s">
        <v>4706</v>
      </c>
      <c r="W58" s="5326"/>
      <c r="X58" s="1235" t="str">
        <f>IF(V54=0,"",VLOOKUP(V54,'Tablas Magia'!$D$6:$Z$680,9,FALSE))</f>
        <v/>
      </c>
      <c r="Y58" s="1235" t="str">
        <f>IF(V54=0,"",VLOOKUP(V54,'Tablas Magia'!$D$6:$Z$680,13,FALSE))</f>
        <v/>
      </c>
      <c r="Z58" s="1236" t="str">
        <f>IF(V54=0,"",VLOOKUP(V54,'Tablas Magia'!$D$6:$Z$680,17,FALSE))</f>
        <v/>
      </c>
      <c r="AA58" s="5327" t="str">
        <f>IF(V54=0,"",VLOOKUP(V54,'Tablas Magia'!$D$6:$Z$680,21,FALSE))</f>
        <v/>
      </c>
      <c r="AB58" s="5328"/>
      <c r="AC58" s="5328"/>
      <c r="AD58" s="5328"/>
      <c r="AE58" s="5328"/>
      <c r="AF58" s="5328"/>
      <c r="AG58" s="5328"/>
      <c r="AH58" s="5328"/>
      <c r="AI58" s="5328"/>
      <c r="AJ58" s="5329"/>
      <c r="AK58" s="1216"/>
      <c r="AL58" s="1210"/>
      <c r="AM58" s="1210"/>
      <c r="AN58" s="615"/>
      <c r="AO58" s="5325" t="s">
        <v>4706</v>
      </c>
      <c r="AP58" s="5326"/>
      <c r="AQ58" s="1235" t="str">
        <f>IF(AO54=0,"",VLOOKUP(AO54,'Tablas Magia'!$D$6:$Z$680,9,FALSE))</f>
        <v/>
      </c>
      <c r="AR58" s="1235" t="str">
        <f>IF(AO54=0,"",VLOOKUP(AO54,'Tablas Magia'!$D$6:$Z$680,13,FALSE))</f>
        <v/>
      </c>
      <c r="AS58" s="1236" t="str">
        <f>IF(AO54=0,"",VLOOKUP(AO54,'Tablas Magia'!$D$6:$Z$680,17,FALSE))</f>
        <v/>
      </c>
      <c r="AT58" s="5327" t="str">
        <f>IF(AO54=0,"",VLOOKUP(AO54,'Tablas Magia'!$D$6:$Z$680,21,FALSE))</f>
        <v/>
      </c>
      <c r="AU58" s="5328"/>
      <c r="AV58" s="5328"/>
      <c r="AW58" s="5328"/>
      <c r="AX58" s="5328"/>
      <c r="AY58" s="5328"/>
      <c r="AZ58" s="5328"/>
      <c r="BA58" s="5328"/>
      <c r="BB58" s="5328"/>
      <c r="BC58" s="5329"/>
      <c r="BD58" s="1216"/>
      <c r="BE58" s="1210"/>
    </row>
    <row r="59" spans="1:57" ht="12" customHeight="1" thickBot="1" x14ac:dyDescent="0.25">
      <c r="A59" s="1210"/>
      <c r="B59" s="615"/>
      <c r="C59" s="5335" t="s">
        <v>4707</v>
      </c>
      <c r="D59" s="5336"/>
      <c r="E59" s="1239" t="str">
        <f>IF(C54=0,"",VLOOKUP(C54,'Tablas Magia'!$D$6:$Z$680,10,FALSE))</f>
        <v/>
      </c>
      <c r="F59" s="1239" t="str">
        <f>IF(C54=0,"",VLOOKUP(C54,'Tablas Magia'!$D$6:$Z$680,14,FALSE))</f>
        <v/>
      </c>
      <c r="G59" s="1240" t="str">
        <f>IF(C54=0,"",VLOOKUP(C54,'Tablas Magia'!$D$6:$Z$680,18,FALSE))</f>
        <v/>
      </c>
      <c r="H59" s="5337" t="str">
        <f>IF(C54=0,"",VLOOKUP(C54,'Tablas Magia'!$D$6:$Z$680,22,FALSE))</f>
        <v/>
      </c>
      <c r="I59" s="5338"/>
      <c r="J59" s="5338"/>
      <c r="K59" s="5338"/>
      <c r="L59" s="5338"/>
      <c r="M59" s="5338"/>
      <c r="N59" s="5338"/>
      <c r="O59" s="5338"/>
      <c r="P59" s="5338"/>
      <c r="Q59" s="5339"/>
      <c r="R59" s="1216"/>
      <c r="S59" s="1210"/>
      <c r="T59" s="1210"/>
      <c r="U59" s="615"/>
      <c r="V59" s="5335" t="s">
        <v>4707</v>
      </c>
      <c r="W59" s="5336"/>
      <c r="X59" s="1239" t="str">
        <f>IF(V54=0,"",VLOOKUP(V54,'Tablas Magia'!$D$6:$Z$680,10,FALSE))</f>
        <v/>
      </c>
      <c r="Y59" s="1239" t="str">
        <f>IF(V54=0,"",VLOOKUP(V54,'Tablas Magia'!$D$6:$Z$680,14,FALSE))</f>
        <v/>
      </c>
      <c r="Z59" s="1240" t="str">
        <f>IF(V54=0,"",VLOOKUP(V54,'Tablas Magia'!$D$6:$Z$680,18,FALSE))</f>
        <v/>
      </c>
      <c r="AA59" s="5337" t="str">
        <f>IF(V54=0,"",VLOOKUP(V54,'Tablas Magia'!$D$6:$Z$680,22,FALSE))</f>
        <v/>
      </c>
      <c r="AB59" s="5338"/>
      <c r="AC59" s="5338"/>
      <c r="AD59" s="5338"/>
      <c r="AE59" s="5338"/>
      <c r="AF59" s="5338"/>
      <c r="AG59" s="5338"/>
      <c r="AH59" s="5338"/>
      <c r="AI59" s="5338"/>
      <c r="AJ59" s="5339"/>
      <c r="AK59" s="1216"/>
      <c r="AL59" s="1210"/>
      <c r="AM59" s="1210"/>
      <c r="AN59" s="615"/>
      <c r="AO59" s="5335" t="s">
        <v>4707</v>
      </c>
      <c r="AP59" s="5336"/>
      <c r="AQ59" s="1239" t="str">
        <f>IF(AO54=0,"",VLOOKUP(AO54,'Tablas Magia'!$D$6:$Z$680,10,FALSE))</f>
        <v/>
      </c>
      <c r="AR59" s="1239" t="str">
        <f>IF(AO54=0,"",VLOOKUP(AO54,'Tablas Magia'!$D$6:$Z$680,14,FALSE))</f>
        <v/>
      </c>
      <c r="AS59" s="1240" t="str">
        <f>IF(AO54=0,"",VLOOKUP(AO54,'Tablas Magia'!$D$6:$Z$680,18,FALSE))</f>
        <v/>
      </c>
      <c r="AT59" s="5337" t="str">
        <f>IF(AO54=0,"",VLOOKUP(AO54,'Tablas Magia'!$D$6:$Z$680,22,FALSE))</f>
        <v/>
      </c>
      <c r="AU59" s="5338"/>
      <c r="AV59" s="5338"/>
      <c r="AW59" s="5338"/>
      <c r="AX59" s="5338"/>
      <c r="AY59" s="5338"/>
      <c r="AZ59" s="5338"/>
      <c r="BA59" s="5338"/>
      <c r="BB59" s="5338"/>
      <c r="BC59" s="5339"/>
      <c r="BD59" s="1216"/>
      <c r="BE59" s="1210"/>
    </row>
    <row r="60" spans="1:57" ht="12" customHeight="1" x14ac:dyDescent="0.2">
      <c r="A60" s="1210"/>
      <c r="B60" s="615"/>
      <c r="C60" s="5340" t="str">
        <f>IF(C54=0,"",VLOOKUP(C54,'Tablas Magia'!$D$6:$Z$680,23,FALSE))</f>
        <v/>
      </c>
      <c r="D60" s="5341"/>
      <c r="E60" s="5341"/>
      <c r="F60" s="5341"/>
      <c r="G60" s="5341"/>
      <c r="H60" s="5341"/>
      <c r="I60" s="5341"/>
      <c r="J60" s="5341"/>
      <c r="K60" s="5341"/>
      <c r="L60" s="5341"/>
      <c r="M60" s="5341"/>
      <c r="N60" s="5341"/>
      <c r="O60" s="5341"/>
      <c r="P60" s="5341"/>
      <c r="Q60" s="5342"/>
      <c r="R60" s="1216"/>
      <c r="S60" s="1210"/>
      <c r="T60" s="1210"/>
      <c r="U60" s="615"/>
      <c r="V60" s="5340" t="str">
        <f>IF(V54=0,"",VLOOKUP(V54,'Tablas Magia'!$D$6:$Z$680,23,FALSE))</f>
        <v/>
      </c>
      <c r="W60" s="5341"/>
      <c r="X60" s="5341"/>
      <c r="Y60" s="5341"/>
      <c r="Z60" s="5341"/>
      <c r="AA60" s="5341"/>
      <c r="AB60" s="5341"/>
      <c r="AC60" s="5341"/>
      <c r="AD60" s="5341"/>
      <c r="AE60" s="5341"/>
      <c r="AF60" s="5341"/>
      <c r="AG60" s="5341"/>
      <c r="AH60" s="5341"/>
      <c r="AI60" s="5341"/>
      <c r="AJ60" s="5342"/>
      <c r="AK60" s="1216"/>
      <c r="AL60" s="1210"/>
      <c r="AM60" s="1210"/>
      <c r="AN60" s="615"/>
      <c r="AO60" s="5340" t="str">
        <f>IF(AO54=0,"",VLOOKUP(AO54,'Tablas Magia'!$D$6:$Z$680,23,FALSE))</f>
        <v/>
      </c>
      <c r="AP60" s="5341"/>
      <c r="AQ60" s="5341"/>
      <c r="AR60" s="5341"/>
      <c r="AS60" s="5341"/>
      <c r="AT60" s="5341"/>
      <c r="AU60" s="5341"/>
      <c r="AV60" s="5341"/>
      <c r="AW60" s="5341"/>
      <c r="AX60" s="5341"/>
      <c r="AY60" s="5341"/>
      <c r="AZ60" s="5341"/>
      <c r="BA60" s="5341"/>
      <c r="BB60" s="5341"/>
      <c r="BC60" s="5342"/>
      <c r="BD60" s="1216"/>
      <c r="BE60" s="1210"/>
    </row>
    <row r="61" spans="1:57" ht="12" customHeight="1" x14ac:dyDescent="0.2">
      <c r="A61" s="1210"/>
      <c r="B61" s="615"/>
      <c r="C61" s="5343"/>
      <c r="D61" s="5344"/>
      <c r="E61" s="5344"/>
      <c r="F61" s="5344"/>
      <c r="G61" s="5344"/>
      <c r="H61" s="5344"/>
      <c r="I61" s="5344"/>
      <c r="J61" s="5344"/>
      <c r="K61" s="5344"/>
      <c r="L61" s="5344"/>
      <c r="M61" s="5344"/>
      <c r="N61" s="5344"/>
      <c r="O61" s="5344"/>
      <c r="P61" s="5344"/>
      <c r="Q61" s="5345"/>
      <c r="R61" s="1216"/>
      <c r="S61" s="1210"/>
      <c r="T61" s="1210"/>
      <c r="U61" s="615"/>
      <c r="V61" s="5343"/>
      <c r="W61" s="5344"/>
      <c r="X61" s="5344"/>
      <c r="Y61" s="5344"/>
      <c r="Z61" s="5344"/>
      <c r="AA61" s="5344"/>
      <c r="AB61" s="5344"/>
      <c r="AC61" s="5344"/>
      <c r="AD61" s="5344"/>
      <c r="AE61" s="5344"/>
      <c r="AF61" s="5344"/>
      <c r="AG61" s="5344"/>
      <c r="AH61" s="5344"/>
      <c r="AI61" s="5344"/>
      <c r="AJ61" s="5345"/>
      <c r="AK61" s="1216"/>
      <c r="AL61" s="1210"/>
      <c r="AM61" s="1210"/>
      <c r="AN61" s="615"/>
      <c r="AO61" s="5343"/>
      <c r="AP61" s="5344"/>
      <c r="AQ61" s="5344"/>
      <c r="AR61" s="5344"/>
      <c r="AS61" s="5344"/>
      <c r="AT61" s="5344"/>
      <c r="AU61" s="5344"/>
      <c r="AV61" s="5344"/>
      <c r="AW61" s="5344"/>
      <c r="AX61" s="5344"/>
      <c r="AY61" s="5344"/>
      <c r="AZ61" s="5344"/>
      <c r="BA61" s="5344"/>
      <c r="BB61" s="5344"/>
      <c r="BC61" s="5345"/>
      <c r="BD61" s="1216"/>
      <c r="BE61" s="1210"/>
    </row>
    <row r="62" spans="1:57" ht="12" customHeight="1" x14ac:dyDescent="0.2">
      <c r="A62" s="1210"/>
      <c r="B62" s="615"/>
      <c r="C62" s="5343"/>
      <c r="D62" s="5344"/>
      <c r="E62" s="5344"/>
      <c r="F62" s="5344"/>
      <c r="G62" s="5344"/>
      <c r="H62" s="5344"/>
      <c r="I62" s="5344"/>
      <c r="J62" s="5344"/>
      <c r="K62" s="5344"/>
      <c r="L62" s="5344"/>
      <c r="M62" s="5344"/>
      <c r="N62" s="5344"/>
      <c r="O62" s="5344"/>
      <c r="P62" s="5344"/>
      <c r="Q62" s="5345"/>
      <c r="R62" s="1216"/>
      <c r="S62" s="1210"/>
      <c r="T62" s="1210"/>
      <c r="U62" s="615"/>
      <c r="V62" s="5343"/>
      <c r="W62" s="5344"/>
      <c r="X62" s="5344"/>
      <c r="Y62" s="5344"/>
      <c r="Z62" s="5344"/>
      <c r="AA62" s="5344"/>
      <c r="AB62" s="5344"/>
      <c r="AC62" s="5344"/>
      <c r="AD62" s="5344"/>
      <c r="AE62" s="5344"/>
      <c r="AF62" s="5344"/>
      <c r="AG62" s="5344"/>
      <c r="AH62" s="5344"/>
      <c r="AI62" s="5344"/>
      <c r="AJ62" s="5345"/>
      <c r="AK62" s="1216"/>
      <c r="AL62" s="1210"/>
      <c r="AM62" s="1210"/>
      <c r="AN62" s="615"/>
      <c r="AO62" s="5343"/>
      <c r="AP62" s="5344"/>
      <c r="AQ62" s="5344"/>
      <c r="AR62" s="5344"/>
      <c r="AS62" s="5344"/>
      <c r="AT62" s="5344"/>
      <c r="AU62" s="5344"/>
      <c r="AV62" s="5344"/>
      <c r="AW62" s="5344"/>
      <c r="AX62" s="5344"/>
      <c r="AY62" s="5344"/>
      <c r="AZ62" s="5344"/>
      <c r="BA62" s="5344"/>
      <c r="BB62" s="5344"/>
      <c r="BC62" s="5345"/>
      <c r="BD62" s="1216"/>
      <c r="BE62" s="1210"/>
    </row>
    <row r="63" spans="1:57" ht="12" customHeight="1" thickBot="1" x14ac:dyDescent="0.25">
      <c r="A63" s="1210"/>
      <c r="B63" s="615"/>
      <c r="C63" s="5346"/>
      <c r="D63" s="5347"/>
      <c r="E63" s="5347"/>
      <c r="F63" s="5347"/>
      <c r="G63" s="5347"/>
      <c r="H63" s="5347"/>
      <c r="I63" s="5347"/>
      <c r="J63" s="5347"/>
      <c r="K63" s="5347"/>
      <c r="L63" s="5347"/>
      <c r="M63" s="5347"/>
      <c r="N63" s="5347"/>
      <c r="O63" s="5347"/>
      <c r="P63" s="5347"/>
      <c r="Q63" s="5348"/>
      <c r="R63" s="1216"/>
      <c r="S63" s="1210"/>
      <c r="T63" s="1210"/>
      <c r="U63" s="615"/>
      <c r="V63" s="5346"/>
      <c r="W63" s="5347"/>
      <c r="X63" s="5347"/>
      <c r="Y63" s="5347"/>
      <c r="Z63" s="5347"/>
      <c r="AA63" s="5347"/>
      <c r="AB63" s="5347"/>
      <c r="AC63" s="5347"/>
      <c r="AD63" s="5347"/>
      <c r="AE63" s="5347"/>
      <c r="AF63" s="5347"/>
      <c r="AG63" s="5347"/>
      <c r="AH63" s="5347"/>
      <c r="AI63" s="5347"/>
      <c r="AJ63" s="5348"/>
      <c r="AK63" s="1216"/>
      <c r="AL63" s="1210"/>
      <c r="AM63" s="1210"/>
      <c r="AN63" s="615"/>
      <c r="AO63" s="5346"/>
      <c r="AP63" s="5347"/>
      <c r="AQ63" s="5347"/>
      <c r="AR63" s="5347"/>
      <c r="AS63" s="5347"/>
      <c r="AT63" s="5347"/>
      <c r="AU63" s="5347"/>
      <c r="AV63" s="5347"/>
      <c r="AW63" s="5347"/>
      <c r="AX63" s="5347"/>
      <c r="AY63" s="5347"/>
      <c r="AZ63" s="5347"/>
      <c r="BA63" s="5347"/>
      <c r="BB63" s="5347"/>
      <c r="BC63" s="5348"/>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352" t="s">
        <v>1938</v>
      </c>
      <c r="F4" s="5352"/>
      <c r="G4" s="5352"/>
      <c r="H4" s="5358" t="s">
        <v>9106</v>
      </c>
      <c r="I4" s="5359"/>
      <c r="J4" s="5352"/>
      <c r="K4" s="5352"/>
      <c r="L4" s="5353"/>
      <c r="M4" s="2263"/>
      <c r="N4" s="2263"/>
      <c r="O4" s="2276" t="s">
        <v>9104</v>
      </c>
      <c r="P4" s="2277" t="str">
        <f>B8&amp;"-"&amp;B108</f>
        <v>2-20</v>
      </c>
      <c r="Q4" s="2264"/>
      <c r="R4" s="2265"/>
      <c r="S4" s="2261"/>
      <c r="T4" s="2261"/>
      <c r="U4" s="2266"/>
      <c r="V4" s="2262"/>
      <c r="W4" s="2280" t="s">
        <v>9105</v>
      </c>
      <c r="X4" s="5356" t="str">
        <f>IF($E$4="","",$E$4)</f>
        <v>Fuego</v>
      </c>
      <c r="Y4" s="5356"/>
      <c r="Z4" s="5356"/>
      <c r="AA4" s="5354" t="s">
        <v>9106</v>
      </c>
      <c r="AB4" s="5355"/>
      <c r="AC4" s="5356" t="str">
        <f>IF($J$4="","",$J$4)</f>
        <v/>
      </c>
      <c r="AD4" s="5356"/>
      <c r="AE4" s="5357"/>
      <c r="AF4" s="2263"/>
      <c r="AG4" s="2263"/>
      <c r="AH4" s="2276" t="s">
        <v>9104</v>
      </c>
      <c r="AI4" s="2277" t="str">
        <f>U8&amp;"-"&amp;U108</f>
        <v>22-40</v>
      </c>
      <c r="AJ4" s="2264"/>
      <c r="AK4" s="2265"/>
      <c r="AL4" s="2261"/>
      <c r="AM4" s="2261"/>
      <c r="AN4" s="2266"/>
      <c r="AO4" s="2262"/>
      <c r="AP4" s="2280" t="s">
        <v>9105</v>
      </c>
      <c r="AQ4" s="5356" t="str">
        <f>IF($E$4="","",$E$4)</f>
        <v>Fuego</v>
      </c>
      <c r="AR4" s="5356"/>
      <c r="AS4" s="5356"/>
      <c r="AT4" s="5354" t="s">
        <v>9106</v>
      </c>
      <c r="AU4" s="5355"/>
      <c r="AV4" s="5356" t="str">
        <f>IF($J$4="","",$J$4)</f>
        <v/>
      </c>
      <c r="AW4" s="5356"/>
      <c r="AX4" s="5357"/>
      <c r="AY4" s="2263"/>
      <c r="AZ4" s="2263"/>
      <c r="BA4" s="2276" t="s">
        <v>9104</v>
      </c>
      <c r="BB4" s="2277" t="str">
        <f>AN8&amp;"-"&amp;AN108</f>
        <v>42-60</v>
      </c>
      <c r="BC4" s="2264"/>
      <c r="BD4" s="2265"/>
      <c r="BE4" s="2261"/>
      <c r="BF4" s="2261"/>
      <c r="BG4" s="2266"/>
      <c r="BH4" s="2262"/>
      <c r="BI4" s="2280" t="s">
        <v>9105</v>
      </c>
      <c r="BJ4" s="5356" t="str">
        <f>IF($E$4="","",$E$4)</f>
        <v>Fuego</v>
      </c>
      <c r="BK4" s="5356"/>
      <c r="BL4" s="5356"/>
      <c r="BM4" s="5354" t="s">
        <v>9106</v>
      </c>
      <c r="BN4" s="5355"/>
      <c r="BO4" s="5356" t="str">
        <f>IF($J$4="","",$J$4)</f>
        <v/>
      </c>
      <c r="BP4" s="5356"/>
      <c r="BQ4" s="5357"/>
      <c r="BR4" s="2263"/>
      <c r="BS4" s="2263"/>
      <c r="BT4" s="2276" t="s">
        <v>9104</v>
      </c>
      <c r="BU4" s="2277" t="str">
        <f>BG8&amp;"-"&amp;BG108</f>
        <v>62-80</v>
      </c>
      <c r="BV4" s="2264"/>
      <c r="BW4" s="2265"/>
      <c r="BX4" s="2261"/>
      <c r="BY4" s="2261"/>
      <c r="BZ4" s="2266"/>
      <c r="CA4" s="2262"/>
      <c r="CB4" s="2280" t="s">
        <v>9105</v>
      </c>
      <c r="CC4" s="5356" t="str">
        <f>IF($E$4="","",$E$4)</f>
        <v>Fuego</v>
      </c>
      <c r="CD4" s="5356"/>
      <c r="CE4" s="5356"/>
      <c r="CF4" s="5354" t="s">
        <v>9106</v>
      </c>
      <c r="CG4" s="5355"/>
      <c r="CH4" s="5356" t="str">
        <f>IF($J$4="","",$J$4)</f>
        <v/>
      </c>
      <c r="CI4" s="5356"/>
      <c r="CJ4" s="5357"/>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1" t="str">
        <f>B8&amp;"-"&amp;B52</f>
        <v>2-10</v>
      </c>
      <c r="D7" s="5351"/>
      <c r="E7" s="5351"/>
      <c r="F7" s="5351"/>
      <c r="G7" s="5351"/>
      <c r="H7" s="5351"/>
      <c r="I7" s="5351"/>
      <c r="J7" s="5351"/>
      <c r="K7" s="5351"/>
      <c r="L7" s="5351"/>
      <c r="M7" s="5351"/>
      <c r="N7" s="5351"/>
      <c r="O7" s="5351"/>
      <c r="P7" s="5351"/>
      <c r="Q7" s="5351"/>
      <c r="R7" s="2270"/>
      <c r="S7" s="1210"/>
      <c r="T7" s="1210"/>
      <c r="U7" s="2275"/>
      <c r="V7" s="5351" t="str">
        <f>U8&amp;"-"&amp;U52</f>
        <v>22-30</v>
      </c>
      <c r="W7" s="5351"/>
      <c r="X7" s="5351"/>
      <c r="Y7" s="5351"/>
      <c r="Z7" s="5351"/>
      <c r="AA7" s="5351"/>
      <c r="AB7" s="5351"/>
      <c r="AC7" s="5351"/>
      <c r="AD7" s="5351"/>
      <c r="AE7" s="5351"/>
      <c r="AF7" s="5351"/>
      <c r="AG7" s="5351"/>
      <c r="AH7" s="5351"/>
      <c r="AI7" s="5351"/>
      <c r="AJ7" s="5351"/>
      <c r="AK7" s="2270"/>
      <c r="AL7" s="1210"/>
      <c r="AM7" s="2273"/>
      <c r="AN7" s="2269"/>
      <c r="AO7" s="5351" t="str">
        <f>AN8&amp;"-"&amp;AN52</f>
        <v>42-50</v>
      </c>
      <c r="AP7" s="5351"/>
      <c r="AQ7" s="5351"/>
      <c r="AR7" s="5351"/>
      <c r="AS7" s="5351"/>
      <c r="AT7" s="5351"/>
      <c r="AU7" s="5351"/>
      <c r="AV7" s="5351"/>
      <c r="AW7" s="5351"/>
      <c r="AX7" s="5351"/>
      <c r="AY7" s="5351"/>
      <c r="AZ7" s="5351"/>
      <c r="BA7" s="5351"/>
      <c r="BB7" s="5351"/>
      <c r="BC7" s="5351"/>
      <c r="BD7" s="2270"/>
      <c r="BE7" s="1210"/>
      <c r="BF7" s="1210"/>
      <c r="BG7" s="2269"/>
      <c r="BH7" s="5351" t="str">
        <f>BG8&amp;"-"&amp;BG52</f>
        <v>62-70</v>
      </c>
      <c r="BI7" s="5351"/>
      <c r="BJ7" s="5351"/>
      <c r="BK7" s="5351"/>
      <c r="BL7" s="5351"/>
      <c r="BM7" s="5351"/>
      <c r="BN7" s="5351"/>
      <c r="BO7" s="5351"/>
      <c r="BP7" s="5351"/>
      <c r="BQ7" s="5351"/>
      <c r="BR7" s="5351"/>
      <c r="BS7" s="5351"/>
      <c r="BT7" s="5351"/>
      <c r="BU7" s="5351"/>
      <c r="BV7" s="5351"/>
      <c r="BW7" s="2270"/>
      <c r="BX7" s="1210"/>
      <c r="BY7" s="1210"/>
      <c r="BZ7" s="2269"/>
      <c r="CA7" s="5351" t="str">
        <f>BZ8&amp;"-"&amp;BZ52</f>
        <v>82-90</v>
      </c>
      <c r="CB7" s="5351"/>
      <c r="CC7" s="5351"/>
      <c r="CD7" s="5351"/>
      <c r="CE7" s="5351"/>
      <c r="CF7" s="5351"/>
      <c r="CG7" s="5351"/>
      <c r="CH7" s="5351"/>
      <c r="CI7" s="5351"/>
      <c r="CJ7" s="5351"/>
      <c r="CK7" s="5351"/>
      <c r="CL7" s="5351"/>
      <c r="CM7" s="5351"/>
      <c r="CN7" s="5351"/>
      <c r="CO7" s="5351"/>
      <c r="CP7" s="2270"/>
      <c r="CQ7" s="1210"/>
    </row>
    <row r="8" spans="1:95" ht="12" customHeight="1" x14ac:dyDescent="0.2">
      <c r="A8" s="1210"/>
      <c r="B8" s="2258">
        <v>2</v>
      </c>
      <c r="C8" s="5349"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0"/>
      <c r="E8" s="5350"/>
      <c r="F8" s="5350"/>
      <c r="G8" s="5350"/>
      <c r="H8" s="1230" t="s">
        <v>1630</v>
      </c>
      <c r="I8" s="1231">
        <f>IF(C8=0,"",VLOOKUP(C8,'Tablas Magia'!$D$6:$Z$680,3,FALSE))</f>
        <v>2</v>
      </c>
      <c r="J8" s="5315" t="s">
        <v>8162</v>
      </c>
      <c r="K8" s="5315"/>
      <c r="L8" s="5315"/>
      <c r="M8" s="5316" t="str">
        <f>IF(C8=0,"",VLOOKUP(C8,'Tablas Magia'!$D$6:$Z$680,2,FALSE))</f>
        <v>Fuego</v>
      </c>
      <c r="N8" s="5316"/>
      <c r="O8" s="5316"/>
      <c r="P8" s="5316"/>
      <c r="Q8" s="5317"/>
      <c r="R8" s="1216"/>
      <c r="S8" s="1210"/>
      <c r="T8" s="1210"/>
      <c r="U8" s="2258">
        <f>B8+20</f>
        <v>22</v>
      </c>
      <c r="V8" s="5349"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0"/>
      <c r="X8" s="5350"/>
      <c r="Y8" s="5350"/>
      <c r="Z8" s="5350"/>
      <c r="AA8" s="1230" t="s">
        <v>1630</v>
      </c>
      <c r="AB8" s="1231">
        <f>IF(V8=0,"",VLOOKUP(V8,'Tablas Magia'!$D$6:$Z$680,3,FALSE))</f>
        <v>22</v>
      </c>
      <c r="AC8" s="5315" t="s">
        <v>8162</v>
      </c>
      <c r="AD8" s="5315"/>
      <c r="AE8" s="5315"/>
      <c r="AF8" s="5316" t="str">
        <f>IF(V8=0,"",VLOOKUP(V8,'Tablas Magia'!$D$6:$Z$680,2,FALSE))</f>
        <v>Fuego</v>
      </c>
      <c r="AG8" s="5316"/>
      <c r="AH8" s="5316"/>
      <c r="AI8" s="5316"/>
      <c r="AJ8" s="5317"/>
      <c r="AK8" s="1216"/>
      <c r="AL8" s="1210"/>
      <c r="AM8" s="1210"/>
      <c r="AN8" s="2272">
        <f>U8+20</f>
        <v>42</v>
      </c>
      <c r="AO8" s="5349"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0"/>
      <c r="AQ8" s="5350"/>
      <c r="AR8" s="5350"/>
      <c r="AS8" s="5350"/>
      <c r="AT8" s="1230" t="s">
        <v>1630</v>
      </c>
      <c r="AU8" s="1231">
        <f>IF(AO8=0,"",VLOOKUP(AO8,'Tablas Magia'!$D$6:$Z$680,3,FALSE))</f>
        <v>42</v>
      </c>
      <c r="AV8" s="5315" t="s">
        <v>8162</v>
      </c>
      <c r="AW8" s="5315"/>
      <c r="AX8" s="5315"/>
      <c r="AY8" s="5316" t="str">
        <f>IF(AO8=0,"",VLOOKUP(AO8,'Tablas Magia'!$D$6:$Z$680,2,FALSE))</f>
        <v>Fuego</v>
      </c>
      <c r="AZ8" s="5316"/>
      <c r="BA8" s="5316"/>
      <c r="BB8" s="5316"/>
      <c r="BC8" s="5317"/>
      <c r="BD8" s="1216"/>
      <c r="BE8" s="1210"/>
      <c r="BF8" s="1210"/>
      <c r="BG8" s="2272">
        <f>AN8+20</f>
        <v>62</v>
      </c>
      <c r="BH8" s="5349"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0"/>
      <c r="BJ8" s="5350"/>
      <c r="BK8" s="5350"/>
      <c r="BL8" s="5350"/>
      <c r="BM8" s="1230" t="s">
        <v>1630</v>
      </c>
      <c r="BN8" s="1231">
        <f>IF(BH8=0,"",VLOOKUP(BH8,'Tablas Magia'!$D$6:$Z$680,3,FALSE))</f>
        <v>62</v>
      </c>
      <c r="BO8" s="5315" t="s">
        <v>8162</v>
      </c>
      <c r="BP8" s="5315"/>
      <c r="BQ8" s="5315"/>
      <c r="BR8" s="5316" t="str">
        <f>IF(BH8=0,"",VLOOKUP(BH8,'Tablas Magia'!$D$6:$Z$680,2,FALSE))</f>
        <v>Fuego</v>
      </c>
      <c r="BS8" s="5316"/>
      <c r="BT8" s="5316"/>
      <c r="BU8" s="5316"/>
      <c r="BV8" s="5317"/>
      <c r="BW8" s="1216"/>
      <c r="BX8" s="1210"/>
      <c r="BY8" s="1210"/>
      <c r="BZ8" s="2272">
        <f>BG8+20</f>
        <v>82</v>
      </c>
      <c r="CA8" s="5349"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0"/>
      <c r="CC8" s="5350"/>
      <c r="CD8" s="5350"/>
      <c r="CE8" s="5350"/>
      <c r="CF8" s="1230" t="s">
        <v>1630</v>
      </c>
      <c r="CG8" s="1231">
        <f>IF(CA8=0,"",VLOOKUP(CA8,'Tablas Magia'!$D$6:$Z$680,3,FALSE))</f>
        <v>82</v>
      </c>
      <c r="CH8" s="5315" t="s">
        <v>8162</v>
      </c>
      <c r="CI8" s="5315"/>
      <c r="CJ8" s="5315"/>
      <c r="CK8" s="5316" t="str">
        <f>IF(CA8=0,"",VLOOKUP(CA8,'Tablas Magia'!$D$6:$Z$680,2,FALSE))</f>
        <v>Fuego</v>
      </c>
      <c r="CL8" s="5316"/>
      <c r="CM8" s="5316"/>
      <c r="CN8" s="5316"/>
      <c r="CO8" s="5317"/>
      <c r="CP8" s="1216"/>
      <c r="CQ8" s="1210"/>
    </row>
    <row r="9" spans="1:95" ht="12" customHeight="1" x14ac:dyDescent="0.2">
      <c r="A9" s="1210"/>
      <c r="B9" s="2258"/>
      <c r="C9" s="5333" t="s">
        <v>8163</v>
      </c>
      <c r="D9" s="5334"/>
      <c r="E9" s="1232" t="s">
        <v>8164</v>
      </c>
      <c r="F9" s="1232" t="s">
        <v>1824</v>
      </c>
      <c r="G9" s="1232" t="s">
        <v>3467</v>
      </c>
      <c r="H9" s="1233" t="s">
        <v>2175</v>
      </c>
      <c r="I9" s="5330" t="str">
        <f>IF(C8=0,"",VLOOKUP(C8,'Tablas Magia'!$D$6:$Z$680,5,FALSE))</f>
        <v>Efecto</v>
      </c>
      <c r="J9" s="5330"/>
      <c r="K9" s="5331" t="s">
        <v>8165</v>
      </c>
      <c r="L9" s="5331"/>
      <c r="M9" s="5330" t="str">
        <f>IF(C8=0,"",VLOOKUP(C8,'Tablas Magia'!$D$6:$Z$680,6,FALSE))</f>
        <v>Activa</v>
      </c>
      <c r="N9" s="5330"/>
      <c r="O9" s="5332" t="s">
        <v>8166</v>
      </c>
      <c r="P9" s="5332"/>
      <c r="Q9" s="1234" t="str">
        <f>IF(C8=0,"",VLOOKUP(C8,'Tablas Magia'!$D$6:$Z$680,4,FALSE))</f>
        <v>Si</v>
      </c>
      <c r="R9" s="1216"/>
      <c r="S9" s="1210"/>
      <c r="T9" s="1210"/>
      <c r="U9" s="2258"/>
      <c r="V9" s="5333" t="s">
        <v>8163</v>
      </c>
      <c r="W9" s="5334"/>
      <c r="X9" s="1232" t="s">
        <v>8164</v>
      </c>
      <c r="Y9" s="1232" t="s">
        <v>1824</v>
      </c>
      <c r="Z9" s="1232" t="s">
        <v>3467</v>
      </c>
      <c r="AA9" s="1233" t="s">
        <v>2175</v>
      </c>
      <c r="AB9" s="5330" t="str">
        <f>IF(V8=0,"",VLOOKUP(V8,'Tablas Magia'!$D$6:$Z$680,5,FALSE))</f>
        <v>Defensa</v>
      </c>
      <c r="AC9" s="5330"/>
      <c r="AD9" s="5331" t="s">
        <v>8165</v>
      </c>
      <c r="AE9" s="5331"/>
      <c r="AF9" s="5330" t="str">
        <f>IF(V8=0,"",VLOOKUP(V8,'Tablas Magia'!$D$6:$Z$680,6,FALSE))</f>
        <v>Activa</v>
      </c>
      <c r="AG9" s="5330"/>
      <c r="AH9" s="5332" t="s">
        <v>8166</v>
      </c>
      <c r="AI9" s="5332"/>
      <c r="AJ9" s="1234" t="str">
        <f>IF(V8=0,"",VLOOKUP(V8,'Tablas Magia'!$D$6:$Z$680,4,FALSE))</f>
        <v>No</v>
      </c>
      <c r="AK9" s="1216"/>
      <c r="AL9" s="1210"/>
      <c r="AM9" s="1210"/>
      <c r="AN9" s="2272"/>
      <c r="AO9" s="5333" t="s">
        <v>8163</v>
      </c>
      <c r="AP9" s="5334"/>
      <c r="AQ9" s="1232" t="s">
        <v>8164</v>
      </c>
      <c r="AR9" s="1232" t="s">
        <v>1824</v>
      </c>
      <c r="AS9" s="1232" t="s">
        <v>3467</v>
      </c>
      <c r="AT9" s="1233" t="s">
        <v>2175</v>
      </c>
      <c r="AU9" s="5330" t="str">
        <f>IF(AO8=0,"",VLOOKUP(AO8,'Tablas Magia'!$D$6:$Z$680,5,FALSE))</f>
        <v>Efecto</v>
      </c>
      <c r="AV9" s="5330"/>
      <c r="AW9" s="5331" t="s">
        <v>8165</v>
      </c>
      <c r="AX9" s="5331"/>
      <c r="AY9" s="5330" t="str">
        <f>IF(AO8=0,"",VLOOKUP(AO8,'Tablas Magia'!$D$6:$Z$680,6,FALSE))</f>
        <v>Pasiva</v>
      </c>
      <c r="AZ9" s="5330"/>
      <c r="BA9" s="5332" t="s">
        <v>8166</v>
      </c>
      <c r="BB9" s="5332"/>
      <c r="BC9" s="1234" t="str">
        <f>IF(AO8=0,"",VLOOKUP(AO8,'Tablas Magia'!$D$6:$Z$680,4,FALSE))</f>
        <v>No</v>
      </c>
      <c r="BD9" s="1216"/>
      <c r="BE9" s="1210"/>
      <c r="BF9" s="1210"/>
      <c r="BG9" s="2272"/>
      <c r="BH9" s="5333" t="s">
        <v>8163</v>
      </c>
      <c r="BI9" s="5334"/>
      <c r="BJ9" s="1232" t="s">
        <v>8164</v>
      </c>
      <c r="BK9" s="1232" t="s">
        <v>1824</v>
      </c>
      <c r="BL9" s="1232" t="s">
        <v>3467</v>
      </c>
      <c r="BM9" s="1233" t="s">
        <v>2175</v>
      </c>
      <c r="BN9" s="5330" t="str">
        <f>IF(BH8=0,"",VLOOKUP(BH8,'Tablas Magia'!$D$6:$Z$680,5,FALSE))</f>
        <v>Anímico</v>
      </c>
      <c r="BO9" s="5330"/>
      <c r="BP9" s="5331" t="s">
        <v>8165</v>
      </c>
      <c r="BQ9" s="5331"/>
      <c r="BR9" s="5330" t="str">
        <f>IF(BH8=0,"",VLOOKUP(BH8,'Tablas Magia'!$D$6:$Z$680,6,FALSE))</f>
        <v>Activa</v>
      </c>
      <c r="BS9" s="5330"/>
      <c r="BT9" s="5332" t="s">
        <v>8166</v>
      </c>
      <c r="BU9" s="5332"/>
      <c r="BV9" s="1234" t="str">
        <f>IF(BH8=0,"",VLOOKUP(BH8,'Tablas Magia'!$D$6:$Z$680,4,FALSE))</f>
        <v>No</v>
      </c>
      <c r="BW9" s="1216"/>
      <c r="BX9" s="1210"/>
      <c r="BY9" s="1210"/>
      <c r="BZ9" s="2272"/>
      <c r="CA9" s="5333" t="s">
        <v>8163</v>
      </c>
      <c r="CB9" s="5334"/>
      <c r="CC9" s="1232" t="s">
        <v>8164</v>
      </c>
      <c r="CD9" s="1232" t="s">
        <v>1824</v>
      </c>
      <c r="CE9" s="1232" t="s">
        <v>3467</v>
      </c>
      <c r="CF9" s="1233" t="s">
        <v>2175</v>
      </c>
      <c r="CG9" s="5330" t="str">
        <f>IF(CA8=0,"",VLOOKUP(CA8,'Tablas Magia'!$D$6:$Z$680,5,FALSE))</f>
        <v>Efecto</v>
      </c>
      <c r="CH9" s="5330"/>
      <c r="CI9" s="5331" t="s">
        <v>8165</v>
      </c>
      <c r="CJ9" s="5331"/>
      <c r="CK9" s="5330" t="str">
        <f>IF(CA8=0,"",VLOOKUP(CA8,'Tablas Magia'!$D$6:$Z$680,6,FALSE))</f>
        <v>Activa</v>
      </c>
      <c r="CL9" s="5330"/>
      <c r="CM9" s="5332" t="s">
        <v>8166</v>
      </c>
      <c r="CN9" s="5332"/>
      <c r="CO9" s="1234" t="str">
        <f>IF(CA8=0,"",VLOOKUP(CA8,'Tablas Magia'!$D$6:$Z$680,4,FALSE))</f>
        <v>Si</v>
      </c>
      <c r="CP9" s="1216"/>
      <c r="CQ9" s="1210"/>
    </row>
    <row r="10" spans="1:95" ht="12" customHeight="1" x14ac:dyDescent="0.2">
      <c r="A10" s="1210"/>
      <c r="B10" s="2258"/>
      <c r="C10" s="5325" t="s">
        <v>1677</v>
      </c>
      <c r="D10" s="5326"/>
      <c r="E10" s="1235">
        <f>IF(C8=0,"",VLOOKUP(C8,'Tablas Magia'!$D$6:$Z$680,7,FALSE))</f>
        <v>5</v>
      </c>
      <c r="F10" s="1235">
        <f>IF(C8=0,"",VLOOKUP(C8,'Tablas Magia'!$D$6:$Z$680,11,FALSE))</f>
        <v>30</v>
      </c>
      <c r="G10" s="1236">
        <f>IF(C8=0,"",VLOOKUP(C8,'Tablas Magia'!$D$6:$Z$680,15,FALSE))</f>
        <v>5</v>
      </c>
      <c r="H10" s="5327" t="str">
        <f>IF(C8=0,"",VLOOKUP(C8,'Tablas Magia'!$D$6:$Z$680,19,FALSE))</f>
        <v>1 Intensidad de fuego</v>
      </c>
      <c r="I10" s="5328"/>
      <c r="J10" s="5328"/>
      <c r="K10" s="5328"/>
      <c r="L10" s="5328"/>
      <c r="M10" s="5328"/>
      <c r="N10" s="5328"/>
      <c r="O10" s="5328"/>
      <c r="P10" s="5328"/>
      <c r="Q10" s="5329"/>
      <c r="R10" s="1216"/>
      <c r="S10" s="1210"/>
      <c r="T10" s="1210"/>
      <c r="U10" s="2258"/>
      <c r="V10" s="5325" t="s">
        <v>1677</v>
      </c>
      <c r="W10" s="5326"/>
      <c r="X10" s="1235">
        <f>IF(V8=0,"",VLOOKUP(V8,'Tablas Magia'!$D$6:$Z$680,7,FALSE))</f>
        <v>6</v>
      </c>
      <c r="Y10" s="1235">
        <f>IF(V8=0,"",VLOOKUP(V8,'Tablas Magia'!$D$6:$Z$680,11,FALSE))</f>
        <v>50</v>
      </c>
      <c r="Z10" s="1236">
        <f>IF(V8=0,"",VLOOKUP(V8,'Tablas Magia'!$D$6:$Z$680,15,FALSE))</f>
        <v>5</v>
      </c>
      <c r="AA10" s="5327" t="str">
        <f>IF(V8=0,"",VLOOKUP(V8,'Tablas Magia'!$D$6:$Z$680,19,FALSE))</f>
        <v>Daño 80 / 2 metros de extensión / 300 puntos de Resistencia</v>
      </c>
      <c r="AB10" s="5328"/>
      <c r="AC10" s="5328"/>
      <c r="AD10" s="5328"/>
      <c r="AE10" s="5328"/>
      <c r="AF10" s="5328"/>
      <c r="AG10" s="5328"/>
      <c r="AH10" s="5328"/>
      <c r="AI10" s="5328"/>
      <c r="AJ10" s="5329"/>
      <c r="AK10" s="1216"/>
      <c r="AL10" s="1210"/>
      <c r="AM10" s="1210"/>
      <c r="AN10" s="2272"/>
      <c r="AO10" s="5325" t="s">
        <v>1677</v>
      </c>
      <c r="AP10" s="5326"/>
      <c r="AQ10" s="1235">
        <f>IF(AO8=0,"",VLOOKUP(AO8,'Tablas Magia'!$D$6:$Z$680,7,FALSE))</f>
        <v>6</v>
      </c>
      <c r="AR10" s="1235">
        <f>IF(AO8=0,"",VLOOKUP(AO8,'Tablas Magia'!$D$6:$Z$680,11,FALSE))</f>
        <v>60</v>
      </c>
      <c r="AS10" s="1236" t="str">
        <f>IF(AO8=0,"",VLOOKUP(AO8,'Tablas Magia'!$D$6:$Z$680,15,FALSE))</f>
        <v>No</v>
      </c>
      <c r="AT10" s="5327" t="str">
        <f>IF(AO8=0,"",VLOOKUP(AO8,'Tablas Magia'!$D$6:$Z$680,19,FALSE))</f>
        <v>+20 al nivel de Crítico</v>
      </c>
      <c r="AU10" s="5328"/>
      <c r="AV10" s="5328"/>
      <c r="AW10" s="5328"/>
      <c r="AX10" s="5328"/>
      <c r="AY10" s="5328"/>
      <c r="AZ10" s="5328"/>
      <c r="BA10" s="5328"/>
      <c r="BB10" s="5328"/>
      <c r="BC10" s="5329"/>
      <c r="BD10" s="1216"/>
      <c r="BE10" s="1210"/>
      <c r="BF10" s="1210"/>
      <c r="BG10" s="2272"/>
      <c r="BH10" s="5325" t="s">
        <v>1677</v>
      </c>
      <c r="BI10" s="5326"/>
      <c r="BJ10" s="1235">
        <f>IF(BH8=0,"",VLOOKUP(BH8,'Tablas Magia'!$D$6:$Z$680,7,FALSE))</f>
        <v>6</v>
      </c>
      <c r="BK10" s="1235">
        <f>IF(BH8=0,"",VLOOKUP(BH8,'Tablas Magia'!$D$6:$Z$680,11,FALSE))</f>
        <v>120</v>
      </c>
      <c r="BL10" s="1236" t="str">
        <f>IF(BH8=0,"",VLOOKUP(BH8,'Tablas Magia'!$D$6:$Z$680,15,FALSE))</f>
        <v>No</v>
      </c>
      <c r="BM10" s="5327" t="str">
        <f>IF(BH8=0,"",VLOOKUP(BH8,'Tablas Magia'!$D$6:$Z$680,19,FALSE))</f>
        <v>10 metros de radio/ RM 120</v>
      </c>
      <c r="BN10" s="5328"/>
      <c r="BO10" s="5328"/>
      <c r="BP10" s="5328"/>
      <c r="BQ10" s="5328"/>
      <c r="BR10" s="5328"/>
      <c r="BS10" s="5328"/>
      <c r="BT10" s="5328"/>
      <c r="BU10" s="5328"/>
      <c r="BV10" s="5329"/>
      <c r="BW10" s="1216"/>
      <c r="BX10" s="1210"/>
      <c r="BY10" s="1210"/>
      <c r="BZ10" s="2272"/>
      <c r="CA10" s="5325" t="s">
        <v>1677</v>
      </c>
      <c r="CB10" s="5326"/>
      <c r="CC10" s="1235">
        <f>IF(CA8=0,"",VLOOKUP(CA8,'Tablas Magia'!$D$6:$Z$680,7,FALSE))</f>
        <v>10</v>
      </c>
      <c r="CD10" s="1235">
        <f>IF(CA8=0,"",VLOOKUP(CA8,'Tablas Magia'!$D$6:$Z$680,11,FALSE))</f>
        <v>250</v>
      </c>
      <c r="CE10" s="1236">
        <f>IF(CA8=0,"",VLOOKUP(CA8,'Tablas Magia'!$D$6:$Z$680,15,FALSE))</f>
        <v>50</v>
      </c>
      <c r="CF10" s="5327" t="str">
        <f>IF(CA8=0,"",VLOOKUP(CA8,'Tablas Magia'!$D$6:$Z$680,19,FALSE))</f>
        <v>Nivel 1.</v>
      </c>
      <c r="CG10" s="5328"/>
      <c r="CH10" s="5328"/>
      <c r="CI10" s="5328"/>
      <c r="CJ10" s="5328"/>
      <c r="CK10" s="5328"/>
      <c r="CL10" s="5328"/>
      <c r="CM10" s="5328"/>
      <c r="CN10" s="5328"/>
      <c r="CO10" s="5329"/>
      <c r="CP10" s="1216"/>
      <c r="CQ10" s="1210"/>
    </row>
    <row r="11" spans="1:95" ht="12" customHeight="1" x14ac:dyDescent="0.2">
      <c r="A11" s="1210"/>
      <c r="B11" s="2258"/>
      <c r="C11" s="5320" t="s">
        <v>4705</v>
      </c>
      <c r="D11" s="5321"/>
      <c r="E11" s="1237">
        <f>IF(C8=0,"",VLOOKUP(C8,'Tablas Magia'!$D$6:$Z$680,8,FALSE))</f>
        <v>8</v>
      </c>
      <c r="F11" s="1237">
        <f>IF(C8=0,"",VLOOKUP(C8,'Tablas Magia'!$D$6:$Z$680,12,FALSE))</f>
        <v>80</v>
      </c>
      <c r="G11" s="1238">
        <f>IF(C8=0,"",VLOOKUP(C8,'Tablas Magia'!$D$6:$Z$680,16,FALSE))</f>
        <v>10</v>
      </c>
      <c r="H11" s="5322" t="str">
        <f>IF(C8=0,"",VLOOKUP(C8,'Tablas Magia'!$D$6:$Z$680,20,FALSE))</f>
        <v>6 intensidades de fuego</v>
      </c>
      <c r="I11" s="5323"/>
      <c r="J11" s="5323"/>
      <c r="K11" s="5323"/>
      <c r="L11" s="5323"/>
      <c r="M11" s="5323"/>
      <c r="N11" s="5323"/>
      <c r="O11" s="5323"/>
      <c r="P11" s="5323"/>
      <c r="Q11" s="5324"/>
      <c r="R11" s="1216"/>
      <c r="S11" s="1210"/>
      <c r="T11" s="1210"/>
      <c r="U11" s="2258"/>
      <c r="V11" s="5320" t="s">
        <v>4705</v>
      </c>
      <c r="W11" s="5321"/>
      <c r="X11" s="1237">
        <f>IF(V8=0,"",VLOOKUP(V8,'Tablas Magia'!$D$6:$Z$680,8,FALSE))</f>
        <v>9</v>
      </c>
      <c r="Y11" s="1237">
        <f>IF(V8=0,"",VLOOKUP(V8,'Tablas Magia'!$D$6:$Z$680,12,FALSE))</f>
        <v>90</v>
      </c>
      <c r="Z11" s="1238">
        <f>IF(V8=0,"",VLOOKUP(V8,'Tablas Magia'!$D$6:$Z$680,16,FALSE))</f>
        <v>10</v>
      </c>
      <c r="AA11" s="5322" t="str">
        <f>IF(V8=0,"",VLOOKUP(V8,'Tablas Magia'!$D$6:$Z$680,20,FALSE))</f>
        <v>Daño 90 / 5 metros de extensión / 500 puntos de Resistencia</v>
      </c>
      <c r="AB11" s="5323"/>
      <c r="AC11" s="5323"/>
      <c r="AD11" s="5323"/>
      <c r="AE11" s="5323"/>
      <c r="AF11" s="5323"/>
      <c r="AG11" s="5323"/>
      <c r="AH11" s="5323"/>
      <c r="AI11" s="5323"/>
      <c r="AJ11" s="5324"/>
      <c r="AK11" s="1216"/>
      <c r="AL11" s="1210"/>
      <c r="AM11" s="1210"/>
      <c r="AN11" s="2272"/>
      <c r="AO11" s="5320" t="s">
        <v>4705</v>
      </c>
      <c r="AP11" s="5321"/>
      <c r="AQ11" s="1237">
        <f>IF(AO8=0,"",VLOOKUP(AO8,'Tablas Magia'!$D$6:$Z$680,8,FALSE))</f>
        <v>9</v>
      </c>
      <c r="AR11" s="1237">
        <f>IF(AO8=0,"",VLOOKUP(AO8,'Tablas Magia'!$D$6:$Z$680,12,FALSE))</f>
        <v>90</v>
      </c>
      <c r="AS11" s="1238" t="str">
        <f>IF(AO8=0,"",VLOOKUP(AO8,'Tablas Magia'!$D$6:$Z$680,16,FALSE))</f>
        <v>No</v>
      </c>
      <c r="AT11" s="5322" t="str">
        <f>IF(AO8=0,"",VLOOKUP(AO8,'Tablas Magia'!$D$6:$Z$680,20,FALSE))</f>
        <v>+40 al nivel de Crítico</v>
      </c>
      <c r="AU11" s="5323"/>
      <c r="AV11" s="5323"/>
      <c r="AW11" s="5323"/>
      <c r="AX11" s="5323"/>
      <c r="AY11" s="5323"/>
      <c r="AZ11" s="5323"/>
      <c r="BA11" s="5323"/>
      <c r="BB11" s="5323"/>
      <c r="BC11" s="5324"/>
      <c r="BD11" s="1216"/>
      <c r="BE11" s="1210"/>
      <c r="BF11" s="1210"/>
      <c r="BG11" s="2272"/>
      <c r="BH11" s="5320" t="s">
        <v>4705</v>
      </c>
      <c r="BI11" s="5321"/>
      <c r="BJ11" s="1237">
        <f>IF(BH8=0,"",VLOOKUP(BH8,'Tablas Magia'!$D$6:$Z$680,8,FALSE))</f>
        <v>9</v>
      </c>
      <c r="BK11" s="1237">
        <f>IF(BH8=0,"",VLOOKUP(BH8,'Tablas Magia'!$D$6:$Z$680,12,FALSE))</f>
        <v>180</v>
      </c>
      <c r="BL11" s="1238" t="str">
        <f>IF(BH8=0,"",VLOOKUP(BH8,'Tablas Magia'!$D$6:$Z$680,16,FALSE))</f>
        <v>No</v>
      </c>
      <c r="BM11" s="5322" t="str">
        <f>IF(BH8=0,"",VLOOKUP(BH8,'Tablas Magia'!$D$6:$Z$680,20,FALSE))</f>
        <v>25 metros de radio/ RM 160</v>
      </c>
      <c r="BN11" s="5323"/>
      <c r="BO11" s="5323"/>
      <c r="BP11" s="5323"/>
      <c r="BQ11" s="5323"/>
      <c r="BR11" s="5323"/>
      <c r="BS11" s="5323"/>
      <c r="BT11" s="5323"/>
      <c r="BU11" s="5323"/>
      <c r="BV11" s="5324"/>
      <c r="BW11" s="1216"/>
      <c r="BX11" s="1210"/>
      <c r="BY11" s="1210"/>
      <c r="BZ11" s="2272"/>
      <c r="CA11" s="5320" t="s">
        <v>4705</v>
      </c>
      <c r="CB11" s="5321"/>
      <c r="CC11" s="1237">
        <f>IF(CA8=0,"",VLOOKUP(CA8,'Tablas Magia'!$D$6:$Z$680,8,FALSE))</f>
        <v>12</v>
      </c>
      <c r="CD11" s="1237">
        <f>IF(CA8=0,"",VLOOKUP(CA8,'Tablas Magia'!$D$6:$Z$680,12,FALSE))</f>
        <v>350</v>
      </c>
      <c r="CE11" s="1238">
        <f>IF(CA8=0,"",VLOOKUP(CA8,'Tablas Magia'!$D$6:$Z$680,16,FALSE))</f>
        <v>70</v>
      </c>
      <c r="CF11" s="5322" t="str">
        <f>IF(CA8=0,"",VLOOKUP(CA8,'Tablas Magia'!$D$6:$Z$680,20,FALSE))</f>
        <v>Nivel 3</v>
      </c>
      <c r="CG11" s="5323"/>
      <c r="CH11" s="5323"/>
      <c r="CI11" s="5323"/>
      <c r="CJ11" s="5323"/>
      <c r="CK11" s="5323"/>
      <c r="CL11" s="5323"/>
      <c r="CM11" s="5323"/>
      <c r="CN11" s="5323"/>
      <c r="CO11" s="5324"/>
      <c r="CP11" s="1216"/>
      <c r="CQ11" s="1210"/>
    </row>
    <row r="12" spans="1:95" ht="12" customHeight="1" x14ac:dyDescent="0.2">
      <c r="A12" s="1210"/>
      <c r="B12" s="2258"/>
      <c r="C12" s="5325" t="s">
        <v>4706</v>
      </c>
      <c r="D12" s="5326"/>
      <c r="E12" s="1235">
        <f>IF(C8=0,"",VLOOKUP(C8,'Tablas Magia'!$D$6:$Z$680,9,FALSE))</f>
        <v>10</v>
      </c>
      <c r="F12" s="1235">
        <f>IF(C8=0,"",VLOOKUP(C8,'Tablas Magia'!$D$6:$Z$680,13,FALSE))</f>
        <v>100</v>
      </c>
      <c r="G12" s="1236">
        <f>IF(C8=0,"",VLOOKUP(C8,'Tablas Magia'!$D$6:$Z$680,17,FALSE))</f>
        <v>10</v>
      </c>
      <c r="H12" s="5327" t="str">
        <f>IF(C8=0,"",VLOOKUP(C8,'Tablas Magia'!$D$6:$Z$680,21,FALSE))</f>
        <v>8 Intensidades de fuego</v>
      </c>
      <c r="I12" s="5328"/>
      <c r="J12" s="5328"/>
      <c r="K12" s="5328"/>
      <c r="L12" s="5328"/>
      <c r="M12" s="5328"/>
      <c r="N12" s="5328"/>
      <c r="O12" s="5328"/>
      <c r="P12" s="5328"/>
      <c r="Q12" s="5329"/>
      <c r="R12" s="1216"/>
      <c r="S12" s="1210"/>
      <c r="T12" s="1210"/>
      <c r="U12" s="2258"/>
      <c r="V12" s="5325" t="s">
        <v>4706</v>
      </c>
      <c r="W12" s="5326"/>
      <c r="X12" s="1235">
        <f>IF(V8=0,"",VLOOKUP(V8,'Tablas Magia'!$D$6:$Z$680,9,FALSE))</f>
        <v>12</v>
      </c>
      <c r="Y12" s="1235">
        <f>IF(V8=0,"",VLOOKUP(V8,'Tablas Magia'!$D$6:$Z$680,13,FALSE))</f>
        <v>120</v>
      </c>
      <c r="Z12" s="1236">
        <f>IF(V8=0,"",VLOOKUP(V8,'Tablas Magia'!$D$6:$Z$680,17,FALSE))</f>
        <v>10</v>
      </c>
      <c r="AA12" s="5327" t="str">
        <f>IF(V8=0,"",VLOOKUP(V8,'Tablas Magia'!$D$6:$Z$680,21,FALSE))</f>
        <v>Daño 100 / 10 metros / 800 puntos / Puede detener ataques basados en energía</v>
      </c>
      <c r="AB12" s="5328"/>
      <c r="AC12" s="5328"/>
      <c r="AD12" s="5328"/>
      <c r="AE12" s="5328"/>
      <c r="AF12" s="5328"/>
      <c r="AG12" s="5328"/>
      <c r="AH12" s="5328"/>
      <c r="AI12" s="5328"/>
      <c r="AJ12" s="5329"/>
      <c r="AK12" s="1216"/>
      <c r="AL12" s="1210"/>
      <c r="AM12" s="1210"/>
      <c r="AN12" s="2272"/>
      <c r="AO12" s="5325" t="s">
        <v>4706</v>
      </c>
      <c r="AP12" s="5326"/>
      <c r="AQ12" s="1235">
        <f>IF(AO8=0,"",VLOOKUP(AO8,'Tablas Magia'!$D$6:$Z$680,9,FALSE))</f>
        <v>12</v>
      </c>
      <c r="AR12" s="1235">
        <f>IF(AO8=0,"",VLOOKUP(AO8,'Tablas Magia'!$D$6:$Z$680,13,FALSE))</f>
        <v>120</v>
      </c>
      <c r="AS12" s="1236" t="str">
        <f>IF(AO8=0,"",VLOOKUP(AO8,'Tablas Magia'!$D$6:$Z$680,17,FALSE))</f>
        <v>No</v>
      </c>
      <c r="AT12" s="5327" t="str">
        <f>IF(AO8=0,"",VLOOKUP(AO8,'Tablas Magia'!$D$6:$Z$680,21,FALSE))</f>
        <v>+60 al nivel de Crítico</v>
      </c>
      <c r="AU12" s="5328"/>
      <c r="AV12" s="5328"/>
      <c r="AW12" s="5328"/>
      <c r="AX12" s="5328"/>
      <c r="AY12" s="5328"/>
      <c r="AZ12" s="5328"/>
      <c r="BA12" s="5328"/>
      <c r="BB12" s="5328"/>
      <c r="BC12" s="5329"/>
      <c r="BD12" s="1216"/>
      <c r="BE12" s="1210"/>
      <c r="BF12" s="1210"/>
      <c r="BG12" s="2272"/>
      <c r="BH12" s="5325" t="s">
        <v>4706</v>
      </c>
      <c r="BI12" s="5326"/>
      <c r="BJ12" s="1235">
        <f>IF(BH8=0,"",VLOOKUP(BH8,'Tablas Magia'!$D$6:$Z$680,9,FALSE))</f>
        <v>14</v>
      </c>
      <c r="BK12" s="1235">
        <f>IF(BH8=0,"",VLOOKUP(BH8,'Tablas Magia'!$D$6:$Z$680,13,FALSE))</f>
        <v>240</v>
      </c>
      <c r="BL12" s="1236" t="str">
        <f>IF(BH8=0,"",VLOOKUP(BH8,'Tablas Magia'!$D$6:$Z$680,17,FALSE))</f>
        <v>No</v>
      </c>
      <c r="BM12" s="5327" t="str">
        <f>IF(BH8=0,"",VLOOKUP(BH8,'Tablas Magia'!$D$6:$Z$680,21,FALSE))</f>
        <v>50 metros de radio/ RM 200</v>
      </c>
      <c r="BN12" s="5328"/>
      <c r="BO12" s="5328"/>
      <c r="BP12" s="5328"/>
      <c r="BQ12" s="5328"/>
      <c r="BR12" s="5328"/>
      <c r="BS12" s="5328"/>
      <c r="BT12" s="5328"/>
      <c r="BU12" s="5328"/>
      <c r="BV12" s="5329"/>
      <c r="BW12" s="1216"/>
      <c r="BX12" s="1210"/>
      <c r="BY12" s="1210"/>
      <c r="BZ12" s="2272"/>
      <c r="CA12" s="5325" t="s">
        <v>4706</v>
      </c>
      <c r="CB12" s="5326"/>
      <c r="CC12" s="1235">
        <f>IF(CA8=0,"",VLOOKUP(CA8,'Tablas Magia'!$D$6:$Z$680,9,FALSE))</f>
        <v>14</v>
      </c>
      <c r="CD12" s="1235">
        <f>IF(CA8=0,"",VLOOKUP(CA8,'Tablas Magia'!$D$6:$Z$680,13,FALSE))</f>
        <v>500</v>
      </c>
      <c r="CE12" s="1236">
        <f>IF(CA8=0,"",VLOOKUP(CA8,'Tablas Magia'!$D$6:$Z$680,17,FALSE))</f>
        <v>100</v>
      </c>
      <c r="CF12" s="5327" t="str">
        <f>IF(CA8=0,"",VLOOKUP(CA8,'Tablas Magia'!$D$6:$Z$680,21,FALSE))</f>
        <v>Nivel 6.</v>
      </c>
      <c r="CG12" s="5328"/>
      <c r="CH12" s="5328"/>
      <c r="CI12" s="5328"/>
      <c r="CJ12" s="5328"/>
      <c r="CK12" s="5328"/>
      <c r="CL12" s="5328"/>
      <c r="CM12" s="5328"/>
      <c r="CN12" s="5328"/>
      <c r="CO12" s="5329"/>
      <c r="CP12" s="1216"/>
      <c r="CQ12" s="1210"/>
    </row>
    <row r="13" spans="1:95" ht="12" customHeight="1" thickBot="1" x14ac:dyDescent="0.25">
      <c r="A13" s="1210"/>
      <c r="B13" s="2258"/>
      <c r="C13" s="5335" t="s">
        <v>4707</v>
      </c>
      <c r="D13" s="5336"/>
      <c r="E13" s="1239">
        <f>IF(C8=0,"",VLOOKUP(C8,'Tablas Magia'!$D$6:$Z$680,10,FALSE))</f>
        <v>12</v>
      </c>
      <c r="F13" s="1239">
        <f>IF(C8=0,"",VLOOKUP(C8,'Tablas Magia'!$D$6:$Z$680,14,FALSE))</f>
        <v>120</v>
      </c>
      <c r="G13" s="1240">
        <f>IF(C8=0,"",VLOOKUP(C8,'Tablas Magia'!$D$6:$Z$680,18,FALSE))</f>
        <v>15</v>
      </c>
      <c r="H13" s="5337" t="str">
        <f>IF(C8=0,"",VLOOKUP(C8,'Tablas Magia'!$D$6:$Z$680,22,FALSE))</f>
        <v>10 intensidades de fuego</v>
      </c>
      <c r="I13" s="5338"/>
      <c r="J13" s="5338"/>
      <c r="K13" s="5338"/>
      <c r="L13" s="5338"/>
      <c r="M13" s="5338"/>
      <c r="N13" s="5338"/>
      <c r="O13" s="5338"/>
      <c r="P13" s="5338"/>
      <c r="Q13" s="5339"/>
      <c r="R13" s="1216"/>
      <c r="S13" s="1210"/>
      <c r="T13" s="1210"/>
      <c r="U13" s="2258"/>
      <c r="V13" s="5335" t="s">
        <v>4707</v>
      </c>
      <c r="W13" s="5336"/>
      <c r="X13" s="1239">
        <f>IF(V8=0,"",VLOOKUP(V8,'Tablas Magia'!$D$6:$Z$680,10,FALSE))</f>
        <v>15</v>
      </c>
      <c r="Y13" s="1239">
        <f>IF(V8=0,"",VLOOKUP(V8,'Tablas Magia'!$D$6:$Z$680,14,FALSE))</f>
        <v>150</v>
      </c>
      <c r="Z13" s="1240">
        <f>IF(V8=0,"",VLOOKUP(V8,'Tablas Magia'!$D$6:$Z$680,18,FALSE))</f>
        <v>15</v>
      </c>
      <c r="AA13" s="5337" t="str">
        <f>IF(V8=0,"",VLOOKUP(V8,'Tablas Magia'!$D$6:$Z$680,22,FALSE))</f>
        <v>Daño 100 /15 metros/1000 puntos/Ataque a IMP/ Puede con toda clase ataque</v>
      </c>
      <c r="AB13" s="5338"/>
      <c r="AC13" s="5338"/>
      <c r="AD13" s="5338"/>
      <c r="AE13" s="5338"/>
      <c r="AF13" s="5338"/>
      <c r="AG13" s="5338"/>
      <c r="AH13" s="5338"/>
      <c r="AI13" s="5338"/>
      <c r="AJ13" s="5339"/>
      <c r="AK13" s="1216"/>
      <c r="AL13" s="1210"/>
      <c r="AM13" s="1210"/>
      <c r="AN13" s="2272"/>
      <c r="AO13" s="5335" t="s">
        <v>4707</v>
      </c>
      <c r="AP13" s="5336"/>
      <c r="AQ13" s="1239">
        <f>IF(AO8=0,"",VLOOKUP(AO8,'Tablas Magia'!$D$6:$Z$680,10,FALSE))</f>
        <v>15</v>
      </c>
      <c r="AR13" s="1239">
        <f>IF(AO8=0,"",VLOOKUP(AO8,'Tablas Magia'!$D$6:$Z$680,14,FALSE))</f>
        <v>150</v>
      </c>
      <c r="AS13" s="1240" t="str">
        <f>IF(AO8=0,"",VLOOKUP(AO8,'Tablas Magia'!$D$6:$Z$680,18,FALSE))</f>
        <v>No</v>
      </c>
      <c r="AT13" s="5337" t="str">
        <f>IF(AO8=0,"",VLOOKUP(AO8,'Tablas Magia'!$D$6:$Z$680,22,FALSE))</f>
        <v>+80 al nivel de Crítico</v>
      </c>
      <c r="AU13" s="5338"/>
      <c r="AV13" s="5338"/>
      <c r="AW13" s="5338"/>
      <c r="AX13" s="5338"/>
      <c r="AY13" s="5338"/>
      <c r="AZ13" s="5338"/>
      <c r="BA13" s="5338"/>
      <c r="BB13" s="5338"/>
      <c r="BC13" s="5339"/>
      <c r="BD13" s="1216"/>
      <c r="BE13" s="1210"/>
      <c r="BF13" s="1210"/>
      <c r="BG13" s="2272"/>
      <c r="BH13" s="5335" t="s">
        <v>4707</v>
      </c>
      <c r="BI13" s="5336"/>
      <c r="BJ13" s="1239">
        <f>IF(BH8=0,"",VLOOKUP(BH8,'Tablas Magia'!$D$6:$Z$680,10,FALSE))</f>
        <v>15</v>
      </c>
      <c r="BK13" s="1239">
        <f>IF(BH8=0,"",VLOOKUP(BH8,'Tablas Magia'!$D$6:$Z$680,14,FALSE))</f>
        <v>300</v>
      </c>
      <c r="BL13" s="1240" t="str">
        <f>IF(BH8=0,"",VLOOKUP(BH8,'Tablas Magia'!$D$6:$Z$680,18,FALSE))</f>
        <v>No</v>
      </c>
      <c r="BM13" s="5337" t="str">
        <f>IF(BH8=0,"",VLOOKUP(BH8,'Tablas Magia'!$D$6:$Z$680,22,FALSE))</f>
        <v>150 metros de radio / RM 220</v>
      </c>
      <c r="BN13" s="5338"/>
      <c r="BO13" s="5338"/>
      <c r="BP13" s="5338"/>
      <c r="BQ13" s="5338"/>
      <c r="BR13" s="5338"/>
      <c r="BS13" s="5338"/>
      <c r="BT13" s="5338"/>
      <c r="BU13" s="5338"/>
      <c r="BV13" s="5339"/>
      <c r="BW13" s="1216"/>
      <c r="BX13" s="1210"/>
      <c r="BY13" s="1210"/>
      <c r="BZ13" s="2272"/>
      <c r="CA13" s="5335" t="s">
        <v>4707</v>
      </c>
      <c r="CB13" s="5336"/>
      <c r="CC13" s="1239">
        <f>IF(CA8=0,"",VLOOKUP(CA8,'Tablas Magia'!$D$6:$Z$680,10,FALSE))</f>
        <v>16</v>
      </c>
      <c r="CD13" s="1239">
        <f>IF(CA8=0,"",VLOOKUP(CA8,'Tablas Magia'!$D$6:$Z$680,14,FALSE))</f>
        <v>700</v>
      </c>
      <c r="CE13" s="1240">
        <f>IF(CA8=0,"",VLOOKUP(CA8,'Tablas Magia'!$D$6:$Z$680,18,FALSE))</f>
        <v>140</v>
      </c>
      <c r="CF13" s="5337" t="str">
        <f>IF(CA8=0,"",VLOOKUP(CA8,'Tablas Magia'!$D$6:$Z$680,22,FALSE))</f>
        <v>Nivel 10.</v>
      </c>
      <c r="CG13" s="5338"/>
      <c r="CH13" s="5338"/>
      <c r="CI13" s="5338"/>
      <c r="CJ13" s="5338"/>
      <c r="CK13" s="5338"/>
      <c r="CL13" s="5338"/>
      <c r="CM13" s="5338"/>
      <c r="CN13" s="5338"/>
      <c r="CO13" s="5339"/>
      <c r="CP13" s="1216"/>
      <c r="CQ13" s="1210"/>
    </row>
    <row r="14" spans="1:95" ht="12" customHeight="1" x14ac:dyDescent="0.2">
      <c r="A14" s="1210"/>
      <c r="B14" s="2258"/>
      <c r="C14" s="5340" t="str">
        <f>IF(C8=0,"",VLOOKUP(C8,'Tablas Magia'!$D$6:$Z$680,23,FALSE))</f>
        <v>Crea intensidades de fuego. Mientras se mantenga el conjuro, la temperatura se mantendrá</v>
      </c>
      <c r="D14" s="5341"/>
      <c r="E14" s="5341"/>
      <c r="F14" s="5341"/>
      <c r="G14" s="5341"/>
      <c r="H14" s="5341"/>
      <c r="I14" s="5341"/>
      <c r="J14" s="5341"/>
      <c r="K14" s="5341"/>
      <c r="L14" s="5341"/>
      <c r="M14" s="5341"/>
      <c r="N14" s="5341"/>
      <c r="O14" s="5341"/>
      <c r="P14" s="5341"/>
      <c r="Q14" s="5342"/>
      <c r="R14" s="1216"/>
      <c r="S14" s="1210"/>
      <c r="T14" s="1210"/>
      <c r="U14" s="2258"/>
      <c r="V14" s="534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1"/>
      <c r="X14" s="5341"/>
      <c r="Y14" s="5341"/>
      <c r="Z14" s="5341"/>
      <c r="AA14" s="5341"/>
      <c r="AB14" s="5341"/>
      <c r="AC14" s="5341"/>
      <c r="AD14" s="5341"/>
      <c r="AE14" s="5341"/>
      <c r="AF14" s="5341"/>
      <c r="AG14" s="5341"/>
      <c r="AH14" s="5341"/>
      <c r="AI14" s="5341"/>
      <c r="AJ14" s="5342"/>
      <c r="AK14" s="1216"/>
      <c r="AL14" s="1210"/>
      <c r="AM14" s="1210"/>
      <c r="AN14" s="2272"/>
      <c r="AO14" s="5340" t="str">
        <f>IF(AO8=0,"",VLOOKUP(AO8,'Tablas Magia'!$D$6:$Z$680,23,FALSE))</f>
        <v>Proporciona un bonificador a la tirada para calcular el Nivel de Crítico que haya provocado un ataque determinado. A pesar de ser un conjuro pasivo deberá usarse antes de que se lancen los dados.</v>
      </c>
      <c r="AP14" s="5341"/>
      <c r="AQ14" s="5341"/>
      <c r="AR14" s="5341"/>
      <c r="AS14" s="5341"/>
      <c r="AT14" s="5341"/>
      <c r="AU14" s="5341"/>
      <c r="AV14" s="5341"/>
      <c r="AW14" s="5341"/>
      <c r="AX14" s="5341"/>
      <c r="AY14" s="5341"/>
      <c r="AZ14" s="5341"/>
      <c r="BA14" s="5341"/>
      <c r="BB14" s="5341"/>
      <c r="BC14" s="5342"/>
      <c r="BD14" s="1216"/>
      <c r="BE14" s="1210"/>
      <c r="BF14" s="1210"/>
      <c r="BG14" s="2272"/>
      <c r="BH14" s="534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1"/>
      <c r="BJ14" s="5341"/>
      <c r="BK14" s="5341"/>
      <c r="BL14" s="5341"/>
      <c r="BM14" s="5341"/>
      <c r="BN14" s="5341"/>
      <c r="BO14" s="5341"/>
      <c r="BP14" s="5341"/>
      <c r="BQ14" s="5341"/>
      <c r="BR14" s="5341"/>
      <c r="BS14" s="5341"/>
      <c r="BT14" s="5341"/>
      <c r="BU14" s="5341"/>
      <c r="BV14" s="5342"/>
      <c r="BW14" s="1216"/>
      <c r="BX14" s="1210"/>
      <c r="BY14" s="1210"/>
      <c r="BZ14" s="2272"/>
      <c r="CA14" s="534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1"/>
      <c r="CC14" s="5341"/>
      <c r="CD14" s="5341"/>
      <c r="CE14" s="5341"/>
      <c r="CF14" s="5341"/>
      <c r="CG14" s="5341"/>
      <c r="CH14" s="5341"/>
      <c r="CI14" s="5341"/>
      <c r="CJ14" s="5341"/>
      <c r="CK14" s="5341"/>
      <c r="CL14" s="5341"/>
      <c r="CM14" s="5341"/>
      <c r="CN14" s="5341"/>
      <c r="CO14" s="5342"/>
      <c r="CP14" s="1216"/>
      <c r="CQ14" s="1210"/>
    </row>
    <row r="15" spans="1:95" ht="12" customHeight="1" x14ac:dyDescent="0.2">
      <c r="A15" s="1210"/>
      <c r="B15" s="2258"/>
      <c r="C15" s="5343"/>
      <c r="D15" s="5344"/>
      <c r="E15" s="5344"/>
      <c r="F15" s="5344"/>
      <c r="G15" s="5344"/>
      <c r="H15" s="5344"/>
      <c r="I15" s="5344"/>
      <c r="J15" s="5344"/>
      <c r="K15" s="5344"/>
      <c r="L15" s="5344"/>
      <c r="M15" s="5344"/>
      <c r="N15" s="5344"/>
      <c r="O15" s="5344"/>
      <c r="P15" s="5344"/>
      <c r="Q15" s="5345"/>
      <c r="R15" s="1216"/>
      <c r="S15" s="1210"/>
      <c r="T15" s="1210"/>
      <c r="U15" s="2258"/>
      <c r="V15" s="5343"/>
      <c r="W15" s="5344"/>
      <c r="X15" s="5344"/>
      <c r="Y15" s="5344"/>
      <c r="Z15" s="5344"/>
      <c r="AA15" s="5344"/>
      <c r="AB15" s="5344"/>
      <c r="AC15" s="5344"/>
      <c r="AD15" s="5344"/>
      <c r="AE15" s="5344"/>
      <c r="AF15" s="5344"/>
      <c r="AG15" s="5344"/>
      <c r="AH15" s="5344"/>
      <c r="AI15" s="5344"/>
      <c r="AJ15" s="5345"/>
      <c r="AK15" s="1216"/>
      <c r="AL15" s="1210"/>
      <c r="AM15" s="1210"/>
      <c r="AN15" s="2272"/>
      <c r="AO15" s="5343"/>
      <c r="AP15" s="5344"/>
      <c r="AQ15" s="5344"/>
      <c r="AR15" s="5344"/>
      <c r="AS15" s="5344"/>
      <c r="AT15" s="5344"/>
      <c r="AU15" s="5344"/>
      <c r="AV15" s="5344"/>
      <c r="AW15" s="5344"/>
      <c r="AX15" s="5344"/>
      <c r="AY15" s="5344"/>
      <c r="AZ15" s="5344"/>
      <c r="BA15" s="5344"/>
      <c r="BB15" s="5344"/>
      <c r="BC15" s="5345"/>
      <c r="BD15" s="1216"/>
      <c r="BE15" s="1210"/>
      <c r="BF15" s="1210"/>
      <c r="BG15" s="2272"/>
      <c r="BH15" s="5343"/>
      <c r="BI15" s="5344"/>
      <c r="BJ15" s="5344"/>
      <c r="BK15" s="5344"/>
      <c r="BL15" s="5344"/>
      <c r="BM15" s="5344"/>
      <c r="BN15" s="5344"/>
      <c r="BO15" s="5344"/>
      <c r="BP15" s="5344"/>
      <c r="BQ15" s="5344"/>
      <c r="BR15" s="5344"/>
      <c r="BS15" s="5344"/>
      <c r="BT15" s="5344"/>
      <c r="BU15" s="5344"/>
      <c r="BV15" s="5345"/>
      <c r="BW15" s="1216"/>
      <c r="BX15" s="1210"/>
      <c r="BY15" s="1210"/>
      <c r="BZ15" s="2272"/>
      <c r="CA15" s="5343"/>
      <c r="CB15" s="5344"/>
      <c r="CC15" s="5344"/>
      <c r="CD15" s="5344"/>
      <c r="CE15" s="5344"/>
      <c r="CF15" s="5344"/>
      <c r="CG15" s="5344"/>
      <c r="CH15" s="5344"/>
      <c r="CI15" s="5344"/>
      <c r="CJ15" s="5344"/>
      <c r="CK15" s="5344"/>
      <c r="CL15" s="5344"/>
      <c r="CM15" s="5344"/>
      <c r="CN15" s="5344"/>
      <c r="CO15" s="5345"/>
      <c r="CP15" s="1216"/>
      <c r="CQ15" s="1210"/>
    </row>
    <row r="16" spans="1:95" ht="12" customHeight="1" x14ac:dyDescent="0.2">
      <c r="A16" s="1210"/>
      <c r="B16" s="2258"/>
      <c r="C16" s="5343"/>
      <c r="D16" s="5344"/>
      <c r="E16" s="5344"/>
      <c r="F16" s="5344"/>
      <c r="G16" s="5344"/>
      <c r="H16" s="5344"/>
      <c r="I16" s="5344"/>
      <c r="J16" s="5344"/>
      <c r="K16" s="5344"/>
      <c r="L16" s="5344"/>
      <c r="M16" s="5344"/>
      <c r="N16" s="5344"/>
      <c r="O16" s="5344"/>
      <c r="P16" s="5344"/>
      <c r="Q16" s="5345"/>
      <c r="R16" s="1216"/>
      <c r="S16" s="1210"/>
      <c r="T16" s="1210"/>
      <c r="U16" s="2258"/>
      <c r="V16" s="5343"/>
      <c r="W16" s="5344"/>
      <c r="X16" s="5344"/>
      <c r="Y16" s="5344"/>
      <c r="Z16" s="5344"/>
      <c r="AA16" s="5344"/>
      <c r="AB16" s="5344"/>
      <c r="AC16" s="5344"/>
      <c r="AD16" s="5344"/>
      <c r="AE16" s="5344"/>
      <c r="AF16" s="5344"/>
      <c r="AG16" s="5344"/>
      <c r="AH16" s="5344"/>
      <c r="AI16" s="5344"/>
      <c r="AJ16" s="5345"/>
      <c r="AK16" s="1216"/>
      <c r="AL16" s="1210"/>
      <c r="AM16" s="1210"/>
      <c r="AN16" s="2272"/>
      <c r="AO16" s="5343"/>
      <c r="AP16" s="5344"/>
      <c r="AQ16" s="5344"/>
      <c r="AR16" s="5344"/>
      <c r="AS16" s="5344"/>
      <c r="AT16" s="5344"/>
      <c r="AU16" s="5344"/>
      <c r="AV16" s="5344"/>
      <c r="AW16" s="5344"/>
      <c r="AX16" s="5344"/>
      <c r="AY16" s="5344"/>
      <c r="AZ16" s="5344"/>
      <c r="BA16" s="5344"/>
      <c r="BB16" s="5344"/>
      <c r="BC16" s="5345"/>
      <c r="BD16" s="1216"/>
      <c r="BE16" s="1210"/>
      <c r="BF16" s="1210"/>
      <c r="BG16" s="2272"/>
      <c r="BH16" s="5343"/>
      <c r="BI16" s="5344"/>
      <c r="BJ16" s="5344"/>
      <c r="BK16" s="5344"/>
      <c r="BL16" s="5344"/>
      <c r="BM16" s="5344"/>
      <c r="BN16" s="5344"/>
      <c r="BO16" s="5344"/>
      <c r="BP16" s="5344"/>
      <c r="BQ16" s="5344"/>
      <c r="BR16" s="5344"/>
      <c r="BS16" s="5344"/>
      <c r="BT16" s="5344"/>
      <c r="BU16" s="5344"/>
      <c r="BV16" s="5345"/>
      <c r="BW16" s="1216"/>
      <c r="BX16" s="1210"/>
      <c r="BY16" s="1210"/>
      <c r="BZ16" s="2272"/>
      <c r="CA16" s="5343"/>
      <c r="CB16" s="5344"/>
      <c r="CC16" s="5344"/>
      <c r="CD16" s="5344"/>
      <c r="CE16" s="5344"/>
      <c r="CF16" s="5344"/>
      <c r="CG16" s="5344"/>
      <c r="CH16" s="5344"/>
      <c r="CI16" s="5344"/>
      <c r="CJ16" s="5344"/>
      <c r="CK16" s="5344"/>
      <c r="CL16" s="5344"/>
      <c r="CM16" s="5344"/>
      <c r="CN16" s="5344"/>
      <c r="CO16" s="5345"/>
      <c r="CP16" s="1216"/>
      <c r="CQ16" s="1210"/>
    </row>
    <row r="17" spans="1:95" ht="12" customHeight="1" thickBot="1" x14ac:dyDescent="0.25">
      <c r="A17" s="1210"/>
      <c r="B17" s="2258"/>
      <c r="C17" s="5346"/>
      <c r="D17" s="5347"/>
      <c r="E17" s="5347"/>
      <c r="F17" s="5347"/>
      <c r="G17" s="5347"/>
      <c r="H17" s="5347"/>
      <c r="I17" s="5347"/>
      <c r="J17" s="5347"/>
      <c r="K17" s="5347"/>
      <c r="L17" s="5347"/>
      <c r="M17" s="5347"/>
      <c r="N17" s="5347"/>
      <c r="O17" s="5347"/>
      <c r="P17" s="5347"/>
      <c r="Q17" s="5348"/>
      <c r="R17" s="1216"/>
      <c r="S17" s="1210"/>
      <c r="T17" s="1210"/>
      <c r="U17" s="2258"/>
      <c r="V17" s="5346"/>
      <c r="W17" s="5347"/>
      <c r="X17" s="5347"/>
      <c r="Y17" s="5347"/>
      <c r="Z17" s="5347"/>
      <c r="AA17" s="5347"/>
      <c r="AB17" s="5347"/>
      <c r="AC17" s="5347"/>
      <c r="AD17" s="5347"/>
      <c r="AE17" s="5347"/>
      <c r="AF17" s="5347"/>
      <c r="AG17" s="5347"/>
      <c r="AH17" s="5347"/>
      <c r="AI17" s="5347"/>
      <c r="AJ17" s="5348"/>
      <c r="AK17" s="1216"/>
      <c r="AL17" s="1210"/>
      <c r="AM17" s="1210"/>
      <c r="AN17" s="2272"/>
      <c r="AO17" s="5346"/>
      <c r="AP17" s="5347"/>
      <c r="AQ17" s="5347"/>
      <c r="AR17" s="5347"/>
      <c r="AS17" s="5347"/>
      <c r="AT17" s="5347"/>
      <c r="AU17" s="5347"/>
      <c r="AV17" s="5347"/>
      <c r="AW17" s="5347"/>
      <c r="AX17" s="5347"/>
      <c r="AY17" s="5347"/>
      <c r="AZ17" s="5347"/>
      <c r="BA17" s="5347"/>
      <c r="BB17" s="5347"/>
      <c r="BC17" s="5348"/>
      <c r="BD17" s="1216"/>
      <c r="BE17" s="1210"/>
      <c r="BF17" s="1210"/>
      <c r="BG17" s="2272"/>
      <c r="BH17" s="5346"/>
      <c r="BI17" s="5347"/>
      <c r="BJ17" s="5347"/>
      <c r="BK17" s="5347"/>
      <c r="BL17" s="5347"/>
      <c r="BM17" s="5347"/>
      <c r="BN17" s="5347"/>
      <c r="BO17" s="5347"/>
      <c r="BP17" s="5347"/>
      <c r="BQ17" s="5347"/>
      <c r="BR17" s="5347"/>
      <c r="BS17" s="5347"/>
      <c r="BT17" s="5347"/>
      <c r="BU17" s="5347"/>
      <c r="BV17" s="5348"/>
      <c r="BW17" s="1216"/>
      <c r="BX17" s="1210"/>
      <c r="BY17" s="1210"/>
      <c r="BZ17" s="2272"/>
      <c r="CA17" s="5346"/>
      <c r="CB17" s="5347"/>
      <c r="CC17" s="5347"/>
      <c r="CD17" s="5347"/>
      <c r="CE17" s="5347"/>
      <c r="CF17" s="5347"/>
      <c r="CG17" s="5347"/>
      <c r="CH17" s="5347"/>
      <c r="CI17" s="5347"/>
      <c r="CJ17" s="5347"/>
      <c r="CK17" s="5347"/>
      <c r="CL17" s="5347"/>
      <c r="CM17" s="5347"/>
      <c r="CN17" s="5347"/>
      <c r="CO17" s="5348"/>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49"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0"/>
      <c r="E19" s="5350"/>
      <c r="F19" s="5350"/>
      <c r="G19" s="5350"/>
      <c r="H19" s="1230" t="s">
        <v>1630</v>
      </c>
      <c r="I19" s="1231" t="e">
        <f>IF(C19=0,"",VLOOKUP(C19,'Tablas Magia'!$D$6:$Z$680,3,FALSE))</f>
        <v>#N/A</v>
      </c>
      <c r="J19" s="5315" t="s">
        <v>8162</v>
      </c>
      <c r="K19" s="5315"/>
      <c r="L19" s="5315"/>
      <c r="M19" s="5316" t="e">
        <f>IF(C19=0,"",VLOOKUP(C19,'Tablas Magia'!$D$6:$Z$680,2,FALSE))</f>
        <v>#N/A</v>
      </c>
      <c r="N19" s="5316"/>
      <c r="O19" s="5316"/>
      <c r="P19" s="5316"/>
      <c r="Q19" s="5317"/>
      <c r="R19" s="1216"/>
      <c r="S19" s="1210"/>
      <c r="T19" s="1210"/>
      <c r="U19" s="2258">
        <f>U8+2</f>
        <v>24</v>
      </c>
      <c r="V19" s="5349"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0"/>
      <c r="X19" s="5350"/>
      <c r="Y19" s="5350"/>
      <c r="Z19" s="5350"/>
      <c r="AA19" s="1230" t="s">
        <v>1630</v>
      </c>
      <c r="AB19" s="1231" t="e">
        <f>IF(V19=0,"",VLOOKUP(V19,'Tablas Magia'!$D$6:$Z$680,3,FALSE))</f>
        <v>#N/A</v>
      </c>
      <c r="AC19" s="5315" t="s">
        <v>8162</v>
      </c>
      <c r="AD19" s="5315"/>
      <c r="AE19" s="5315"/>
      <c r="AF19" s="5316" t="e">
        <f>IF(V19=0,"",VLOOKUP(V19,'Tablas Magia'!$D$6:$Z$680,2,FALSE))</f>
        <v>#N/A</v>
      </c>
      <c r="AG19" s="5316"/>
      <c r="AH19" s="5316"/>
      <c r="AI19" s="5316"/>
      <c r="AJ19" s="5317"/>
      <c r="AK19" s="1216"/>
      <c r="AL19" s="1210"/>
      <c r="AM19" s="1210"/>
      <c r="AN19" s="2272">
        <f>AN8+2</f>
        <v>44</v>
      </c>
      <c r="AO19" s="5349"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0"/>
      <c r="AQ19" s="5350"/>
      <c r="AR19" s="5350"/>
      <c r="AS19" s="5350"/>
      <c r="AT19" s="1230" t="s">
        <v>1630</v>
      </c>
      <c r="AU19" s="1231" t="e">
        <f>IF(AO19=0,"",VLOOKUP(AO19,'Tablas Magia'!$D$6:$Z$680,3,FALSE))</f>
        <v>#N/A</v>
      </c>
      <c r="AV19" s="5315" t="s">
        <v>8162</v>
      </c>
      <c r="AW19" s="5315"/>
      <c r="AX19" s="5315"/>
      <c r="AY19" s="5316" t="e">
        <f>IF(AO19=0,"",VLOOKUP(AO19,'Tablas Magia'!$D$6:$Z$680,2,FALSE))</f>
        <v>#N/A</v>
      </c>
      <c r="AZ19" s="5316"/>
      <c r="BA19" s="5316"/>
      <c r="BB19" s="5316"/>
      <c r="BC19" s="5317"/>
      <c r="BD19" s="1216"/>
      <c r="BE19" s="1210"/>
      <c r="BF19" s="1210"/>
      <c r="BG19" s="2272">
        <f>BG8+2</f>
        <v>64</v>
      </c>
      <c r="BH19" s="5349"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0"/>
      <c r="BJ19" s="5350"/>
      <c r="BK19" s="5350"/>
      <c r="BL19" s="5350"/>
      <c r="BM19" s="1230" t="s">
        <v>1630</v>
      </c>
      <c r="BN19" s="1231" t="e">
        <f>IF(BH19=0,"",VLOOKUP(BH19,'Tablas Magia'!$D$6:$Z$680,3,FALSE))</f>
        <v>#N/A</v>
      </c>
      <c r="BO19" s="5315" t="s">
        <v>8162</v>
      </c>
      <c r="BP19" s="5315"/>
      <c r="BQ19" s="5315"/>
      <c r="BR19" s="5316" t="e">
        <f>IF(BH19=0,"",VLOOKUP(BH19,'Tablas Magia'!$D$6:$Z$680,2,FALSE))</f>
        <v>#N/A</v>
      </c>
      <c r="BS19" s="5316"/>
      <c r="BT19" s="5316"/>
      <c r="BU19" s="5316"/>
      <c r="BV19" s="5317"/>
      <c r="BW19" s="1216"/>
      <c r="BX19" s="1210"/>
      <c r="BY19" s="1210"/>
      <c r="BZ19" s="2272">
        <f>BZ8+2</f>
        <v>84</v>
      </c>
      <c r="CA19" s="5349"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0"/>
      <c r="CC19" s="5350"/>
      <c r="CD19" s="5350"/>
      <c r="CE19" s="5350"/>
      <c r="CF19" s="1230" t="s">
        <v>1630</v>
      </c>
      <c r="CG19" s="1231" t="e">
        <f>IF(CA19=0,"",VLOOKUP(CA19,'Tablas Magia'!$D$6:$Z$680,3,FALSE))</f>
        <v>#N/A</v>
      </c>
      <c r="CH19" s="5315" t="s">
        <v>8162</v>
      </c>
      <c r="CI19" s="5315"/>
      <c r="CJ19" s="5315"/>
      <c r="CK19" s="5316" t="e">
        <f>IF(CA19=0,"",VLOOKUP(CA19,'Tablas Magia'!$D$6:$Z$680,2,FALSE))</f>
        <v>#N/A</v>
      </c>
      <c r="CL19" s="5316"/>
      <c r="CM19" s="5316"/>
      <c r="CN19" s="5316"/>
      <c r="CO19" s="5317"/>
      <c r="CP19" s="1216"/>
      <c r="CQ19" s="1210"/>
    </row>
    <row r="20" spans="1:95" ht="12" customHeight="1" x14ac:dyDescent="0.2">
      <c r="A20" s="1210"/>
      <c r="B20" s="2258"/>
      <c r="C20" s="5333" t="s">
        <v>8163</v>
      </c>
      <c r="D20" s="5334"/>
      <c r="E20" s="1232" t="s">
        <v>8164</v>
      </c>
      <c r="F20" s="1232" t="s">
        <v>1824</v>
      </c>
      <c r="G20" s="1232" t="s">
        <v>3467</v>
      </c>
      <c r="H20" s="1233" t="s">
        <v>2175</v>
      </c>
      <c r="I20" s="5330" t="e">
        <f>IF(C19=0,"",VLOOKUP(C19,'Tablas Magia'!$D$6:$Z$680,5,FALSE))</f>
        <v>#N/A</v>
      </c>
      <c r="J20" s="5330"/>
      <c r="K20" s="5331" t="s">
        <v>8165</v>
      </c>
      <c r="L20" s="5331"/>
      <c r="M20" s="5330" t="e">
        <f>IF(C19=0,"",VLOOKUP(C19,'Tablas Magia'!$D$6:$Z$680,6,FALSE))</f>
        <v>#N/A</v>
      </c>
      <c r="N20" s="5330"/>
      <c r="O20" s="5332" t="s">
        <v>8166</v>
      </c>
      <c r="P20" s="5332"/>
      <c r="Q20" s="1234" t="e">
        <f>IF(C19=0,"",VLOOKUP(C19,'Tablas Magia'!$D$6:$Z$680,4,FALSE))</f>
        <v>#N/A</v>
      </c>
      <c r="R20" s="1216"/>
      <c r="S20" s="1210"/>
      <c r="T20" s="1210"/>
      <c r="U20" s="2258"/>
      <c r="V20" s="5333" t="s">
        <v>8163</v>
      </c>
      <c r="W20" s="5334"/>
      <c r="X20" s="1232" t="s">
        <v>8164</v>
      </c>
      <c r="Y20" s="1232" t="s">
        <v>1824</v>
      </c>
      <c r="Z20" s="1232" t="s">
        <v>3467</v>
      </c>
      <c r="AA20" s="1233" t="s">
        <v>2175</v>
      </c>
      <c r="AB20" s="5330" t="e">
        <f>IF(V19=0,"",VLOOKUP(V19,'Tablas Magia'!$D$6:$Z$680,5,FALSE))</f>
        <v>#N/A</v>
      </c>
      <c r="AC20" s="5330"/>
      <c r="AD20" s="5331" t="s">
        <v>8165</v>
      </c>
      <c r="AE20" s="5331"/>
      <c r="AF20" s="5330" t="e">
        <f>IF(V19=0,"",VLOOKUP(V19,'Tablas Magia'!$D$6:$Z$680,6,FALSE))</f>
        <v>#N/A</v>
      </c>
      <c r="AG20" s="5330"/>
      <c r="AH20" s="5332" t="s">
        <v>8166</v>
      </c>
      <c r="AI20" s="5332"/>
      <c r="AJ20" s="1234" t="e">
        <f>IF(V19=0,"",VLOOKUP(V19,'Tablas Magia'!$D$6:$Z$680,4,FALSE))</f>
        <v>#N/A</v>
      </c>
      <c r="AK20" s="1216"/>
      <c r="AL20" s="1210"/>
      <c r="AM20" s="1210"/>
      <c r="AN20" s="2272"/>
      <c r="AO20" s="5333" t="s">
        <v>8163</v>
      </c>
      <c r="AP20" s="5334"/>
      <c r="AQ20" s="1232" t="s">
        <v>8164</v>
      </c>
      <c r="AR20" s="1232" t="s">
        <v>1824</v>
      </c>
      <c r="AS20" s="1232" t="s">
        <v>3467</v>
      </c>
      <c r="AT20" s="1233" t="s">
        <v>2175</v>
      </c>
      <c r="AU20" s="5330" t="e">
        <f>IF(AO19=0,"",VLOOKUP(AO19,'Tablas Magia'!$D$6:$Z$680,5,FALSE))</f>
        <v>#N/A</v>
      </c>
      <c r="AV20" s="5330"/>
      <c r="AW20" s="5331" t="s">
        <v>8165</v>
      </c>
      <c r="AX20" s="5331"/>
      <c r="AY20" s="5330" t="e">
        <f>IF(AO19=0,"",VLOOKUP(AO19,'Tablas Magia'!$D$6:$Z$680,6,FALSE))</f>
        <v>#N/A</v>
      </c>
      <c r="AZ20" s="5330"/>
      <c r="BA20" s="5332" t="s">
        <v>8166</v>
      </c>
      <c r="BB20" s="5332"/>
      <c r="BC20" s="1234" t="e">
        <f>IF(AO19=0,"",VLOOKUP(AO19,'Tablas Magia'!$D$6:$Z$680,4,FALSE))</f>
        <v>#N/A</v>
      </c>
      <c r="BD20" s="1216"/>
      <c r="BE20" s="1210"/>
      <c r="BF20" s="1210"/>
      <c r="BG20" s="2272"/>
      <c r="BH20" s="5333" t="s">
        <v>8163</v>
      </c>
      <c r="BI20" s="5334"/>
      <c r="BJ20" s="1232" t="s">
        <v>8164</v>
      </c>
      <c r="BK20" s="1232" t="s">
        <v>1824</v>
      </c>
      <c r="BL20" s="1232" t="s">
        <v>3467</v>
      </c>
      <c r="BM20" s="1233" t="s">
        <v>2175</v>
      </c>
      <c r="BN20" s="5330" t="e">
        <f>IF(BH19=0,"",VLOOKUP(BH19,'Tablas Magia'!$D$6:$Z$680,5,FALSE))</f>
        <v>#N/A</v>
      </c>
      <c r="BO20" s="5330"/>
      <c r="BP20" s="5331" t="s">
        <v>8165</v>
      </c>
      <c r="BQ20" s="5331"/>
      <c r="BR20" s="5330" t="e">
        <f>IF(BH19=0,"",VLOOKUP(BH19,'Tablas Magia'!$D$6:$Z$680,6,FALSE))</f>
        <v>#N/A</v>
      </c>
      <c r="BS20" s="5330"/>
      <c r="BT20" s="5332" t="s">
        <v>8166</v>
      </c>
      <c r="BU20" s="5332"/>
      <c r="BV20" s="1234" t="e">
        <f>IF(BH19=0,"",VLOOKUP(BH19,'Tablas Magia'!$D$6:$Z$680,4,FALSE))</f>
        <v>#N/A</v>
      </c>
      <c r="BW20" s="1216"/>
      <c r="BX20" s="1210"/>
      <c r="BY20" s="1210"/>
      <c r="BZ20" s="2272"/>
      <c r="CA20" s="5333" t="s">
        <v>8163</v>
      </c>
      <c r="CB20" s="5334"/>
      <c r="CC20" s="1232" t="s">
        <v>8164</v>
      </c>
      <c r="CD20" s="1232" t="s">
        <v>1824</v>
      </c>
      <c r="CE20" s="1232" t="s">
        <v>3467</v>
      </c>
      <c r="CF20" s="1233" t="s">
        <v>2175</v>
      </c>
      <c r="CG20" s="5330" t="e">
        <f>IF(CA19=0,"",VLOOKUP(CA19,'Tablas Magia'!$D$6:$Z$680,5,FALSE))</f>
        <v>#N/A</v>
      </c>
      <c r="CH20" s="5330"/>
      <c r="CI20" s="5331" t="s">
        <v>8165</v>
      </c>
      <c r="CJ20" s="5331"/>
      <c r="CK20" s="5330" t="e">
        <f>IF(CA19=0,"",VLOOKUP(CA19,'Tablas Magia'!$D$6:$Z$680,6,FALSE))</f>
        <v>#N/A</v>
      </c>
      <c r="CL20" s="5330"/>
      <c r="CM20" s="5332" t="s">
        <v>8166</v>
      </c>
      <c r="CN20" s="5332"/>
      <c r="CO20" s="1234" t="e">
        <f>IF(CA19=0,"",VLOOKUP(CA19,'Tablas Magia'!$D$6:$Z$680,4,FALSE))</f>
        <v>#N/A</v>
      </c>
      <c r="CP20" s="1216"/>
      <c r="CQ20" s="1210"/>
    </row>
    <row r="21" spans="1:95" ht="12" customHeight="1" x14ac:dyDescent="0.2">
      <c r="A21" s="1210"/>
      <c r="B21" s="2258"/>
      <c r="C21" s="5325" t="s">
        <v>1677</v>
      </c>
      <c r="D21" s="5326"/>
      <c r="E21" s="1235" t="e">
        <f>IF(C19=0,"",VLOOKUP(C19,'Tablas Magia'!$D$6:$Z$680,7,FALSE))</f>
        <v>#N/A</v>
      </c>
      <c r="F21" s="1235" t="e">
        <f>IF(C19=0,"",VLOOKUP(C19,'Tablas Magia'!$D$6:$Z$680,11,FALSE))</f>
        <v>#N/A</v>
      </c>
      <c r="G21" s="1236" t="e">
        <f>IF(C19=0,"",VLOOKUP(C19,'Tablas Magia'!$D$6:$Z$680,15,FALSE))</f>
        <v>#N/A</v>
      </c>
      <c r="H21" s="5327" t="e">
        <f>IF(C19=0,"",VLOOKUP(C19,'Tablas Magia'!$D$6:$Z$680,19,FALSE))</f>
        <v>#N/A</v>
      </c>
      <c r="I21" s="5328"/>
      <c r="J21" s="5328"/>
      <c r="K21" s="5328"/>
      <c r="L21" s="5328"/>
      <c r="M21" s="5328"/>
      <c r="N21" s="5328"/>
      <c r="O21" s="5328"/>
      <c r="P21" s="5328"/>
      <c r="Q21" s="5329"/>
      <c r="R21" s="1216"/>
      <c r="S21" s="1210"/>
      <c r="T21" s="1210"/>
      <c r="U21" s="2258"/>
      <c r="V21" s="5325" t="s">
        <v>1677</v>
      </c>
      <c r="W21" s="5326"/>
      <c r="X21" s="1235" t="e">
        <f>IF(V19=0,"",VLOOKUP(V19,'Tablas Magia'!$D$6:$Z$680,7,FALSE))</f>
        <v>#N/A</v>
      </c>
      <c r="Y21" s="1235" t="e">
        <f>IF(V19=0,"",VLOOKUP(V19,'Tablas Magia'!$D$6:$Z$680,11,FALSE))</f>
        <v>#N/A</v>
      </c>
      <c r="Z21" s="1236" t="e">
        <f>IF(V19=0,"",VLOOKUP(V19,'Tablas Magia'!$D$6:$Z$680,15,FALSE))</f>
        <v>#N/A</v>
      </c>
      <c r="AA21" s="5327" t="e">
        <f>IF(V19=0,"",VLOOKUP(V19,'Tablas Magia'!$D$6:$Z$680,19,FALSE))</f>
        <v>#N/A</v>
      </c>
      <c r="AB21" s="5328"/>
      <c r="AC21" s="5328"/>
      <c r="AD21" s="5328"/>
      <c r="AE21" s="5328"/>
      <c r="AF21" s="5328"/>
      <c r="AG21" s="5328"/>
      <c r="AH21" s="5328"/>
      <c r="AI21" s="5328"/>
      <c r="AJ21" s="5329"/>
      <c r="AK21" s="1216"/>
      <c r="AL21" s="1210"/>
      <c r="AM21" s="1210"/>
      <c r="AN21" s="2272"/>
      <c r="AO21" s="5325" t="s">
        <v>1677</v>
      </c>
      <c r="AP21" s="5326"/>
      <c r="AQ21" s="1235" t="e">
        <f>IF(AO19=0,"",VLOOKUP(AO19,'Tablas Magia'!$D$6:$Z$680,7,FALSE))</f>
        <v>#N/A</v>
      </c>
      <c r="AR21" s="1235" t="e">
        <f>IF(AO19=0,"",VLOOKUP(AO19,'Tablas Magia'!$D$6:$Z$680,11,FALSE))</f>
        <v>#N/A</v>
      </c>
      <c r="AS21" s="1236" t="e">
        <f>IF(AO19=0,"",VLOOKUP(AO19,'Tablas Magia'!$D$6:$Z$680,15,FALSE))</f>
        <v>#N/A</v>
      </c>
      <c r="AT21" s="5327" t="e">
        <f>IF(AO19=0,"",VLOOKUP(AO19,'Tablas Magia'!$D$6:$Z$680,19,FALSE))</f>
        <v>#N/A</v>
      </c>
      <c r="AU21" s="5328"/>
      <c r="AV21" s="5328"/>
      <c r="AW21" s="5328"/>
      <c r="AX21" s="5328"/>
      <c r="AY21" s="5328"/>
      <c r="AZ21" s="5328"/>
      <c r="BA21" s="5328"/>
      <c r="BB21" s="5328"/>
      <c r="BC21" s="5329"/>
      <c r="BD21" s="1216"/>
      <c r="BE21" s="1210"/>
      <c r="BF21" s="1210"/>
      <c r="BG21" s="2272"/>
      <c r="BH21" s="5325" t="s">
        <v>1677</v>
      </c>
      <c r="BI21" s="5326"/>
      <c r="BJ21" s="1235" t="e">
        <f>IF(BH19=0,"",VLOOKUP(BH19,'Tablas Magia'!$D$6:$Z$680,7,FALSE))</f>
        <v>#N/A</v>
      </c>
      <c r="BK21" s="1235" t="e">
        <f>IF(BH19=0,"",VLOOKUP(BH19,'Tablas Magia'!$D$6:$Z$680,11,FALSE))</f>
        <v>#N/A</v>
      </c>
      <c r="BL21" s="1236" t="e">
        <f>IF(BH19=0,"",VLOOKUP(BH19,'Tablas Magia'!$D$6:$Z$680,15,FALSE))</f>
        <v>#N/A</v>
      </c>
      <c r="BM21" s="5327" t="e">
        <f>IF(BH19=0,"",VLOOKUP(BH19,'Tablas Magia'!$D$6:$Z$680,19,FALSE))</f>
        <v>#N/A</v>
      </c>
      <c r="BN21" s="5328"/>
      <c r="BO21" s="5328"/>
      <c r="BP21" s="5328"/>
      <c r="BQ21" s="5328"/>
      <c r="BR21" s="5328"/>
      <c r="BS21" s="5328"/>
      <c r="BT21" s="5328"/>
      <c r="BU21" s="5328"/>
      <c r="BV21" s="5329"/>
      <c r="BW21" s="1216"/>
      <c r="BX21" s="1210"/>
      <c r="BY21" s="1210"/>
      <c r="BZ21" s="2272"/>
      <c r="CA21" s="5325" t="s">
        <v>1677</v>
      </c>
      <c r="CB21" s="5326"/>
      <c r="CC21" s="1235" t="e">
        <f>IF(CA19=0,"",VLOOKUP(CA19,'Tablas Magia'!$D$6:$Z$680,7,FALSE))</f>
        <v>#N/A</v>
      </c>
      <c r="CD21" s="1235" t="e">
        <f>IF(CA19=0,"",VLOOKUP(CA19,'Tablas Magia'!$D$6:$Z$680,11,FALSE))</f>
        <v>#N/A</v>
      </c>
      <c r="CE21" s="1236" t="e">
        <f>IF(CA19=0,"",VLOOKUP(CA19,'Tablas Magia'!$D$6:$Z$680,15,FALSE))</f>
        <v>#N/A</v>
      </c>
      <c r="CF21" s="5327" t="e">
        <f>IF(CA19=0,"",VLOOKUP(CA19,'Tablas Magia'!$D$6:$Z$680,19,FALSE))</f>
        <v>#N/A</v>
      </c>
      <c r="CG21" s="5328"/>
      <c r="CH21" s="5328"/>
      <c r="CI21" s="5328"/>
      <c r="CJ21" s="5328"/>
      <c r="CK21" s="5328"/>
      <c r="CL21" s="5328"/>
      <c r="CM21" s="5328"/>
      <c r="CN21" s="5328"/>
      <c r="CO21" s="5329"/>
      <c r="CP21" s="1216"/>
      <c r="CQ21" s="1210"/>
    </row>
    <row r="22" spans="1:95" ht="12" customHeight="1" x14ac:dyDescent="0.2">
      <c r="A22" s="1210"/>
      <c r="B22" s="2258"/>
      <c r="C22" s="5320" t="s">
        <v>4705</v>
      </c>
      <c r="D22" s="5321"/>
      <c r="E22" s="1237" t="e">
        <f>IF(C19=0,"",VLOOKUP(C19,'Tablas Magia'!$D$6:$Z$680,8,FALSE))</f>
        <v>#N/A</v>
      </c>
      <c r="F22" s="1237" t="e">
        <f>IF(C19=0,"",VLOOKUP(C19,'Tablas Magia'!$D$6:$Z$680,12,FALSE))</f>
        <v>#N/A</v>
      </c>
      <c r="G22" s="1238" t="e">
        <f>IF(C19=0,"",VLOOKUP(C19,'Tablas Magia'!$D$6:$Z$680,16,FALSE))</f>
        <v>#N/A</v>
      </c>
      <c r="H22" s="5322" t="e">
        <f>IF(C19=0,"",VLOOKUP(C19,'Tablas Magia'!$D$6:$Z$680,20,FALSE))</f>
        <v>#N/A</v>
      </c>
      <c r="I22" s="5323"/>
      <c r="J22" s="5323"/>
      <c r="K22" s="5323"/>
      <c r="L22" s="5323"/>
      <c r="M22" s="5323"/>
      <c r="N22" s="5323"/>
      <c r="O22" s="5323"/>
      <c r="P22" s="5323"/>
      <c r="Q22" s="5324"/>
      <c r="R22" s="1216"/>
      <c r="S22" s="1210"/>
      <c r="T22" s="1210"/>
      <c r="U22" s="2258"/>
      <c r="V22" s="5320" t="s">
        <v>4705</v>
      </c>
      <c r="W22" s="5321"/>
      <c r="X22" s="1237" t="e">
        <f>IF(V19=0,"",VLOOKUP(V19,'Tablas Magia'!$D$6:$Z$680,8,FALSE))</f>
        <v>#N/A</v>
      </c>
      <c r="Y22" s="1237" t="e">
        <f>IF(V19=0,"",VLOOKUP(V19,'Tablas Magia'!$D$6:$Z$680,12,FALSE))</f>
        <v>#N/A</v>
      </c>
      <c r="Z22" s="1238" t="e">
        <f>IF(V19=0,"",VLOOKUP(V19,'Tablas Magia'!$D$6:$Z$680,16,FALSE))</f>
        <v>#N/A</v>
      </c>
      <c r="AA22" s="5322" t="e">
        <f>IF(V19=0,"",VLOOKUP(V19,'Tablas Magia'!$D$6:$Z$680,20,FALSE))</f>
        <v>#N/A</v>
      </c>
      <c r="AB22" s="5323"/>
      <c r="AC22" s="5323"/>
      <c r="AD22" s="5323"/>
      <c r="AE22" s="5323"/>
      <c r="AF22" s="5323"/>
      <c r="AG22" s="5323"/>
      <c r="AH22" s="5323"/>
      <c r="AI22" s="5323"/>
      <c r="AJ22" s="5324"/>
      <c r="AK22" s="1216"/>
      <c r="AL22" s="1210"/>
      <c r="AM22" s="1210"/>
      <c r="AN22" s="2272"/>
      <c r="AO22" s="5320" t="s">
        <v>4705</v>
      </c>
      <c r="AP22" s="5321"/>
      <c r="AQ22" s="1237" t="e">
        <f>IF(AO19=0,"",VLOOKUP(AO19,'Tablas Magia'!$D$6:$Z$680,8,FALSE))</f>
        <v>#N/A</v>
      </c>
      <c r="AR22" s="1237" t="e">
        <f>IF(AO19=0,"",VLOOKUP(AO19,'Tablas Magia'!$D$6:$Z$680,12,FALSE))</f>
        <v>#N/A</v>
      </c>
      <c r="AS22" s="1238" t="e">
        <f>IF(AO19=0,"",VLOOKUP(AO19,'Tablas Magia'!$D$6:$Z$680,16,FALSE))</f>
        <v>#N/A</v>
      </c>
      <c r="AT22" s="5322" t="e">
        <f>IF(AO19=0,"",VLOOKUP(AO19,'Tablas Magia'!$D$6:$Z$680,20,FALSE))</f>
        <v>#N/A</v>
      </c>
      <c r="AU22" s="5323"/>
      <c r="AV22" s="5323"/>
      <c r="AW22" s="5323"/>
      <c r="AX22" s="5323"/>
      <c r="AY22" s="5323"/>
      <c r="AZ22" s="5323"/>
      <c r="BA22" s="5323"/>
      <c r="BB22" s="5323"/>
      <c r="BC22" s="5324"/>
      <c r="BD22" s="1216"/>
      <c r="BE22" s="1210"/>
      <c r="BF22" s="1210"/>
      <c r="BG22" s="2272"/>
      <c r="BH22" s="5320" t="s">
        <v>4705</v>
      </c>
      <c r="BI22" s="5321"/>
      <c r="BJ22" s="1237" t="e">
        <f>IF(BH19=0,"",VLOOKUP(BH19,'Tablas Magia'!$D$6:$Z$680,8,FALSE))</f>
        <v>#N/A</v>
      </c>
      <c r="BK22" s="1237" t="e">
        <f>IF(BH19=0,"",VLOOKUP(BH19,'Tablas Magia'!$D$6:$Z$680,12,FALSE))</f>
        <v>#N/A</v>
      </c>
      <c r="BL22" s="1238" t="e">
        <f>IF(BH19=0,"",VLOOKUP(BH19,'Tablas Magia'!$D$6:$Z$680,16,FALSE))</f>
        <v>#N/A</v>
      </c>
      <c r="BM22" s="5322" t="e">
        <f>IF(BH19=0,"",VLOOKUP(BH19,'Tablas Magia'!$D$6:$Z$680,20,FALSE))</f>
        <v>#N/A</v>
      </c>
      <c r="BN22" s="5323"/>
      <c r="BO22" s="5323"/>
      <c r="BP22" s="5323"/>
      <c r="BQ22" s="5323"/>
      <c r="BR22" s="5323"/>
      <c r="BS22" s="5323"/>
      <c r="BT22" s="5323"/>
      <c r="BU22" s="5323"/>
      <c r="BV22" s="5324"/>
      <c r="BW22" s="1216"/>
      <c r="BX22" s="1210"/>
      <c r="BY22" s="1210"/>
      <c r="BZ22" s="2272"/>
      <c r="CA22" s="5320" t="s">
        <v>4705</v>
      </c>
      <c r="CB22" s="5321"/>
      <c r="CC22" s="1237" t="e">
        <f>IF(CA19=0,"",VLOOKUP(CA19,'Tablas Magia'!$D$6:$Z$680,8,FALSE))</f>
        <v>#N/A</v>
      </c>
      <c r="CD22" s="1237" t="e">
        <f>IF(CA19=0,"",VLOOKUP(CA19,'Tablas Magia'!$D$6:$Z$680,12,FALSE))</f>
        <v>#N/A</v>
      </c>
      <c r="CE22" s="1238" t="e">
        <f>IF(CA19=0,"",VLOOKUP(CA19,'Tablas Magia'!$D$6:$Z$680,16,FALSE))</f>
        <v>#N/A</v>
      </c>
      <c r="CF22" s="5322" t="e">
        <f>IF(CA19=0,"",VLOOKUP(CA19,'Tablas Magia'!$D$6:$Z$680,20,FALSE))</f>
        <v>#N/A</v>
      </c>
      <c r="CG22" s="5323"/>
      <c r="CH22" s="5323"/>
      <c r="CI22" s="5323"/>
      <c r="CJ22" s="5323"/>
      <c r="CK22" s="5323"/>
      <c r="CL22" s="5323"/>
      <c r="CM22" s="5323"/>
      <c r="CN22" s="5323"/>
      <c r="CO22" s="5324"/>
      <c r="CP22" s="1216"/>
      <c r="CQ22" s="1210"/>
    </row>
    <row r="23" spans="1:95" ht="12" customHeight="1" x14ac:dyDescent="0.2">
      <c r="A23" s="1210"/>
      <c r="B23" s="2258"/>
      <c r="C23" s="5325" t="s">
        <v>4706</v>
      </c>
      <c r="D23" s="5326"/>
      <c r="E23" s="1235" t="e">
        <f>IF(C19=0,"",VLOOKUP(C19,'Tablas Magia'!$D$6:$Z$680,9,FALSE))</f>
        <v>#N/A</v>
      </c>
      <c r="F23" s="1235" t="e">
        <f>IF(C19=0,"",VLOOKUP(C19,'Tablas Magia'!$D$6:$Z$680,13,FALSE))</f>
        <v>#N/A</v>
      </c>
      <c r="G23" s="1236" t="e">
        <f>IF(C19=0,"",VLOOKUP(C19,'Tablas Magia'!$D$6:$Z$680,17,FALSE))</f>
        <v>#N/A</v>
      </c>
      <c r="H23" s="5327" t="e">
        <f>IF(C19=0,"",VLOOKUP(C19,'Tablas Magia'!$D$6:$Z$680,21,FALSE))</f>
        <v>#N/A</v>
      </c>
      <c r="I23" s="5328"/>
      <c r="J23" s="5328"/>
      <c r="K23" s="5328"/>
      <c r="L23" s="5328"/>
      <c r="M23" s="5328"/>
      <c r="N23" s="5328"/>
      <c r="O23" s="5328"/>
      <c r="P23" s="5328"/>
      <c r="Q23" s="5329"/>
      <c r="R23" s="1216"/>
      <c r="S23" s="1210"/>
      <c r="T23" s="1210"/>
      <c r="U23" s="2258"/>
      <c r="V23" s="5325" t="s">
        <v>4706</v>
      </c>
      <c r="W23" s="5326"/>
      <c r="X23" s="1235" t="e">
        <f>IF(V19=0,"",VLOOKUP(V19,'Tablas Magia'!$D$6:$Z$680,9,FALSE))</f>
        <v>#N/A</v>
      </c>
      <c r="Y23" s="1235" t="e">
        <f>IF(V19=0,"",VLOOKUP(V19,'Tablas Magia'!$D$6:$Z$680,13,FALSE))</f>
        <v>#N/A</v>
      </c>
      <c r="Z23" s="1236" t="e">
        <f>IF(V19=0,"",VLOOKUP(V19,'Tablas Magia'!$D$6:$Z$680,17,FALSE))</f>
        <v>#N/A</v>
      </c>
      <c r="AA23" s="5327" t="e">
        <f>IF(V19=0,"",VLOOKUP(V19,'Tablas Magia'!$D$6:$Z$680,21,FALSE))</f>
        <v>#N/A</v>
      </c>
      <c r="AB23" s="5328"/>
      <c r="AC23" s="5328"/>
      <c r="AD23" s="5328"/>
      <c r="AE23" s="5328"/>
      <c r="AF23" s="5328"/>
      <c r="AG23" s="5328"/>
      <c r="AH23" s="5328"/>
      <c r="AI23" s="5328"/>
      <c r="AJ23" s="5329"/>
      <c r="AK23" s="1216"/>
      <c r="AL23" s="1210"/>
      <c r="AM23" s="1210"/>
      <c r="AN23" s="2272"/>
      <c r="AO23" s="5325" t="s">
        <v>4706</v>
      </c>
      <c r="AP23" s="5326"/>
      <c r="AQ23" s="1235" t="e">
        <f>IF(AO19=0,"",VLOOKUP(AO19,'Tablas Magia'!$D$6:$Z$680,9,FALSE))</f>
        <v>#N/A</v>
      </c>
      <c r="AR23" s="1235" t="e">
        <f>IF(AO19=0,"",VLOOKUP(AO19,'Tablas Magia'!$D$6:$Z$680,13,FALSE))</f>
        <v>#N/A</v>
      </c>
      <c r="AS23" s="1236" t="e">
        <f>IF(AO19=0,"",VLOOKUP(AO19,'Tablas Magia'!$D$6:$Z$680,17,FALSE))</f>
        <v>#N/A</v>
      </c>
      <c r="AT23" s="5327" t="e">
        <f>IF(AO19=0,"",VLOOKUP(AO19,'Tablas Magia'!$D$6:$Z$680,21,FALSE))</f>
        <v>#N/A</v>
      </c>
      <c r="AU23" s="5328"/>
      <c r="AV23" s="5328"/>
      <c r="AW23" s="5328"/>
      <c r="AX23" s="5328"/>
      <c r="AY23" s="5328"/>
      <c r="AZ23" s="5328"/>
      <c r="BA23" s="5328"/>
      <c r="BB23" s="5328"/>
      <c r="BC23" s="5329"/>
      <c r="BD23" s="1216"/>
      <c r="BE23" s="1210"/>
      <c r="BF23" s="1210"/>
      <c r="BG23" s="2272"/>
      <c r="BH23" s="5325" t="s">
        <v>4706</v>
      </c>
      <c r="BI23" s="5326"/>
      <c r="BJ23" s="1235" t="e">
        <f>IF(BH19=0,"",VLOOKUP(BH19,'Tablas Magia'!$D$6:$Z$680,9,FALSE))</f>
        <v>#N/A</v>
      </c>
      <c r="BK23" s="1235" t="e">
        <f>IF(BH19=0,"",VLOOKUP(BH19,'Tablas Magia'!$D$6:$Z$680,13,FALSE))</f>
        <v>#N/A</v>
      </c>
      <c r="BL23" s="1236" t="e">
        <f>IF(BH19=0,"",VLOOKUP(BH19,'Tablas Magia'!$D$6:$Z$680,17,FALSE))</f>
        <v>#N/A</v>
      </c>
      <c r="BM23" s="5327" t="e">
        <f>IF(BH19=0,"",VLOOKUP(BH19,'Tablas Magia'!$D$6:$Z$680,21,FALSE))</f>
        <v>#N/A</v>
      </c>
      <c r="BN23" s="5328"/>
      <c r="BO23" s="5328"/>
      <c r="BP23" s="5328"/>
      <c r="BQ23" s="5328"/>
      <c r="BR23" s="5328"/>
      <c r="BS23" s="5328"/>
      <c r="BT23" s="5328"/>
      <c r="BU23" s="5328"/>
      <c r="BV23" s="5329"/>
      <c r="BW23" s="1216"/>
      <c r="BX23" s="1210"/>
      <c r="BY23" s="1210"/>
      <c r="BZ23" s="2272"/>
      <c r="CA23" s="5325" t="s">
        <v>4706</v>
      </c>
      <c r="CB23" s="5326"/>
      <c r="CC23" s="1235" t="e">
        <f>IF(CA19=0,"",VLOOKUP(CA19,'Tablas Magia'!$D$6:$Z$680,9,FALSE))</f>
        <v>#N/A</v>
      </c>
      <c r="CD23" s="1235" t="e">
        <f>IF(CA19=0,"",VLOOKUP(CA19,'Tablas Magia'!$D$6:$Z$680,13,FALSE))</f>
        <v>#N/A</v>
      </c>
      <c r="CE23" s="1236" t="e">
        <f>IF(CA19=0,"",VLOOKUP(CA19,'Tablas Magia'!$D$6:$Z$680,17,FALSE))</f>
        <v>#N/A</v>
      </c>
      <c r="CF23" s="5327" t="e">
        <f>IF(CA19=0,"",VLOOKUP(CA19,'Tablas Magia'!$D$6:$Z$680,21,FALSE))</f>
        <v>#N/A</v>
      </c>
      <c r="CG23" s="5328"/>
      <c r="CH23" s="5328"/>
      <c r="CI23" s="5328"/>
      <c r="CJ23" s="5328"/>
      <c r="CK23" s="5328"/>
      <c r="CL23" s="5328"/>
      <c r="CM23" s="5328"/>
      <c r="CN23" s="5328"/>
      <c r="CO23" s="5329"/>
      <c r="CP23" s="1216"/>
      <c r="CQ23" s="1210"/>
    </row>
    <row r="24" spans="1:95" ht="12" customHeight="1" thickBot="1" x14ac:dyDescent="0.25">
      <c r="A24" s="1210"/>
      <c r="B24" s="2258"/>
      <c r="C24" s="5335" t="s">
        <v>4707</v>
      </c>
      <c r="D24" s="5336"/>
      <c r="E24" s="1239" t="e">
        <f>IF(C19=0,"",VLOOKUP(C19,'Tablas Magia'!$D$6:$Z$680,10,FALSE))</f>
        <v>#N/A</v>
      </c>
      <c r="F24" s="1239" t="e">
        <f>IF(C19=0,"",VLOOKUP(C19,'Tablas Magia'!$D$6:$Z$680,14,FALSE))</f>
        <v>#N/A</v>
      </c>
      <c r="G24" s="1240" t="e">
        <f>IF(C19=0,"",VLOOKUP(C19,'Tablas Magia'!$D$6:$Z$680,18,FALSE))</f>
        <v>#N/A</v>
      </c>
      <c r="H24" s="5337" t="e">
        <f>IF(C19=0,"",VLOOKUP(C19,'Tablas Magia'!$D$6:$Z$680,22,FALSE))</f>
        <v>#N/A</v>
      </c>
      <c r="I24" s="5338"/>
      <c r="J24" s="5338"/>
      <c r="K24" s="5338"/>
      <c r="L24" s="5338"/>
      <c r="M24" s="5338"/>
      <c r="N24" s="5338"/>
      <c r="O24" s="5338"/>
      <c r="P24" s="5338"/>
      <c r="Q24" s="5339"/>
      <c r="R24" s="1216"/>
      <c r="S24" s="1210"/>
      <c r="T24" s="1210"/>
      <c r="U24" s="2258"/>
      <c r="V24" s="5335" t="s">
        <v>4707</v>
      </c>
      <c r="W24" s="5336"/>
      <c r="X24" s="1239" t="e">
        <f>IF(V19=0,"",VLOOKUP(V19,'Tablas Magia'!$D$6:$Z$680,10,FALSE))</f>
        <v>#N/A</v>
      </c>
      <c r="Y24" s="1239" t="e">
        <f>IF(V19=0,"",VLOOKUP(V19,'Tablas Magia'!$D$6:$Z$680,14,FALSE))</f>
        <v>#N/A</v>
      </c>
      <c r="Z24" s="1240" t="e">
        <f>IF(V19=0,"",VLOOKUP(V19,'Tablas Magia'!$D$6:$Z$680,18,FALSE))</f>
        <v>#N/A</v>
      </c>
      <c r="AA24" s="5337" t="e">
        <f>IF(V19=0,"",VLOOKUP(V19,'Tablas Magia'!$D$6:$Z$680,22,FALSE))</f>
        <v>#N/A</v>
      </c>
      <c r="AB24" s="5338"/>
      <c r="AC24" s="5338"/>
      <c r="AD24" s="5338"/>
      <c r="AE24" s="5338"/>
      <c r="AF24" s="5338"/>
      <c r="AG24" s="5338"/>
      <c r="AH24" s="5338"/>
      <c r="AI24" s="5338"/>
      <c r="AJ24" s="5339"/>
      <c r="AK24" s="1216"/>
      <c r="AL24" s="1210"/>
      <c r="AM24" s="1210"/>
      <c r="AN24" s="2272"/>
      <c r="AO24" s="5335" t="s">
        <v>4707</v>
      </c>
      <c r="AP24" s="5336"/>
      <c r="AQ24" s="1239" t="e">
        <f>IF(AO19=0,"",VLOOKUP(AO19,'Tablas Magia'!$D$6:$Z$680,10,FALSE))</f>
        <v>#N/A</v>
      </c>
      <c r="AR24" s="1239" t="e">
        <f>IF(AO19=0,"",VLOOKUP(AO19,'Tablas Magia'!$D$6:$Z$680,14,FALSE))</f>
        <v>#N/A</v>
      </c>
      <c r="AS24" s="1240" t="e">
        <f>IF(AO19=0,"",VLOOKUP(AO19,'Tablas Magia'!$D$6:$Z$680,18,FALSE))</f>
        <v>#N/A</v>
      </c>
      <c r="AT24" s="5337" t="e">
        <f>IF(AO19=0,"",VLOOKUP(AO19,'Tablas Magia'!$D$6:$Z$680,22,FALSE))</f>
        <v>#N/A</v>
      </c>
      <c r="AU24" s="5338"/>
      <c r="AV24" s="5338"/>
      <c r="AW24" s="5338"/>
      <c r="AX24" s="5338"/>
      <c r="AY24" s="5338"/>
      <c r="AZ24" s="5338"/>
      <c r="BA24" s="5338"/>
      <c r="BB24" s="5338"/>
      <c r="BC24" s="5339"/>
      <c r="BD24" s="1216"/>
      <c r="BE24" s="1210"/>
      <c r="BF24" s="1210"/>
      <c r="BG24" s="2272"/>
      <c r="BH24" s="5335" t="s">
        <v>4707</v>
      </c>
      <c r="BI24" s="5336"/>
      <c r="BJ24" s="1239" t="e">
        <f>IF(BH19=0,"",VLOOKUP(BH19,'Tablas Magia'!$D$6:$Z$680,10,FALSE))</f>
        <v>#N/A</v>
      </c>
      <c r="BK24" s="1239" t="e">
        <f>IF(BH19=0,"",VLOOKUP(BH19,'Tablas Magia'!$D$6:$Z$680,14,FALSE))</f>
        <v>#N/A</v>
      </c>
      <c r="BL24" s="1240" t="e">
        <f>IF(BH19=0,"",VLOOKUP(BH19,'Tablas Magia'!$D$6:$Z$680,18,FALSE))</f>
        <v>#N/A</v>
      </c>
      <c r="BM24" s="5337" t="e">
        <f>IF(BH19=0,"",VLOOKUP(BH19,'Tablas Magia'!$D$6:$Z$680,22,FALSE))</f>
        <v>#N/A</v>
      </c>
      <c r="BN24" s="5338"/>
      <c r="BO24" s="5338"/>
      <c r="BP24" s="5338"/>
      <c r="BQ24" s="5338"/>
      <c r="BR24" s="5338"/>
      <c r="BS24" s="5338"/>
      <c r="BT24" s="5338"/>
      <c r="BU24" s="5338"/>
      <c r="BV24" s="5339"/>
      <c r="BW24" s="1216"/>
      <c r="BX24" s="1210"/>
      <c r="BY24" s="1210"/>
      <c r="BZ24" s="2272"/>
      <c r="CA24" s="5335" t="s">
        <v>4707</v>
      </c>
      <c r="CB24" s="5336"/>
      <c r="CC24" s="1239" t="e">
        <f>IF(CA19=0,"",VLOOKUP(CA19,'Tablas Magia'!$D$6:$Z$680,10,FALSE))</f>
        <v>#N/A</v>
      </c>
      <c r="CD24" s="1239" t="e">
        <f>IF(CA19=0,"",VLOOKUP(CA19,'Tablas Magia'!$D$6:$Z$680,14,FALSE))</f>
        <v>#N/A</v>
      </c>
      <c r="CE24" s="1240" t="e">
        <f>IF(CA19=0,"",VLOOKUP(CA19,'Tablas Magia'!$D$6:$Z$680,18,FALSE))</f>
        <v>#N/A</v>
      </c>
      <c r="CF24" s="5337" t="e">
        <f>IF(CA19=0,"",VLOOKUP(CA19,'Tablas Magia'!$D$6:$Z$680,22,FALSE))</f>
        <v>#N/A</v>
      </c>
      <c r="CG24" s="5338"/>
      <c r="CH24" s="5338"/>
      <c r="CI24" s="5338"/>
      <c r="CJ24" s="5338"/>
      <c r="CK24" s="5338"/>
      <c r="CL24" s="5338"/>
      <c r="CM24" s="5338"/>
      <c r="CN24" s="5338"/>
      <c r="CO24" s="5339"/>
      <c r="CP24" s="1216"/>
      <c r="CQ24" s="1210"/>
    </row>
    <row r="25" spans="1:95" ht="12" customHeight="1" x14ac:dyDescent="0.2">
      <c r="A25" s="1210"/>
      <c r="B25" s="2258"/>
      <c r="C25" s="5340" t="e">
        <f>IF(C19=0,"",VLOOKUP(C19,'Tablas Magia'!$D$6:$Z$680,23,FALSE))</f>
        <v>#N/A</v>
      </c>
      <c r="D25" s="5341"/>
      <c r="E25" s="5341"/>
      <c r="F25" s="5341"/>
      <c r="G25" s="5341"/>
      <c r="H25" s="5341"/>
      <c r="I25" s="5341"/>
      <c r="J25" s="5341"/>
      <c r="K25" s="5341"/>
      <c r="L25" s="5341"/>
      <c r="M25" s="5341"/>
      <c r="N25" s="5341"/>
      <c r="O25" s="5341"/>
      <c r="P25" s="5341"/>
      <c r="Q25" s="5342"/>
      <c r="R25" s="1216"/>
      <c r="S25" s="1210"/>
      <c r="T25" s="1210"/>
      <c r="U25" s="2258"/>
      <c r="V25" s="5340" t="e">
        <f>IF(V19=0,"",VLOOKUP(V19,'Tablas Magia'!$D$6:$Z$680,23,FALSE))</f>
        <v>#N/A</v>
      </c>
      <c r="W25" s="5341"/>
      <c r="X25" s="5341"/>
      <c r="Y25" s="5341"/>
      <c r="Z25" s="5341"/>
      <c r="AA25" s="5341"/>
      <c r="AB25" s="5341"/>
      <c r="AC25" s="5341"/>
      <c r="AD25" s="5341"/>
      <c r="AE25" s="5341"/>
      <c r="AF25" s="5341"/>
      <c r="AG25" s="5341"/>
      <c r="AH25" s="5341"/>
      <c r="AI25" s="5341"/>
      <c r="AJ25" s="5342"/>
      <c r="AK25" s="1216"/>
      <c r="AL25" s="1210"/>
      <c r="AM25" s="1210"/>
      <c r="AN25" s="2272"/>
      <c r="AO25" s="5340" t="e">
        <f>IF(AO19=0,"",VLOOKUP(AO19,'Tablas Magia'!$D$6:$Z$680,23,FALSE))</f>
        <v>#N/A</v>
      </c>
      <c r="AP25" s="5341"/>
      <c r="AQ25" s="5341"/>
      <c r="AR25" s="5341"/>
      <c r="AS25" s="5341"/>
      <c r="AT25" s="5341"/>
      <c r="AU25" s="5341"/>
      <c r="AV25" s="5341"/>
      <c r="AW25" s="5341"/>
      <c r="AX25" s="5341"/>
      <c r="AY25" s="5341"/>
      <c r="AZ25" s="5341"/>
      <c r="BA25" s="5341"/>
      <c r="BB25" s="5341"/>
      <c r="BC25" s="5342"/>
      <c r="BD25" s="1216"/>
      <c r="BE25" s="1210"/>
      <c r="BF25" s="1210"/>
      <c r="BG25" s="2272"/>
      <c r="BH25" s="5340" t="e">
        <f>IF(BH19=0,"",VLOOKUP(BH19,'Tablas Magia'!$D$6:$Z$680,23,FALSE))</f>
        <v>#N/A</v>
      </c>
      <c r="BI25" s="5341"/>
      <c r="BJ25" s="5341"/>
      <c r="BK25" s="5341"/>
      <c r="BL25" s="5341"/>
      <c r="BM25" s="5341"/>
      <c r="BN25" s="5341"/>
      <c r="BO25" s="5341"/>
      <c r="BP25" s="5341"/>
      <c r="BQ25" s="5341"/>
      <c r="BR25" s="5341"/>
      <c r="BS25" s="5341"/>
      <c r="BT25" s="5341"/>
      <c r="BU25" s="5341"/>
      <c r="BV25" s="5342"/>
      <c r="BW25" s="1216"/>
      <c r="BX25" s="1210"/>
      <c r="BY25" s="1210"/>
      <c r="BZ25" s="2272"/>
      <c r="CA25" s="5340" t="e">
        <f>IF(CA19=0,"",VLOOKUP(CA19,'Tablas Magia'!$D$6:$Z$680,23,FALSE))</f>
        <v>#N/A</v>
      </c>
      <c r="CB25" s="5341"/>
      <c r="CC25" s="5341"/>
      <c r="CD25" s="5341"/>
      <c r="CE25" s="5341"/>
      <c r="CF25" s="5341"/>
      <c r="CG25" s="5341"/>
      <c r="CH25" s="5341"/>
      <c r="CI25" s="5341"/>
      <c r="CJ25" s="5341"/>
      <c r="CK25" s="5341"/>
      <c r="CL25" s="5341"/>
      <c r="CM25" s="5341"/>
      <c r="CN25" s="5341"/>
      <c r="CO25" s="5342"/>
      <c r="CP25" s="1216"/>
      <c r="CQ25" s="1210"/>
    </row>
    <row r="26" spans="1:95" ht="12" customHeight="1" x14ac:dyDescent="0.2">
      <c r="A26" s="1210"/>
      <c r="B26" s="2258"/>
      <c r="C26" s="5343"/>
      <c r="D26" s="5344"/>
      <c r="E26" s="5344"/>
      <c r="F26" s="5344"/>
      <c r="G26" s="5344"/>
      <c r="H26" s="5344"/>
      <c r="I26" s="5344"/>
      <c r="J26" s="5344"/>
      <c r="K26" s="5344"/>
      <c r="L26" s="5344"/>
      <c r="M26" s="5344"/>
      <c r="N26" s="5344"/>
      <c r="O26" s="5344"/>
      <c r="P26" s="5344"/>
      <c r="Q26" s="5345"/>
      <c r="R26" s="1216"/>
      <c r="S26" s="1210"/>
      <c r="T26" s="1210"/>
      <c r="U26" s="2258"/>
      <c r="V26" s="5343"/>
      <c r="W26" s="5344"/>
      <c r="X26" s="5344"/>
      <c r="Y26" s="5344"/>
      <c r="Z26" s="5344"/>
      <c r="AA26" s="5344"/>
      <c r="AB26" s="5344"/>
      <c r="AC26" s="5344"/>
      <c r="AD26" s="5344"/>
      <c r="AE26" s="5344"/>
      <c r="AF26" s="5344"/>
      <c r="AG26" s="5344"/>
      <c r="AH26" s="5344"/>
      <c r="AI26" s="5344"/>
      <c r="AJ26" s="5345"/>
      <c r="AK26" s="1216"/>
      <c r="AL26" s="1210"/>
      <c r="AM26" s="1210"/>
      <c r="AN26" s="2272"/>
      <c r="AO26" s="5343"/>
      <c r="AP26" s="5344"/>
      <c r="AQ26" s="5344"/>
      <c r="AR26" s="5344"/>
      <c r="AS26" s="5344"/>
      <c r="AT26" s="5344"/>
      <c r="AU26" s="5344"/>
      <c r="AV26" s="5344"/>
      <c r="AW26" s="5344"/>
      <c r="AX26" s="5344"/>
      <c r="AY26" s="5344"/>
      <c r="AZ26" s="5344"/>
      <c r="BA26" s="5344"/>
      <c r="BB26" s="5344"/>
      <c r="BC26" s="5345"/>
      <c r="BD26" s="1216"/>
      <c r="BE26" s="1210"/>
      <c r="BF26" s="1210"/>
      <c r="BG26" s="2272"/>
      <c r="BH26" s="5343"/>
      <c r="BI26" s="5344"/>
      <c r="BJ26" s="5344"/>
      <c r="BK26" s="5344"/>
      <c r="BL26" s="5344"/>
      <c r="BM26" s="5344"/>
      <c r="BN26" s="5344"/>
      <c r="BO26" s="5344"/>
      <c r="BP26" s="5344"/>
      <c r="BQ26" s="5344"/>
      <c r="BR26" s="5344"/>
      <c r="BS26" s="5344"/>
      <c r="BT26" s="5344"/>
      <c r="BU26" s="5344"/>
      <c r="BV26" s="5345"/>
      <c r="BW26" s="1216"/>
      <c r="BX26" s="1210"/>
      <c r="BY26" s="1210"/>
      <c r="BZ26" s="2272"/>
      <c r="CA26" s="5343"/>
      <c r="CB26" s="5344"/>
      <c r="CC26" s="5344"/>
      <c r="CD26" s="5344"/>
      <c r="CE26" s="5344"/>
      <c r="CF26" s="5344"/>
      <c r="CG26" s="5344"/>
      <c r="CH26" s="5344"/>
      <c r="CI26" s="5344"/>
      <c r="CJ26" s="5344"/>
      <c r="CK26" s="5344"/>
      <c r="CL26" s="5344"/>
      <c r="CM26" s="5344"/>
      <c r="CN26" s="5344"/>
      <c r="CO26" s="5345"/>
      <c r="CP26" s="1216"/>
      <c r="CQ26" s="1210"/>
    </row>
    <row r="27" spans="1:95" ht="12" customHeight="1" x14ac:dyDescent="0.2">
      <c r="A27" s="1210"/>
      <c r="B27" s="2258"/>
      <c r="C27" s="5343"/>
      <c r="D27" s="5344"/>
      <c r="E27" s="5344"/>
      <c r="F27" s="5344"/>
      <c r="G27" s="5344"/>
      <c r="H27" s="5344"/>
      <c r="I27" s="5344"/>
      <c r="J27" s="5344"/>
      <c r="K27" s="5344"/>
      <c r="L27" s="5344"/>
      <c r="M27" s="5344"/>
      <c r="N27" s="5344"/>
      <c r="O27" s="5344"/>
      <c r="P27" s="5344"/>
      <c r="Q27" s="5345"/>
      <c r="R27" s="1216"/>
      <c r="S27" s="1210"/>
      <c r="T27" s="1210"/>
      <c r="U27" s="2258"/>
      <c r="V27" s="5343"/>
      <c r="W27" s="5344"/>
      <c r="X27" s="5344"/>
      <c r="Y27" s="5344"/>
      <c r="Z27" s="5344"/>
      <c r="AA27" s="5344"/>
      <c r="AB27" s="5344"/>
      <c r="AC27" s="5344"/>
      <c r="AD27" s="5344"/>
      <c r="AE27" s="5344"/>
      <c r="AF27" s="5344"/>
      <c r="AG27" s="5344"/>
      <c r="AH27" s="5344"/>
      <c r="AI27" s="5344"/>
      <c r="AJ27" s="5345"/>
      <c r="AK27" s="1216"/>
      <c r="AL27" s="1210"/>
      <c r="AM27" s="1210"/>
      <c r="AN27" s="2272"/>
      <c r="AO27" s="5343"/>
      <c r="AP27" s="5344"/>
      <c r="AQ27" s="5344"/>
      <c r="AR27" s="5344"/>
      <c r="AS27" s="5344"/>
      <c r="AT27" s="5344"/>
      <c r="AU27" s="5344"/>
      <c r="AV27" s="5344"/>
      <c r="AW27" s="5344"/>
      <c r="AX27" s="5344"/>
      <c r="AY27" s="5344"/>
      <c r="AZ27" s="5344"/>
      <c r="BA27" s="5344"/>
      <c r="BB27" s="5344"/>
      <c r="BC27" s="5345"/>
      <c r="BD27" s="1216"/>
      <c r="BE27" s="1210"/>
      <c r="BF27" s="1210"/>
      <c r="BG27" s="2272"/>
      <c r="BH27" s="5343"/>
      <c r="BI27" s="5344"/>
      <c r="BJ27" s="5344"/>
      <c r="BK27" s="5344"/>
      <c r="BL27" s="5344"/>
      <c r="BM27" s="5344"/>
      <c r="BN27" s="5344"/>
      <c r="BO27" s="5344"/>
      <c r="BP27" s="5344"/>
      <c r="BQ27" s="5344"/>
      <c r="BR27" s="5344"/>
      <c r="BS27" s="5344"/>
      <c r="BT27" s="5344"/>
      <c r="BU27" s="5344"/>
      <c r="BV27" s="5345"/>
      <c r="BW27" s="1216"/>
      <c r="BX27" s="1210"/>
      <c r="BY27" s="1210"/>
      <c r="BZ27" s="2272"/>
      <c r="CA27" s="5343"/>
      <c r="CB27" s="5344"/>
      <c r="CC27" s="5344"/>
      <c r="CD27" s="5344"/>
      <c r="CE27" s="5344"/>
      <c r="CF27" s="5344"/>
      <c r="CG27" s="5344"/>
      <c r="CH27" s="5344"/>
      <c r="CI27" s="5344"/>
      <c r="CJ27" s="5344"/>
      <c r="CK27" s="5344"/>
      <c r="CL27" s="5344"/>
      <c r="CM27" s="5344"/>
      <c r="CN27" s="5344"/>
      <c r="CO27" s="5345"/>
      <c r="CP27" s="1216"/>
      <c r="CQ27" s="1210"/>
    </row>
    <row r="28" spans="1:95" ht="12" customHeight="1" thickBot="1" x14ac:dyDescent="0.25">
      <c r="A28" s="1210"/>
      <c r="B28" s="2258"/>
      <c r="C28" s="5346"/>
      <c r="D28" s="5347"/>
      <c r="E28" s="5347"/>
      <c r="F28" s="5347"/>
      <c r="G28" s="5347"/>
      <c r="H28" s="5347"/>
      <c r="I28" s="5347"/>
      <c r="J28" s="5347"/>
      <c r="K28" s="5347"/>
      <c r="L28" s="5347"/>
      <c r="M28" s="5347"/>
      <c r="N28" s="5347"/>
      <c r="O28" s="5347"/>
      <c r="P28" s="5347"/>
      <c r="Q28" s="5348"/>
      <c r="R28" s="1216"/>
      <c r="S28" s="1210"/>
      <c r="T28" s="1210"/>
      <c r="U28" s="2258"/>
      <c r="V28" s="5346"/>
      <c r="W28" s="5347"/>
      <c r="X28" s="5347"/>
      <c r="Y28" s="5347"/>
      <c r="Z28" s="5347"/>
      <c r="AA28" s="5347"/>
      <c r="AB28" s="5347"/>
      <c r="AC28" s="5347"/>
      <c r="AD28" s="5347"/>
      <c r="AE28" s="5347"/>
      <c r="AF28" s="5347"/>
      <c r="AG28" s="5347"/>
      <c r="AH28" s="5347"/>
      <c r="AI28" s="5347"/>
      <c r="AJ28" s="5348"/>
      <c r="AK28" s="1216"/>
      <c r="AL28" s="1210"/>
      <c r="AM28" s="1210"/>
      <c r="AN28" s="2272"/>
      <c r="AO28" s="5346"/>
      <c r="AP28" s="5347"/>
      <c r="AQ28" s="5347"/>
      <c r="AR28" s="5347"/>
      <c r="AS28" s="5347"/>
      <c r="AT28" s="5347"/>
      <c r="AU28" s="5347"/>
      <c r="AV28" s="5347"/>
      <c r="AW28" s="5347"/>
      <c r="AX28" s="5347"/>
      <c r="AY28" s="5347"/>
      <c r="AZ28" s="5347"/>
      <c r="BA28" s="5347"/>
      <c r="BB28" s="5347"/>
      <c r="BC28" s="5348"/>
      <c r="BD28" s="1216"/>
      <c r="BE28" s="1210"/>
      <c r="BF28" s="1210"/>
      <c r="BG28" s="2272"/>
      <c r="BH28" s="5346"/>
      <c r="BI28" s="5347"/>
      <c r="BJ28" s="5347"/>
      <c r="BK28" s="5347"/>
      <c r="BL28" s="5347"/>
      <c r="BM28" s="5347"/>
      <c r="BN28" s="5347"/>
      <c r="BO28" s="5347"/>
      <c r="BP28" s="5347"/>
      <c r="BQ28" s="5347"/>
      <c r="BR28" s="5347"/>
      <c r="BS28" s="5347"/>
      <c r="BT28" s="5347"/>
      <c r="BU28" s="5347"/>
      <c r="BV28" s="5348"/>
      <c r="BW28" s="1216"/>
      <c r="BX28" s="1210"/>
      <c r="BY28" s="1210"/>
      <c r="BZ28" s="2272"/>
      <c r="CA28" s="5346"/>
      <c r="CB28" s="5347"/>
      <c r="CC28" s="5347"/>
      <c r="CD28" s="5347"/>
      <c r="CE28" s="5347"/>
      <c r="CF28" s="5347"/>
      <c r="CG28" s="5347"/>
      <c r="CH28" s="5347"/>
      <c r="CI28" s="5347"/>
      <c r="CJ28" s="5347"/>
      <c r="CK28" s="5347"/>
      <c r="CL28" s="5347"/>
      <c r="CM28" s="5347"/>
      <c r="CN28" s="5347"/>
      <c r="CO28" s="5348"/>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49"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0"/>
      <c r="E30" s="5350"/>
      <c r="F30" s="5350"/>
      <c r="G30" s="5350"/>
      <c r="H30" s="1230" t="s">
        <v>1630</v>
      </c>
      <c r="I30" s="1231">
        <f>IF(C30=0,"",VLOOKUP(C30,'Tablas Magia'!$D$6:$Z$680,3,FALSE))</f>
        <v>6</v>
      </c>
      <c r="J30" s="5315" t="s">
        <v>8162</v>
      </c>
      <c r="K30" s="5315"/>
      <c r="L30" s="5315"/>
      <c r="M30" s="5316" t="str">
        <f>IF(C30=0,"",VLOOKUP(C30,'Tablas Magia'!$D$6:$Z$680,2,FALSE))</f>
        <v>Fuego</v>
      </c>
      <c r="N30" s="5316"/>
      <c r="O30" s="5316"/>
      <c r="P30" s="5316"/>
      <c r="Q30" s="5317"/>
      <c r="R30" s="1216"/>
      <c r="S30" s="1210"/>
      <c r="T30" s="1210"/>
      <c r="U30" s="2258">
        <f>U19+2</f>
        <v>26</v>
      </c>
      <c r="V30" s="5349"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0"/>
      <c r="X30" s="5350"/>
      <c r="Y30" s="5350"/>
      <c r="Z30" s="5350"/>
      <c r="AA30" s="1230" t="s">
        <v>1630</v>
      </c>
      <c r="AB30" s="1231">
        <f>IF(V30=0,"",VLOOKUP(V30,'Tablas Magia'!$D$6:$Z$680,3,FALSE))</f>
        <v>26</v>
      </c>
      <c r="AC30" s="5315" t="s">
        <v>8162</v>
      </c>
      <c r="AD30" s="5315"/>
      <c r="AE30" s="5315"/>
      <c r="AF30" s="5316" t="str">
        <f>IF(V30=0,"",VLOOKUP(V30,'Tablas Magia'!$D$6:$Z$680,2,FALSE))</f>
        <v>Fuego</v>
      </c>
      <c r="AG30" s="5316"/>
      <c r="AH30" s="5316"/>
      <c r="AI30" s="5316"/>
      <c r="AJ30" s="5317"/>
      <c r="AK30" s="1216"/>
      <c r="AL30" s="1210"/>
      <c r="AM30" s="1210"/>
      <c r="AN30" s="2272">
        <f>AN19+2</f>
        <v>46</v>
      </c>
      <c r="AO30" s="5349"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0"/>
      <c r="AQ30" s="5350"/>
      <c r="AR30" s="5350"/>
      <c r="AS30" s="5350"/>
      <c r="AT30" s="1230" t="s">
        <v>1630</v>
      </c>
      <c r="AU30" s="1231">
        <f>IF(AO30=0,"",VLOOKUP(AO30,'Tablas Magia'!$D$6:$Z$680,3,FALSE))</f>
        <v>46</v>
      </c>
      <c r="AV30" s="5315" t="s">
        <v>8162</v>
      </c>
      <c r="AW30" s="5315"/>
      <c r="AX30" s="5315"/>
      <c r="AY30" s="5316" t="str">
        <f>IF(AO30=0,"",VLOOKUP(AO30,'Tablas Magia'!$D$6:$Z$680,2,FALSE))</f>
        <v>Fuego</v>
      </c>
      <c r="AZ30" s="5316"/>
      <c r="BA30" s="5316"/>
      <c r="BB30" s="5316"/>
      <c r="BC30" s="5317"/>
      <c r="BD30" s="1216"/>
      <c r="BE30" s="1210"/>
      <c r="BF30" s="1210"/>
      <c r="BG30" s="2272">
        <f>BG19+2</f>
        <v>66</v>
      </c>
      <c r="BH30" s="5349"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0"/>
      <c r="BJ30" s="5350"/>
      <c r="BK30" s="5350"/>
      <c r="BL30" s="5350"/>
      <c r="BM30" s="1230" t="s">
        <v>1630</v>
      </c>
      <c r="BN30" s="1231">
        <f>IF(BH30=0,"",VLOOKUP(BH30,'Tablas Magia'!$D$6:$Z$680,3,FALSE))</f>
        <v>66</v>
      </c>
      <c r="BO30" s="5315" t="s">
        <v>8162</v>
      </c>
      <c r="BP30" s="5315"/>
      <c r="BQ30" s="5315"/>
      <c r="BR30" s="5316" t="str">
        <f>IF(BH30=0,"",VLOOKUP(BH30,'Tablas Magia'!$D$6:$Z$680,2,FALSE))</f>
        <v>Fuego</v>
      </c>
      <c r="BS30" s="5316"/>
      <c r="BT30" s="5316"/>
      <c r="BU30" s="5316"/>
      <c r="BV30" s="5317"/>
      <c r="BW30" s="1216"/>
      <c r="BX30" s="1210"/>
      <c r="BY30" s="1210"/>
      <c r="BZ30" s="2272">
        <f>BZ19+2</f>
        <v>86</v>
      </c>
      <c r="CA30" s="5349"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0"/>
      <c r="CC30" s="5350"/>
      <c r="CD30" s="5350"/>
      <c r="CE30" s="5350"/>
      <c r="CF30" s="1230" t="s">
        <v>1630</v>
      </c>
      <c r="CG30" s="1231">
        <f>IF(CA30=0,"",VLOOKUP(CA30,'Tablas Magia'!$D$6:$Z$680,3,FALSE))</f>
        <v>86</v>
      </c>
      <c r="CH30" s="5315" t="s">
        <v>8162</v>
      </c>
      <c r="CI30" s="5315"/>
      <c r="CJ30" s="5315"/>
      <c r="CK30" s="5316" t="str">
        <f>IF(CA30=0,"",VLOOKUP(CA30,'Tablas Magia'!$D$6:$Z$680,2,FALSE))</f>
        <v>Fuego</v>
      </c>
      <c r="CL30" s="5316"/>
      <c r="CM30" s="5316"/>
      <c r="CN30" s="5316"/>
      <c r="CO30" s="5317"/>
      <c r="CP30" s="1216"/>
      <c r="CQ30" s="1210"/>
    </row>
    <row r="31" spans="1:95" ht="12" customHeight="1" x14ac:dyDescent="0.2">
      <c r="A31" s="1210"/>
      <c r="B31" s="2258"/>
      <c r="C31" s="5333" t="s">
        <v>8163</v>
      </c>
      <c r="D31" s="5334"/>
      <c r="E31" s="1232" t="s">
        <v>8164</v>
      </c>
      <c r="F31" s="1232" t="s">
        <v>1824</v>
      </c>
      <c r="G31" s="1232" t="s">
        <v>3467</v>
      </c>
      <c r="H31" s="1233" t="s">
        <v>2175</v>
      </c>
      <c r="I31" s="5330" t="str">
        <f>IF(C30=0,"",VLOOKUP(C30,'Tablas Magia'!$D$6:$Z$680,5,FALSE))</f>
        <v>Efecto</v>
      </c>
      <c r="J31" s="5330"/>
      <c r="K31" s="5331" t="s">
        <v>8165</v>
      </c>
      <c r="L31" s="5331"/>
      <c r="M31" s="5330" t="str">
        <f>IF(C30=0,"",VLOOKUP(C30,'Tablas Magia'!$D$6:$Z$680,6,FALSE))</f>
        <v>Activa</v>
      </c>
      <c r="N31" s="5330"/>
      <c r="O31" s="5332" t="s">
        <v>8166</v>
      </c>
      <c r="P31" s="5332"/>
      <c r="Q31" s="1234" t="str">
        <f>IF(C30=0,"",VLOOKUP(C30,'Tablas Magia'!$D$6:$Z$680,4,FALSE))</f>
        <v>No</v>
      </c>
      <c r="R31" s="1216"/>
      <c r="S31" s="1210"/>
      <c r="T31" s="1210"/>
      <c r="U31" s="2258"/>
      <c r="V31" s="5333" t="s">
        <v>8163</v>
      </c>
      <c r="W31" s="5334"/>
      <c r="X31" s="1232" t="s">
        <v>8164</v>
      </c>
      <c r="Y31" s="1232" t="s">
        <v>1824</v>
      </c>
      <c r="Z31" s="1232" t="s">
        <v>3467</v>
      </c>
      <c r="AA31" s="1233" t="s">
        <v>2175</v>
      </c>
      <c r="AB31" s="5330" t="str">
        <f>IF(V30=0,"",VLOOKUP(V30,'Tablas Magia'!$D$6:$Z$680,5,FALSE))</f>
        <v>Efecto</v>
      </c>
      <c r="AC31" s="5330"/>
      <c r="AD31" s="5331" t="s">
        <v>8165</v>
      </c>
      <c r="AE31" s="5331"/>
      <c r="AF31" s="5330" t="str">
        <f>IF(V30=0,"",VLOOKUP(V30,'Tablas Magia'!$D$6:$Z$680,6,FALSE))</f>
        <v>Activa</v>
      </c>
      <c r="AG31" s="5330"/>
      <c r="AH31" s="5332" t="s">
        <v>8166</v>
      </c>
      <c r="AI31" s="5332"/>
      <c r="AJ31" s="1234" t="str">
        <f>IF(V30=0,"",VLOOKUP(V30,'Tablas Magia'!$D$6:$Z$680,4,FALSE))</f>
        <v>No</v>
      </c>
      <c r="AK31" s="1216"/>
      <c r="AL31" s="1210"/>
      <c r="AM31" s="1210"/>
      <c r="AN31" s="2272"/>
      <c r="AO31" s="5333" t="s">
        <v>8163</v>
      </c>
      <c r="AP31" s="5334"/>
      <c r="AQ31" s="1232" t="s">
        <v>8164</v>
      </c>
      <c r="AR31" s="1232" t="s">
        <v>1824</v>
      </c>
      <c r="AS31" s="1232" t="s">
        <v>3467</v>
      </c>
      <c r="AT31" s="1233" t="s">
        <v>2175</v>
      </c>
      <c r="AU31" s="5330" t="str">
        <f>IF(AO30=0,"",VLOOKUP(AO30,'Tablas Magia'!$D$6:$Z$680,5,FALSE))</f>
        <v>Efecto</v>
      </c>
      <c r="AV31" s="5330"/>
      <c r="AW31" s="5331" t="s">
        <v>8165</v>
      </c>
      <c r="AX31" s="5331"/>
      <c r="AY31" s="5330" t="str">
        <f>IF(AO30=0,"",VLOOKUP(AO30,'Tablas Magia'!$D$6:$Z$680,6,FALSE))</f>
        <v>Activa</v>
      </c>
      <c r="AZ31" s="5330"/>
      <c r="BA31" s="5332" t="s">
        <v>8166</v>
      </c>
      <c r="BB31" s="5332"/>
      <c r="BC31" s="1234" t="str">
        <f>IF(AO30=0,"",VLOOKUP(AO30,'Tablas Magia'!$D$6:$Z$680,4,FALSE))</f>
        <v>No</v>
      </c>
      <c r="BD31" s="1216"/>
      <c r="BE31" s="1210"/>
      <c r="BF31" s="1210"/>
      <c r="BG31" s="2272"/>
      <c r="BH31" s="5333" t="s">
        <v>8163</v>
      </c>
      <c r="BI31" s="5334"/>
      <c r="BJ31" s="1232" t="s">
        <v>8164</v>
      </c>
      <c r="BK31" s="1232" t="s">
        <v>1824</v>
      </c>
      <c r="BL31" s="1232" t="s">
        <v>3467</v>
      </c>
      <c r="BM31" s="1233" t="s">
        <v>2175</v>
      </c>
      <c r="BN31" s="5330" t="str">
        <f>IF(BH30=0,"",VLOOKUP(BH30,'Tablas Magia'!$D$6:$Z$680,5,FALSE))</f>
        <v>Efecto</v>
      </c>
      <c r="BO31" s="5330"/>
      <c r="BP31" s="5331" t="s">
        <v>8165</v>
      </c>
      <c r="BQ31" s="5331"/>
      <c r="BR31" s="5330" t="str">
        <f>IF(BH30=0,"",VLOOKUP(BH30,'Tablas Magia'!$D$6:$Z$680,6,FALSE))</f>
        <v>Activa</v>
      </c>
      <c r="BS31" s="5330"/>
      <c r="BT31" s="5332" t="s">
        <v>8166</v>
      </c>
      <c r="BU31" s="5332"/>
      <c r="BV31" s="1234" t="str">
        <f>IF(BH30=0,"",VLOOKUP(BH30,'Tablas Magia'!$D$6:$Z$680,4,FALSE))</f>
        <v>Si</v>
      </c>
      <c r="BW31" s="1216"/>
      <c r="BX31" s="1210"/>
      <c r="BY31" s="1210"/>
      <c r="BZ31" s="2272"/>
      <c r="CA31" s="5333" t="s">
        <v>8163</v>
      </c>
      <c r="CB31" s="5334"/>
      <c r="CC31" s="1232" t="s">
        <v>8164</v>
      </c>
      <c r="CD31" s="1232" t="s">
        <v>1824</v>
      </c>
      <c r="CE31" s="1232" t="s">
        <v>3467</v>
      </c>
      <c r="CF31" s="1233" t="s">
        <v>2175</v>
      </c>
      <c r="CG31" s="5330" t="str">
        <f>IF(CA30=0,"",VLOOKUP(CA30,'Tablas Magia'!$D$6:$Z$680,5,FALSE))</f>
        <v>Efecto</v>
      </c>
      <c r="CH31" s="5330"/>
      <c r="CI31" s="5331" t="s">
        <v>8165</v>
      </c>
      <c r="CJ31" s="5331"/>
      <c r="CK31" s="5330" t="str">
        <f>IF(CA30=0,"",VLOOKUP(CA30,'Tablas Magia'!$D$6:$Z$680,6,FALSE))</f>
        <v>Activa</v>
      </c>
      <c r="CL31" s="5330"/>
      <c r="CM31" s="5332" t="s">
        <v>8166</v>
      </c>
      <c r="CN31" s="5332"/>
      <c r="CO31" s="1234" t="str">
        <f>IF(CA30=0,"",VLOOKUP(CA30,'Tablas Magia'!$D$6:$Z$680,4,FALSE))</f>
        <v>Si</v>
      </c>
      <c r="CP31" s="1216"/>
      <c r="CQ31" s="1210"/>
    </row>
    <row r="32" spans="1:95" ht="12" customHeight="1" x14ac:dyDescent="0.2">
      <c r="A32" s="1210"/>
      <c r="B32" s="2258"/>
      <c r="C32" s="5325" t="s">
        <v>1677</v>
      </c>
      <c r="D32" s="5326"/>
      <c r="E32" s="1235">
        <f>IF(C30=0,"",VLOOKUP(C30,'Tablas Magia'!$D$6:$Z$680,7,FALSE))</f>
        <v>5</v>
      </c>
      <c r="F32" s="1235">
        <f>IF(C30=0,"",VLOOKUP(C30,'Tablas Magia'!$D$6:$Z$680,11,FALSE))</f>
        <v>30</v>
      </c>
      <c r="G32" s="1236" t="str">
        <f>IF(C30=0,"",VLOOKUP(C30,'Tablas Magia'!$D$6:$Z$680,15,FALSE))</f>
        <v>No</v>
      </c>
      <c r="H32" s="5327" t="str">
        <f>IF(C30=0,"",VLOOKUP(C30,'Tablas Magia'!$D$6:$Z$680,19,FALSE))</f>
        <v>-1 intesidad de fuego</v>
      </c>
      <c r="I32" s="5328"/>
      <c r="J32" s="5328"/>
      <c r="K32" s="5328"/>
      <c r="L32" s="5328"/>
      <c r="M32" s="5328"/>
      <c r="N32" s="5328"/>
      <c r="O32" s="5328"/>
      <c r="P32" s="5328"/>
      <c r="Q32" s="5329"/>
      <c r="R32" s="1216"/>
      <c r="S32" s="1210"/>
      <c r="T32" s="1210"/>
      <c r="U32" s="2258"/>
      <c r="V32" s="5325" t="s">
        <v>1677</v>
      </c>
      <c r="W32" s="5326"/>
      <c r="X32" s="1235">
        <f>IF(V30=0,"",VLOOKUP(V30,'Tablas Magia'!$D$6:$Z$680,7,FALSE))</f>
        <v>6</v>
      </c>
      <c r="Y32" s="1235">
        <f>IF(V30=0,"",VLOOKUP(V30,'Tablas Magia'!$D$6:$Z$680,11,FALSE))</f>
        <v>50</v>
      </c>
      <c r="Z32" s="1236">
        <f>IF(V30=0,"",VLOOKUP(V30,'Tablas Magia'!$D$6:$Z$680,15,FALSE))</f>
        <v>5</v>
      </c>
      <c r="AA32" s="5327" t="str">
        <f>IF(V30=0,"",VLOOKUP(V30,'Tablas Magia'!$D$6:$Z$680,19,FALSE))</f>
        <v>+10 daño base</v>
      </c>
      <c r="AB32" s="5328"/>
      <c r="AC32" s="5328"/>
      <c r="AD32" s="5328"/>
      <c r="AE32" s="5328"/>
      <c r="AF32" s="5328"/>
      <c r="AG32" s="5328"/>
      <c r="AH32" s="5328"/>
      <c r="AI32" s="5328"/>
      <c r="AJ32" s="5329"/>
      <c r="AK32" s="1216"/>
      <c r="AL32" s="1210"/>
      <c r="AM32" s="1210"/>
      <c r="AN32" s="2272"/>
      <c r="AO32" s="5325" t="s">
        <v>1677</v>
      </c>
      <c r="AP32" s="5326"/>
      <c r="AQ32" s="1235">
        <f>IF(AO30=0,"",VLOOKUP(AO30,'Tablas Magia'!$D$6:$Z$680,7,FALSE))</f>
        <v>8</v>
      </c>
      <c r="AR32" s="1235">
        <f>IF(AO30=0,"",VLOOKUP(AO30,'Tablas Magia'!$D$6:$Z$680,11,FALSE))</f>
        <v>80</v>
      </c>
      <c r="AS32" s="1236" t="str">
        <f>IF(AO30=0,"",VLOOKUP(AO30,'Tablas Magia'!$D$6:$Z$680,15,FALSE))</f>
        <v>No</v>
      </c>
      <c r="AT32" s="5327" t="str">
        <f>IF(AO30=0,"",VLOOKUP(AO30,'Tablas Magia'!$D$6:$Z$680,19,FALSE))</f>
        <v>5 metros de radio/ RM o RF 100</v>
      </c>
      <c r="AU32" s="5328"/>
      <c r="AV32" s="5328"/>
      <c r="AW32" s="5328"/>
      <c r="AX32" s="5328"/>
      <c r="AY32" s="5328"/>
      <c r="AZ32" s="5328"/>
      <c r="BA32" s="5328"/>
      <c r="BB32" s="5328"/>
      <c r="BC32" s="5329"/>
      <c r="BD32" s="1216"/>
      <c r="BE32" s="1210"/>
      <c r="BF32" s="1210"/>
      <c r="BG32" s="2272"/>
      <c r="BH32" s="5325" t="s">
        <v>1677</v>
      </c>
      <c r="BI32" s="5326"/>
      <c r="BJ32" s="1235">
        <f>IF(BH30=0,"",VLOOKUP(BH30,'Tablas Magia'!$D$6:$Z$680,7,FALSE))</f>
        <v>7</v>
      </c>
      <c r="BK32" s="1235">
        <f>IF(BH30=0,"",VLOOKUP(BH30,'Tablas Magia'!$D$6:$Z$680,11,FALSE))</f>
        <v>120</v>
      </c>
      <c r="BL32" s="1236">
        <f>IF(BH30=0,"",VLOOKUP(BH30,'Tablas Magia'!$D$6:$Z$680,15,FALSE))</f>
        <v>10</v>
      </c>
      <c r="BM32" s="5327" t="str">
        <f>IF(BH30=0,"",VLOOKUP(BH30,'Tablas Magia'!$D$6:$Z$680,19,FALSE))</f>
        <v>20 puntos de Zeon por asalto</v>
      </c>
      <c r="BN32" s="5328"/>
      <c r="BO32" s="5328"/>
      <c r="BP32" s="5328"/>
      <c r="BQ32" s="5328"/>
      <c r="BR32" s="5328"/>
      <c r="BS32" s="5328"/>
      <c r="BT32" s="5328"/>
      <c r="BU32" s="5328"/>
      <c r="BV32" s="5329"/>
      <c r="BW32" s="1216"/>
      <c r="BX32" s="1210"/>
      <c r="BY32" s="1210"/>
      <c r="BZ32" s="2272"/>
      <c r="CA32" s="5325" t="s">
        <v>1677</v>
      </c>
      <c r="CB32" s="5326"/>
      <c r="CC32" s="1235">
        <f>IF(CA30=0,"",VLOOKUP(CA30,'Tablas Magia'!$D$6:$Z$680,7,FALSE))</f>
        <v>10</v>
      </c>
      <c r="CD32" s="1235">
        <f>IF(CA30=0,"",VLOOKUP(CA30,'Tablas Magia'!$D$6:$Z$680,11,FALSE))</f>
        <v>250</v>
      </c>
      <c r="CE32" s="1236">
        <f>IF(CA30=0,"",VLOOKUP(CA30,'Tablas Magia'!$D$6:$Z$680,15,FALSE))</f>
        <v>25</v>
      </c>
      <c r="CF32" s="5327" t="str">
        <f>IF(CA30=0,"",VLOOKUP(CA30,'Tablas Magia'!$D$6:$Z$680,19,FALSE))</f>
        <v>15 intensidades</v>
      </c>
      <c r="CG32" s="5328"/>
      <c r="CH32" s="5328"/>
      <c r="CI32" s="5328"/>
      <c r="CJ32" s="5328"/>
      <c r="CK32" s="5328"/>
      <c r="CL32" s="5328"/>
      <c r="CM32" s="5328"/>
      <c r="CN32" s="5328"/>
      <c r="CO32" s="5329"/>
      <c r="CP32" s="1216"/>
      <c r="CQ32" s="1210"/>
    </row>
    <row r="33" spans="1:95" ht="12" customHeight="1" x14ac:dyDescent="0.2">
      <c r="A33" s="1210"/>
      <c r="B33" s="2258"/>
      <c r="C33" s="5320" t="s">
        <v>4705</v>
      </c>
      <c r="D33" s="5321"/>
      <c r="E33" s="1237">
        <f>IF(C30=0,"",VLOOKUP(C30,'Tablas Magia'!$D$6:$Z$680,8,FALSE))</f>
        <v>8</v>
      </c>
      <c r="F33" s="1237">
        <f>IF(C30=0,"",VLOOKUP(C30,'Tablas Magia'!$D$6:$Z$680,12,FALSE))</f>
        <v>80</v>
      </c>
      <c r="G33" s="1238" t="str">
        <f>IF(C30=0,"",VLOOKUP(C30,'Tablas Magia'!$D$6:$Z$680,16,FALSE))</f>
        <v>No</v>
      </c>
      <c r="H33" s="5322" t="str">
        <f>IF(C30=0,"",VLOOKUP(C30,'Tablas Magia'!$D$6:$Z$680,20,FALSE))</f>
        <v>-5 Intensidades de fuego</v>
      </c>
      <c r="I33" s="5323"/>
      <c r="J33" s="5323"/>
      <c r="K33" s="5323"/>
      <c r="L33" s="5323"/>
      <c r="M33" s="5323"/>
      <c r="N33" s="5323"/>
      <c r="O33" s="5323"/>
      <c r="P33" s="5323"/>
      <c r="Q33" s="5324"/>
      <c r="R33" s="1216"/>
      <c r="S33" s="1210"/>
      <c r="T33" s="1210"/>
      <c r="U33" s="2258"/>
      <c r="V33" s="5320" t="s">
        <v>4705</v>
      </c>
      <c r="W33" s="5321"/>
      <c r="X33" s="1237">
        <f>IF(V30=0,"",VLOOKUP(V30,'Tablas Magia'!$D$6:$Z$680,8,FALSE))</f>
        <v>9</v>
      </c>
      <c r="Y33" s="1237">
        <f>IF(V30=0,"",VLOOKUP(V30,'Tablas Magia'!$D$6:$Z$680,12,FALSE))</f>
        <v>80</v>
      </c>
      <c r="Z33" s="1238">
        <f>IF(V30=0,"",VLOOKUP(V30,'Tablas Magia'!$D$6:$Z$680,16,FALSE))</f>
        <v>10</v>
      </c>
      <c r="AA33" s="5322" t="str">
        <f>IF(V30=0,"",VLOOKUP(V30,'Tablas Magia'!$D$6:$Z$680,20,FALSE))</f>
        <v>+20 daño base</v>
      </c>
      <c r="AB33" s="5323"/>
      <c r="AC33" s="5323"/>
      <c r="AD33" s="5323"/>
      <c r="AE33" s="5323"/>
      <c r="AF33" s="5323"/>
      <c r="AG33" s="5323"/>
      <c r="AH33" s="5323"/>
      <c r="AI33" s="5323"/>
      <c r="AJ33" s="5324"/>
      <c r="AK33" s="1216"/>
      <c r="AL33" s="1210"/>
      <c r="AM33" s="1210"/>
      <c r="AN33" s="2272"/>
      <c r="AO33" s="5320" t="s">
        <v>4705</v>
      </c>
      <c r="AP33" s="5321"/>
      <c r="AQ33" s="1237">
        <f>IF(AO30=0,"",VLOOKUP(AO30,'Tablas Magia'!$D$6:$Z$680,8,FALSE))</f>
        <v>10</v>
      </c>
      <c r="AR33" s="1237">
        <f>IF(AO30=0,"",VLOOKUP(AO30,'Tablas Magia'!$D$6:$Z$680,12,FALSE))</f>
        <v>120</v>
      </c>
      <c r="AS33" s="1238" t="str">
        <f>IF(AO30=0,"",VLOOKUP(AO30,'Tablas Magia'!$D$6:$Z$680,16,FALSE))</f>
        <v>No</v>
      </c>
      <c r="AT33" s="5322" t="str">
        <f>IF(AO30=0,"",VLOOKUP(AO30,'Tablas Magia'!$D$6:$Z$680,20,FALSE))</f>
        <v>15 metros de radio / RM o RF 120</v>
      </c>
      <c r="AU33" s="5323"/>
      <c r="AV33" s="5323"/>
      <c r="AW33" s="5323"/>
      <c r="AX33" s="5323"/>
      <c r="AY33" s="5323"/>
      <c r="AZ33" s="5323"/>
      <c r="BA33" s="5323"/>
      <c r="BB33" s="5323"/>
      <c r="BC33" s="5324"/>
      <c r="BD33" s="1216"/>
      <c r="BE33" s="1210"/>
      <c r="BF33" s="1210"/>
      <c r="BG33" s="2272"/>
      <c r="BH33" s="5320" t="s">
        <v>4705</v>
      </c>
      <c r="BI33" s="5321"/>
      <c r="BJ33" s="1237">
        <f>IF(BH30=0,"",VLOOKUP(BH30,'Tablas Magia'!$D$6:$Z$680,8,FALSE))</f>
        <v>10</v>
      </c>
      <c r="BK33" s="1237">
        <f>IF(BH30=0,"",VLOOKUP(BH30,'Tablas Magia'!$D$6:$Z$680,12,FALSE))</f>
        <v>180</v>
      </c>
      <c r="BL33" s="1238">
        <f>IF(BH30=0,"",VLOOKUP(BH30,'Tablas Magia'!$D$6:$Z$680,16,FALSE))</f>
        <v>10</v>
      </c>
      <c r="BM33" s="5322" t="str">
        <f>IF(BH30=0,"",VLOOKUP(BH30,'Tablas Magia'!$D$6:$Z$680,20,FALSE))</f>
        <v>50 puntos de Zeon por asalto</v>
      </c>
      <c r="BN33" s="5323"/>
      <c r="BO33" s="5323"/>
      <c r="BP33" s="5323"/>
      <c r="BQ33" s="5323"/>
      <c r="BR33" s="5323"/>
      <c r="BS33" s="5323"/>
      <c r="BT33" s="5323"/>
      <c r="BU33" s="5323"/>
      <c r="BV33" s="5324"/>
      <c r="BW33" s="1216"/>
      <c r="BX33" s="1210"/>
      <c r="BY33" s="1210"/>
      <c r="BZ33" s="2272"/>
      <c r="CA33" s="5320" t="s">
        <v>4705</v>
      </c>
      <c r="CB33" s="5321"/>
      <c r="CC33" s="1237">
        <f>IF(CA30=0,"",VLOOKUP(CA30,'Tablas Magia'!$D$6:$Z$680,8,FALSE))</f>
        <v>12</v>
      </c>
      <c r="CD33" s="1237">
        <f>IF(CA30=0,"",VLOOKUP(CA30,'Tablas Magia'!$D$6:$Z$680,12,FALSE))</f>
        <v>300</v>
      </c>
      <c r="CE33" s="1238">
        <f>IF(CA30=0,"",VLOOKUP(CA30,'Tablas Magia'!$D$6:$Z$680,16,FALSE))</f>
        <v>30</v>
      </c>
      <c r="CF33" s="5322" t="str">
        <f>IF(CA30=0,"",VLOOKUP(CA30,'Tablas Magia'!$D$6:$Z$680,20,FALSE))</f>
        <v>25 intensidades</v>
      </c>
      <c r="CG33" s="5323"/>
      <c r="CH33" s="5323"/>
      <c r="CI33" s="5323"/>
      <c r="CJ33" s="5323"/>
      <c r="CK33" s="5323"/>
      <c r="CL33" s="5323"/>
      <c r="CM33" s="5323"/>
      <c r="CN33" s="5323"/>
      <c r="CO33" s="5324"/>
      <c r="CP33" s="1216"/>
      <c r="CQ33" s="1210"/>
    </row>
    <row r="34" spans="1:95" ht="12" customHeight="1" x14ac:dyDescent="0.2">
      <c r="A34" s="1210"/>
      <c r="B34" s="2258"/>
      <c r="C34" s="5325" t="s">
        <v>4706</v>
      </c>
      <c r="D34" s="5326"/>
      <c r="E34" s="1235">
        <f>IF(C30=0,"",VLOOKUP(C30,'Tablas Magia'!$D$6:$Z$680,9,FALSE))</f>
        <v>10</v>
      </c>
      <c r="F34" s="1235">
        <f>IF(C30=0,"",VLOOKUP(C30,'Tablas Magia'!$D$6:$Z$680,13,FALSE))</f>
        <v>120</v>
      </c>
      <c r="G34" s="1236" t="str">
        <f>IF(C30=0,"",VLOOKUP(C30,'Tablas Magia'!$D$6:$Z$680,17,FALSE))</f>
        <v>No</v>
      </c>
      <c r="H34" s="5327" t="str">
        <f>IF(C30=0,"",VLOOKUP(C30,'Tablas Magia'!$D$6:$Z$680,21,FALSE))</f>
        <v>-10 Intensidades fuego</v>
      </c>
      <c r="I34" s="5328"/>
      <c r="J34" s="5328"/>
      <c r="K34" s="5328"/>
      <c r="L34" s="5328"/>
      <c r="M34" s="5328"/>
      <c r="N34" s="5328"/>
      <c r="O34" s="5328"/>
      <c r="P34" s="5328"/>
      <c r="Q34" s="5329"/>
      <c r="R34" s="1216"/>
      <c r="S34" s="1210"/>
      <c r="T34" s="1210"/>
      <c r="U34" s="2258"/>
      <c r="V34" s="5325" t="s">
        <v>4706</v>
      </c>
      <c r="W34" s="5326"/>
      <c r="X34" s="1235">
        <f>IF(V30=0,"",VLOOKUP(V30,'Tablas Magia'!$D$6:$Z$680,9,FALSE))</f>
        <v>11</v>
      </c>
      <c r="Y34" s="1235">
        <f>IF(V30=0,"",VLOOKUP(V30,'Tablas Magia'!$D$6:$Z$680,13,FALSE))</f>
        <v>100</v>
      </c>
      <c r="Z34" s="1236">
        <f>IF(V30=0,"",VLOOKUP(V30,'Tablas Magia'!$D$6:$Z$680,17,FALSE))</f>
        <v>10</v>
      </c>
      <c r="AA34" s="5327" t="str">
        <f>IF(V30=0,"",VLOOKUP(V30,'Tablas Magia'!$D$6:$Z$680,21,FALSE))</f>
        <v>+30 daño base</v>
      </c>
      <c r="AB34" s="5328"/>
      <c r="AC34" s="5328"/>
      <c r="AD34" s="5328"/>
      <c r="AE34" s="5328"/>
      <c r="AF34" s="5328"/>
      <c r="AG34" s="5328"/>
      <c r="AH34" s="5328"/>
      <c r="AI34" s="5328"/>
      <c r="AJ34" s="5329"/>
      <c r="AK34" s="1216"/>
      <c r="AL34" s="1210"/>
      <c r="AM34" s="1210"/>
      <c r="AN34" s="2272"/>
      <c r="AO34" s="5325" t="s">
        <v>4706</v>
      </c>
      <c r="AP34" s="5326"/>
      <c r="AQ34" s="1235">
        <f>IF(AO30=0,"",VLOOKUP(AO30,'Tablas Magia'!$D$6:$Z$680,9,FALSE))</f>
        <v>12</v>
      </c>
      <c r="AR34" s="1235">
        <f>IF(AO30=0,"",VLOOKUP(AO30,'Tablas Magia'!$D$6:$Z$680,13,FALSE))</f>
        <v>180</v>
      </c>
      <c r="AS34" s="1236" t="str">
        <f>IF(AO30=0,"",VLOOKUP(AO30,'Tablas Magia'!$D$6:$Z$680,17,FALSE))</f>
        <v>No</v>
      </c>
      <c r="AT34" s="5327" t="str">
        <f>IF(AO30=0,"",VLOOKUP(AO30,'Tablas Magia'!$D$6:$Z$680,21,FALSE))</f>
        <v>25 metros de radio / RM o RF 140</v>
      </c>
      <c r="AU34" s="5328"/>
      <c r="AV34" s="5328"/>
      <c r="AW34" s="5328"/>
      <c r="AX34" s="5328"/>
      <c r="AY34" s="5328"/>
      <c r="AZ34" s="5328"/>
      <c r="BA34" s="5328"/>
      <c r="BB34" s="5328"/>
      <c r="BC34" s="5329"/>
      <c r="BD34" s="1216"/>
      <c r="BE34" s="1210"/>
      <c r="BF34" s="1210"/>
      <c r="BG34" s="2272"/>
      <c r="BH34" s="5325" t="s">
        <v>4706</v>
      </c>
      <c r="BI34" s="5326"/>
      <c r="BJ34" s="1235">
        <f>IF(BH30=0,"",VLOOKUP(BH30,'Tablas Magia'!$D$6:$Z$680,9,FALSE))</f>
        <v>12</v>
      </c>
      <c r="BK34" s="1235">
        <f>IF(BH30=0,"",VLOOKUP(BH30,'Tablas Magia'!$D$6:$Z$680,13,FALSE))</f>
        <v>240</v>
      </c>
      <c r="BL34" s="1236">
        <f>IF(BH30=0,"",VLOOKUP(BH30,'Tablas Magia'!$D$6:$Z$680,17,FALSE))</f>
        <v>15</v>
      </c>
      <c r="BM34" s="5327" t="str">
        <f>IF(BH30=0,"",VLOOKUP(BH30,'Tablas Magia'!$D$6:$Z$680,21,FALSE))</f>
        <v>80 puntos de Zeon por asalto</v>
      </c>
      <c r="BN34" s="5328"/>
      <c r="BO34" s="5328"/>
      <c r="BP34" s="5328"/>
      <c r="BQ34" s="5328"/>
      <c r="BR34" s="5328"/>
      <c r="BS34" s="5328"/>
      <c r="BT34" s="5328"/>
      <c r="BU34" s="5328"/>
      <c r="BV34" s="5329"/>
      <c r="BW34" s="1216"/>
      <c r="BX34" s="1210"/>
      <c r="BY34" s="1210"/>
      <c r="BZ34" s="2272"/>
      <c r="CA34" s="5325" t="s">
        <v>4706</v>
      </c>
      <c r="CB34" s="5326"/>
      <c r="CC34" s="1235">
        <f>IF(CA30=0,"",VLOOKUP(CA30,'Tablas Magia'!$D$6:$Z$680,9,FALSE))</f>
        <v>14</v>
      </c>
      <c r="CD34" s="1235">
        <f>IF(CA30=0,"",VLOOKUP(CA30,'Tablas Magia'!$D$6:$Z$680,13,FALSE))</f>
        <v>350</v>
      </c>
      <c r="CE34" s="1236">
        <f>IF(CA30=0,"",VLOOKUP(CA30,'Tablas Magia'!$D$6:$Z$680,17,FALSE))</f>
        <v>30</v>
      </c>
      <c r="CF34" s="5327" t="str">
        <f>IF(CA30=0,"",VLOOKUP(CA30,'Tablas Magia'!$D$6:$Z$680,21,FALSE))</f>
        <v>35 intensidades</v>
      </c>
      <c r="CG34" s="5328"/>
      <c r="CH34" s="5328"/>
      <c r="CI34" s="5328"/>
      <c r="CJ34" s="5328"/>
      <c r="CK34" s="5328"/>
      <c r="CL34" s="5328"/>
      <c r="CM34" s="5328"/>
      <c r="CN34" s="5328"/>
      <c r="CO34" s="5329"/>
      <c r="CP34" s="1216"/>
      <c r="CQ34" s="1210"/>
    </row>
    <row r="35" spans="1:95" ht="12" customHeight="1" thickBot="1" x14ac:dyDescent="0.25">
      <c r="A35" s="1210"/>
      <c r="B35" s="2258"/>
      <c r="C35" s="5335" t="s">
        <v>4707</v>
      </c>
      <c r="D35" s="5336"/>
      <c r="E35" s="1239">
        <f>IF(C30=0,"",VLOOKUP(C30,'Tablas Magia'!$D$6:$Z$680,10,FALSE))</f>
        <v>13</v>
      </c>
      <c r="F35" s="1239">
        <f>IF(C30=0,"",VLOOKUP(C30,'Tablas Magia'!$D$6:$Z$680,14,FALSE))</f>
        <v>200</v>
      </c>
      <c r="G35" s="1240" t="str">
        <f>IF(C30=0,"",VLOOKUP(C30,'Tablas Magia'!$D$6:$Z$680,18,FALSE))</f>
        <v>No</v>
      </c>
      <c r="H35" s="5337" t="str">
        <f>IF(C30=0,"",VLOOKUP(C30,'Tablas Magia'!$D$6:$Z$680,22,FALSE))</f>
        <v>-15 Intensidades de fuego</v>
      </c>
      <c r="I35" s="5338"/>
      <c r="J35" s="5338"/>
      <c r="K35" s="5338"/>
      <c r="L35" s="5338"/>
      <c r="M35" s="5338"/>
      <c r="N35" s="5338"/>
      <c r="O35" s="5338"/>
      <c r="P35" s="5338"/>
      <c r="Q35" s="5339"/>
      <c r="R35" s="1216"/>
      <c r="S35" s="1210"/>
      <c r="T35" s="1210"/>
      <c r="U35" s="2258"/>
      <c r="V35" s="5335" t="s">
        <v>4707</v>
      </c>
      <c r="W35" s="5336"/>
      <c r="X35" s="1239">
        <f>IF(V30=0,"",VLOOKUP(V30,'Tablas Magia'!$D$6:$Z$680,10,FALSE))</f>
        <v>14</v>
      </c>
      <c r="Y35" s="1239">
        <f>IF(V30=0,"",VLOOKUP(V30,'Tablas Magia'!$D$6:$Z$680,14,FALSE))</f>
        <v>120</v>
      </c>
      <c r="Z35" s="1240">
        <f>IF(V30=0,"",VLOOKUP(V30,'Tablas Magia'!$D$6:$Z$680,18,FALSE))</f>
        <v>15</v>
      </c>
      <c r="AA35" s="5337" t="str">
        <f>IF(V30=0,"",VLOOKUP(V30,'Tablas Magia'!$D$6:$Z$680,22,FALSE))</f>
        <v>+40 daño base</v>
      </c>
      <c r="AB35" s="5338"/>
      <c r="AC35" s="5338"/>
      <c r="AD35" s="5338"/>
      <c r="AE35" s="5338"/>
      <c r="AF35" s="5338"/>
      <c r="AG35" s="5338"/>
      <c r="AH35" s="5338"/>
      <c r="AI35" s="5338"/>
      <c r="AJ35" s="5339"/>
      <c r="AK35" s="1216"/>
      <c r="AL35" s="1210"/>
      <c r="AM35" s="1210"/>
      <c r="AN35" s="2272"/>
      <c r="AO35" s="5335" t="s">
        <v>4707</v>
      </c>
      <c r="AP35" s="5336"/>
      <c r="AQ35" s="1239">
        <f>IF(AO30=0,"",VLOOKUP(AO30,'Tablas Magia'!$D$6:$Z$680,10,FALSE))</f>
        <v>14</v>
      </c>
      <c r="AR35" s="1239">
        <f>IF(AO30=0,"",VLOOKUP(AO30,'Tablas Magia'!$D$6:$Z$680,14,FALSE))</f>
        <v>240</v>
      </c>
      <c r="AS35" s="1240" t="str">
        <f>IF(AO30=0,"",VLOOKUP(AO30,'Tablas Magia'!$D$6:$Z$680,18,FALSE))</f>
        <v>No</v>
      </c>
      <c r="AT35" s="5337" t="str">
        <f>IF(AO30=0,"",VLOOKUP(AO30,'Tablas Magia'!$D$6:$Z$680,22,FALSE))</f>
        <v>35 metros de radio / RM o RF 160</v>
      </c>
      <c r="AU35" s="5338"/>
      <c r="AV35" s="5338"/>
      <c r="AW35" s="5338"/>
      <c r="AX35" s="5338"/>
      <c r="AY35" s="5338"/>
      <c r="AZ35" s="5338"/>
      <c r="BA35" s="5338"/>
      <c r="BB35" s="5338"/>
      <c r="BC35" s="5339"/>
      <c r="BD35" s="1216"/>
      <c r="BE35" s="1210"/>
      <c r="BF35" s="1210"/>
      <c r="BG35" s="2272"/>
      <c r="BH35" s="5335" t="s">
        <v>4707</v>
      </c>
      <c r="BI35" s="5336"/>
      <c r="BJ35" s="1239">
        <f>IF(BH30=0,"",VLOOKUP(BH30,'Tablas Magia'!$D$6:$Z$680,10,FALSE))</f>
        <v>15</v>
      </c>
      <c r="BK35" s="1239">
        <f>IF(BH30=0,"",VLOOKUP(BH30,'Tablas Magia'!$D$6:$Z$680,14,FALSE))</f>
        <v>300</v>
      </c>
      <c r="BL35" s="1240">
        <f>IF(BH30=0,"",VLOOKUP(BH30,'Tablas Magia'!$D$6:$Z$680,18,FALSE))</f>
        <v>15</v>
      </c>
      <c r="BM35" s="5337" t="str">
        <f>IF(BH30=0,"",VLOOKUP(BH30,'Tablas Magia'!$D$6:$Z$680,22,FALSE))</f>
        <v>120 puntos de Zeon por asalto</v>
      </c>
      <c r="BN35" s="5338"/>
      <c r="BO35" s="5338"/>
      <c r="BP35" s="5338"/>
      <c r="BQ35" s="5338"/>
      <c r="BR35" s="5338"/>
      <c r="BS35" s="5338"/>
      <c r="BT35" s="5338"/>
      <c r="BU35" s="5338"/>
      <c r="BV35" s="5339"/>
      <c r="BW35" s="1216"/>
      <c r="BX35" s="1210"/>
      <c r="BY35" s="1210"/>
      <c r="BZ35" s="2272"/>
      <c r="CA35" s="5335" t="s">
        <v>4707</v>
      </c>
      <c r="CB35" s="5336"/>
      <c r="CC35" s="1239">
        <f>IF(CA30=0,"",VLOOKUP(CA30,'Tablas Magia'!$D$6:$Z$680,10,FALSE))</f>
        <v>18</v>
      </c>
      <c r="CD35" s="1239">
        <f>IF(CA30=0,"",VLOOKUP(CA30,'Tablas Magia'!$D$6:$Z$680,14,FALSE))</f>
        <v>400</v>
      </c>
      <c r="CE35" s="1240">
        <f>IF(CA30=0,"",VLOOKUP(CA30,'Tablas Magia'!$D$6:$Z$680,18,FALSE))</f>
        <v>35</v>
      </c>
      <c r="CF35" s="5337" t="str">
        <f>IF(CA30=0,"",VLOOKUP(CA30,'Tablas Magia'!$D$6:$Z$680,22,FALSE))</f>
        <v>45 intensidades</v>
      </c>
      <c r="CG35" s="5338"/>
      <c r="CH35" s="5338"/>
      <c r="CI35" s="5338"/>
      <c r="CJ35" s="5338"/>
      <c r="CK35" s="5338"/>
      <c r="CL35" s="5338"/>
      <c r="CM35" s="5338"/>
      <c r="CN35" s="5338"/>
      <c r="CO35" s="5339"/>
      <c r="CP35" s="1216"/>
      <c r="CQ35" s="1210"/>
    </row>
    <row r="36" spans="1:95" ht="12" customHeight="1" x14ac:dyDescent="0.2">
      <c r="A36" s="1210"/>
      <c r="B36" s="2258"/>
      <c r="C36" s="534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1"/>
      <c r="E36" s="5341"/>
      <c r="F36" s="5341"/>
      <c r="G36" s="5341"/>
      <c r="H36" s="5341"/>
      <c r="I36" s="5341"/>
      <c r="J36" s="5341"/>
      <c r="K36" s="5341"/>
      <c r="L36" s="5341"/>
      <c r="M36" s="5341"/>
      <c r="N36" s="5341"/>
      <c r="O36" s="5341"/>
      <c r="P36" s="5341"/>
      <c r="Q36" s="5342"/>
      <c r="R36" s="1216"/>
      <c r="S36" s="1210"/>
      <c r="T36" s="1210"/>
      <c r="U36" s="2258"/>
      <c r="V36" s="5340" t="str">
        <f>IF(V30=0,"",VLOOKUP(V30,'Tablas Magia'!$D$6:$Z$680,23,FALSE))</f>
        <v>Imbuye de llamas un arma, haciendo que ataque en la TA de calor como crítico primario. El fuego será tan potente que aumentará el daño base del ataque, sin afectar en absoluto a la resistencia del arma</v>
      </c>
      <c r="W36" s="5341"/>
      <c r="X36" s="5341"/>
      <c r="Y36" s="5341"/>
      <c r="Z36" s="5341"/>
      <c r="AA36" s="5341"/>
      <c r="AB36" s="5341"/>
      <c r="AC36" s="5341"/>
      <c r="AD36" s="5341"/>
      <c r="AE36" s="5341"/>
      <c r="AF36" s="5341"/>
      <c r="AG36" s="5341"/>
      <c r="AH36" s="5341"/>
      <c r="AI36" s="5341"/>
      <c r="AJ36" s="5342"/>
      <c r="AK36" s="1216"/>
      <c r="AL36" s="1210"/>
      <c r="AM36" s="1210"/>
      <c r="AN36" s="2272"/>
      <c r="AO36" s="534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1"/>
      <c r="AQ36" s="5341"/>
      <c r="AR36" s="5341"/>
      <c r="AS36" s="5341"/>
      <c r="AT36" s="5341"/>
      <c r="AU36" s="5341"/>
      <c r="AV36" s="5341"/>
      <c r="AW36" s="5341"/>
      <c r="AX36" s="5341"/>
      <c r="AY36" s="5341"/>
      <c r="AZ36" s="5341"/>
      <c r="BA36" s="5341"/>
      <c r="BB36" s="5341"/>
      <c r="BC36" s="5342"/>
      <c r="BD36" s="1216"/>
      <c r="BE36" s="1210"/>
      <c r="BF36" s="1210"/>
      <c r="BG36" s="2272"/>
      <c r="BH36" s="534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1"/>
      <c r="BJ36" s="5341"/>
      <c r="BK36" s="5341"/>
      <c r="BL36" s="5341"/>
      <c r="BM36" s="5341"/>
      <c r="BN36" s="5341"/>
      <c r="BO36" s="5341"/>
      <c r="BP36" s="5341"/>
      <c r="BQ36" s="5341"/>
      <c r="BR36" s="5341"/>
      <c r="BS36" s="5341"/>
      <c r="BT36" s="5341"/>
      <c r="BU36" s="5341"/>
      <c r="BV36" s="5342"/>
      <c r="BW36" s="1216"/>
      <c r="BX36" s="1210"/>
      <c r="BY36" s="1210"/>
      <c r="BZ36" s="2272"/>
      <c r="CA36" s="5340" t="str">
        <f>IF(CA30=0,"",VLOOKUP(CA30,'Tablas Magia'!$D$6:$Z$680,23,FALSE))</f>
        <v>Crea intensidades de fuego. Mientras se mantenga el conjuro, la llama seguirá ardiendo incluso sin nada que consumir. Si se prende en algo inflamable, arderá naturalmente tras finalizar el hechizo.</v>
      </c>
      <c r="CB36" s="5341"/>
      <c r="CC36" s="5341"/>
      <c r="CD36" s="5341"/>
      <c r="CE36" s="5341"/>
      <c r="CF36" s="5341"/>
      <c r="CG36" s="5341"/>
      <c r="CH36" s="5341"/>
      <c r="CI36" s="5341"/>
      <c r="CJ36" s="5341"/>
      <c r="CK36" s="5341"/>
      <c r="CL36" s="5341"/>
      <c r="CM36" s="5341"/>
      <c r="CN36" s="5341"/>
      <c r="CO36" s="5342"/>
      <c r="CP36" s="1216"/>
      <c r="CQ36" s="1210"/>
    </row>
    <row r="37" spans="1:95" ht="12" customHeight="1" x14ac:dyDescent="0.2">
      <c r="A37" s="1210"/>
      <c r="B37" s="2258"/>
      <c r="C37" s="5343"/>
      <c r="D37" s="5344"/>
      <c r="E37" s="5344"/>
      <c r="F37" s="5344"/>
      <c r="G37" s="5344"/>
      <c r="H37" s="5344"/>
      <c r="I37" s="5344"/>
      <c r="J37" s="5344"/>
      <c r="K37" s="5344"/>
      <c r="L37" s="5344"/>
      <c r="M37" s="5344"/>
      <c r="N37" s="5344"/>
      <c r="O37" s="5344"/>
      <c r="P37" s="5344"/>
      <c r="Q37" s="5345"/>
      <c r="R37" s="1216"/>
      <c r="S37" s="1210"/>
      <c r="T37" s="1210"/>
      <c r="U37" s="2258"/>
      <c r="V37" s="5343"/>
      <c r="W37" s="5344"/>
      <c r="X37" s="5344"/>
      <c r="Y37" s="5344"/>
      <c r="Z37" s="5344"/>
      <c r="AA37" s="5344"/>
      <c r="AB37" s="5344"/>
      <c r="AC37" s="5344"/>
      <c r="AD37" s="5344"/>
      <c r="AE37" s="5344"/>
      <c r="AF37" s="5344"/>
      <c r="AG37" s="5344"/>
      <c r="AH37" s="5344"/>
      <c r="AI37" s="5344"/>
      <c r="AJ37" s="5345"/>
      <c r="AK37" s="1216"/>
      <c r="AL37" s="1210"/>
      <c r="AM37" s="1210"/>
      <c r="AN37" s="2272"/>
      <c r="AO37" s="5343"/>
      <c r="AP37" s="5344"/>
      <c r="AQ37" s="5344"/>
      <c r="AR37" s="5344"/>
      <c r="AS37" s="5344"/>
      <c r="AT37" s="5344"/>
      <c r="AU37" s="5344"/>
      <c r="AV37" s="5344"/>
      <c r="AW37" s="5344"/>
      <c r="AX37" s="5344"/>
      <c r="AY37" s="5344"/>
      <c r="AZ37" s="5344"/>
      <c r="BA37" s="5344"/>
      <c r="BB37" s="5344"/>
      <c r="BC37" s="5345"/>
      <c r="BD37" s="1216"/>
      <c r="BE37" s="1210"/>
      <c r="BF37" s="1210"/>
      <c r="BG37" s="2272"/>
      <c r="BH37" s="5343"/>
      <c r="BI37" s="5344"/>
      <c r="BJ37" s="5344"/>
      <c r="BK37" s="5344"/>
      <c r="BL37" s="5344"/>
      <c r="BM37" s="5344"/>
      <c r="BN37" s="5344"/>
      <c r="BO37" s="5344"/>
      <c r="BP37" s="5344"/>
      <c r="BQ37" s="5344"/>
      <c r="BR37" s="5344"/>
      <c r="BS37" s="5344"/>
      <c r="BT37" s="5344"/>
      <c r="BU37" s="5344"/>
      <c r="BV37" s="5345"/>
      <c r="BW37" s="1216"/>
      <c r="BX37" s="1210"/>
      <c r="BY37" s="1210"/>
      <c r="BZ37" s="2272"/>
      <c r="CA37" s="5343"/>
      <c r="CB37" s="5344"/>
      <c r="CC37" s="5344"/>
      <c r="CD37" s="5344"/>
      <c r="CE37" s="5344"/>
      <c r="CF37" s="5344"/>
      <c r="CG37" s="5344"/>
      <c r="CH37" s="5344"/>
      <c r="CI37" s="5344"/>
      <c r="CJ37" s="5344"/>
      <c r="CK37" s="5344"/>
      <c r="CL37" s="5344"/>
      <c r="CM37" s="5344"/>
      <c r="CN37" s="5344"/>
      <c r="CO37" s="5345"/>
      <c r="CP37" s="1216"/>
      <c r="CQ37" s="1210"/>
    </row>
    <row r="38" spans="1:95" ht="12" customHeight="1" x14ac:dyDescent="0.2">
      <c r="A38" s="1210"/>
      <c r="B38" s="2258"/>
      <c r="C38" s="5343"/>
      <c r="D38" s="5344"/>
      <c r="E38" s="5344"/>
      <c r="F38" s="5344"/>
      <c r="G38" s="5344"/>
      <c r="H38" s="5344"/>
      <c r="I38" s="5344"/>
      <c r="J38" s="5344"/>
      <c r="K38" s="5344"/>
      <c r="L38" s="5344"/>
      <c r="M38" s="5344"/>
      <c r="N38" s="5344"/>
      <c r="O38" s="5344"/>
      <c r="P38" s="5344"/>
      <c r="Q38" s="5345"/>
      <c r="R38" s="1216"/>
      <c r="S38" s="1210"/>
      <c r="T38" s="1210"/>
      <c r="U38" s="2258"/>
      <c r="V38" s="5343"/>
      <c r="W38" s="5344"/>
      <c r="X38" s="5344"/>
      <c r="Y38" s="5344"/>
      <c r="Z38" s="5344"/>
      <c r="AA38" s="5344"/>
      <c r="AB38" s="5344"/>
      <c r="AC38" s="5344"/>
      <c r="AD38" s="5344"/>
      <c r="AE38" s="5344"/>
      <c r="AF38" s="5344"/>
      <c r="AG38" s="5344"/>
      <c r="AH38" s="5344"/>
      <c r="AI38" s="5344"/>
      <c r="AJ38" s="5345"/>
      <c r="AK38" s="1216"/>
      <c r="AL38" s="1210"/>
      <c r="AM38" s="1210"/>
      <c r="AN38" s="2272"/>
      <c r="AO38" s="5343"/>
      <c r="AP38" s="5344"/>
      <c r="AQ38" s="5344"/>
      <c r="AR38" s="5344"/>
      <c r="AS38" s="5344"/>
      <c r="AT38" s="5344"/>
      <c r="AU38" s="5344"/>
      <c r="AV38" s="5344"/>
      <c r="AW38" s="5344"/>
      <c r="AX38" s="5344"/>
      <c r="AY38" s="5344"/>
      <c r="AZ38" s="5344"/>
      <c r="BA38" s="5344"/>
      <c r="BB38" s="5344"/>
      <c r="BC38" s="5345"/>
      <c r="BD38" s="1216"/>
      <c r="BE38" s="1210"/>
      <c r="BF38" s="1210"/>
      <c r="BG38" s="2272"/>
      <c r="BH38" s="5343"/>
      <c r="BI38" s="5344"/>
      <c r="BJ38" s="5344"/>
      <c r="BK38" s="5344"/>
      <c r="BL38" s="5344"/>
      <c r="BM38" s="5344"/>
      <c r="BN38" s="5344"/>
      <c r="BO38" s="5344"/>
      <c r="BP38" s="5344"/>
      <c r="BQ38" s="5344"/>
      <c r="BR38" s="5344"/>
      <c r="BS38" s="5344"/>
      <c r="BT38" s="5344"/>
      <c r="BU38" s="5344"/>
      <c r="BV38" s="5345"/>
      <c r="BW38" s="1216"/>
      <c r="BX38" s="1210"/>
      <c r="BY38" s="1210"/>
      <c r="BZ38" s="2272"/>
      <c r="CA38" s="5343"/>
      <c r="CB38" s="5344"/>
      <c r="CC38" s="5344"/>
      <c r="CD38" s="5344"/>
      <c r="CE38" s="5344"/>
      <c r="CF38" s="5344"/>
      <c r="CG38" s="5344"/>
      <c r="CH38" s="5344"/>
      <c r="CI38" s="5344"/>
      <c r="CJ38" s="5344"/>
      <c r="CK38" s="5344"/>
      <c r="CL38" s="5344"/>
      <c r="CM38" s="5344"/>
      <c r="CN38" s="5344"/>
      <c r="CO38" s="5345"/>
      <c r="CP38" s="1216"/>
      <c r="CQ38" s="1210"/>
    </row>
    <row r="39" spans="1:95" ht="12" customHeight="1" thickBot="1" x14ac:dyDescent="0.25">
      <c r="A39" s="1210"/>
      <c r="B39" s="2258"/>
      <c r="C39" s="5346"/>
      <c r="D39" s="5347"/>
      <c r="E39" s="5347"/>
      <c r="F39" s="5347"/>
      <c r="G39" s="5347"/>
      <c r="H39" s="5347"/>
      <c r="I39" s="5347"/>
      <c r="J39" s="5347"/>
      <c r="K39" s="5347"/>
      <c r="L39" s="5347"/>
      <c r="M39" s="5347"/>
      <c r="N39" s="5347"/>
      <c r="O39" s="5347"/>
      <c r="P39" s="5347"/>
      <c r="Q39" s="5348"/>
      <c r="R39" s="1216"/>
      <c r="S39" s="1210"/>
      <c r="T39" s="1210"/>
      <c r="U39" s="2258"/>
      <c r="V39" s="5346"/>
      <c r="W39" s="5347"/>
      <c r="X39" s="5347"/>
      <c r="Y39" s="5347"/>
      <c r="Z39" s="5347"/>
      <c r="AA39" s="5347"/>
      <c r="AB39" s="5347"/>
      <c r="AC39" s="5347"/>
      <c r="AD39" s="5347"/>
      <c r="AE39" s="5347"/>
      <c r="AF39" s="5347"/>
      <c r="AG39" s="5347"/>
      <c r="AH39" s="5347"/>
      <c r="AI39" s="5347"/>
      <c r="AJ39" s="5348"/>
      <c r="AK39" s="1216"/>
      <c r="AL39" s="1210"/>
      <c r="AM39" s="1210"/>
      <c r="AN39" s="2272"/>
      <c r="AO39" s="5346"/>
      <c r="AP39" s="5347"/>
      <c r="AQ39" s="5347"/>
      <c r="AR39" s="5347"/>
      <c r="AS39" s="5347"/>
      <c r="AT39" s="5347"/>
      <c r="AU39" s="5347"/>
      <c r="AV39" s="5347"/>
      <c r="AW39" s="5347"/>
      <c r="AX39" s="5347"/>
      <c r="AY39" s="5347"/>
      <c r="AZ39" s="5347"/>
      <c r="BA39" s="5347"/>
      <c r="BB39" s="5347"/>
      <c r="BC39" s="5348"/>
      <c r="BD39" s="1216"/>
      <c r="BE39" s="1210"/>
      <c r="BF39" s="1210"/>
      <c r="BG39" s="2272"/>
      <c r="BH39" s="5346"/>
      <c r="BI39" s="5347"/>
      <c r="BJ39" s="5347"/>
      <c r="BK39" s="5347"/>
      <c r="BL39" s="5347"/>
      <c r="BM39" s="5347"/>
      <c r="BN39" s="5347"/>
      <c r="BO39" s="5347"/>
      <c r="BP39" s="5347"/>
      <c r="BQ39" s="5347"/>
      <c r="BR39" s="5347"/>
      <c r="BS39" s="5347"/>
      <c r="BT39" s="5347"/>
      <c r="BU39" s="5347"/>
      <c r="BV39" s="5348"/>
      <c r="BW39" s="1216"/>
      <c r="BX39" s="1210"/>
      <c r="BY39" s="1210"/>
      <c r="BZ39" s="2272"/>
      <c r="CA39" s="5346"/>
      <c r="CB39" s="5347"/>
      <c r="CC39" s="5347"/>
      <c r="CD39" s="5347"/>
      <c r="CE39" s="5347"/>
      <c r="CF39" s="5347"/>
      <c r="CG39" s="5347"/>
      <c r="CH39" s="5347"/>
      <c r="CI39" s="5347"/>
      <c r="CJ39" s="5347"/>
      <c r="CK39" s="5347"/>
      <c r="CL39" s="5347"/>
      <c r="CM39" s="5347"/>
      <c r="CN39" s="5347"/>
      <c r="CO39" s="5348"/>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49"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0"/>
      <c r="E41" s="5350"/>
      <c r="F41" s="5350"/>
      <c r="G41" s="5350"/>
      <c r="H41" s="1230" t="s">
        <v>1630</v>
      </c>
      <c r="I41" s="1231" t="e">
        <f>IF(C41=0,"",VLOOKUP(C41,'Tablas Magia'!$D$6:$Z$680,3,FALSE))</f>
        <v>#N/A</v>
      </c>
      <c r="J41" s="5315" t="s">
        <v>8162</v>
      </c>
      <c r="K41" s="5315"/>
      <c r="L41" s="5315"/>
      <c r="M41" s="5316" t="e">
        <f>IF(C41=0,"",VLOOKUP(C41,'Tablas Magia'!$D$6:$Z$680,2,FALSE))</f>
        <v>#N/A</v>
      </c>
      <c r="N41" s="5316"/>
      <c r="O41" s="5316"/>
      <c r="P41" s="5316"/>
      <c r="Q41" s="5317"/>
      <c r="R41" s="1216"/>
      <c r="S41" s="1210"/>
      <c r="T41" s="1210"/>
      <c r="U41" s="2258">
        <f>U30+2</f>
        <v>28</v>
      </c>
      <c r="V41" s="5349"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0"/>
      <c r="X41" s="5350"/>
      <c r="Y41" s="5350"/>
      <c r="Z41" s="5350"/>
      <c r="AA41" s="1230" t="s">
        <v>1630</v>
      </c>
      <c r="AB41" s="1231" t="e">
        <f>IF(V41=0,"",VLOOKUP(V41,'Tablas Magia'!$D$6:$Z$680,3,FALSE))</f>
        <v>#N/A</v>
      </c>
      <c r="AC41" s="5315" t="s">
        <v>8162</v>
      </c>
      <c r="AD41" s="5315"/>
      <c r="AE41" s="5315"/>
      <c r="AF41" s="5316" t="e">
        <f>IF(V41=0,"",VLOOKUP(V41,'Tablas Magia'!$D$6:$Z$680,2,FALSE))</f>
        <v>#N/A</v>
      </c>
      <c r="AG41" s="5316"/>
      <c r="AH41" s="5316"/>
      <c r="AI41" s="5316"/>
      <c r="AJ41" s="5317"/>
      <c r="AK41" s="1216"/>
      <c r="AL41" s="1210"/>
      <c r="AM41" s="1210"/>
      <c r="AN41" s="2272">
        <f>AN30+2</f>
        <v>48</v>
      </c>
      <c r="AO41" s="5349"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0"/>
      <c r="AQ41" s="5350"/>
      <c r="AR41" s="5350"/>
      <c r="AS41" s="5350"/>
      <c r="AT41" s="1230" t="s">
        <v>1630</v>
      </c>
      <c r="AU41" s="1231" t="e">
        <f>IF(AO41=0,"",VLOOKUP(AO41,'Tablas Magia'!$D$6:$Z$680,3,FALSE))</f>
        <v>#N/A</v>
      </c>
      <c r="AV41" s="5315" t="s">
        <v>8162</v>
      </c>
      <c r="AW41" s="5315"/>
      <c r="AX41" s="5315"/>
      <c r="AY41" s="5316" t="e">
        <f>IF(AO41=0,"",VLOOKUP(AO41,'Tablas Magia'!$D$6:$Z$680,2,FALSE))</f>
        <v>#N/A</v>
      </c>
      <c r="AZ41" s="5316"/>
      <c r="BA41" s="5316"/>
      <c r="BB41" s="5316"/>
      <c r="BC41" s="5317"/>
      <c r="BD41" s="1216"/>
      <c r="BE41" s="1210"/>
      <c r="BF41" s="1210"/>
      <c r="BG41" s="2272">
        <f>BG30+2</f>
        <v>68</v>
      </c>
      <c r="BH41" s="5349"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0"/>
      <c r="BJ41" s="5350"/>
      <c r="BK41" s="5350"/>
      <c r="BL41" s="5350"/>
      <c r="BM41" s="1230" t="s">
        <v>1630</v>
      </c>
      <c r="BN41" s="1231" t="e">
        <f>IF(BH41=0,"",VLOOKUP(BH41,'Tablas Magia'!$D$6:$Z$680,3,FALSE))</f>
        <v>#N/A</v>
      </c>
      <c r="BO41" s="5315" t="s">
        <v>8162</v>
      </c>
      <c r="BP41" s="5315"/>
      <c r="BQ41" s="5315"/>
      <c r="BR41" s="5316" t="e">
        <f>IF(BH41=0,"",VLOOKUP(BH41,'Tablas Magia'!$D$6:$Z$680,2,FALSE))</f>
        <v>#N/A</v>
      </c>
      <c r="BS41" s="5316"/>
      <c r="BT41" s="5316"/>
      <c r="BU41" s="5316"/>
      <c r="BV41" s="5317"/>
      <c r="BW41" s="1216"/>
      <c r="BX41" s="1210"/>
      <c r="BY41" s="1210"/>
      <c r="BZ41" s="2272">
        <f>BZ30+2</f>
        <v>88</v>
      </c>
      <c r="CA41" s="5349"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0"/>
      <c r="CC41" s="5350"/>
      <c r="CD41" s="5350"/>
      <c r="CE41" s="5350"/>
      <c r="CF41" s="1230" t="s">
        <v>1630</v>
      </c>
      <c r="CG41" s="1231" t="e">
        <f>IF(CA41=0,"",VLOOKUP(CA41,'Tablas Magia'!$D$6:$Z$680,3,FALSE))</f>
        <v>#N/A</v>
      </c>
      <c r="CH41" s="5315" t="s">
        <v>8162</v>
      </c>
      <c r="CI41" s="5315"/>
      <c r="CJ41" s="5315"/>
      <c r="CK41" s="5316" t="e">
        <f>IF(CA41=0,"",VLOOKUP(CA41,'Tablas Magia'!$D$6:$Z$680,2,FALSE))</f>
        <v>#N/A</v>
      </c>
      <c r="CL41" s="5316"/>
      <c r="CM41" s="5316"/>
      <c r="CN41" s="5316"/>
      <c r="CO41" s="5317"/>
      <c r="CP41" s="1216"/>
      <c r="CQ41" s="1210"/>
    </row>
    <row r="42" spans="1:95" ht="12" customHeight="1" x14ac:dyDescent="0.2">
      <c r="A42" s="1210"/>
      <c r="B42" s="2258"/>
      <c r="C42" s="5333" t="s">
        <v>8163</v>
      </c>
      <c r="D42" s="5334"/>
      <c r="E42" s="1232" t="s">
        <v>8164</v>
      </c>
      <c r="F42" s="1232" t="s">
        <v>1824</v>
      </c>
      <c r="G42" s="1232" t="s">
        <v>3467</v>
      </c>
      <c r="H42" s="1233" t="s">
        <v>2175</v>
      </c>
      <c r="I42" s="5330" t="e">
        <f>IF(C41=0,"",VLOOKUP(C41,'Tablas Magia'!$D$6:$Z$680,5,FALSE))</f>
        <v>#N/A</v>
      </c>
      <c r="J42" s="5330"/>
      <c r="K42" s="5331" t="s">
        <v>8165</v>
      </c>
      <c r="L42" s="5331"/>
      <c r="M42" s="5330" t="e">
        <f>IF(C41=0,"",VLOOKUP(C41,'Tablas Magia'!$D$6:$Z$680,6,FALSE))</f>
        <v>#N/A</v>
      </c>
      <c r="N42" s="5330"/>
      <c r="O42" s="5332" t="s">
        <v>8166</v>
      </c>
      <c r="P42" s="5332"/>
      <c r="Q42" s="1234" t="e">
        <f>IF(C41=0,"",VLOOKUP(C41,'Tablas Magia'!$D$6:$Z$680,4,FALSE))</f>
        <v>#N/A</v>
      </c>
      <c r="R42" s="1216"/>
      <c r="S42" s="1210"/>
      <c r="T42" s="1210"/>
      <c r="U42" s="2258"/>
      <c r="V42" s="5333" t="s">
        <v>8163</v>
      </c>
      <c r="W42" s="5334"/>
      <c r="X42" s="1232" t="s">
        <v>8164</v>
      </c>
      <c r="Y42" s="1232" t="s">
        <v>1824</v>
      </c>
      <c r="Z42" s="1232" t="s">
        <v>3467</v>
      </c>
      <c r="AA42" s="1233" t="s">
        <v>2175</v>
      </c>
      <c r="AB42" s="5330" t="e">
        <f>IF(V41=0,"",VLOOKUP(V41,'Tablas Magia'!$D$6:$Z$680,5,FALSE))</f>
        <v>#N/A</v>
      </c>
      <c r="AC42" s="5330"/>
      <c r="AD42" s="5331" t="s">
        <v>8165</v>
      </c>
      <c r="AE42" s="5331"/>
      <c r="AF42" s="5330" t="e">
        <f>IF(V41=0,"",VLOOKUP(V41,'Tablas Magia'!$D$6:$Z$680,6,FALSE))</f>
        <v>#N/A</v>
      </c>
      <c r="AG42" s="5330"/>
      <c r="AH42" s="5332" t="s">
        <v>8166</v>
      </c>
      <c r="AI42" s="5332"/>
      <c r="AJ42" s="1234" t="e">
        <f>IF(V41=0,"",VLOOKUP(V41,'Tablas Magia'!$D$6:$Z$680,4,FALSE))</f>
        <v>#N/A</v>
      </c>
      <c r="AK42" s="1216"/>
      <c r="AL42" s="1210"/>
      <c r="AM42" s="1210"/>
      <c r="AN42" s="2272"/>
      <c r="AO42" s="5333" t="s">
        <v>8163</v>
      </c>
      <c r="AP42" s="5334"/>
      <c r="AQ42" s="1232" t="s">
        <v>8164</v>
      </c>
      <c r="AR42" s="1232" t="s">
        <v>1824</v>
      </c>
      <c r="AS42" s="1232" t="s">
        <v>3467</v>
      </c>
      <c r="AT42" s="1233" t="s">
        <v>2175</v>
      </c>
      <c r="AU42" s="5330" t="e">
        <f>IF(AO41=0,"",VLOOKUP(AO41,'Tablas Magia'!$D$6:$Z$680,5,FALSE))</f>
        <v>#N/A</v>
      </c>
      <c r="AV42" s="5330"/>
      <c r="AW42" s="5331" t="s">
        <v>8165</v>
      </c>
      <c r="AX42" s="5331"/>
      <c r="AY42" s="5330" t="e">
        <f>IF(AO41=0,"",VLOOKUP(AO41,'Tablas Magia'!$D$6:$Z$680,6,FALSE))</f>
        <v>#N/A</v>
      </c>
      <c r="AZ42" s="5330"/>
      <c r="BA42" s="5332" t="s">
        <v>8166</v>
      </c>
      <c r="BB42" s="5332"/>
      <c r="BC42" s="1234" t="e">
        <f>IF(AO41=0,"",VLOOKUP(AO41,'Tablas Magia'!$D$6:$Z$680,4,FALSE))</f>
        <v>#N/A</v>
      </c>
      <c r="BD42" s="1216"/>
      <c r="BE42" s="1210"/>
      <c r="BF42" s="1210"/>
      <c r="BG42" s="2272"/>
      <c r="BH42" s="5333" t="s">
        <v>8163</v>
      </c>
      <c r="BI42" s="5334"/>
      <c r="BJ42" s="1232" t="s">
        <v>8164</v>
      </c>
      <c r="BK42" s="1232" t="s">
        <v>1824</v>
      </c>
      <c r="BL42" s="1232" t="s">
        <v>3467</v>
      </c>
      <c r="BM42" s="1233" t="s">
        <v>2175</v>
      </c>
      <c r="BN42" s="5330" t="e">
        <f>IF(BH41=0,"",VLOOKUP(BH41,'Tablas Magia'!$D$6:$Z$680,5,FALSE))</f>
        <v>#N/A</v>
      </c>
      <c r="BO42" s="5330"/>
      <c r="BP42" s="5331" t="s">
        <v>8165</v>
      </c>
      <c r="BQ42" s="5331"/>
      <c r="BR42" s="5330" t="e">
        <f>IF(BH41=0,"",VLOOKUP(BH41,'Tablas Magia'!$D$6:$Z$680,6,FALSE))</f>
        <v>#N/A</v>
      </c>
      <c r="BS42" s="5330"/>
      <c r="BT42" s="5332" t="s">
        <v>8166</v>
      </c>
      <c r="BU42" s="5332"/>
      <c r="BV42" s="1234" t="e">
        <f>IF(BH41=0,"",VLOOKUP(BH41,'Tablas Magia'!$D$6:$Z$680,4,FALSE))</f>
        <v>#N/A</v>
      </c>
      <c r="BW42" s="1216"/>
      <c r="BX42" s="1210"/>
      <c r="BY42" s="1210"/>
      <c r="BZ42" s="2272"/>
      <c r="CA42" s="5333" t="s">
        <v>8163</v>
      </c>
      <c r="CB42" s="5334"/>
      <c r="CC42" s="1232" t="s">
        <v>8164</v>
      </c>
      <c r="CD42" s="1232" t="s">
        <v>1824</v>
      </c>
      <c r="CE42" s="1232" t="s">
        <v>3467</v>
      </c>
      <c r="CF42" s="1233" t="s">
        <v>2175</v>
      </c>
      <c r="CG42" s="5330" t="e">
        <f>IF(CA41=0,"",VLOOKUP(CA41,'Tablas Magia'!$D$6:$Z$680,5,FALSE))</f>
        <v>#N/A</v>
      </c>
      <c r="CH42" s="5330"/>
      <c r="CI42" s="5331" t="s">
        <v>8165</v>
      </c>
      <c r="CJ42" s="5331"/>
      <c r="CK42" s="5330" t="e">
        <f>IF(CA41=0,"",VLOOKUP(CA41,'Tablas Magia'!$D$6:$Z$680,6,FALSE))</f>
        <v>#N/A</v>
      </c>
      <c r="CL42" s="5330"/>
      <c r="CM42" s="5332" t="s">
        <v>8166</v>
      </c>
      <c r="CN42" s="5332"/>
      <c r="CO42" s="1234" t="e">
        <f>IF(CA41=0,"",VLOOKUP(CA41,'Tablas Magia'!$D$6:$Z$680,4,FALSE))</f>
        <v>#N/A</v>
      </c>
      <c r="CP42" s="1216"/>
      <c r="CQ42" s="1210"/>
    </row>
    <row r="43" spans="1:95" ht="12" customHeight="1" x14ac:dyDescent="0.2">
      <c r="A43" s="1210"/>
      <c r="B43" s="2258"/>
      <c r="C43" s="5325" t="s">
        <v>1677</v>
      </c>
      <c r="D43" s="5326"/>
      <c r="E43" s="1235" t="e">
        <f>IF(C41=0,"",VLOOKUP(C41,'Tablas Magia'!$D$6:$Z$680,7,FALSE))</f>
        <v>#N/A</v>
      </c>
      <c r="F43" s="1235" t="e">
        <f>IF(C41=0,"",VLOOKUP(C41,'Tablas Magia'!$D$6:$Z$680,11,FALSE))</f>
        <v>#N/A</v>
      </c>
      <c r="G43" s="1236" t="e">
        <f>IF(C41=0,"",VLOOKUP(C41,'Tablas Magia'!$D$6:$Z$680,15,FALSE))</f>
        <v>#N/A</v>
      </c>
      <c r="H43" s="5327" t="e">
        <f>IF(C41=0,"",VLOOKUP(C41,'Tablas Magia'!$D$6:$Z$680,19,FALSE))</f>
        <v>#N/A</v>
      </c>
      <c r="I43" s="5328"/>
      <c r="J43" s="5328"/>
      <c r="K43" s="5328"/>
      <c r="L43" s="5328"/>
      <c r="M43" s="5328"/>
      <c r="N43" s="5328"/>
      <c r="O43" s="5328"/>
      <c r="P43" s="5328"/>
      <c r="Q43" s="5329"/>
      <c r="R43" s="1216"/>
      <c r="S43" s="1210"/>
      <c r="T43" s="1210"/>
      <c r="U43" s="2258"/>
      <c r="V43" s="5325" t="s">
        <v>1677</v>
      </c>
      <c r="W43" s="5326"/>
      <c r="X43" s="1235" t="e">
        <f>IF(V41=0,"",VLOOKUP(V41,'Tablas Magia'!$D$6:$Z$680,7,FALSE))</f>
        <v>#N/A</v>
      </c>
      <c r="Y43" s="1235" t="e">
        <f>IF(V41=0,"",VLOOKUP(V41,'Tablas Magia'!$D$6:$Z$680,11,FALSE))</f>
        <v>#N/A</v>
      </c>
      <c r="Z43" s="1236" t="e">
        <f>IF(V41=0,"",VLOOKUP(V41,'Tablas Magia'!$D$6:$Z$680,15,FALSE))</f>
        <v>#N/A</v>
      </c>
      <c r="AA43" s="5327" t="e">
        <f>IF(V41=0,"",VLOOKUP(V41,'Tablas Magia'!$D$6:$Z$680,19,FALSE))</f>
        <v>#N/A</v>
      </c>
      <c r="AB43" s="5328"/>
      <c r="AC43" s="5328"/>
      <c r="AD43" s="5328"/>
      <c r="AE43" s="5328"/>
      <c r="AF43" s="5328"/>
      <c r="AG43" s="5328"/>
      <c r="AH43" s="5328"/>
      <c r="AI43" s="5328"/>
      <c r="AJ43" s="5329"/>
      <c r="AK43" s="1216"/>
      <c r="AL43" s="1210"/>
      <c r="AM43" s="1210"/>
      <c r="AN43" s="2272"/>
      <c r="AO43" s="5325" t="s">
        <v>1677</v>
      </c>
      <c r="AP43" s="5326"/>
      <c r="AQ43" s="1235" t="e">
        <f>IF(AO41=0,"",VLOOKUP(AO41,'Tablas Magia'!$D$6:$Z$680,7,FALSE))</f>
        <v>#N/A</v>
      </c>
      <c r="AR43" s="1235" t="e">
        <f>IF(AO41=0,"",VLOOKUP(AO41,'Tablas Magia'!$D$6:$Z$680,11,FALSE))</f>
        <v>#N/A</v>
      </c>
      <c r="AS43" s="1236" t="e">
        <f>IF(AO41=0,"",VLOOKUP(AO41,'Tablas Magia'!$D$6:$Z$680,15,FALSE))</f>
        <v>#N/A</v>
      </c>
      <c r="AT43" s="5327" t="e">
        <f>IF(AO41=0,"",VLOOKUP(AO41,'Tablas Magia'!$D$6:$Z$680,19,FALSE))</f>
        <v>#N/A</v>
      </c>
      <c r="AU43" s="5328"/>
      <c r="AV43" s="5328"/>
      <c r="AW43" s="5328"/>
      <c r="AX43" s="5328"/>
      <c r="AY43" s="5328"/>
      <c r="AZ43" s="5328"/>
      <c r="BA43" s="5328"/>
      <c r="BB43" s="5328"/>
      <c r="BC43" s="5329"/>
      <c r="BD43" s="1216"/>
      <c r="BE43" s="1210"/>
      <c r="BF43" s="1210"/>
      <c r="BG43" s="2272"/>
      <c r="BH43" s="5325" t="s">
        <v>1677</v>
      </c>
      <c r="BI43" s="5326"/>
      <c r="BJ43" s="1235" t="e">
        <f>IF(BH41=0,"",VLOOKUP(BH41,'Tablas Magia'!$D$6:$Z$680,7,FALSE))</f>
        <v>#N/A</v>
      </c>
      <c r="BK43" s="1235" t="e">
        <f>IF(BH41=0,"",VLOOKUP(BH41,'Tablas Magia'!$D$6:$Z$680,11,FALSE))</f>
        <v>#N/A</v>
      </c>
      <c r="BL43" s="1236" t="e">
        <f>IF(BH41=0,"",VLOOKUP(BH41,'Tablas Magia'!$D$6:$Z$680,15,FALSE))</f>
        <v>#N/A</v>
      </c>
      <c r="BM43" s="5327" t="e">
        <f>IF(BH41=0,"",VLOOKUP(BH41,'Tablas Magia'!$D$6:$Z$680,19,FALSE))</f>
        <v>#N/A</v>
      </c>
      <c r="BN43" s="5328"/>
      <c r="BO43" s="5328"/>
      <c r="BP43" s="5328"/>
      <c r="BQ43" s="5328"/>
      <c r="BR43" s="5328"/>
      <c r="BS43" s="5328"/>
      <c r="BT43" s="5328"/>
      <c r="BU43" s="5328"/>
      <c r="BV43" s="5329"/>
      <c r="BW43" s="1216"/>
      <c r="BX43" s="1210"/>
      <c r="BY43" s="1210"/>
      <c r="BZ43" s="2272"/>
      <c r="CA43" s="5325" t="s">
        <v>1677</v>
      </c>
      <c r="CB43" s="5326"/>
      <c r="CC43" s="1235" t="e">
        <f>IF(CA41=0,"",VLOOKUP(CA41,'Tablas Magia'!$D$6:$Z$680,7,FALSE))</f>
        <v>#N/A</v>
      </c>
      <c r="CD43" s="1235" t="e">
        <f>IF(CA41=0,"",VLOOKUP(CA41,'Tablas Magia'!$D$6:$Z$680,11,FALSE))</f>
        <v>#N/A</v>
      </c>
      <c r="CE43" s="1236" t="e">
        <f>IF(CA41=0,"",VLOOKUP(CA41,'Tablas Magia'!$D$6:$Z$680,15,FALSE))</f>
        <v>#N/A</v>
      </c>
      <c r="CF43" s="5327" t="e">
        <f>IF(CA41=0,"",VLOOKUP(CA41,'Tablas Magia'!$D$6:$Z$680,19,FALSE))</f>
        <v>#N/A</v>
      </c>
      <c r="CG43" s="5328"/>
      <c r="CH43" s="5328"/>
      <c r="CI43" s="5328"/>
      <c r="CJ43" s="5328"/>
      <c r="CK43" s="5328"/>
      <c r="CL43" s="5328"/>
      <c r="CM43" s="5328"/>
      <c r="CN43" s="5328"/>
      <c r="CO43" s="5329"/>
      <c r="CP43" s="1216"/>
      <c r="CQ43" s="1210"/>
    </row>
    <row r="44" spans="1:95" ht="12" customHeight="1" x14ac:dyDescent="0.2">
      <c r="A44" s="1210"/>
      <c r="B44" s="2258"/>
      <c r="C44" s="5320" t="s">
        <v>4705</v>
      </c>
      <c r="D44" s="5321"/>
      <c r="E44" s="1237" t="e">
        <f>IF(C41=0,"",VLOOKUP(C41,'Tablas Magia'!$D$6:$Z$680,8,FALSE))</f>
        <v>#N/A</v>
      </c>
      <c r="F44" s="1237" t="e">
        <f>IF(C41=0,"",VLOOKUP(C41,'Tablas Magia'!$D$6:$Z$680,12,FALSE))</f>
        <v>#N/A</v>
      </c>
      <c r="G44" s="1238" t="e">
        <f>IF(C41=0,"",VLOOKUP(C41,'Tablas Magia'!$D$6:$Z$680,16,FALSE))</f>
        <v>#N/A</v>
      </c>
      <c r="H44" s="5322" t="e">
        <f>IF(C41=0,"",VLOOKUP(C41,'Tablas Magia'!$D$6:$Z$680,20,FALSE))</f>
        <v>#N/A</v>
      </c>
      <c r="I44" s="5323"/>
      <c r="J44" s="5323"/>
      <c r="K44" s="5323"/>
      <c r="L44" s="5323"/>
      <c r="M44" s="5323"/>
      <c r="N44" s="5323"/>
      <c r="O44" s="5323"/>
      <c r="P44" s="5323"/>
      <c r="Q44" s="5324"/>
      <c r="R44" s="1216"/>
      <c r="S44" s="1210"/>
      <c r="T44" s="1210"/>
      <c r="U44" s="2258"/>
      <c r="V44" s="5320" t="s">
        <v>4705</v>
      </c>
      <c r="W44" s="5321"/>
      <c r="X44" s="1237" t="e">
        <f>IF(V41=0,"",VLOOKUP(V41,'Tablas Magia'!$D$6:$Z$680,8,FALSE))</f>
        <v>#N/A</v>
      </c>
      <c r="Y44" s="1237" t="e">
        <f>IF(V41=0,"",VLOOKUP(V41,'Tablas Magia'!$D$6:$Z$680,12,FALSE))</f>
        <v>#N/A</v>
      </c>
      <c r="Z44" s="1238" t="e">
        <f>IF(V41=0,"",VLOOKUP(V41,'Tablas Magia'!$D$6:$Z$680,16,FALSE))</f>
        <v>#N/A</v>
      </c>
      <c r="AA44" s="5322" t="e">
        <f>IF(V41=0,"",VLOOKUP(V41,'Tablas Magia'!$D$6:$Z$680,20,FALSE))</f>
        <v>#N/A</v>
      </c>
      <c r="AB44" s="5323"/>
      <c r="AC44" s="5323"/>
      <c r="AD44" s="5323"/>
      <c r="AE44" s="5323"/>
      <c r="AF44" s="5323"/>
      <c r="AG44" s="5323"/>
      <c r="AH44" s="5323"/>
      <c r="AI44" s="5323"/>
      <c r="AJ44" s="5324"/>
      <c r="AK44" s="1216"/>
      <c r="AL44" s="1210"/>
      <c r="AM44" s="1210"/>
      <c r="AN44" s="2272"/>
      <c r="AO44" s="5320" t="s">
        <v>4705</v>
      </c>
      <c r="AP44" s="5321"/>
      <c r="AQ44" s="1237" t="e">
        <f>IF(AO41=0,"",VLOOKUP(AO41,'Tablas Magia'!$D$6:$Z$680,8,FALSE))</f>
        <v>#N/A</v>
      </c>
      <c r="AR44" s="1237" t="e">
        <f>IF(AO41=0,"",VLOOKUP(AO41,'Tablas Magia'!$D$6:$Z$680,12,FALSE))</f>
        <v>#N/A</v>
      </c>
      <c r="AS44" s="1238" t="e">
        <f>IF(AO41=0,"",VLOOKUP(AO41,'Tablas Magia'!$D$6:$Z$680,16,FALSE))</f>
        <v>#N/A</v>
      </c>
      <c r="AT44" s="5322" t="e">
        <f>IF(AO41=0,"",VLOOKUP(AO41,'Tablas Magia'!$D$6:$Z$680,20,FALSE))</f>
        <v>#N/A</v>
      </c>
      <c r="AU44" s="5323"/>
      <c r="AV44" s="5323"/>
      <c r="AW44" s="5323"/>
      <c r="AX44" s="5323"/>
      <c r="AY44" s="5323"/>
      <c r="AZ44" s="5323"/>
      <c r="BA44" s="5323"/>
      <c r="BB44" s="5323"/>
      <c r="BC44" s="5324"/>
      <c r="BD44" s="1216"/>
      <c r="BE44" s="1210"/>
      <c r="BF44" s="1210"/>
      <c r="BG44" s="2272"/>
      <c r="BH44" s="5320" t="s">
        <v>4705</v>
      </c>
      <c r="BI44" s="5321"/>
      <c r="BJ44" s="1237" t="e">
        <f>IF(BH41=0,"",VLOOKUP(BH41,'Tablas Magia'!$D$6:$Z$680,8,FALSE))</f>
        <v>#N/A</v>
      </c>
      <c r="BK44" s="1237" t="e">
        <f>IF(BH41=0,"",VLOOKUP(BH41,'Tablas Magia'!$D$6:$Z$680,12,FALSE))</f>
        <v>#N/A</v>
      </c>
      <c r="BL44" s="1238" t="e">
        <f>IF(BH41=0,"",VLOOKUP(BH41,'Tablas Magia'!$D$6:$Z$680,16,FALSE))</f>
        <v>#N/A</v>
      </c>
      <c r="BM44" s="5322" t="e">
        <f>IF(BH41=0,"",VLOOKUP(BH41,'Tablas Magia'!$D$6:$Z$680,20,FALSE))</f>
        <v>#N/A</v>
      </c>
      <c r="BN44" s="5323"/>
      <c r="BO44" s="5323"/>
      <c r="BP44" s="5323"/>
      <c r="BQ44" s="5323"/>
      <c r="BR44" s="5323"/>
      <c r="BS44" s="5323"/>
      <c r="BT44" s="5323"/>
      <c r="BU44" s="5323"/>
      <c r="BV44" s="5324"/>
      <c r="BW44" s="1216"/>
      <c r="BX44" s="1210"/>
      <c r="BY44" s="1210"/>
      <c r="BZ44" s="2272"/>
      <c r="CA44" s="5320" t="s">
        <v>4705</v>
      </c>
      <c r="CB44" s="5321"/>
      <c r="CC44" s="1237" t="e">
        <f>IF(CA41=0,"",VLOOKUP(CA41,'Tablas Magia'!$D$6:$Z$680,8,FALSE))</f>
        <v>#N/A</v>
      </c>
      <c r="CD44" s="1237" t="e">
        <f>IF(CA41=0,"",VLOOKUP(CA41,'Tablas Magia'!$D$6:$Z$680,12,FALSE))</f>
        <v>#N/A</v>
      </c>
      <c r="CE44" s="1238" t="e">
        <f>IF(CA41=0,"",VLOOKUP(CA41,'Tablas Magia'!$D$6:$Z$680,16,FALSE))</f>
        <v>#N/A</v>
      </c>
      <c r="CF44" s="5322" t="e">
        <f>IF(CA41=0,"",VLOOKUP(CA41,'Tablas Magia'!$D$6:$Z$680,20,FALSE))</f>
        <v>#N/A</v>
      </c>
      <c r="CG44" s="5323"/>
      <c r="CH44" s="5323"/>
      <c r="CI44" s="5323"/>
      <c r="CJ44" s="5323"/>
      <c r="CK44" s="5323"/>
      <c r="CL44" s="5323"/>
      <c r="CM44" s="5323"/>
      <c r="CN44" s="5323"/>
      <c r="CO44" s="5324"/>
      <c r="CP44" s="1216"/>
      <c r="CQ44" s="1210"/>
    </row>
    <row r="45" spans="1:95" ht="12" customHeight="1" x14ac:dyDescent="0.2">
      <c r="A45" s="1210"/>
      <c r="B45" s="2258"/>
      <c r="C45" s="5325" t="s">
        <v>4706</v>
      </c>
      <c r="D45" s="5326"/>
      <c r="E45" s="1235" t="e">
        <f>IF(C41=0,"",VLOOKUP(C41,'Tablas Magia'!$D$6:$Z$680,9,FALSE))</f>
        <v>#N/A</v>
      </c>
      <c r="F45" s="1235" t="e">
        <f>IF(C41=0,"",VLOOKUP(C41,'Tablas Magia'!$D$6:$Z$680,13,FALSE))</f>
        <v>#N/A</v>
      </c>
      <c r="G45" s="1236" t="e">
        <f>IF(C41=0,"",VLOOKUP(C41,'Tablas Magia'!$D$6:$Z$680,17,FALSE))</f>
        <v>#N/A</v>
      </c>
      <c r="H45" s="5327" t="e">
        <f>IF(C41=0,"",VLOOKUP(C41,'Tablas Magia'!$D$6:$Z$680,21,FALSE))</f>
        <v>#N/A</v>
      </c>
      <c r="I45" s="5328"/>
      <c r="J45" s="5328"/>
      <c r="K45" s="5328"/>
      <c r="L45" s="5328"/>
      <c r="M45" s="5328"/>
      <c r="N45" s="5328"/>
      <c r="O45" s="5328"/>
      <c r="P45" s="5328"/>
      <c r="Q45" s="5329"/>
      <c r="R45" s="1216"/>
      <c r="S45" s="1210"/>
      <c r="T45" s="1210"/>
      <c r="U45" s="2258"/>
      <c r="V45" s="5325" t="s">
        <v>4706</v>
      </c>
      <c r="W45" s="5326"/>
      <c r="X45" s="1235" t="e">
        <f>IF(V41=0,"",VLOOKUP(V41,'Tablas Magia'!$D$6:$Z$680,9,FALSE))</f>
        <v>#N/A</v>
      </c>
      <c r="Y45" s="1235" t="e">
        <f>IF(V41=0,"",VLOOKUP(V41,'Tablas Magia'!$D$6:$Z$680,13,FALSE))</f>
        <v>#N/A</v>
      </c>
      <c r="Z45" s="1236" t="e">
        <f>IF(V41=0,"",VLOOKUP(V41,'Tablas Magia'!$D$6:$Z$680,17,FALSE))</f>
        <v>#N/A</v>
      </c>
      <c r="AA45" s="5327" t="e">
        <f>IF(V41=0,"",VLOOKUP(V41,'Tablas Magia'!$D$6:$Z$680,21,FALSE))</f>
        <v>#N/A</v>
      </c>
      <c r="AB45" s="5328"/>
      <c r="AC45" s="5328"/>
      <c r="AD45" s="5328"/>
      <c r="AE45" s="5328"/>
      <c r="AF45" s="5328"/>
      <c r="AG45" s="5328"/>
      <c r="AH45" s="5328"/>
      <c r="AI45" s="5328"/>
      <c r="AJ45" s="5329"/>
      <c r="AK45" s="1216"/>
      <c r="AL45" s="1210"/>
      <c r="AM45" s="1210"/>
      <c r="AN45" s="2272"/>
      <c r="AO45" s="5325" t="s">
        <v>4706</v>
      </c>
      <c r="AP45" s="5326"/>
      <c r="AQ45" s="1235" t="e">
        <f>IF(AO41=0,"",VLOOKUP(AO41,'Tablas Magia'!$D$6:$Z$680,9,FALSE))</f>
        <v>#N/A</v>
      </c>
      <c r="AR45" s="1235" t="e">
        <f>IF(AO41=0,"",VLOOKUP(AO41,'Tablas Magia'!$D$6:$Z$680,13,FALSE))</f>
        <v>#N/A</v>
      </c>
      <c r="AS45" s="1236" t="e">
        <f>IF(AO41=0,"",VLOOKUP(AO41,'Tablas Magia'!$D$6:$Z$680,17,FALSE))</f>
        <v>#N/A</v>
      </c>
      <c r="AT45" s="5327" t="e">
        <f>IF(AO41=0,"",VLOOKUP(AO41,'Tablas Magia'!$D$6:$Z$680,21,FALSE))</f>
        <v>#N/A</v>
      </c>
      <c r="AU45" s="5328"/>
      <c r="AV45" s="5328"/>
      <c r="AW45" s="5328"/>
      <c r="AX45" s="5328"/>
      <c r="AY45" s="5328"/>
      <c r="AZ45" s="5328"/>
      <c r="BA45" s="5328"/>
      <c r="BB45" s="5328"/>
      <c r="BC45" s="5329"/>
      <c r="BD45" s="1216"/>
      <c r="BE45" s="1210"/>
      <c r="BF45" s="1210"/>
      <c r="BG45" s="2272"/>
      <c r="BH45" s="5325" t="s">
        <v>4706</v>
      </c>
      <c r="BI45" s="5326"/>
      <c r="BJ45" s="1235" t="e">
        <f>IF(BH41=0,"",VLOOKUP(BH41,'Tablas Magia'!$D$6:$Z$680,9,FALSE))</f>
        <v>#N/A</v>
      </c>
      <c r="BK45" s="1235" t="e">
        <f>IF(BH41=0,"",VLOOKUP(BH41,'Tablas Magia'!$D$6:$Z$680,13,FALSE))</f>
        <v>#N/A</v>
      </c>
      <c r="BL45" s="1236" t="e">
        <f>IF(BH41=0,"",VLOOKUP(BH41,'Tablas Magia'!$D$6:$Z$680,17,FALSE))</f>
        <v>#N/A</v>
      </c>
      <c r="BM45" s="5327" t="e">
        <f>IF(BH41=0,"",VLOOKUP(BH41,'Tablas Magia'!$D$6:$Z$680,21,FALSE))</f>
        <v>#N/A</v>
      </c>
      <c r="BN45" s="5328"/>
      <c r="BO45" s="5328"/>
      <c r="BP45" s="5328"/>
      <c r="BQ45" s="5328"/>
      <c r="BR45" s="5328"/>
      <c r="BS45" s="5328"/>
      <c r="BT45" s="5328"/>
      <c r="BU45" s="5328"/>
      <c r="BV45" s="5329"/>
      <c r="BW45" s="1216"/>
      <c r="BX45" s="1210"/>
      <c r="BY45" s="1210"/>
      <c r="BZ45" s="2272"/>
      <c r="CA45" s="5325" t="s">
        <v>4706</v>
      </c>
      <c r="CB45" s="5326"/>
      <c r="CC45" s="1235" t="e">
        <f>IF(CA41=0,"",VLOOKUP(CA41,'Tablas Magia'!$D$6:$Z$680,9,FALSE))</f>
        <v>#N/A</v>
      </c>
      <c r="CD45" s="1235" t="e">
        <f>IF(CA41=0,"",VLOOKUP(CA41,'Tablas Magia'!$D$6:$Z$680,13,FALSE))</f>
        <v>#N/A</v>
      </c>
      <c r="CE45" s="1236" t="e">
        <f>IF(CA41=0,"",VLOOKUP(CA41,'Tablas Magia'!$D$6:$Z$680,17,FALSE))</f>
        <v>#N/A</v>
      </c>
      <c r="CF45" s="5327" t="e">
        <f>IF(CA41=0,"",VLOOKUP(CA41,'Tablas Magia'!$D$6:$Z$680,21,FALSE))</f>
        <v>#N/A</v>
      </c>
      <c r="CG45" s="5328"/>
      <c r="CH45" s="5328"/>
      <c r="CI45" s="5328"/>
      <c r="CJ45" s="5328"/>
      <c r="CK45" s="5328"/>
      <c r="CL45" s="5328"/>
      <c r="CM45" s="5328"/>
      <c r="CN45" s="5328"/>
      <c r="CO45" s="5329"/>
      <c r="CP45" s="1216"/>
      <c r="CQ45" s="1210"/>
    </row>
    <row r="46" spans="1:95" ht="12" customHeight="1" thickBot="1" x14ac:dyDescent="0.25">
      <c r="A46" s="1210"/>
      <c r="B46" s="2258"/>
      <c r="C46" s="5335" t="s">
        <v>4707</v>
      </c>
      <c r="D46" s="5336"/>
      <c r="E46" s="1239" t="e">
        <f>IF(C41=0,"",VLOOKUP(C41,'Tablas Magia'!$D$6:$Z$680,10,FALSE))</f>
        <v>#N/A</v>
      </c>
      <c r="F46" s="1239" t="e">
        <f>IF(C41=0,"",VLOOKUP(C41,'Tablas Magia'!$D$6:$Z$680,14,FALSE))</f>
        <v>#N/A</v>
      </c>
      <c r="G46" s="1240" t="e">
        <f>IF(C41=0,"",VLOOKUP(C41,'Tablas Magia'!$D$6:$Z$680,18,FALSE))</f>
        <v>#N/A</v>
      </c>
      <c r="H46" s="5337" t="e">
        <f>IF(C41=0,"",VLOOKUP(C41,'Tablas Magia'!$D$6:$Z$680,22,FALSE))</f>
        <v>#N/A</v>
      </c>
      <c r="I46" s="5338"/>
      <c r="J46" s="5338"/>
      <c r="K46" s="5338"/>
      <c r="L46" s="5338"/>
      <c r="M46" s="5338"/>
      <c r="N46" s="5338"/>
      <c r="O46" s="5338"/>
      <c r="P46" s="5338"/>
      <c r="Q46" s="5339"/>
      <c r="R46" s="1216"/>
      <c r="S46" s="1210"/>
      <c r="T46" s="1210"/>
      <c r="U46" s="2258"/>
      <c r="V46" s="5335" t="s">
        <v>4707</v>
      </c>
      <c r="W46" s="5336"/>
      <c r="X46" s="1239" t="e">
        <f>IF(V41=0,"",VLOOKUP(V41,'Tablas Magia'!$D$6:$Z$680,10,FALSE))</f>
        <v>#N/A</v>
      </c>
      <c r="Y46" s="1239" t="e">
        <f>IF(V41=0,"",VLOOKUP(V41,'Tablas Magia'!$D$6:$Z$680,14,FALSE))</f>
        <v>#N/A</v>
      </c>
      <c r="Z46" s="1240" t="e">
        <f>IF(V41=0,"",VLOOKUP(V41,'Tablas Magia'!$D$6:$Z$680,18,FALSE))</f>
        <v>#N/A</v>
      </c>
      <c r="AA46" s="5337" t="e">
        <f>IF(V41=0,"",VLOOKUP(V41,'Tablas Magia'!$D$6:$Z$680,22,FALSE))</f>
        <v>#N/A</v>
      </c>
      <c r="AB46" s="5338"/>
      <c r="AC46" s="5338"/>
      <c r="AD46" s="5338"/>
      <c r="AE46" s="5338"/>
      <c r="AF46" s="5338"/>
      <c r="AG46" s="5338"/>
      <c r="AH46" s="5338"/>
      <c r="AI46" s="5338"/>
      <c r="AJ46" s="5339"/>
      <c r="AK46" s="1216"/>
      <c r="AL46" s="1210"/>
      <c r="AM46" s="1210"/>
      <c r="AN46" s="2272"/>
      <c r="AO46" s="5335" t="s">
        <v>4707</v>
      </c>
      <c r="AP46" s="5336"/>
      <c r="AQ46" s="1239" t="e">
        <f>IF(AO41=0,"",VLOOKUP(AO41,'Tablas Magia'!$D$6:$Z$680,10,FALSE))</f>
        <v>#N/A</v>
      </c>
      <c r="AR46" s="1239" t="e">
        <f>IF(AO41=0,"",VLOOKUP(AO41,'Tablas Magia'!$D$6:$Z$680,14,FALSE))</f>
        <v>#N/A</v>
      </c>
      <c r="AS46" s="1240" t="e">
        <f>IF(AO41=0,"",VLOOKUP(AO41,'Tablas Magia'!$D$6:$Z$680,18,FALSE))</f>
        <v>#N/A</v>
      </c>
      <c r="AT46" s="5337" t="e">
        <f>IF(AO41=0,"",VLOOKUP(AO41,'Tablas Magia'!$D$6:$Z$680,22,FALSE))</f>
        <v>#N/A</v>
      </c>
      <c r="AU46" s="5338"/>
      <c r="AV46" s="5338"/>
      <c r="AW46" s="5338"/>
      <c r="AX46" s="5338"/>
      <c r="AY46" s="5338"/>
      <c r="AZ46" s="5338"/>
      <c r="BA46" s="5338"/>
      <c r="BB46" s="5338"/>
      <c r="BC46" s="5339"/>
      <c r="BD46" s="1216"/>
      <c r="BE46" s="1210"/>
      <c r="BF46" s="1210"/>
      <c r="BG46" s="2272"/>
      <c r="BH46" s="5335" t="s">
        <v>4707</v>
      </c>
      <c r="BI46" s="5336"/>
      <c r="BJ46" s="1239" t="e">
        <f>IF(BH41=0,"",VLOOKUP(BH41,'Tablas Magia'!$D$6:$Z$680,10,FALSE))</f>
        <v>#N/A</v>
      </c>
      <c r="BK46" s="1239" t="e">
        <f>IF(BH41=0,"",VLOOKUP(BH41,'Tablas Magia'!$D$6:$Z$680,14,FALSE))</f>
        <v>#N/A</v>
      </c>
      <c r="BL46" s="1240" t="e">
        <f>IF(BH41=0,"",VLOOKUP(BH41,'Tablas Magia'!$D$6:$Z$680,18,FALSE))</f>
        <v>#N/A</v>
      </c>
      <c r="BM46" s="5337" t="e">
        <f>IF(BH41=0,"",VLOOKUP(BH41,'Tablas Magia'!$D$6:$Z$680,22,FALSE))</f>
        <v>#N/A</v>
      </c>
      <c r="BN46" s="5338"/>
      <c r="BO46" s="5338"/>
      <c r="BP46" s="5338"/>
      <c r="BQ46" s="5338"/>
      <c r="BR46" s="5338"/>
      <c r="BS46" s="5338"/>
      <c r="BT46" s="5338"/>
      <c r="BU46" s="5338"/>
      <c r="BV46" s="5339"/>
      <c r="BW46" s="1216"/>
      <c r="BX46" s="1210"/>
      <c r="BY46" s="1210"/>
      <c r="BZ46" s="2272"/>
      <c r="CA46" s="5335" t="s">
        <v>4707</v>
      </c>
      <c r="CB46" s="5336"/>
      <c r="CC46" s="1239" t="e">
        <f>IF(CA41=0,"",VLOOKUP(CA41,'Tablas Magia'!$D$6:$Z$680,10,FALSE))</f>
        <v>#N/A</v>
      </c>
      <c r="CD46" s="1239" t="e">
        <f>IF(CA41=0,"",VLOOKUP(CA41,'Tablas Magia'!$D$6:$Z$680,14,FALSE))</f>
        <v>#N/A</v>
      </c>
      <c r="CE46" s="1240" t="e">
        <f>IF(CA41=0,"",VLOOKUP(CA41,'Tablas Magia'!$D$6:$Z$680,18,FALSE))</f>
        <v>#N/A</v>
      </c>
      <c r="CF46" s="5337" t="e">
        <f>IF(CA41=0,"",VLOOKUP(CA41,'Tablas Magia'!$D$6:$Z$680,22,FALSE))</f>
        <v>#N/A</v>
      </c>
      <c r="CG46" s="5338"/>
      <c r="CH46" s="5338"/>
      <c r="CI46" s="5338"/>
      <c r="CJ46" s="5338"/>
      <c r="CK46" s="5338"/>
      <c r="CL46" s="5338"/>
      <c r="CM46" s="5338"/>
      <c r="CN46" s="5338"/>
      <c r="CO46" s="5339"/>
      <c r="CP46" s="1216"/>
      <c r="CQ46" s="1210"/>
    </row>
    <row r="47" spans="1:95" ht="12" customHeight="1" x14ac:dyDescent="0.2">
      <c r="A47" s="1210"/>
      <c r="B47" s="2258"/>
      <c r="C47" s="5340" t="e">
        <f>IF(C41=0,"",VLOOKUP(C41,'Tablas Magia'!$D$6:$Z$680,23,FALSE))</f>
        <v>#N/A</v>
      </c>
      <c r="D47" s="5341"/>
      <c r="E47" s="5341"/>
      <c r="F47" s="5341"/>
      <c r="G47" s="5341"/>
      <c r="H47" s="5341"/>
      <c r="I47" s="5341"/>
      <c r="J47" s="5341"/>
      <c r="K47" s="5341"/>
      <c r="L47" s="5341"/>
      <c r="M47" s="5341"/>
      <c r="N47" s="5341"/>
      <c r="O47" s="5341"/>
      <c r="P47" s="5341"/>
      <c r="Q47" s="5342"/>
      <c r="R47" s="1216"/>
      <c r="S47" s="1210"/>
      <c r="T47" s="1210"/>
      <c r="U47" s="2258"/>
      <c r="V47" s="5340" t="e">
        <f>IF(V41=0,"",VLOOKUP(V41,'Tablas Magia'!$D$6:$Z$680,23,FALSE))</f>
        <v>#N/A</v>
      </c>
      <c r="W47" s="5341"/>
      <c r="X47" s="5341"/>
      <c r="Y47" s="5341"/>
      <c r="Z47" s="5341"/>
      <c r="AA47" s="5341"/>
      <c r="AB47" s="5341"/>
      <c r="AC47" s="5341"/>
      <c r="AD47" s="5341"/>
      <c r="AE47" s="5341"/>
      <c r="AF47" s="5341"/>
      <c r="AG47" s="5341"/>
      <c r="AH47" s="5341"/>
      <c r="AI47" s="5341"/>
      <c r="AJ47" s="5342"/>
      <c r="AK47" s="1216"/>
      <c r="AL47" s="1210"/>
      <c r="AM47" s="1210"/>
      <c r="AN47" s="2272"/>
      <c r="AO47" s="5340" t="e">
        <f>IF(AO41=0,"",VLOOKUP(AO41,'Tablas Magia'!$D$6:$Z$680,23,FALSE))</f>
        <v>#N/A</v>
      </c>
      <c r="AP47" s="5341"/>
      <c r="AQ47" s="5341"/>
      <c r="AR47" s="5341"/>
      <c r="AS47" s="5341"/>
      <c r="AT47" s="5341"/>
      <c r="AU47" s="5341"/>
      <c r="AV47" s="5341"/>
      <c r="AW47" s="5341"/>
      <c r="AX47" s="5341"/>
      <c r="AY47" s="5341"/>
      <c r="AZ47" s="5341"/>
      <c r="BA47" s="5341"/>
      <c r="BB47" s="5341"/>
      <c r="BC47" s="5342"/>
      <c r="BD47" s="1216"/>
      <c r="BE47" s="1210"/>
      <c r="BF47" s="1210"/>
      <c r="BG47" s="2272"/>
      <c r="BH47" s="5340" t="e">
        <f>IF(BH41=0,"",VLOOKUP(BH41,'Tablas Magia'!$D$6:$Z$680,23,FALSE))</f>
        <v>#N/A</v>
      </c>
      <c r="BI47" s="5341"/>
      <c r="BJ47" s="5341"/>
      <c r="BK47" s="5341"/>
      <c r="BL47" s="5341"/>
      <c r="BM47" s="5341"/>
      <c r="BN47" s="5341"/>
      <c r="BO47" s="5341"/>
      <c r="BP47" s="5341"/>
      <c r="BQ47" s="5341"/>
      <c r="BR47" s="5341"/>
      <c r="BS47" s="5341"/>
      <c r="BT47" s="5341"/>
      <c r="BU47" s="5341"/>
      <c r="BV47" s="5342"/>
      <c r="BW47" s="1216"/>
      <c r="BX47" s="1210"/>
      <c r="BY47" s="1210"/>
      <c r="BZ47" s="2272"/>
      <c r="CA47" s="5340" t="e">
        <f>IF(CA41=0,"",VLOOKUP(CA41,'Tablas Magia'!$D$6:$Z$680,23,FALSE))</f>
        <v>#N/A</v>
      </c>
      <c r="CB47" s="5341"/>
      <c r="CC47" s="5341"/>
      <c r="CD47" s="5341"/>
      <c r="CE47" s="5341"/>
      <c r="CF47" s="5341"/>
      <c r="CG47" s="5341"/>
      <c r="CH47" s="5341"/>
      <c r="CI47" s="5341"/>
      <c r="CJ47" s="5341"/>
      <c r="CK47" s="5341"/>
      <c r="CL47" s="5341"/>
      <c r="CM47" s="5341"/>
      <c r="CN47" s="5341"/>
      <c r="CO47" s="5342"/>
      <c r="CP47" s="1216"/>
      <c r="CQ47" s="1210"/>
    </row>
    <row r="48" spans="1:95" ht="12" customHeight="1" x14ac:dyDescent="0.2">
      <c r="A48" s="1210"/>
      <c r="B48" s="2258"/>
      <c r="C48" s="5343"/>
      <c r="D48" s="5344"/>
      <c r="E48" s="5344"/>
      <c r="F48" s="5344"/>
      <c r="G48" s="5344"/>
      <c r="H48" s="5344"/>
      <c r="I48" s="5344"/>
      <c r="J48" s="5344"/>
      <c r="K48" s="5344"/>
      <c r="L48" s="5344"/>
      <c r="M48" s="5344"/>
      <c r="N48" s="5344"/>
      <c r="O48" s="5344"/>
      <c r="P48" s="5344"/>
      <c r="Q48" s="5345"/>
      <c r="R48" s="1216"/>
      <c r="S48" s="1210"/>
      <c r="T48" s="1210"/>
      <c r="U48" s="2258"/>
      <c r="V48" s="5343"/>
      <c r="W48" s="5344"/>
      <c r="X48" s="5344"/>
      <c r="Y48" s="5344"/>
      <c r="Z48" s="5344"/>
      <c r="AA48" s="5344"/>
      <c r="AB48" s="5344"/>
      <c r="AC48" s="5344"/>
      <c r="AD48" s="5344"/>
      <c r="AE48" s="5344"/>
      <c r="AF48" s="5344"/>
      <c r="AG48" s="5344"/>
      <c r="AH48" s="5344"/>
      <c r="AI48" s="5344"/>
      <c r="AJ48" s="5345"/>
      <c r="AK48" s="1216"/>
      <c r="AL48" s="1210"/>
      <c r="AM48" s="1210"/>
      <c r="AN48" s="2272"/>
      <c r="AO48" s="5343"/>
      <c r="AP48" s="5344"/>
      <c r="AQ48" s="5344"/>
      <c r="AR48" s="5344"/>
      <c r="AS48" s="5344"/>
      <c r="AT48" s="5344"/>
      <c r="AU48" s="5344"/>
      <c r="AV48" s="5344"/>
      <c r="AW48" s="5344"/>
      <c r="AX48" s="5344"/>
      <c r="AY48" s="5344"/>
      <c r="AZ48" s="5344"/>
      <c r="BA48" s="5344"/>
      <c r="BB48" s="5344"/>
      <c r="BC48" s="5345"/>
      <c r="BD48" s="1216"/>
      <c r="BE48" s="1210"/>
      <c r="BF48" s="1210"/>
      <c r="BG48" s="2272"/>
      <c r="BH48" s="5343"/>
      <c r="BI48" s="5344"/>
      <c r="BJ48" s="5344"/>
      <c r="BK48" s="5344"/>
      <c r="BL48" s="5344"/>
      <c r="BM48" s="5344"/>
      <c r="BN48" s="5344"/>
      <c r="BO48" s="5344"/>
      <c r="BP48" s="5344"/>
      <c r="BQ48" s="5344"/>
      <c r="BR48" s="5344"/>
      <c r="BS48" s="5344"/>
      <c r="BT48" s="5344"/>
      <c r="BU48" s="5344"/>
      <c r="BV48" s="5345"/>
      <c r="BW48" s="1216"/>
      <c r="BX48" s="1210"/>
      <c r="BY48" s="1210"/>
      <c r="BZ48" s="2272"/>
      <c r="CA48" s="5343"/>
      <c r="CB48" s="5344"/>
      <c r="CC48" s="5344"/>
      <c r="CD48" s="5344"/>
      <c r="CE48" s="5344"/>
      <c r="CF48" s="5344"/>
      <c r="CG48" s="5344"/>
      <c r="CH48" s="5344"/>
      <c r="CI48" s="5344"/>
      <c r="CJ48" s="5344"/>
      <c r="CK48" s="5344"/>
      <c r="CL48" s="5344"/>
      <c r="CM48" s="5344"/>
      <c r="CN48" s="5344"/>
      <c r="CO48" s="5345"/>
      <c r="CP48" s="1216"/>
      <c r="CQ48" s="1210"/>
    </row>
    <row r="49" spans="1:95" ht="12" customHeight="1" x14ac:dyDescent="0.2">
      <c r="A49" s="1210"/>
      <c r="B49" s="2258"/>
      <c r="C49" s="5343"/>
      <c r="D49" s="5344"/>
      <c r="E49" s="5344"/>
      <c r="F49" s="5344"/>
      <c r="G49" s="5344"/>
      <c r="H49" s="5344"/>
      <c r="I49" s="5344"/>
      <c r="J49" s="5344"/>
      <c r="K49" s="5344"/>
      <c r="L49" s="5344"/>
      <c r="M49" s="5344"/>
      <c r="N49" s="5344"/>
      <c r="O49" s="5344"/>
      <c r="P49" s="5344"/>
      <c r="Q49" s="5345"/>
      <c r="R49" s="1216"/>
      <c r="S49" s="1210"/>
      <c r="T49" s="1210"/>
      <c r="U49" s="2258"/>
      <c r="V49" s="5343"/>
      <c r="W49" s="5344"/>
      <c r="X49" s="5344"/>
      <c r="Y49" s="5344"/>
      <c r="Z49" s="5344"/>
      <c r="AA49" s="5344"/>
      <c r="AB49" s="5344"/>
      <c r="AC49" s="5344"/>
      <c r="AD49" s="5344"/>
      <c r="AE49" s="5344"/>
      <c r="AF49" s="5344"/>
      <c r="AG49" s="5344"/>
      <c r="AH49" s="5344"/>
      <c r="AI49" s="5344"/>
      <c r="AJ49" s="5345"/>
      <c r="AK49" s="1216"/>
      <c r="AL49" s="1210"/>
      <c r="AM49" s="1210"/>
      <c r="AN49" s="2272"/>
      <c r="AO49" s="5343"/>
      <c r="AP49" s="5344"/>
      <c r="AQ49" s="5344"/>
      <c r="AR49" s="5344"/>
      <c r="AS49" s="5344"/>
      <c r="AT49" s="5344"/>
      <c r="AU49" s="5344"/>
      <c r="AV49" s="5344"/>
      <c r="AW49" s="5344"/>
      <c r="AX49" s="5344"/>
      <c r="AY49" s="5344"/>
      <c r="AZ49" s="5344"/>
      <c r="BA49" s="5344"/>
      <c r="BB49" s="5344"/>
      <c r="BC49" s="5345"/>
      <c r="BD49" s="1216"/>
      <c r="BE49" s="1210"/>
      <c r="BF49" s="1210"/>
      <c r="BG49" s="2272"/>
      <c r="BH49" s="5343"/>
      <c r="BI49" s="5344"/>
      <c r="BJ49" s="5344"/>
      <c r="BK49" s="5344"/>
      <c r="BL49" s="5344"/>
      <c r="BM49" s="5344"/>
      <c r="BN49" s="5344"/>
      <c r="BO49" s="5344"/>
      <c r="BP49" s="5344"/>
      <c r="BQ49" s="5344"/>
      <c r="BR49" s="5344"/>
      <c r="BS49" s="5344"/>
      <c r="BT49" s="5344"/>
      <c r="BU49" s="5344"/>
      <c r="BV49" s="5345"/>
      <c r="BW49" s="1216"/>
      <c r="BX49" s="1210"/>
      <c r="BY49" s="1210"/>
      <c r="BZ49" s="2272"/>
      <c r="CA49" s="5343"/>
      <c r="CB49" s="5344"/>
      <c r="CC49" s="5344"/>
      <c r="CD49" s="5344"/>
      <c r="CE49" s="5344"/>
      <c r="CF49" s="5344"/>
      <c r="CG49" s="5344"/>
      <c r="CH49" s="5344"/>
      <c r="CI49" s="5344"/>
      <c r="CJ49" s="5344"/>
      <c r="CK49" s="5344"/>
      <c r="CL49" s="5344"/>
      <c r="CM49" s="5344"/>
      <c r="CN49" s="5344"/>
      <c r="CO49" s="5345"/>
      <c r="CP49" s="1216"/>
      <c r="CQ49" s="1210"/>
    </row>
    <row r="50" spans="1:95" ht="12" customHeight="1" thickBot="1" x14ac:dyDescent="0.25">
      <c r="A50" s="1210"/>
      <c r="B50" s="2258"/>
      <c r="C50" s="5346"/>
      <c r="D50" s="5347"/>
      <c r="E50" s="5347"/>
      <c r="F50" s="5347"/>
      <c r="G50" s="5347"/>
      <c r="H50" s="5347"/>
      <c r="I50" s="5347"/>
      <c r="J50" s="5347"/>
      <c r="K50" s="5347"/>
      <c r="L50" s="5347"/>
      <c r="M50" s="5347"/>
      <c r="N50" s="5347"/>
      <c r="O50" s="5347"/>
      <c r="P50" s="5347"/>
      <c r="Q50" s="5348"/>
      <c r="R50" s="1216"/>
      <c r="S50" s="1210"/>
      <c r="T50" s="1210"/>
      <c r="U50" s="2258"/>
      <c r="V50" s="5346"/>
      <c r="W50" s="5347"/>
      <c r="X50" s="5347"/>
      <c r="Y50" s="5347"/>
      <c r="Z50" s="5347"/>
      <c r="AA50" s="5347"/>
      <c r="AB50" s="5347"/>
      <c r="AC50" s="5347"/>
      <c r="AD50" s="5347"/>
      <c r="AE50" s="5347"/>
      <c r="AF50" s="5347"/>
      <c r="AG50" s="5347"/>
      <c r="AH50" s="5347"/>
      <c r="AI50" s="5347"/>
      <c r="AJ50" s="5348"/>
      <c r="AK50" s="1216"/>
      <c r="AL50" s="1210"/>
      <c r="AM50" s="1210"/>
      <c r="AN50" s="2272"/>
      <c r="AO50" s="5346"/>
      <c r="AP50" s="5347"/>
      <c r="AQ50" s="5347"/>
      <c r="AR50" s="5347"/>
      <c r="AS50" s="5347"/>
      <c r="AT50" s="5347"/>
      <c r="AU50" s="5347"/>
      <c r="AV50" s="5347"/>
      <c r="AW50" s="5347"/>
      <c r="AX50" s="5347"/>
      <c r="AY50" s="5347"/>
      <c r="AZ50" s="5347"/>
      <c r="BA50" s="5347"/>
      <c r="BB50" s="5347"/>
      <c r="BC50" s="5348"/>
      <c r="BD50" s="1216"/>
      <c r="BE50" s="1210"/>
      <c r="BF50" s="1210"/>
      <c r="BG50" s="2272"/>
      <c r="BH50" s="5346"/>
      <c r="BI50" s="5347"/>
      <c r="BJ50" s="5347"/>
      <c r="BK50" s="5347"/>
      <c r="BL50" s="5347"/>
      <c r="BM50" s="5347"/>
      <c r="BN50" s="5347"/>
      <c r="BO50" s="5347"/>
      <c r="BP50" s="5347"/>
      <c r="BQ50" s="5347"/>
      <c r="BR50" s="5347"/>
      <c r="BS50" s="5347"/>
      <c r="BT50" s="5347"/>
      <c r="BU50" s="5347"/>
      <c r="BV50" s="5348"/>
      <c r="BW50" s="1216"/>
      <c r="BX50" s="1210"/>
      <c r="BY50" s="1210"/>
      <c r="BZ50" s="2272"/>
      <c r="CA50" s="5346"/>
      <c r="CB50" s="5347"/>
      <c r="CC50" s="5347"/>
      <c r="CD50" s="5347"/>
      <c r="CE50" s="5347"/>
      <c r="CF50" s="5347"/>
      <c r="CG50" s="5347"/>
      <c r="CH50" s="5347"/>
      <c r="CI50" s="5347"/>
      <c r="CJ50" s="5347"/>
      <c r="CK50" s="5347"/>
      <c r="CL50" s="5347"/>
      <c r="CM50" s="5347"/>
      <c r="CN50" s="5347"/>
      <c r="CO50" s="5348"/>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49"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0"/>
      <c r="E52" s="5350"/>
      <c r="F52" s="5350"/>
      <c r="G52" s="5350"/>
      <c r="H52" s="1230" t="s">
        <v>1630</v>
      </c>
      <c r="I52" s="1231">
        <f>IF(C52=0,"",VLOOKUP(C52,'Tablas Magia'!$D$6:$Z$680,3,FALSE))</f>
        <v>10</v>
      </c>
      <c r="J52" s="5315" t="s">
        <v>8162</v>
      </c>
      <c r="K52" s="5315"/>
      <c r="L52" s="5315"/>
      <c r="M52" s="5316" t="str">
        <f>IF(C52=0,"",VLOOKUP(C52,'Tablas Magia'!$D$6:$Z$680,2,FALSE))</f>
        <v>Fuego</v>
      </c>
      <c r="N52" s="5316"/>
      <c r="O52" s="5316"/>
      <c r="P52" s="5316"/>
      <c r="Q52" s="5317"/>
      <c r="R52" s="1216"/>
      <c r="S52" s="1210"/>
      <c r="T52" s="1210"/>
      <c r="U52" s="2258">
        <f>U41+2</f>
        <v>30</v>
      </c>
      <c r="V52" s="5349"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0"/>
      <c r="X52" s="5350"/>
      <c r="Y52" s="5350"/>
      <c r="Z52" s="5350"/>
      <c r="AA52" s="1230" t="s">
        <v>1630</v>
      </c>
      <c r="AB52" s="1231">
        <f>IF(V52=0,"",VLOOKUP(V52,'Tablas Magia'!$D$6:$Z$680,3,FALSE))</f>
        <v>30</v>
      </c>
      <c r="AC52" s="5315" t="s">
        <v>8162</v>
      </c>
      <c r="AD52" s="5315"/>
      <c r="AE52" s="5315"/>
      <c r="AF52" s="5316" t="str">
        <f>IF(V52=0,"",VLOOKUP(V52,'Tablas Magia'!$D$6:$Z$680,2,FALSE))</f>
        <v>Fuego</v>
      </c>
      <c r="AG52" s="5316"/>
      <c r="AH52" s="5316"/>
      <c r="AI52" s="5316"/>
      <c r="AJ52" s="5317"/>
      <c r="AK52" s="1216"/>
      <c r="AL52" s="1210"/>
      <c r="AM52" s="1210"/>
      <c r="AN52" s="2272">
        <f>AN41+2</f>
        <v>50</v>
      </c>
      <c r="AO52" s="5349"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0"/>
      <c r="AQ52" s="5350"/>
      <c r="AR52" s="5350"/>
      <c r="AS52" s="5350"/>
      <c r="AT52" s="1230" t="s">
        <v>1630</v>
      </c>
      <c r="AU52" s="1231">
        <f>IF(AO52=0,"",VLOOKUP(AO52,'Tablas Magia'!$D$6:$Z$680,3,FALSE))</f>
        <v>50</v>
      </c>
      <c r="AV52" s="5315" t="s">
        <v>8162</v>
      </c>
      <c r="AW52" s="5315"/>
      <c r="AX52" s="5315"/>
      <c r="AY52" s="5316" t="str">
        <f>IF(AO52=0,"",VLOOKUP(AO52,'Tablas Magia'!$D$6:$Z$680,2,FALSE))</f>
        <v>Fuego</v>
      </c>
      <c r="AZ52" s="5316"/>
      <c r="BA52" s="5316"/>
      <c r="BB52" s="5316"/>
      <c r="BC52" s="5317"/>
      <c r="BD52" s="1216"/>
      <c r="BE52" s="1210"/>
      <c r="BF52" s="1210"/>
      <c r="BG52" s="2272">
        <f>BG41+2</f>
        <v>70</v>
      </c>
      <c r="BH52" s="5349"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0"/>
      <c r="BJ52" s="5350"/>
      <c r="BK52" s="5350"/>
      <c r="BL52" s="5350"/>
      <c r="BM52" s="1230" t="s">
        <v>1630</v>
      </c>
      <c r="BN52" s="1231">
        <f>IF(BH52=0,"",VLOOKUP(BH52,'Tablas Magia'!$D$6:$Z$680,3,FALSE))</f>
        <v>70</v>
      </c>
      <c r="BO52" s="5315" t="s">
        <v>8162</v>
      </c>
      <c r="BP52" s="5315"/>
      <c r="BQ52" s="5315"/>
      <c r="BR52" s="5316" t="str">
        <f>IF(BH52=0,"",VLOOKUP(BH52,'Tablas Magia'!$D$6:$Z$680,2,FALSE))</f>
        <v>Fuego</v>
      </c>
      <c r="BS52" s="5316"/>
      <c r="BT52" s="5316"/>
      <c r="BU52" s="5316"/>
      <c r="BV52" s="5317"/>
      <c r="BW52" s="1216"/>
      <c r="BX52" s="1210"/>
      <c r="BY52" s="1210"/>
      <c r="BZ52" s="2272">
        <f>BZ41+2</f>
        <v>90</v>
      </c>
      <c r="CA52" s="5349"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0"/>
      <c r="CC52" s="5350"/>
      <c r="CD52" s="5350"/>
      <c r="CE52" s="5350"/>
      <c r="CF52" s="1230" t="s">
        <v>1630</v>
      </c>
      <c r="CG52" s="1231">
        <f>IF(CA52=0,"",VLOOKUP(CA52,'Tablas Magia'!$D$6:$Z$680,3,FALSE))</f>
        <v>90</v>
      </c>
      <c r="CH52" s="5315" t="s">
        <v>8162</v>
      </c>
      <c r="CI52" s="5315"/>
      <c r="CJ52" s="5315"/>
      <c r="CK52" s="5316" t="str">
        <f>IF(CA52=0,"",VLOOKUP(CA52,'Tablas Magia'!$D$6:$Z$680,2,FALSE))</f>
        <v>Fuego</v>
      </c>
      <c r="CL52" s="5316"/>
      <c r="CM52" s="5316"/>
      <c r="CN52" s="5316"/>
      <c r="CO52" s="5317"/>
      <c r="CP52" s="1216"/>
      <c r="CQ52" s="1210"/>
    </row>
    <row r="53" spans="1:95" ht="12" customHeight="1" x14ac:dyDescent="0.2">
      <c r="A53" s="1210"/>
      <c r="B53" s="2258"/>
      <c r="C53" s="5333" t="s">
        <v>8163</v>
      </c>
      <c r="D53" s="5334"/>
      <c r="E53" s="1232" t="s">
        <v>8164</v>
      </c>
      <c r="F53" s="1232" t="s">
        <v>1824</v>
      </c>
      <c r="G53" s="1232" t="s">
        <v>3467</v>
      </c>
      <c r="H53" s="1233" t="s">
        <v>2175</v>
      </c>
      <c r="I53" s="5330" t="str">
        <f>IF(C52=0,"",VLOOKUP(C52,'Tablas Magia'!$D$6:$Z$680,5,FALSE))</f>
        <v>Efecto</v>
      </c>
      <c r="J53" s="5330"/>
      <c r="K53" s="5331" t="s">
        <v>8165</v>
      </c>
      <c r="L53" s="5331"/>
      <c r="M53" s="5330" t="str">
        <f>IF(C52=0,"",VLOOKUP(C52,'Tablas Magia'!$D$6:$Z$680,6,FALSE))</f>
        <v>Activa</v>
      </c>
      <c r="N53" s="5330"/>
      <c r="O53" s="5332" t="s">
        <v>8166</v>
      </c>
      <c r="P53" s="5332"/>
      <c r="Q53" s="1234" t="str">
        <f>IF(C52=0,"",VLOOKUP(C52,'Tablas Magia'!$D$6:$Z$680,4,FALSE))</f>
        <v>Si</v>
      </c>
      <c r="R53" s="1216"/>
      <c r="S53" s="1210"/>
      <c r="T53" s="1210"/>
      <c r="U53" s="2258"/>
      <c r="V53" s="5333" t="s">
        <v>8163</v>
      </c>
      <c r="W53" s="5334"/>
      <c r="X53" s="1232" t="s">
        <v>8164</v>
      </c>
      <c r="Y53" s="1232" t="s">
        <v>1824</v>
      </c>
      <c r="Z53" s="1232" t="s">
        <v>3467</v>
      </c>
      <c r="AA53" s="1233" t="s">
        <v>2175</v>
      </c>
      <c r="AB53" s="5330" t="str">
        <f>IF(V52=0,"",VLOOKUP(V52,'Tablas Magia'!$D$6:$Z$680,5,FALSE))</f>
        <v>Ataque</v>
      </c>
      <c r="AC53" s="5330"/>
      <c r="AD53" s="5331" t="s">
        <v>8165</v>
      </c>
      <c r="AE53" s="5331"/>
      <c r="AF53" s="5330" t="str">
        <f>IF(V52=0,"",VLOOKUP(V52,'Tablas Magia'!$D$6:$Z$680,6,FALSE))</f>
        <v>Activa</v>
      </c>
      <c r="AG53" s="5330"/>
      <c r="AH53" s="5332" t="s">
        <v>8166</v>
      </c>
      <c r="AI53" s="5332"/>
      <c r="AJ53" s="1234" t="str">
        <f>IF(V52=0,"",VLOOKUP(V52,'Tablas Magia'!$D$6:$Z$680,4,FALSE))</f>
        <v>No</v>
      </c>
      <c r="AK53" s="1216"/>
      <c r="AL53" s="1210"/>
      <c r="AM53" s="1210"/>
      <c r="AN53" s="2272"/>
      <c r="AO53" s="5333" t="s">
        <v>8163</v>
      </c>
      <c r="AP53" s="5334"/>
      <c r="AQ53" s="1232" t="s">
        <v>8164</v>
      </c>
      <c r="AR53" s="1232" t="s">
        <v>1824</v>
      </c>
      <c r="AS53" s="1232" t="s">
        <v>3467</v>
      </c>
      <c r="AT53" s="1233" t="s">
        <v>2175</v>
      </c>
      <c r="AU53" s="5330" t="str">
        <f>IF(AO52=0,"",VLOOKUP(AO52,'Tablas Magia'!$D$6:$Z$680,5,FALSE))</f>
        <v>Efecto</v>
      </c>
      <c r="AV53" s="5330"/>
      <c r="AW53" s="5331" t="s">
        <v>8165</v>
      </c>
      <c r="AX53" s="5331"/>
      <c r="AY53" s="5330" t="str">
        <f>IF(AO52=0,"",VLOOKUP(AO52,'Tablas Magia'!$D$6:$Z$680,6,FALSE))</f>
        <v>Activa</v>
      </c>
      <c r="AZ53" s="5330"/>
      <c r="BA53" s="5332" t="s">
        <v>8166</v>
      </c>
      <c r="BB53" s="5332"/>
      <c r="BC53" s="1234" t="str">
        <f>IF(AO52=0,"",VLOOKUP(AO52,'Tablas Magia'!$D$6:$Z$680,4,FALSE))</f>
        <v>No</v>
      </c>
      <c r="BD53" s="1216"/>
      <c r="BE53" s="1210"/>
      <c r="BF53" s="1210"/>
      <c r="BG53" s="2272"/>
      <c r="BH53" s="5333" t="s">
        <v>8163</v>
      </c>
      <c r="BI53" s="5334"/>
      <c r="BJ53" s="1232" t="s">
        <v>8164</v>
      </c>
      <c r="BK53" s="1232" t="s">
        <v>1824</v>
      </c>
      <c r="BL53" s="1232" t="s">
        <v>3467</v>
      </c>
      <c r="BM53" s="1233" t="s">
        <v>2175</v>
      </c>
      <c r="BN53" s="5330" t="str">
        <f>IF(BH52=0,"",VLOOKUP(BH52,'Tablas Magia'!$D$6:$Z$680,5,FALSE))</f>
        <v>Anímico</v>
      </c>
      <c r="BO53" s="5330"/>
      <c r="BP53" s="5331" t="s">
        <v>8165</v>
      </c>
      <c r="BQ53" s="5331"/>
      <c r="BR53" s="5330" t="str">
        <f>IF(BH52=0,"",VLOOKUP(BH52,'Tablas Magia'!$D$6:$Z$680,6,FALSE))</f>
        <v>Activa</v>
      </c>
      <c r="BS53" s="5330"/>
      <c r="BT53" s="5332" t="s">
        <v>8166</v>
      </c>
      <c r="BU53" s="5332"/>
      <c r="BV53" s="1234" t="str">
        <f>IF(BH52=0,"",VLOOKUP(BH52,'Tablas Magia'!$D$6:$Z$680,4,FALSE))</f>
        <v>No</v>
      </c>
      <c r="BW53" s="1216"/>
      <c r="BX53" s="1210"/>
      <c r="BY53" s="1210"/>
      <c r="BZ53" s="2272"/>
      <c r="CA53" s="5333" t="s">
        <v>8163</v>
      </c>
      <c r="CB53" s="5334"/>
      <c r="CC53" s="1232" t="s">
        <v>8164</v>
      </c>
      <c r="CD53" s="1232" t="s">
        <v>1824</v>
      </c>
      <c r="CE53" s="1232" t="s">
        <v>3467</v>
      </c>
      <c r="CF53" s="1233" t="s">
        <v>2175</v>
      </c>
      <c r="CG53" s="5330" t="str">
        <f>IF(CA52=0,"",VLOOKUP(CA52,'Tablas Magia'!$D$6:$Z$680,5,FALSE))</f>
        <v>Ataque</v>
      </c>
      <c r="CH53" s="5330"/>
      <c r="CI53" s="5331" t="s">
        <v>8165</v>
      </c>
      <c r="CJ53" s="5331"/>
      <c r="CK53" s="5330" t="str">
        <f>IF(CA52=0,"",VLOOKUP(CA52,'Tablas Magia'!$D$6:$Z$680,6,FALSE))</f>
        <v>Activa</v>
      </c>
      <c r="CL53" s="5330"/>
      <c r="CM53" s="5332" t="s">
        <v>8166</v>
      </c>
      <c r="CN53" s="5332"/>
      <c r="CO53" s="1234" t="str">
        <f>IF(CA52=0,"",VLOOKUP(CA52,'Tablas Magia'!$D$6:$Z$680,4,FALSE))</f>
        <v>No</v>
      </c>
      <c r="CP53" s="1216"/>
      <c r="CQ53" s="1210"/>
    </row>
    <row r="54" spans="1:95" ht="12" customHeight="1" x14ac:dyDescent="0.2">
      <c r="A54" s="1210"/>
      <c r="B54" s="2258"/>
      <c r="C54" s="5325" t="s">
        <v>1677</v>
      </c>
      <c r="D54" s="5326"/>
      <c r="E54" s="1235">
        <f>IF(C52=0,"",VLOOKUP(C52,'Tablas Magia'!$D$6:$Z$680,7,FALSE))</f>
        <v>6</v>
      </c>
      <c r="F54" s="1235">
        <f>IF(C52=0,"",VLOOKUP(C52,'Tablas Magia'!$D$6:$Z$680,11,FALSE))</f>
        <v>50</v>
      </c>
      <c r="G54" s="1236">
        <f>IF(C52=0,"",VLOOKUP(C52,'Tablas Magia'!$D$6:$Z$680,15,FALSE))</f>
        <v>5</v>
      </c>
      <c r="H54" s="5327" t="str">
        <f>IF(C52=0,"",VLOOKUP(C52,'Tablas Magia'!$D$6:$Z$680,19,FALSE))</f>
        <v>5 Intensidades de calor</v>
      </c>
      <c r="I54" s="5328"/>
      <c r="J54" s="5328"/>
      <c r="K54" s="5328"/>
      <c r="L54" s="5328"/>
      <c r="M54" s="5328"/>
      <c r="N54" s="5328"/>
      <c r="O54" s="5328"/>
      <c r="P54" s="5328"/>
      <c r="Q54" s="5329"/>
      <c r="R54" s="1216"/>
      <c r="S54" s="1210"/>
      <c r="T54" s="1210"/>
      <c r="U54" s="2258"/>
      <c r="V54" s="5325" t="s">
        <v>1677</v>
      </c>
      <c r="W54" s="5326"/>
      <c r="X54" s="1235">
        <f>IF(V52=0,"",VLOOKUP(V52,'Tablas Magia'!$D$6:$Z$680,7,FALSE))</f>
        <v>6</v>
      </c>
      <c r="Y54" s="1235">
        <f>IF(V52=0,"",VLOOKUP(V52,'Tablas Magia'!$D$6:$Z$680,11,FALSE))</f>
        <v>60</v>
      </c>
      <c r="Z54" s="1236" t="str">
        <f>IF(V52=0,"",VLOOKUP(V52,'Tablas Magia'!$D$6:$Z$680,15,FALSE))</f>
        <v>No</v>
      </c>
      <c r="AA54" s="5327" t="str">
        <f>IF(V52=0,"",VLOOKUP(V52,'Tablas Magia'!$D$6:$Z$680,19,FALSE))</f>
        <v>Daño 50</v>
      </c>
      <c r="AB54" s="5328"/>
      <c r="AC54" s="5328"/>
      <c r="AD54" s="5328"/>
      <c r="AE54" s="5328"/>
      <c r="AF54" s="5328"/>
      <c r="AG54" s="5328"/>
      <c r="AH54" s="5328"/>
      <c r="AI54" s="5328"/>
      <c r="AJ54" s="5329"/>
      <c r="AK54" s="1216"/>
      <c r="AL54" s="1210"/>
      <c r="AM54" s="1210"/>
      <c r="AN54" s="2272"/>
      <c r="AO54" s="5325" t="s">
        <v>1677</v>
      </c>
      <c r="AP54" s="5326"/>
      <c r="AQ54" s="1235">
        <f>IF(AO52=0,"",VLOOKUP(AO52,'Tablas Magia'!$D$6:$Z$680,7,FALSE))</f>
        <v>8</v>
      </c>
      <c r="AR54" s="1235">
        <f>IF(AO52=0,"",VLOOKUP(AO52,'Tablas Magia'!$D$6:$Z$680,11,FALSE))</f>
        <v>80</v>
      </c>
      <c r="AS54" s="1236">
        <f>IF(AO52=0,"",VLOOKUP(AO52,'Tablas Magia'!$D$6:$Z$680,15,FALSE))</f>
        <v>10</v>
      </c>
      <c r="AT54" s="5327" t="str">
        <f>IF(AO52=0,"",VLOOKUP(AO52,'Tablas Magia'!$D$6:$Z$680,19,FALSE))</f>
        <v>10 metros de radio/ RF 80</v>
      </c>
      <c r="AU54" s="5328"/>
      <c r="AV54" s="5328"/>
      <c r="AW54" s="5328"/>
      <c r="AX54" s="5328"/>
      <c r="AY54" s="5328"/>
      <c r="AZ54" s="5328"/>
      <c r="BA54" s="5328"/>
      <c r="BB54" s="5328"/>
      <c r="BC54" s="5329"/>
      <c r="BD54" s="1216"/>
      <c r="BE54" s="1210"/>
      <c r="BF54" s="1210"/>
      <c r="BG54" s="2272"/>
      <c r="BH54" s="5325" t="s">
        <v>1677</v>
      </c>
      <c r="BI54" s="5326"/>
      <c r="BJ54" s="1235">
        <f>IF(BH52=0,"",VLOOKUP(BH52,'Tablas Magia'!$D$6:$Z$680,7,FALSE))</f>
        <v>9</v>
      </c>
      <c r="BK54" s="1235">
        <f>IF(BH52=0,"",VLOOKUP(BH52,'Tablas Magia'!$D$6:$Z$680,11,FALSE))</f>
        <v>100</v>
      </c>
      <c r="BL54" s="1236" t="str">
        <f>IF(BH52=0,"",VLOOKUP(BH52,'Tablas Magia'!$D$6:$Z$680,15,FALSE))</f>
        <v>No</v>
      </c>
      <c r="BM54" s="5327" t="str">
        <f>IF(BH52=0,"",VLOOKUP(BH52,'Tablas Magia'!$D$6:$Z$680,19,FALSE))</f>
        <v>Crítico 120/ RM 140</v>
      </c>
      <c r="BN54" s="5328"/>
      <c r="BO54" s="5328"/>
      <c r="BP54" s="5328"/>
      <c r="BQ54" s="5328"/>
      <c r="BR54" s="5328"/>
      <c r="BS54" s="5328"/>
      <c r="BT54" s="5328"/>
      <c r="BU54" s="5328"/>
      <c r="BV54" s="5329"/>
      <c r="BW54" s="1216"/>
      <c r="BX54" s="1210"/>
      <c r="BY54" s="1210"/>
      <c r="BZ54" s="2272"/>
      <c r="CA54" s="5325" t="s">
        <v>1677</v>
      </c>
      <c r="CB54" s="5326"/>
      <c r="CC54" s="1235">
        <f>IF(CA52=0,"",VLOOKUP(CA52,'Tablas Magia'!$D$6:$Z$680,7,FALSE))</f>
        <v>10</v>
      </c>
      <c r="CD54" s="1235">
        <f>IF(CA52=0,"",VLOOKUP(CA52,'Tablas Magia'!$D$6:$Z$680,11,FALSE))</f>
        <v>200</v>
      </c>
      <c r="CE54" s="1236" t="str">
        <f>IF(CA52=0,"",VLOOKUP(CA52,'Tablas Magia'!$D$6:$Z$680,15,FALSE))</f>
        <v>No</v>
      </c>
      <c r="CF54" s="5327" t="str">
        <f>IF(CA52=0,"",VLOOKUP(CA52,'Tablas Magia'!$D$6:$Z$680,19,FALSE))</f>
        <v>1 km de radio</v>
      </c>
      <c r="CG54" s="5328"/>
      <c r="CH54" s="5328"/>
      <c r="CI54" s="5328"/>
      <c r="CJ54" s="5328"/>
      <c r="CK54" s="5328"/>
      <c r="CL54" s="5328"/>
      <c r="CM54" s="5328"/>
      <c r="CN54" s="5328"/>
      <c r="CO54" s="5329"/>
      <c r="CP54" s="1216"/>
      <c r="CQ54" s="1210"/>
    </row>
    <row r="55" spans="1:95" ht="12" customHeight="1" x14ac:dyDescent="0.2">
      <c r="A55" s="1210"/>
      <c r="B55" s="2258"/>
      <c r="C55" s="5320" t="s">
        <v>4705</v>
      </c>
      <c r="D55" s="5321"/>
      <c r="E55" s="1237">
        <f>IF(C52=0,"",VLOOKUP(C52,'Tablas Magia'!$D$6:$Z$680,8,FALSE))</f>
        <v>8</v>
      </c>
      <c r="F55" s="1237">
        <f>IF(C52=0,"",VLOOKUP(C52,'Tablas Magia'!$D$6:$Z$680,12,FALSE))</f>
        <v>140</v>
      </c>
      <c r="G55" s="1238">
        <f>IF(C52=0,"",VLOOKUP(C52,'Tablas Magia'!$D$6:$Z$680,16,FALSE))</f>
        <v>10</v>
      </c>
      <c r="H55" s="5322" t="str">
        <f>IF(C52=0,"",VLOOKUP(C52,'Tablas Magia'!$D$6:$Z$680,20,FALSE))</f>
        <v>12 Intensidades de calor</v>
      </c>
      <c r="I55" s="5323"/>
      <c r="J55" s="5323"/>
      <c r="K55" s="5323"/>
      <c r="L55" s="5323"/>
      <c r="M55" s="5323"/>
      <c r="N55" s="5323"/>
      <c r="O55" s="5323"/>
      <c r="P55" s="5323"/>
      <c r="Q55" s="5324"/>
      <c r="R55" s="1216"/>
      <c r="S55" s="1210"/>
      <c r="T55" s="1210"/>
      <c r="U55" s="2258"/>
      <c r="V55" s="5320" t="s">
        <v>4705</v>
      </c>
      <c r="W55" s="5321"/>
      <c r="X55" s="1237">
        <f>IF(V52=0,"",VLOOKUP(V52,'Tablas Magia'!$D$6:$Z$680,8,FALSE))</f>
        <v>9</v>
      </c>
      <c r="Y55" s="1237">
        <f>IF(V52=0,"",VLOOKUP(V52,'Tablas Magia'!$D$6:$Z$680,12,FALSE))</f>
        <v>90</v>
      </c>
      <c r="Z55" s="1238" t="str">
        <f>IF(V52=0,"",VLOOKUP(V52,'Tablas Magia'!$D$6:$Z$680,16,FALSE))</f>
        <v>No</v>
      </c>
      <c r="AA55" s="5322" t="str">
        <f>IF(V52=0,"",VLOOKUP(V52,'Tablas Magia'!$D$6:$Z$680,20,FALSE))</f>
        <v>Daño 70</v>
      </c>
      <c r="AB55" s="5323"/>
      <c r="AC55" s="5323"/>
      <c r="AD55" s="5323"/>
      <c r="AE55" s="5323"/>
      <c r="AF55" s="5323"/>
      <c r="AG55" s="5323"/>
      <c r="AH55" s="5323"/>
      <c r="AI55" s="5323"/>
      <c r="AJ55" s="5324"/>
      <c r="AK55" s="1216"/>
      <c r="AL55" s="1210"/>
      <c r="AM55" s="1210"/>
      <c r="AN55" s="2272"/>
      <c r="AO55" s="5320" t="s">
        <v>4705</v>
      </c>
      <c r="AP55" s="5321"/>
      <c r="AQ55" s="1237">
        <f>IF(AO52=0,"",VLOOKUP(AO52,'Tablas Magia'!$D$6:$Z$680,8,FALSE))</f>
        <v>10</v>
      </c>
      <c r="AR55" s="1237">
        <f>IF(AO52=0,"",VLOOKUP(AO52,'Tablas Magia'!$D$6:$Z$680,12,FALSE))</f>
        <v>120</v>
      </c>
      <c r="AS55" s="1238">
        <f>IF(AO52=0,"",VLOOKUP(AO52,'Tablas Magia'!$D$6:$Z$680,16,FALSE))</f>
        <v>10</v>
      </c>
      <c r="AT55" s="5322" t="str">
        <f>IF(AO52=0,"",VLOOKUP(AO52,'Tablas Magia'!$D$6:$Z$680,20,FALSE))</f>
        <v>50 metros de radio / RF 100</v>
      </c>
      <c r="AU55" s="5323"/>
      <c r="AV55" s="5323"/>
      <c r="AW55" s="5323"/>
      <c r="AX55" s="5323"/>
      <c r="AY55" s="5323"/>
      <c r="AZ55" s="5323"/>
      <c r="BA55" s="5323"/>
      <c r="BB55" s="5323"/>
      <c r="BC55" s="5324"/>
      <c r="BD55" s="1216"/>
      <c r="BE55" s="1210"/>
      <c r="BF55" s="1210"/>
      <c r="BG55" s="2272"/>
      <c r="BH55" s="5320" t="s">
        <v>4705</v>
      </c>
      <c r="BI55" s="5321"/>
      <c r="BJ55" s="1237">
        <f>IF(BH52=0,"",VLOOKUP(BH52,'Tablas Magia'!$D$6:$Z$680,8,FALSE))</f>
        <v>11</v>
      </c>
      <c r="BK55" s="1237">
        <f>IF(BH52=0,"",VLOOKUP(BH52,'Tablas Magia'!$D$6:$Z$680,12,FALSE))</f>
        <v>140</v>
      </c>
      <c r="BL55" s="1238" t="str">
        <f>IF(BH52=0,"",VLOOKUP(BH52,'Tablas Magia'!$D$6:$Z$680,16,FALSE))</f>
        <v>No</v>
      </c>
      <c r="BM55" s="5322" t="str">
        <f>IF(BH52=0,"",VLOOKUP(BH52,'Tablas Magia'!$D$6:$Z$680,20,FALSE))</f>
        <v>Crítico 140/ RM 160</v>
      </c>
      <c r="BN55" s="5323"/>
      <c r="BO55" s="5323"/>
      <c r="BP55" s="5323"/>
      <c r="BQ55" s="5323"/>
      <c r="BR55" s="5323"/>
      <c r="BS55" s="5323"/>
      <c r="BT55" s="5323"/>
      <c r="BU55" s="5323"/>
      <c r="BV55" s="5324"/>
      <c r="BW55" s="1216"/>
      <c r="BX55" s="1210"/>
      <c r="BY55" s="1210"/>
      <c r="BZ55" s="2272"/>
      <c r="CA55" s="5320" t="s">
        <v>4705</v>
      </c>
      <c r="CB55" s="5321"/>
      <c r="CC55" s="1237">
        <f>IF(CA52=0,"",VLOOKUP(CA52,'Tablas Magia'!$D$6:$Z$680,8,FALSE))</f>
        <v>13</v>
      </c>
      <c r="CD55" s="1237">
        <f>IF(CA52=0,"",VLOOKUP(CA52,'Tablas Magia'!$D$6:$Z$680,12,FALSE))</f>
        <v>300</v>
      </c>
      <c r="CE55" s="1238" t="str">
        <f>IF(CA52=0,"",VLOOKUP(CA52,'Tablas Magia'!$D$6:$Z$680,16,FALSE))</f>
        <v>No</v>
      </c>
      <c r="CF55" s="5322" t="str">
        <f>IF(CA52=0,"",VLOOKUP(CA52,'Tablas Magia'!$D$6:$Z$680,20,FALSE))</f>
        <v>5 km de radio</v>
      </c>
      <c r="CG55" s="5323"/>
      <c r="CH55" s="5323"/>
      <c r="CI55" s="5323"/>
      <c r="CJ55" s="5323"/>
      <c r="CK55" s="5323"/>
      <c r="CL55" s="5323"/>
      <c r="CM55" s="5323"/>
      <c r="CN55" s="5323"/>
      <c r="CO55" s="5324"/>
      <c r="CP55" s="1216"/>
      <c r="CQ55" s="1210"/>
    </row>
    <row r="56" spans="1:95" ht="12" customHeight="1" x14ac:dyDescent="0.2">
      <c r="A56" s="1210"/>
      <c r="B56" s="2258"/>
      <c r="C56" s="5325" t="s">
        <v>4706</v>
      </c>
      <c r="D56" s="5326"/>
      <c r="E56" s="1235">
        <f>IF(C52=0,"",VLOOKUP(C52,'Tablas Magia'!$D$6:$Z$680,9,FALSE))</f>
        <v>10</v>
      </c>
      <c r="F56" s="1235">
        <f>IF(C52=0,"",VLOOKUP(C52,'Tablas Magia'!$D$6:$Z$680,13,FALSE))</f>
        <v>200</v>
      </c>
      <c r="G56" s="1236">
        <f>IF(C52=0,"",VLOOKUP(C52,'Tablas Magia'!$D$6:$Z$680,17,FALSE))</f>
        <v>10</v>
      </c>
      <c r="H56" s="5327" t="str">
        <f>IF(C52=0,"",VLOOKUP(C52,'Tablas Magia'!$D$6:$Z$680,21,FALSE))</f>
        <v>20 Intensidades de fuego</v>
      </c>
      <c r="I56" s="5328"/>
      <c r="J56" s="5328"/>
      <c r="K56" s="5328"/>
      <c r="L56" s="5328"/>
      <c r="M56" s="5328"/>
      <c r="N56" s="5328"/>
      <c r="O56" s="5328"/>
      <c r="P56" s="5328"/>
      <c r="Q56" s="5329"/>
      <c r="R56" s="1216"/>
      <c r="S56" s="1210"/>
      <c r="T56" s="1210"/>
      <c r="U56" s="2258"/>
      <c r="V56" s="5325" t="s">
        <v>4706</v>
      </c>
      <c r="W56" s="5326"/>
      <c r="X56" s="1235">
        <f>IF(V52=0,"",VLOOKUP(V52,'Tablas Magia'!$D$6:$Z$680,9,FALSE))</f>
        <v>12</v>
      </c>
      <c r="Y56" s="1235">
        <f>IF(V52=0,"",VLOOKUP(V52,'Tablas Magia'!$D$6:$Z$680,13,FALSE))</f>
        <v>120</v>
      </c>
      <c r="Z56" s="1236" t="str">
        <f>IF(V52=0,"",VLOOKUP(V52,'Tablas Magia'!$D$6:$Z$680,17,FALSE))</f>
        <v>No</v>
      </c>
      <c r="AA56" s="5327" t="str">
        <f>IF(V52=0,"",VLOOKUP(V52,'Tablas Magia'!$D$6:$Z$680,21,FALSE))</f>
        <v>Daño 90</v>
      </c>
      <c r="AB56" s="5328"/>
      <c r="AC56" s="5328"/>
      <c r="AD56" s="5328"/>
      <c r="AE56" s="5328"/>
      <c r="AF56" s="5328"/>
      <c r="AG56" s="5328"/>
      <c r="AH56" s="5328"/>
      <c r="AI56" s="5328"/>
      <c r="AJ56" s="5329"/>
      <c r="AK56" s="1216"/>
      <c r="AL56" s="1210"/>
      <c r="AM56" s="1210"/>
      <c r="AN56" s="2272"/>
      <c r="AO56" s="5325" t="s">
        <v>4706</v>
      </c>
      <c r="AP56" s="5326"/>
      <c r="AQ56" s="1235">
        <f>IF(AO52=0,"",VLOOKUP(AO52,'Tablas Magia'!$D$6:$Z$680,9,FALSE))</f>
        <v>12</v>
      </c>
      <c r="AR56" s="1235">
        <f>IF(AO52=0,"",VLOOKUP(AO52,'Tablas Magia'!$D$6:$Z$680,13,FALSE))</f>
        <v>180</v>
      </c>
      <c r="AS56" s="1236">
        <f>IF(AO52=0,"",VLOOKUP(AO52,'Tablas Magia'!$D$6:$Z$680,17,FALSE))</f>
        <v>15</v>
      </c>
      <c r="AT56" s="5327" t="str">
        <f>IF(AO52=0,"",VLOOKUP(AO52,'Tablas Magia'!$D$6:$Z$680,21,FALSE))</f>
        <v>100 metros de radio / RF 120</v>
      </c>
      <c r="AU56" s="5328"/>
      <c r="AV56" s="5328"/>
      <c r="AW56" s="5328"/>
      <c r="AX56" s="5328"/>
      <c r="AY56" s="5328"/>
      <c r="AZ56" s="5328"/>
      <c r="BA56" s="5328"/>
      <c r="BB56" s="5328"/>
      <c r="BC56" s="5329"/>
      <c r="BD56" s="1216"/>
      <c r="BE56" s="1210"/>
      <c r="BF56" s="1210"/>
      <c r="BG56" s="2272"/>
      <c r="BH56" s="5325" t="s">
        <v>4706</v>
      </c>
      <c r="BI56" s="5326"/>
      <c r="BJ56" s="1235">
        <f>IF(BH52=0,"",VLOOKUP(BH52,'Tablas Magia'!$D$6:$Z$680,9,FALSE))</f>
        <v>13</v>
      </c>
      <c r="BK56" s="1235">
        <f>IF(BH52=0,"",VLOOKUP(BH52,'Tablas Magia'!$D$6:$Z$680,13,FALSE))</f>
        <v>200</v>
      </c>
      <c r="BL56" s="1236" t="str">
        <f>IF(BH52=0,"",VLOOKUP(BH52,'Tablas Magia'!$D$6:$Z$680,17,FALSE))</f>
        <v>No</v>
      </c>
      <c r="BM56" s="5327" t="str">
        <f>IF(BH52=0,"",VLOOKUP(BH52,'Tablas Magia'!$D$6:$Z$680,21,FALSE))</f>
        <v>Crítico 180/ RM 180</v>
      </c>
      <c r="BN56" s="5328"/>
      <c r="BO56" s="5328"/>
      <c r="BP56" s="5328"/>
      <c r="BQ56" s="5328"/>
      <c r="BR56" s="5328"/>
      <c r="BS56" s="5328"/>
      <c r="BT56" s="5328"/>
      <c r="BU56" s="5328"/>
      <c r="BV56" s="5329"/>
      <c r="BW56" s="1216"/>
      <c r="BX56" s="1210"/>
      <c r="BY56" s="1210"/>
      <c r="BZ56" s="2272"/>
      <c r="CA56" s="5325" t="s">
        <v>4706</v>
      </c>
      <c r="CB56" s="5326"/>
      <c r="CC56" s="1235">
        <f>IF(CA52=0,"",VLOOKUP(CA52,'Tablas Magia'!$D$6:$Z$680,9,FALSE))</f>
        <v>16</v>
      </c>
      <c r="CD56" s="1235">
        <f>IF(CA52=0,"",VLOOKUP(CA52,'Tablas Magia'!$D$6:$Z$680,13,FALSE))</f>
        <v>400</v>
      </c>
      <c r="CE56" s="1236" t="str">
        <f>IF(CA52=0,"",VLOOKUP(CA52,'Tablas Magia'!$D$6:$Z$680,17,FALSE))</f>
        <v>No</v>
      </c>
      <c r="CF56" s="5327" t="str">
        <f>IF(CA52=0,"",VLOOKUP(CA52,'Tablas Magia'!$D$6:$Z$680,21,FALSE))</f>
        <v>10 km de radio</v>
      </c>
      <c r="CG56" s="5328"/>
      <c r="CH56" s="5328"/>
      <c r="CI56" s="5328"/>
      <c r="CJ56" s="5328"/>
      <c r="CK56" s="5328"/>
      <c r="CL56" s="5328"/>
      <c r="CM56" s="5328"/>
      <c r="CN56" s="5328"/>
      <c r="CO56" s="5329"/>
      <c r="CP56" s="1216"/>
      <c r="CQ56" s="1210"/>
    </row>
    <row r="57" spans="1:95" ht="12" customHeight="1" thickBot="1" x14ac:dyDescent="0.25">
      <c r="A57" s="1210"/>
      <c r="B57" s="2258"/>
      <c r="C57" s="5335" t="s">
        <v>4707</v>
      </c>
      <c r="D57" s="5336"/>
      <c r="E57" s="1239">
        <f>IF(C52=0,"",VLOOKUP(C52,'Tablas Magia'!$D$6:$Z$680,10,FALSE))</f>
        <v>13</v>
      </c>
      <c r="F57" s="1239">
        <f>IF(C52=0,"",VLOOKUP(C52,'Tablas Magia'!$D$6:$Z$680,14,FALSE))</f>
        <v>300</v>
      </c>
      <c r="G57" s="1240">
        <f>IF(C52=0,"",VLOOKUP(C52,'Tablas Magia'!$D$6:$Z$680,18,FALSE))</f>
        <v>15</v>
      </c>
      <c r="H57" s="5337" t="str">
        <f>IF(C52=0,"",VLOOKUP(C52,'Tablas Magia'!$D$6:$Z$680,22,FALSE))</f>
        <v>30 Intensidades de fuego</v>
      </c>
      <c r="I57" s="5338"/>
      <c r="J57" s="5338"/>
      <c r="K57" s="5338"/>
      <c r="L57" s="5338"/>
      <c r="M57" s="5338"/>
      <c r="N57" s="5338"/>
      <c r="O57" s="5338"/>
      <c r="P57" s="5338"/>
      <c r="Q57" s="5339"/>
      <c r="R57" s="1216"/>
      <c r="S57" s="1210"/>
      <c r="T57" s="1210"/>
      <c r="U57" s="2258"/>
      <c r="V57" s="5335" t="s">
        <v>4707</v>
      </c>
      <c r="W57" s="5336"/>
      <c r="X57" s="1239">
        <f>IF(V52=0,"",VLOOKUP(V52,'Tablas Magia'!$D$6:$Z$680,10,FALSE))</f>
        <v>15</v>
      </c>
      <c r="Y57" s="1239">
        <f>IF(V52=0,"",VLOOKUP(V52,'Tablas Magia'!$D$6:$Z$680,14,FALSE))</f>
        <v>150</v>
      </c>
      <c r="Z57" s="1240" t="str">
        <f>IF(V52=0,"",VLOOKUP(V52,'Tablas Magia'!$D$6:$Z$680,18,FALSE))</f>
        <v>No</v>
      </c>
      <c r="AA57" s="5337" t="str">
        <f>IF(V52=0,"",VLOOKUP(V52,'Tablas Magia'!$D$6:$Z$680,22,FALSE))</f>
        <v>Daño 110</v>
      </c>
      <c r="AB57" s="5338"/>
      <c r="AC57" s="5338"/>
      <c r="AD57" s="5338"/>
      <c r="AE57" s="5338"/>
      <c r="AF57" s="5338"/>
      <c r="AG57" s="5338"/>
      <c r="AH57" s="5338"/>
      <c r="AI57" s="5338"/>
      <c r="AJ57" s="5339"/>
      <c r="AK57" s="1216"/>
      <c r="AL57" s="1210"/>
      <c r="AM57" s="1210"/>
      <c r="AN57" s="2272"/>
      <c r="AO57" s="5335" t="s">
        <v>4707</v>
      </c>
      <c r="AP57" s="5336"/>
      <c r="AQ57" s="1239">
        <f>IF(AO52=0,"",VLOOKUP(AO52,'Tablas Magia'!$D$6:$Z$680,10,FALSE))</f>
        <v>14</v>
      </c>
      <c r="AR57" s="1239">
        <f>IF(AO52=0,"",VLOOKUP(AO52,'Tablas Magia'!$D$6:$Z$680,14,FALSE))</f>
        <v>240</v>
      </c>
      <c r="AS57" s="1240">
        <f>IF(AO52=0,"",VLOOKUP(AO52,'Tablas Magia'!$D$6:$Z$680,18,FALSE))</f>
        <v>15</v>
      </c>
      <c r="AT57" s="5337" t="str">
        <f>IF(AO52=0,"",VLOOKUP(AO52,'Tablas Magia'!$D$6:$Z$680,22,FALSE))</f>
        <v>150 metros de radio / RF 140</v>
      </c>
      <c r="AU57" s="5338"/>
      <c r="AV57" s="5338"/>
      <c r="AW57" s="5338"/>
      <c r="AX57" s="5338"/>
      <c r="AY57" s="5338"/>
      <c r="AZ57" s="5338"/>
      <c r="BA57" s="5338"/>
      <c r="BB57" s="5338"/>
      <c r="BC57" s="5339"/>
      <c r="BD57" s="1216"/>
      <c r="BE57" s="1210"/>
      <c r="BF57" s="1210"/>
      <c r="BG57" s="2272"/>
      <c r="BH57" s="5335" t="s">
        <v>4707</v>
      </c>
      <c r="BI57" s="5336"/>
      <c r="BJ57" s="1239">
        <f>IF(BH52=0,"",VLOOKUP(BH52,'Tablas Magia'!$D$6:$Z$680,10,FALSE))</f>
        <v>16</v>
      </c>
      <c r="BK57" s="1239">
        <f>IF(BH52=0,"",VLOOKUP(BH52,'Tablas Magia'!$D$6:$Z$680,14,FALSE))</f>
        <v>280</v>
      </c>
      <c r="BL57" s="1240" t="str">
        <f>IF(BH52=0,"",VLOOKUP(BH52,'Tablas Magia'!$D$6:$Z$680,18,FALSE))</f>
        <v>No</v>
      </c>
      <c r="BM57" s="5337" t="str">
        <f>IF(BH52=0,"",VLOOKUP(BH52,'Tablas Magia'!$D$6:$Z$680,22,FALSE))</f>
        <v>Crítico 220/ RM 200</v>
      </c>
      <c r="BN57" s="5338"/>
      <c r="BO57" s="5338"/>
      <c r="BP57" s="5338"/>
      <c r="BQ57" s="5338"/>
      <c r="BR57" s="5338"/>
      <c r="BS57" s="5338"/>
      <c r="BT57" s="5338"/>
      <c r="BU57" s="5338"/>
      <c r="BV57" s="5339"/>
      <c r="BW57" s="1216"/>
      <c r="BX57" s="1210"/>
      <c r="BY57" s="1210"/>
      <c r="BZ57" s="2272"/>
      <c r="CA57" s="5335" t="s">
        <v>4707</v>
      </c>
      <c r="CB57" s="5336"/>
      <c r="CC57" s="1239">
        <f>IF(CA52=0,"",VLOOKUP(CA52,'Tablas Magia'!$D$6:$Z$680,10,FALSE))</f>
        <v>18</v>
      </c>
      <c r="CD57" s="1239">
        <f>IF(CA52=0,"",VLOOKUP(CA52,'Tablas Magia'!$D$6:$Z$680,14,FALSE))</f>
        <v>500</v>
      </c>
      <c r="CE57" s="1240" t="str">
        <f>IF(CA52=0,"",VLOOKUP(CA52,'Tablas Magia'!$D$6:$Z$680,18,FALSE))</f>
        <v>No</v>
      </c>
      <c r="CF57" s="5337" t="str">
        <f>IF(CA52=0,"",VLOOKUP(CA52,'Tablas Magia'!$D$6:$Z$680,22,FALSE))</f>
        <v>15 km de radio</v>
      </c>
      <c r="CG57" s="5338"/>
      <c r="CH57" s="5338"/>
      <c r="CI57" s="5338"/>
      <c r="CJ57" s="5338"/>
      <c r="CK57" s="5338"/>
      <c r="CL57" s="5338"/>
      <c r="CM57" s="5338"/>
      <c r="CN57" s="5338"/>
      <c r="CO57" s="5339"/>
      <c r="CP57" s="1216"/>
      <c r="CQ57" s="1210"/>
    </row>
    <row r="58" spans="1:95" ht="12" customHeight="1" x14ac:dyDescent="0.2">
      <c r="A58" s="1210"/>
      <c r="B58" s="2258"/>
      <c r="C58" s="534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1"/>
      <c r="E58" s="5341"/>
      <c r="F58" s="5341"/>
      <c r="G58" s="5341"/>
      <c r="H58" s="5341"/>
      <c r="I58" s="5341"/>
      <c r="J58" s="5341"/>
      <c r="K58" s="5341"/>
      <c r="L58" s="5341"/>
      <c r="M58" s="5341"/>
      <c r="N58" s="5341"/>
      <c r="O58" s="5341"/>
      <c r="P58" s="5341"/>
      <c r="Q58" s="5342"/>
      <c r="R58" s="1216"/>
      <c r="S58" s="1210"/>
      <c r="T58" s="1210"/>
      <c r="U58" s="2258"/>
      <c r="V58" s="534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1"/>
      <c r="X58" s="5341"/>
      <c r="Y58" s="5341"/>
      <c r="Z58" s="5341"/>
      <c r="AA58" s="5341"/>
      <c r="AB58" s="5341"/>
      <c r="AC58" s="5341"/>
      <c r="AD58" s="5341"/>
      <c r="AE58" s="5341"/>
      <c r="AF58" s="5341"/>
      <c r="AG58" s="5341"/>
      <c r="AH58" s="5341"/>
      <c r="AI58" s="5341"/>
      <c r="AJ58" s="5342"/>
      <c r="AK58" s="1216"/>
      <c r="AL58" s="1210"/>
      <c r="AM58" s="1210"/>
      <c r="AN58" s="2272"/>
      <c r="AO58" s="534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1"/>
      <c r="AQ58" s="5341"/>
      <c r="AR58" s="5341"/>
      <c r="AS58" s="5341"/>
      <c r="AT58" s="5341"/>
      <c r="AU58" s="5341"/>
      <c r="AV58" s="5341"/>
      <c r="AW58" s="5341"/>
      <c r="AX58" s="5341"/>
      <c r="AY58" s="5341"/>
      <c r="AZ58" s="5341"/>
      <c r="BA58" s="5341"/>
      <c r="BB58" s="5341"/>
      <c r="BC58" s="5342"/>
      <c r="BD58" s="1216"/>
      <c r="BE58" s="1210"/>
      <c r="BF58" s="1210"/>
      <c r="BG58" s="2272"/>
      <c r="BH58" s="534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1"/>
      <c r="BJ58" s="5341"/>
      <c r="BK58" s="5341"/>
      <c r="BL58" s="5341"/>
      <c r="BM58" s="5341"/>
      <c r="BN58" s="5341"/>
      <c r="BO58" s="5341"/>
      <c r="BP58" s="5341"/>
      <c r="BQ58" s="5341"/>
      <c r="BR58" s="5341"/>
      <c r="BS58" s="5341"/>
      <c r="BT58" s="5341"/>
      <c r="BU58" s="5341"/>
      <c r="BV58" s="5342"/>
      <c r="BW58" s="1216"/>
      <c r="BX58" s="1210"/>
      <c r="BY58" s="1210"/>
      <c r="BZ58" s="2272"/>
      <c r="CA58" s="5340" t="str">
        <f>IF(CA52=0,"",VLOOKUP(CA52,'Tablas Magia'!$D$6:$Z$680,23,FALSE))</f>
        <v>Proyecta una explosión ígnea, que ataca en área con un daño base de 200 puntos. Ataca en la TA de calor, aunque es capaz de dañar energía. No es posible designar blancos en el interior del conjuro.</v>
      </c>
      <c r="CB58" s="5341"/>
      <c r="CC58" s="5341"/>
      <c r="CD58" s="5341"/>
      <c r="CE58" s="5341"/>
      <c r="CF58" s="5341"/>
      <c r="CG58" s="5341"/>
      <c r="CH58" s="5341"/>
      <c r="CI58" s="5341"/>
      <c r="CJ58" s="5341"/>
      <c r="CK58" s="5341"/>
      <c r="CL58" s="5341"/>
      <c r="CM58" s="5341"/>
      <c r="CN58" s="5341"/>
      <c r="CO58" s="5342"/>
      <c r="CP58" s="1216"/>
      <c r="CQ58" s="1210"/>
    </row>
    <row r="59" spans="1:95" ht="12" customHeight="1" x14ac:dyDescent="0.2">
      <c r="A59" s="1210"/>
      <c r="B59" s="2258"/>
      <c r="C59" s="5343"/>
      <c r="D59" s="5344"/>
      <c r="E59" s="5344"/>
      <c r="F59" s="5344"/>
      <c r="G59" s="5344"/>
      <c r="H59" s="5344"/>
      <c r="I59" s="5344"/>
      <c r="J59" s="5344"/>
      <c r="K59" s="5344"/>
      <c r="L59" s="5344"/>
      <c r="M59" s="5344"/>
      <c r="N59" s="5344"/>
      <c r="O59" s="5344"/>
      <c r="P59" s="5344"/>
      <c r="Q59" s="5345"/>
      <c r="R59" s="1216"/>
      <c r="S59" s="1210"/>
      <c r="T59" s="1210"/>
      <c r="U59" s="2258"/>
      <c r="V59" s="5343"/>
      <c r="W59" s="5344"/>
      <c r="X59" s="5344"/>
      <c r="Y59" s="5344"/>
      <c r="Z59" s="5344"/>
      <c r="AA59" s="5344"/>
      <c r="AB59" s="5344"/>
      <c r="AC59" s="5344"/>
      <c r="AD59" s="5344"/>
      <c r="AE59" s="5344"/>
      <c r="AF59" s="5344"/>
      <c r="AG59" s="5344"/>
      <c r="AH59" s="5344"/>
      <c r="AI59" s="5344"/>
      <c r="AJ59" s="5345"/>
      <c r="AK59" s="1216"/>
      <c r="AL59" s="1210"/>
      <c r="AM59" s="1210"/>
      <c r="AN59" s="2272"/>
      <c r="AO59" s="5343"/>
      <c r="AP59" s="5344"/>
      <c r="AQ59" s="5344"/>
      <c r="AR59" s="5344"/>
      <c r="AS59" s="5344"/>
      <c r="AT59" s="5344"/>
      <c r="AU59" s="5344"/>
      <c r="AV59" s="5344"/>
      <c r="AW59" s="5344"/>
      <c r="AX59" s="5344"/>
      <c r="AY59" s="5344"/>
      <c r="AZ59" s="5344"/>
      <c r="BA59" s="5344"/>
      <c r="BB59" s="5344"/>
      <c r="BC59" s="5345"/>
      <c r="BD59" s="1216"/>
      <c r="BE59" s="1210"/>
      <c r="BF59" s="1210"/>
      <c r="BG59" s="2272"/>
      <c r="BH59" s="5343"/>
      <c r="BI59" s="5344"/>
      <c r="BJ59" s="5344"/>
      <c r="BK59" s="5344"/>
      <c r="BL59" s="5344"/>
      <c r="BM59" s="5344"/>
      <c r="BN59" s="5344"/>
      <c r="BO59" s="5344"/>
      <c r="BP59" s="5344"/>
      <c r="BQ59" s="5344"/>
      <c r="BR59" s="5344"/>
      <c r="BS59" s="5344"/>
      <c r="BT59" s="5344"/>
      <c r="BU59" s="5344"/>
      <c r="BV59" s="5345"/>
      <c r="BW59" s="1216"/>
      <c r="BX59" s="1210"/>
      <c r="BY59" s="1210"/>
      <c r="BZ59" s="2272"/>
      <c r="CA59" s="5343"/>
      <c r="CB59" s="5344"/>
      <c r="CC59" s="5344"/>
      <c r="CD59" s="5344"/>
      <c r="CE59" s="5344"/>
      <c r="CF59" s="5344"/>
      <c r="CG59" s="5344"/>
      <c r="CH59" s="5344"/>
      <c r="CI59" s="5344"/>
      <c r="CJ59" s="5344"/>
      <c r="CK59" s="5344"/>
      <c r="CL59" s="5344"/>
      <c r="CM59" s="5344"/>
      <c r="CN59" s="5344"/>
      <c r="CO59" s="5345"/>
      <c r="CP59" s="1216"/>
      <c r="CQ59" s="1210"/>
    </row>
    <row r="60" spans="1:95" ht="12" customHeight="1" x14ac:dyDescent="0.2">
      <c r="A60" s="1210"/>
      <c r="B60" s="2258"/>
      <c r="C60" s="5343"/>
      <c r="D60" s="5344"/>
      <c r="E60" s="5344"/>
      <c r="F60" s="5344"/>
      <c r="G60" s="5344"/>
      <c r="H60" s="5344"/>
      <c r="I60" s="5344"/>
      <c r="J60" s="5344"/>
      <c r="K60" s="5344"/>
      <c r="L60" s="5344"/>
      <c r="M60" s="5344"/>
      <c r="N60" s="5344"/>
      <c r="O60" s="5344"/>
      <c r="P60" s="5344"/>
      <c r="Q60" s="5345"/>
      <c r="R60" s="1216"/>
      <c r="S60" s="1210"/>
      <c r="T60" s="1210"/>
      <c r="U60" s="2258"/>
      <c r="V60" s="5343"/>
      <c r="W60" s="5344"/>
      <c r="X60" s="5344"/>
      <c r="Y60" s="5344"/>
      <c r="Z60" s="5344"/>
      <c r="AA60" s="5344"/>
      <c r="AB60" s="5344"/>
      <c r="AC60" s="5344"/>
      <c r="AD60" s="5344"/>
      <c r="AE60" s="5344"/>
      <c r="AF60" s="5344"/>
      <c r="AG60" s="5344"/>
      <c r="AH60" s="5344"/>
      <c r="AI60" s="5344"/>
      <c r="AJ60" s="5345"/>
      <c r="AK60" s="1216"/>
      <c r="AL60" s="1210"/>
      <c r="AM60" s="1210"/>
      <c r="AN60" s="2272"/>
      <c r="AO60" s="5343"/>
      <c r="AP60" s="5344"/>
      <c r="AQ60" s="5344"/>
      <c r="AR60" s="5344"/>
      <c r="AS60" s="5344"/>
      <c r="AT60" s="5344"/>
      <c r="AU60" s="5344"/>
      <c r="AV60" s="5344"/>
      <c r="AW60" s="5344"/>
      <c r="AX60" s="5344"/>
      <c r="AY60" s="5344"/>
      <c r="AZ60" s="5344"/>
      <c r="BA60" s="5344"/>
      <c r="BB60" s="5344"/>
      <c r="BC60" s="5345"/>
      <c r="BD60" s="1216"/>
      <c r="BE60" s="1210"/>
      <c r="BF60" s="1210"/>
      <c r="BG60" s="2272"/>
      <c r="BH60" s="5343"/>
      <c r="BI60" s="5344"/>
      <c r="BJ60" s="5344"/>
      <c r="BK60" s="5344"/>
      <c r="BL60" s="5344"/>
      <c r="BM60" s="5344"/>
      <c r="BN60" s="5344"/>
      <c r="BO60" s="5344"/>
      <c r="BP60" s="5344"/>
      <c r="BQ60" s="5344"/>
      <c r="BR60" s="5344"/>
      <c r="BS60" s="5344"/>
      <c r="BT60" s="5344"/>
      <c r="BU60" s="5344"/>
      <c r="BV60" s="5345"/>
      <c r="BW60" s="1216"/>
      <c r="BX60" s="1210"/>
      <c r="BY60" s="1210"/>
      <c r="BZ60" s="2272"/>
      <c r="CA60" s="5343"/>
      <c r="CB60" s="5344"/>
      <c r="CC60" s="5344"/>
      <c r="CD60" s="5344"/>
      <c r="CE60" s="5344"/>
      <c r="CF60" s="5344"/>
      <c r="CG60" s="5344"/>
      <c r="CH60" s="5344"/>
      <c r="CI60" s="5344"/>
      <c r="CJ60" s="5344"/>
      <c r="CK60" s="5344"/>
      <c r="CL60" s="5344"/>
      <c r="CM60" s="5344"/>
      <c r="CN60" s="5344"/>
      <c r="CO60" s="5345"/>
      <c r="CP60" s="1216"/>
      <c r="CQ60" s="1210"/>
    </row>
    <row r="61" spans="1:95" ht="12" customHeight="1" thickBot="1" x14ac:dyDescent="0.25">
      <c r="A61" s="1210"/>
      <c r="B61" s="2258"/>
      <c r="C61" s="5346"/>
      <c r="D61" s="5347"/>
      <c r="E61" s="5347"/>
      <c r="F61" s="5347"/>
      <c r="G61" s="5347"/>
      <c r="H61" s="5347"/>
      <c r="I61" s="5347"/>
      <c r="J61" s="5347"/>
      <c r="K61" s="5347"/>
      <c r="L61" s="5347"/>
      <c r="M61" s="5347"/>
      <c r="N61" s="5347"/>
      <c r="O61" s="5347"/>
      <c r="P61" s="5347"/>
      <c r="Q61" s="5348"/>
      <c r="R61" s="1216"/>
      <c r="S61" s="1210"/>
      <c r="T61" s="1210"/>
      <c r="U61" s="2258"/>
      <c r="V61" s="5346"/>
      <c r="W61" s="5347"/>
      <c r="X61" s="5347"/>
      <c r="Y61" s="5347"/>
      <c r="Z61" s="5347"/>
      <c r="AA61" s="5347"/>
      <c r="AB61" s="5347"/>
      <c r="AC61" s="5347"/>
      <c r="AD61" s="5347"/>
      <c r="AE61" s="5347"/>
      <c r="AF61" s="5347"/>
      <c r="AG61" s="5347"/>
      <c r="AH61" s="5347"/>
      <c r="AI61" s="5347"/>
      <c r="AJ61" s="5348"/>
      <c r="AK61" s="1216"/>
      <c r="AL61" s="1210"/>
      <c r="AM61" s="1210"/>
      <c r="AN61" s="2272"/>
      <c r="AO61" s="5346"/>
      <c r="AP61" s="5347"/>
      <c r="AQ61" s="5347"/>
      <c r="AR61" s="5347"/>
      <c r="AS61" s="5347"/>
      <c r="AT61" s="5347"/>
      <c r="AU61" s="5347"/>
      <c r="AV61" s="5347"/>
      <c r="AW61" s="5347"/>
      <c r="AX61" s="5347"/>
      <c r="AY61" s="5347"/>
      <c r="AZ61" s="5347"/>
      <c r="BA61" s="5347"/>
      <c r="BB61" s="5347"/>
      <c r="BC61" s="5348"/>
      <c r="BD61" s="1216"/>
      <c r="BE61" s="1210"/>
      <c r="BF61" s="1210"/>
      <c r="BG61" s="2272"/>
      <c r="BH61" s="5346"/>
      <c r="BI61" s="5347"/>
      <c r="BJ61" s="5347"/>
      <c r="BK61" s="5347"/>
      <c r="BL61" s="5347"/>
      <c r="BM61" s="5347"/>
      <c r="BN61" s="5347"/>
      <c r="BO61" s="5347"/>
      <c r="BP61" s="5347"/>
      <c r="BQ61" s="5347"/>
      <c r="BR61" s="5347"/>
      <c r="BS61" s="5347"/>
      <c r="BT61" s="5347"/>
      <c r="BU61" s="5347"/>
      <c r="BV61" s="5348"/>
      <c r="BW61" s="1216"/>
      <c r="BX61" s="1210"/>
      <c r="BY61" s="1210"/>
      <c r="BZ61" s="2272"/>
      <c r="CA61" s="5346"/>
      <c r="CB61" s="5347"/>
      <c r="CC61" s="5347"/>
      <c r="CD61" s="5347"/>
      <c r="CE61" s="5347"/>
      <c r="CF61" s="5347"/>
      <c r="CG61" s="5347"/>
      <c r="CH61" s="5347"/>
      <c r="CI61" s="5347"/>
      <c r="CJ61" s="5347"/>
      <c r="CK61" s="5347"/>
      <c r="CL61" s="5347"/>
      <c r="CM61" s="5347"/>
      <c r="CN61" s="5347"/>
      <c r="CO61" s="5348"/>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1" t="str">
        <f>B64&amp;"-"&amp;B108</f>
        <v>12-20</v>
      </c>
      <c r="D63" s="5351"/>
      <c r="E63" s="5351"/>
      <c r="F63" s="5351"/>
      <c r="G63" s="5351"/>
      <c r="H63" s="5351"/>
      <c r="I63" s="5351"/>
      <c r="J63" s="5351"/>
      <c r="K63" s="5351"/>
      <c r="L63" s="5351"/>
      <c r="M63" s="5351"/>
      <c r="N63" s="5351"/>
      <c r="O63" s="5351"/>
      <c r="P63" s="5351"/>
      <c r="Q63" s="5351"/>
      <c r="R63" s="2271"/>
      <c r="S63" s="1210"/>
      <c r="T63" s="1210"/>
      <c r="U63" s="2275"/>
      <c r="V63" s="5351" t="str">
        <f>U64&amp;"-"&amp;U108</f>
        <v>32-40</v>
      </c>
      <c r="W63" s="5351"/>
      <c r="X63" s="5351"/>
      <c r="Y63" s="5351"/>
      <c r="Z63" s="5351"/>
      <c r="AA63" s="5351"/>
      <c r="AB63" s="5351"/>
      <c r="AC63" s="5351"/>
      <c r="AD63" s="5351"/>
      <c r="AE63" s="5351"/>
      <c r="AF63" s="5351"/>
      <c r="AG63" s="5351"/>
      <c r="AH63" s="5351"/>
      <c r="AI63" s="5351"/>
      <c r="AJ63" s="5351"/>
      <c r="AK63" s="2270"/>
      <c r="AL63" s="1210"/>
      <c r="AM63" s="2273"/>
      <c r="AN63" s="2269"/>
      <c r="AO63" s="5351" t="str">
        <f>AN64&amp;"-"&amp;AN108</f>
        <v>52-60</v>
      </c>
      <c r="AP63" s="5351"/>
      <c r="AQ63" s="5351"/>
      <c r="AR63" s="5351"/>
      <c r="AS63" s="5351"/>
      <c r="AT63" s="5351"/>
      <c r="AU63" s="5351"/>
      <c r="AV63" s="5351"/>
      <c r="AW63" s="5351"/>
      <c r="AX63" s="5351"/>
      <c r="AY63" s="5351"/>
      <c r="AZ63" s="5351"/>
      <c r="BA63" s="5351"/>
      <c r="BB63" s="5351"/>
      <c r="BC63" s="5351"/>
      <c r="BD63" s="2270"/>
      <c r="BE63" s="1210"/>
      <c r="BF63" s="1210"/>
      <c r="BG63" s="2269"/>
      <c r="BH63" s="5351" t="str">
        <f>BG64&amp;"-"&amp;BG108</f>
        <v>72-80</v>
      </c>
      <c r="BI63" s="5351"/>
      <c r="BJ63" s="5351"/>
      <c r="BK63" s="5351"/>
      <c r="BL63" s="5351"/>
      <c r="BM63" s="5351"/>
      <c r="BN63" s="5351"/>
      <c r="BO63" s="5351"/>
      <c r="BP63" s="5351"/>
      <c r="BQ63" s="5351"/>
      <c r="BR63" s="5351"/>
      <c r="BS63" s="5351"/>
      <c r="BT63" s="5351"/>
      <c r="BU63" s="5351"/>
      <c r="BV63" s="5351"/>
      <c r="BW63" s="2270"/>
      <c r="BX63" s="1210"/>
      <c r="BY63" s="1210"/>
      <c r="BZ63" s="2269"/>
      <c r="CA63" s="5351" t="str">
        <f>BZ64&amp;"-"&amp;BZ108</f>
        <v>92-100</v>
      </c>
      <c r="CB63" s="5351"/>
      <c r="CC63" s="5351"/>
      <c r="CD63" s="5351"/>
      <c r="CE63" s="5351"/>
      <c r="CF63" s="5351"/>
      <c r="CG63" s="5351"/>
      <c r="CH63" s="5351"/>
      <c r="CI63" s="5351"/>
      <c r="CJ63" s="5351"/>
      <c r="CK63" s="5351"/>
      <c r="CL63" s="5351"/>
      <c r="CM63" s="5351"/>
      <c r="CN63" s="5351"/>
      <c r="CO63" s="5351"/>
      <c r="CP63" s="2270"/>
      <c r="CQ63" s="1210"/>
    </row>
    <row r="64" spans="1:95" ht="12" customHeight="1" x14ac:dyDescent="0.2">
      <c r="A64" s="1210"/>
      <c r="B64" s="2258">
        <f>B52+2</f>
        <v>12</v>
      </c>
      <c r="C64" s="5349"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0"/>
      <c r="E64" s="5350"/>
      <c r="F64" s="5350"/>
      <c r="G64" s="5350"/>
      <c r="H64" s="1230" t="s">
        <v>1630</v>
      </c>
      <c r="I64" s="1231">
        <f>IF(C64=0,"",VLOOKUP(C64,'Tablas Magia'!$D$6:$Z$680,3,FALSE))</f>
        <v>12</v>
      </c>
      <c r="J64" s="5315" t="s">
        <v>8162</v>
      </c>
      <c r="K64" s="5315"/>
      <c r="L64" s="5315"/>
      <c r="M64" s="5316" t="str">
        <f>IF(C64=0,"",VLOOKUP(C64,'Tablas Magia'!$D$6:$Z$680,2,FALSE))</f>
        <v>Fuego</v>
      </c>
      <c r="N64" s="5316"/>
      <c r="O64" s="5316"/>
      <c r="P64" s="5316"/>
      <c r="Q64" s="5317"/>
      <c r="R64" s="1216"/>
      <c r="S64" s="1210"/>
      <c r="T64" s="1210"/>
      <c r="U64" s="2258">
        <f>U52+2</f>
        <v>32</v>
      </c>
      <c r="V64" s="5349"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0"/>
      <c r="X64" s="5350"/>
      <c r="Y64" s="5350"/>
      <c r="Z64" s="5350"/>
      <c r="AA64" s="1230" t="s">
        <v>1630</v>
      </c>
      <c r="AB64" s="1231">
        <f>IF(V64=0,"",VLOOKUP(V64,'Tablas Magia'!$D$6:$Z$680,3,FALSE))</f>
        <v>32</v>
      </c>
      <c r="AC64" s="5315" t="s">
        <v>8162</v>
      </c>
      <c r="AD64" s="5315"/>
      <c r="AE64" s="5315"/>
      <c r="AF64" s="5316" t="str">
        <f>IF(V64=0,"",VLOOKUP(V64,'Tablas Magia'!$D$6:$Z$680,2,FALSE))</f>
        <v>Fuego</v>
      </c>
      <c r="AG64" s="5316"/>
      <c r="AH64" s="5316"/>
      <c r="AI64" s="5316"/>
      <c r="AJ64" s="5317"/>
      <c r="AK64" s="1216"/>
      <c r="AL64" s="1210"/>
      <c r="AM64" s="1210"/>
      <c r="AN64" s="2272">
        <f>AN52+2</f>
        <v>52</v>
      </c>
      <c r="AO64" s="5349"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0"/>
      <c r="AQ64" s="5350"/>
      <c r="AR64" s="5350"/>
      <c r="AS64" s="5350"/>
      <c r="AT64" s="1230" t="s">
        <v>1630</v>
      </c>
      <c r="AU64" s="1231">
        <f>IF(AO64=0,"",VLOOKUP(AO64,'Tablas Magia'!$D$6:$Z$680,3,FALSE))</f>
        <v>52</v>
      </c>
      <c r="AV64" s="5315" t="s">
        <v>8162</v>
      </c>
      <c r="AW64" s="5315"/>
      <c r="AX64" s="5315"/>
      <c r="AY64" s="5316" t="str">
        <f>IF(AO64=0,"",VLOOKUP(AO64,'Tablas Magia'!$D$6:$Z$680,2,FALSE))</f>
        <v>Fuego</v>
      </c>
      <c r="AZ64" s="5316"/>
      <c r="BA64" s="5316"/>
      <c r="BB64" s="5316"/>
      <c r="BC64" s="5317"/>
      <c r="BD64" s="1216"/>
      <c r="BE64" s="1210"/>
      <c r="BF64" s="1210"/>
      <c r="BG64" s="2272">
        <f>BG52+2</f>
        <v>72</v>
      </c>
      <c r="BH64" s="5349"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0"/>
      <c r="BJ64" s="5350"/>
      <c r="BK64" s="5350"/>
      <c r="BL64" s="5350"/>
      <c r="BM64" s="1230" t="s">
        <v>1630</v>
      </c>
      <c r="BN64" s="1231">
        <f>IF(BH64=0,"",VLOOKUP(BH64,'Tablas Magia'!$D$6:$Z$680,3,FALSE))</f>
        <v>72</v>
      </c>
      <c r="BO64" s="5315" t="s">
        <v>8162</v>
      </c>
      <c r="BP64" s="5315"/>
      <c r="BQ64" s="5315"/>
      <c r="BR64" s="5316" t="str">
        <f>IF(BH64=0,"",VLOOKUP(BH64,'Tablas Magia'!$D$6:$Z$680,2,FALSE))</f>
        <v>Fuego</v>
      </c>
      <c r="BS64" s="5316"/>
      <c r="BT64" s="5316"/>
      <c r="BU64" s="5316"/>
      <c r="BV64" s="5317"/>
      <c r="BW64" s="1216"/>
      <c r="BX64" s="1210"/>
      <c r="BY64" s="1210"/>
      <c r="BZ64" s="2272">
        <f>BZ52+2</f>
        <v>92</v>
      </c>
      <c r="CA64" s="5349"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0"/>
      <c r="CC64" s="5350"/>
      <c r="CD64" s="5350"/>
      <c r="CE64" s="5350"/>
      <c r="CF64" s="1230" t="s">
        <v>1630</v>
      </c>
      <c r="CG64" s="1231">
        <f>IF(CA64=0,"",VLOOKUP(CA64,'Tablas Magia'!$D$6:$Z$680,3,FALSE))</f>
        <v>92</v>
      </c>
      <c r="CH64" s="5315" t="s">
        <v>8162</v>
      </c>
      <c r="CI64" s="5315"/>
      <c r="CJ64" s="5315"/>
      <c r="CK64" s="5316" t="str">
        <f>IF(CA64=0,"",VLOOKUP(CA64,'Tablas Magia'!$D$6:$Z$680,2,FALSE))</f>
        <v>Fuego</v>
      </c>
      <c r="CL64" s="5316"/>
      <c r="CM64" s="5316"/>
      <c r="CN64" s="5316"/>
      <c r="CO64" s="5317"/>
      <c r="CP64" s="1216"/>
      <c r="CQ64" s="1210"/>
    </row>
    <row r="65" spans="1:95" ht="12" customHeight="1" x14ac:dyDescent="0.2">
      <c r="A65" s="1210"/>
      <c r="B65" s="2258"/>
      <c r="C65" s="5333" t="s">
        <v>8163</v>
      </c>
      <c r="D65" s="5334"/>
      <c r="E65" s="1232" t="s">
        <v>8164</v>
      </c>
      <c r="F65" s="1232" t="s">
        <v>1824</v>
      </c>
      <c r="G65" s="1232" t="s">
        <v>3467</v>
      </c>
      <c r="H65" s="1233" t="s">
        <v>2175</v>
      </c>
      <c r="I65" s="5330" t="str">
        <f>IF(C64=0,"",VLOOKUP(C64,'Tablas Magia'!$D$6:$Z$680,5,FALSE))</f>
        <v>Detección</v>
      </c>
      <c r="J65" s="5330"/>
      <c r="K65" s="5331" t="s">
        <v>8165</v>
      </c>
      <c r="L65" s="5331"/>
      <c r="M65" s="5330" t="str">
        <f>IF(C64=0,"",VLOOKUP(C64,'Tablas Magia'!$D$6:$Z$680,6,FALSE))</f>
        <v>Activa</v>
      </c>
      <c r="N65" s="5330"/>
      <c r="O65" s="5332" t="s">
        <v>8166</v>
      </c>
      <c r="P65" s="5332"/>
      <c r="Q65" s="1234" t="str">
        <f>IF(C64=0,"",VLOOKUP(C64,'Tablas Magia'!$D$6:$Z$680,4,FALSE))</f>
        <v>No</v>
      </c>
      <c r="R65" s="1216"/>
      <c r="S65" s="1210"/>
      <c r="T65" s="1210"/>
      <c r="U65" s="2258"/>
      <c r="V65" s="5333" t="s">
        <v>8163</v>
      </c>
      <c r="W65" s="5334"/>
      <c r="X65" s="1232" t="s">
        <v>8164</v>
      </c>
      <c r="Y65" s="1232" t="s">
        <v>1824</v>
      </c>
      <c r="Z65" s="1232" t="s">
        <v>3467</v>
      </c>
      <c r="AA65" s="1233" t="s">
        <v>2175</v>
      </c>
      <c r="AB65" s="5330" t="str">
        <f>IF(V64=0,"",VLOOKUP(V64,'Tablas Magia'!$D$6:$Z$680,5,FALSE))</f>
        <v>Efecto</v>
      </c>
      <c r="AC65" s="5330"/>
      <c r="AD65" s="5331" t="s">
        <v>8165</v>
      </c>
      <c r="AE65" s="5331"/>
      <c r="AF65" s="5330" t="str">
        <f>IF(V64=0,"",VLOOKUP(V64,'Tablas Magia'!$D$6:$Z$680,6,FALSE))</f>
        <v>Activa</v>
      </c>
      <c r="AG65" s="5330"/>
      <c r="AH65" s="5332" t="s">
        <v>8166</v>
      </c>
      <c r="AI65" s="5332"/>
      <c r="AJ65" s="1234" t="str">
        <f>IF(V64=0,"",VLOOKUP(V64,'Tablas Magia'!$D$6:$Z$680,4,FALSE))</f>
        <v>No</v>
      </c>
      <c r="AK65" s="1216"/>
      <c r="AL65" s="1210"/>
      <c r="AM65" s="1210"/>
      <c r="AN65" s="2272"/>
      <c r="AO65" s="5333" t="s">
        <v>8163</v>
      </c>
      <c r="AP65" s="5334"/>
      <c r="AQ65" s="1232" t="s">
        <v>8164</v>
      </c>
      <c r="AR65" s="1232" t="s">
        <v>1824</v>
      </c>
      <c r="AS65" s="1232" t="s">
        <v>3467</v>
      </c>
      <c r="AT65" s="1233" t="s">
        <v>2175</v>
      </c>
      <c r="AU65" s="5330" t="str">
        <f>IF(AO64=0,"",VLOOKUP(AO64,'Tablas Magia'!$D$6:$Z$680,5,FALSE))</f>
        <v>Efecto</v>
      </c>
      <c r="AV65" s="5330"/>
      <c r="AW65" s="5331" t="s">
        <v>8165</v>
      </c>
      <c r="AX65" s="5331"/>
      <c r="AY65" s="5330" t="str">
        <f>IF(AO64=0,"",VLOOKUP(AO64,'Tablas Magia'!$D$6:$Z$680,6,FALSE))</f>
        <v>Activa</v>
      </c>
      <c r="AZ65" s="5330"/>
      <c r="BA65" s="5332" t="s">
        <v>8166</v>
      </c>
      <c r="BB65" s="5332"/>
      <c r="BC65" s="1234" t="str">
        <f>IF(AO64=0,"",VLOOKUP(AO64,'Tablas Magia'!$D$6:$Z$680,4,FALSE))</f>
        <v>No</v>
      </c>
      <c r="BD65" s="1216"/>
      <c r="BE65" s="1210"/>
      <c r="BF65" s="1210"/>
      <c r="BG65" s="2272"/>
      <c r="BH65" s="5333" t="s">
        <v>8163</v>
      </c>
      <c r="BI65" s="5334"/>
      <c r="BJ65" s="1232" t="s">
        <v>8164</v>
      </c>
      <c r="BK65" s="1232" t="s">
        <v>1824</v>
      </c>
      <c r="BL65" s="1232" t="s">
        <v>3467</v>
      </c>
      <c r="BM65" s="1233" t="s">
        <v>2175</v>
      </c>
      <c r="BN65" s="5330" t="str">
        <f>IF(BH64=0,"",VLOOKUP(BH64,'Tablas Magia'!$D$6:$Z$680,5,FALSE))</f>
        <v>Efecto</v>
      </c>
      <c r="BO65" s="5330"/>
      <c r="BP65" s="5331" t="s">
        <v>8165</v>
      </c>
      <c r="BQ65" s="5331"/>
      <c r="BR65" s="5330" t="str">
        <f>IF(BH64=0,"",VLOOKUP(BH64,'Tablas Magia'!$D$6:$Z$680,6,FALSE))</f>
        <v>Activa</v>
      </c>
      <c r="BS65" s="5330"/>
      <c r="BT65" s="5332" t="s">
        <v>8166</v>
      </c>
      <c r="BU65" s="5332"/>
      <c r="BV65" s="1234" t="str">
        <f>IF(BH64=0,"",VLOOKUP(BH64,'Tablas Magia'!$D$6:$Z$680,4,FALSE))</f>
        <v>Si</v>
      </c>
      <c r="BW65" s="1216"/>
      <c r="BX65" s="1210"/>
      <c r="BY65" s="1210"/>
      <c r="BZ65" s="2272"/>
      <c r="CA65" s="5333" t="s">
        <v>8163</v>
      </c>
      <c r="CB65" s="5334"/>
      <c r="CC65" s="1232" t="s">
        <v>8164</v>
      </c>
      <c r="CD65" s="1232" t="s">
        <v>1824</v>
      </c>
      <c r="CE65" s="1232" t="s">
        <v>3467</v>
      </c>
      <c r="CF65" s="1233" t="s">
        <v>2175</v>
      </c>
      <c r="CG65" s="5330" t="str">
        <f>IF(CA64=0,"",VLOOKUP(CA64,'Tablas Magia'!$D$6:$Z$680,5,FALSE))</f>
        <v>Efecto</v>
      </c>
      <c r="CH65" s="5330"/>
      <c r="CI65" s="5331" t="s">
        <v>8165</v>
      </c>
      <c r="CJ65" s="5331"/>
      <c r="CK65" s="5330" t="str">
        <f>IF(CA64=0,"",VLOOKUP(CA64,'Tablas Magia'!$D$6:$Z$680,6,FALSE))</f>
        <v>Activa</v>
      </c>
      <c r="CL65" s="5330"/>
      <c r="CM65" s="5332" t="s">
        <v>8166</v>
      </c>
      <c r="CN65" s="5332"/>
      <c r="CO65" s="1234" t="str">
        <f>IF(CA64=0,"",VLOOKUP(CA64,'Tablas Magia'!$D$6:$Z$680,4,FALSE))</f>
        <v>Si</v>
      </c>
      <c r="CP65" s="1216"/>
      <c r="CQ65" s="1210"/>
    </row>
    <row r="66" spans="1:95" ht="12" customHeight="1" x14ac:dyDescent="0.2">
      <c r="A66" s="1210"/>
      <c r="B66" s="2258"/>
      <c r="C66" s="5325" t="s">
        <v>1677</v>
      </c>
      <c r="D66" s="5326"/>
      <c r="E66" s="1235">
        <f>IF(C64=0,"",VLOOKUP(C64,'Tablas Magia'!$D$6:$Z$680,7,FALSE))</f>
        <v>6</v>
      </c>
      <c r="F66" s="1235">
        <f>IF(C64=0,"",VLOOKUP(C64,'Tablas Magia'!$D$6:$Z$680,11,FALSE))</f>
        <v>60</v>
      </c>
      <c r="G66" s="1236">
        <f>IF(C64=0,"",VLOOKUP(C64,'Tablas Magia'!$D$6:$Z$680,15,FALSE))</f>
        <v>10</v>
      </c>
      <c r="H66" s="5327" t="str">
        <f>IF(C64=0,"",VLOOKUP(C64,'Tablas Magia'!$D$6:$Z$680,19,FALSE))</f>
        <v>25 metros / RM 120</v>
      </c>
      <c r="I66" s="5328"/>
      <c r="J66" s="5328"/>
      <c r="K66" s="5328"/>
      <c r="L66" s="5328"/>
      <c r="M66" s="5328"/>
      <c r="N66" s="5328"/>
      <c r="O66" s="5328"/>
      <c r="P66" s="5328"/>
      <c r="Q66" s="5329"/>
      <c r="R66" s="1216"/>
      <c r="S66" s="1210"/>
      <c r="T66" s="1210"/>
      <c r="U66" s="2258"/>
      <c r="V66" s="5325" t="s">
        <v>1677</v>
      </c>
      <c r="W66" s="5326"/>
      <c r="X66" s="1235">
        <f>IF(V64=0,"",VLOOKUP(V64,'Tablas Magia'!$D$6:$Z$680,7,FALSE))</f>
        <v>6</v>
      </c>
      <c r="Y66" s="1235">
        <f>IF(V64=0,"",VLOOKUP(V64,'Tablas Magia'!$D$6:$Z$680,11,FALSE))</f>
        <v>60</v>
      </c>
      <c r="Z66" s="1236" t="str">
        <f>IF(V64=0,"",VLOOKUP(V64,'Tablas Magia'!$D$6:$Z$680,15,FALSE))</f>
        <v>No</v>
      </c>
      <c r="AA66" s="5327" t="str">
        <f>IF(V64=0,"",VLOOKUP(V64,'Tablas Magia'!$D$6:$Z$680,19,FALSE))</f>
        <v>Retrocede una hora</v>
      </c>
      <c r="AB66" s="5328"/>
      <c r="AC66" s="5328"/>
      <c r="AD66" s="5328"/>
      <c r="AE66" s="5328"/>
      <c r="AF66" s="5328"/>
      <c r="AG66" s="5328"/>
      <c r="AH66" s="5328"/>
      <c r="AI66" s="5328"/>
      <c r="AJ66" s="5329"/>
      <c r="AK66" s="1216"/>
      <c r="AL66" s="1210"/>
      <c r="AM66" s="1210"/>
      <c r="AN66" s="2272"/>
      <c r="AO66" s="5325" t="s">
        <v>1677</v>
      </c>
      <c r="AP66" s="5326"/>
      <c r="AQ66" s="1235">
        <f>IF(AO64=0,"",VLOOKUP(AO64,'Tablas Magia'!$D$6:$Z$680,7,FALSE))</f>
        <v>8</v>
      </c>
      <c r="AR66" s="1235">
        <f>IF(AO64=0,"",VLOOKUP(AO64,'Tablas Magia'!$D$6:$Z$680,11,FALSE))</f>
        <v>100</v>
      </c>
      <c r="AS66" s="1236">
        <f>IF(AO64=0,"",VLOOKUP(AO64,'Tablas Magia'!$D$6:$Z$680,15,FALSE))</f>
        <v>10</v>
      </c>
      <c r="AT66" s="5327" t="str">
        <f>IF(AO64=0,"",VLOOKUP(AO64,'Tablas Magia'!$D$6:$Z$680,19,FALSE))</f>
        <v>Las habilidades descritas</v>
      </c>
      <c r="AU66" s="5328"/>
      <c r="AV66" s="5328"/>
      <c r="AW66" s="5328"/>
      <c r="AX66" s="5328"/>
      <c r="AY66" s="5328"/>
      <c r="AZ66" s="5328"/>
      <c r="BA66" s="5328"/>
      <c r="BB66" s="5328"/>
      <c r="BC66" s="5329"/>
      <c r="BD66" s="1216"/>
      <c r="BE66" s="1210"/>
      <c r="BF66" s="1210"/>
      <c r="BG66" s="2272"/>
      <c r="BH66" s="5325" t="s">
        <v>1677</v>
      </c>
      <c r="BI66" s="5326"/>
      <c r="BJ66" s="1235">
        <f>IF(BH64=0,"",VLOOKUP(BH64,'Tablas Magia'!$D$6:$Z$680,7,FALSE))</f>
        <v>6</v>
      </c>
      <c r="BK66" s="1235">
        <f>IF(BH64=0,"",VLOOKUP(BH64,'Tablas Magia'!$D$6:$Z$680,11,FALSE))</f>
        <v>120</v>
      </c>
      <c r="BL66" s="1236">
        <f>IF(BH64=0,"",VLOOKUP(BH64,'Tablas Magia'!$D$6:$Z$680,15,FALSE))</f>
        <v>10</v>
      </c>
      <c r="BM66" s="5327" t="str">
        <f>IF(BH64=0,"",VLOOKUP(BH64,'Tablas Magia'!$D$6:$Z$680,19,FALSE))</f>
        <v>50 puntos de Zeon por asalto</v>
      </c>
      <c r="BN66" s="5328"/>
      <c r="BO66" s="5328"/>
      <c r="BP66" s="5328"/>
      <c r="BQ66" s="5328"/>
      <c r="BR66" s="5328"/>
      <c r="BS66" s="5328"/>
      <c r="BT66" s="5328"/>
      <c r="BU66" s="5328"/>
      <c r="BV66" s="5329"/>
      <c r="BW66" s="1216"/>
      <c r="BX66" s="1210"/>
      <c r="BY66" s="1210"/>
      <c r="BZ66" s="2272"/>
      <c r="CA66" s="5325" t="s">
        <v>1677</v>
      </c>
      <c r="CB66" s="5326"/>
      <c r="CC66" s="1235">
        <f>IF(CA64=0,"",VLOOKUP(CA64,'Tablas Magia'!$D$6:$Z$680,7,FALSE))</f>
        <v>13</v>
      </c>
      <c r="CD66" s="1235">
        <f>IF(CA64=0,"",VLOOKUP(CA64,'Tablas Magia'!$D$6:$Z$680,11,FALSE))</f>
        <v>250</v>
      </c>
      <c r="CE66" s="1236">
        <f>IF(CA64=0,"",VLOOKUP(CA64,'Tablas Magia'!$D$6:$Z$680,15,FALSE))</f>
        <v>50</v>
      </c>
      <c r="CF66" s="5327" t="str">
        <f>IF(CA64=0,"",VLOOKUP(CA64,'Tablas Magia'!$D$6:$Z$680,19,FALSE))</f>
        <v>RM 120/ 1 km de area</v>
      </c>
      <c r="CG66" s="5328"/>
      <c r="CH66" s="5328"/>
      <c r="CI66" s="5328"/>
      <c r="CJ66" s="5328"/>
      <c r="CK66" s="5328"/>
      <c r="CL66" s="5328"/>
      <c r="CM66" s="5328"/>
      <c r="CN66" s="5328"/>
      <c r="CO66" s="5329"/>
      <c r="CP66" s="1216"/>
      <c r="CQ66" s="1210"/>
    </row>
    <row r="67" spans="1:95" ht="12" customHeight="1" x14ac:dyDescent="0.2">
      <c r="A67" s="1210"/>
      <c r="B67" s="2258"/>
      <c r="C67" s="5320" t="s">
        <v>4705</v>
      </c>
      <c r="D67" s="5321"/>
      <c r="E67" s="1237">
        <f>IF(C64=0,"",VLOOKUP(C64,'Tablas Magia'!$D$6:$Z$680,8,FALSE))</f>
        <v>9</v>
      </c>
      <c r="F67" s="1237">
        <f>IF(C64=0,"",VLOOKUP(C64,'Tablas Magia'!$D$6:$Z$680,12,FALSE))</f>
        <v>100</v>
      </c>
      <c r="G67" s="1238">
        <f>IF(C64=0,"",VLOOKUP(C64,'Tablas Magia'!$D$6:$Z$680,16,FALSE))</f>
        <v>10</v>
      </c>
      <c r="H67" s="5322" t="str">
        <f>IF(C64=0,"",VLOOKUP(C64,'Tablas Magia'!$D$6:$Z$680,20,FALSE))</f>
        <v>50 metros / RM 150</v>
      </c>
      <c r="I67" s="5323"/>
      <c r="J67" s="5323"/>
      <c r="K67" s="5323"/>
      <c r="L67" s="5323"/>
      <c r="M67" s="5323"/>
      <c r="N67" s="5323"/>
      <c r="O67" s="5323"/>
      <c r="P67" s="5323"/>
      <c r="Q67" s="5324"/>
      <c r="R67" s="1216"/>
      <c r="S67" s="1210"/>
      <c r="T67" s="1210"/>
      <c r="U67" s="2258"/>
      <c r="V67" s="5320" t="s">
        <v>4705</v>
      </c>
      <c r="W67" s="5321"/>
      <c r="X67" s="1237">
        <f>IF(V64=0,"",VLOOKUP(V64,'Tablas Magia'!$D$6:$Z$680,8,FALSE))</f>
        <v>10</v>
      </c>
      <c r="Y67" s="1237">
        <f>IF(V64=0,"",VLOOKUP(V64,'Tablas Magia'!$D$6:$Z$680,12,FALSE))</f>
        <v>140</v>
      </c>
      <c r="Z67" s="1238" t="str">
        <f>IF(V64=0,"",VLOOKUP(V64,'Tablas Magia'!$D$6:$Z$680,16,FALSE))</f>
        <v>No</v>
      </c>
      <c r="AA67" s="5322" t="str">
        <f>IF(V64=0,"",VLOOKUP(V64,'Tablas Magia'!$D$6:$Z$680,20,FALSE))</f>
        <v>Retrocede un día</v>
      </c>
      <c r="AB67" s="5323"/>
      <c r="AC67" s="5323"/>
      <c r="AD67" s="5323"/>
      <c r="AE67" s="5323"/>
      <c r="AF67" s="5323"/>
      <c r="AG67" s="5323"/>
      <c r="AH67" s="5323"/>
      <c r="AI67" s="5323"/>
      <c r="AJ67" s="5324"/>
      <c r="AK67" s="1216"/>
      <c r="AL67" s="1210"/>
      <c r="AM67" s="1210"/>
      <c r="AN67" s="2272"/>
      <c r="AO67" s="5320" t="s">
        <v>4705</v>
      </c>
      <c r="AP67" s="5321"/>
      <c r="AQ67" s="1237">
        <f>IF(AO64=0,"",VLOOKUP(AO64,'Tablas Magia'!$D$6:$Z$680,8,FALSE))</f>
        <v>11</v>
      </c>
      <c r="AR67" s="1237">
        <f>IF(AO64=0,"",VLOOKUP(AO64,'Tablas Magia'!$D$6:$Z$680,12,FALSE))</f>
        <v>120</v>
      </c>
      <c r="AS67" s="1238">
        <f>IF(AO64=0,"",VLOOKUP(AO64,'Tablas Magia'!$D$6:$Z$680,16,FALSE))</f>
        <v>15</v>
      </c>
      <c r="AT67" s="5322" t="str">
        <f>IF(AO64=0,"",VLOOKUP(AO64,'Tablas Magia'!$D$6:$Z$680,20,FALSE))</f>
        <v>Se gana +30 a sus Resistencias contra efectos basados en calor</v>
      </c>
      <c r="AU67" s="5323"/>
      <c r="AV67" s="5323"/>
      <c r="AW67" s="5323"/>
      <c r="AX67" s="5323"/>
      <c r="AY67" s="5323"/>
      <c r="AZ67" s="5323"/>
      <c r="BA67" s="5323"/>
      <c r="BB67" s="5323"/>
      <c r="BC67" s="5324"/>
      <c r="BD67" s="1216"/>
      <c r="BE67" s="1210"/>
      <c r="BF67" s="1210"/>
      <c r="BG67" s="2272"/>
      <c r="BH67" s="5320" t="s">
        <v>4705</v>
      </c>
      <c r="BI67" s="5321"/>
      <c r="BJ67" s="1237">
        <f>IF(BH64=0,"",VLOOKUP(BH64,'Tablas Magia'!$D$6:$Z$680,8,FALSE))</f>
        <v>9</v>
      </c>
      <c r="BK67" s="1237">
        <f>IF(BH64=0,"",VLOOKUP(BH64,'Tablas Magia'!$D$6:$Z$680,12,FALSE))</f>
        <v>180</v>
      </c>
      <c r="BL67" s="1238">
        <f>IF(BH64=0,"",VLOOKUP(BH64,'Tablas Magia'!$D$6:$Z$680,16,FALSE))</f>
        <v>10</v>
      </c>
      <c r="BM67" s="5322" t="str">
        <f>IF(BH64=0,"",VLOOKUP(BH64,'Tablas Magia'!$D$6:$Z$680,20,FALSE))</f>
        <v>100 puntos de Zeon por asalto</v>
      </c>
      <c r="BN67" s="5323"/>
      <c r="BO67" s="5323"/>
      <c r="BP67" s="5323"/>
      <c r="BQ67" s="5323"/>
      <c r="BR67" s="5323"/>
      <c r="BS67" s="5323"/>
      <c r="BT67" s="5323"/>
      <c r="BU67" s="5323"/>
      <c r="BV67" s="5324"/>
      <c r="BW67" s="1216"/>
      <c r="BX67" s="1210"/>
      <c r="BY67" s="1210"/>
      <c r="BZ67" s="2272"/>
      <c r="CA67" s="5320" t="s">
        <v>4705</v>
      </c>
      <c r="CB67" s="5321"/>
      <c r="CC67" s="1237">
        <f>IF(CA64=0,"",VLOOKUP(CA64,'Tablas Magia'!$D$6:$Z$680,8,FALSE))</f>
        <v>15</v>
      </c>
      <c r="CD67" s="1237">
        <f>IF(CA64=0,"",VLOOKUP(CA64,'Tablas Magia'!$D$6:$Z$680,12,FALSE))</f>
        <v>350</v>
      </c>
      <c r="CE67" s="1238">
        <f>IF(CA64=0,"",VLOOKUP(CA64,'Tablas Magia'!$D$6:$Z$680,16,FALSE))</f>
        <v>70</v>
      </c>
      <c r="CF67" s="5322" t="str">
        <f>IF(CA64=0,"",VLOOKUP(CA64,'Tablas Magia'!$D$6:$Z$680,20,FALSE))</f>
        <v>RM 140/ 2km de area</v>
      </c>
      <c r="CG67" s="5323"/>
      <c r="CH67" s="5323"/>
      <c r="CI67" s="5323"/>
      <c r="CJ67" s="5323"/>
      <c r="CK67" s="5323"/>
      <c r="CL67" s="5323"/>
      <c r="CM67" s="5323"/>
      <c r="CN67" s="5323"/>
      <c r="CO67" s="5324"/>
      <c r="CP67" s="1216"/>
      <c r="CQ67" s="1210"/>
    </row>
    <row r="68" spans="1:95" ht="12" customHeight="1" x14ac:dyDescent="0.2">
      <c r="A68" s="1210"/>
      <c r="B68" s="2258"/>
      <c r="C68" s="5325" t="s">
        <v>4706</v>
      </c>
      <c r="D68" s="5326"/>
      <c r="E68" s="1235">
        <f>IF(C64=0,"",VLOOKUP(C64,'Tablas Magia'!$D$6:$Z$680,9,FALSE))</f>
        <v>12</v>
      </c>
      <c r="F68" s="1235">
        <f>IF(C64=0,"",VLOOKUP(C64,'Tablas Magia'!$D$6:$Z$680,13,FALSE))</f>
        <v>140</v>
      </c>
      <c r="G68" s="1236">
        <f>IF(C64=0,"",VLOOKUP(C64,'Tablas Magia'!$D$6:$Z$680,17,FALSE))</f>
        <v>15</v>
      </c>
      <c r="H68" s="5327" t="str">
        <f>IF(C64=0,"",VLOOKUP(C64,'Tablas Magia'!$D$6:$Z$680,21,FALSE))</f>
        <v>100 metros / RM 180</v>
      </c>
      <c r="I68" s="5328"/>
      <c r="J68" s="5328"/>
      <c r="K68" s="5328"/>
      <c r="L68" s="5328"/>
      <c r="M68" s="5328"/>
      <c r="N68" s="5328"/>
      <c r="O68" s="5328"/>
      <c r="P68" s="5328"/>
      <c r="Q68" s="5329"/>
      <c r="R68" s="1216"/>
      <c r="S68" s="1210"/>
      <c r="T68" s="1210"/>
      <c r="U68" s="2258"/>
      <c r="V68" s="5325" t="s">
        <v>4706</v>
      </c>
      <c r="W68" s="5326"/>
      <c r="X68" s="1235">
        <f>IF(V64=0,"",VLOOKUP(V64,'Tablas Magia'!$D$6:$Z$680,9,FALSE))</f>
        <v>13</v>
      </c>
      <c r="Y68" s="1235">
        <f>IF(V64=0,"",VLOOKUP(V64,'Tablas Magia'!$D$6:$Z$680,13,FALSE))</f>
        <v>220</v>
      </c>
      <c r="Z68" s="1236" t="str">
        <f>IF(V64=0,"",VLOOKUP(V64,'Tablas Magia'!$D$6:$Z$680,17,FALSE))</f>
        <v>No</v>
      </c>
      <c r="AA68" s="5327" t="str">
        <f>IF(V64=0,"",VLOOKUP(V64,'Tablas Magia'!$D$6:$Z$680,21,FALSE))</f>
        <v>Retrocede un mes</v>
      </c>
      <c r="AB68" s="5328"/>
      <c r="AC68" s="5328"/>
      <c r="AD68" s="5328"/>
      <c r="AE68" s="5328"/>
      <c r="AF68" s="5328"/>
      <c r="AG68" s="5328"/>
      <c r="AH68" s="5328"/>
      <c r="AI68" s="5328"/>
      <c r="AJ68" s="5329"/>
      <c r="AK68" s="1216"/>
      <c r="AL68" s="1210"/>
      <c r="AM68" s="1210"/>
      <c r="AN68" s="2272"/>
      <c r="AO68" s="5325" t="s">
        <v>4706</v>
      </c>
      <c r="AP68" s="5326"/>
      <c r="AQ68" s="1235">
        <f>IF(AO64=0,"",VLOOKUP(AO64,'Tablas Magia'!$D$6:$Z$680,9,FALSE))</f>
        <v>12</v>
      </c>
      <c r="AR68" s="1235">
        <f>IF(AO64=0,"",VLOOKUP(AO64,'Tablas Magia'!$D$6:$Z$680,13,FALSE))</f>
        <v>140</v>
      </c>
      <c r="AS68" s="1236">
        <f>IF(AO64=0,"",VLOOKUP(AO64,'Tablas Magia'!$D$6:$Z$680,17,FALSE))</f>
        <v>15</v>
      </c>
      <c r="AT68" s="5327" t="str">
        <f>IF(AO64=0,"",VLOOKUP(AO64,'Tablas Magia'!$D$6:$Z$680,21,FALSE))</f>
        <v>Idem arriba, el sujeto puede pasar por donde pueda pasar el fuego</v>
      </c>
      <c r="AU68" s="5328"/>
      <c r="AV68" s="5328"/>
      <c r="AW68" s="5328"/>
      <c r="AX68" s="5328"/>
      <c r="AY68" s="5328"/>
      <c r="AZ68" s="5328"/>
      <c r="BA68" s="5328"/>
      <c r="BB68" s="5328"/>
      <c r="BC68" s="5329"/>
      <c r="BD68" s="1216"/>
      <c r="BE68" s="1210"/>
      <c r="BF68" s="1210"/>
      <c r="BG68" s="2272"/>
      <c r="BH68" s="5325" t="s">
        <v>4706</v>
      </c>
      <c r="BI68" s="5326"/>
      <c r="BJ68" s="1235">
        <f>IF(BH64=0,"",VLOOKUP(BH64,'Tablas Magia'!$D$6:$Z$680,9,FALSE))</f>
        <v>13</v>
      </c>
      <c r="BK68" s="1235">
        <f>IF(BH64=0,"",VLOOKUP(BH64,'Tablas Magia'!$D$6:$Z$680,13,FALSE))</f>
        <v>240</v>
      </c>
      <c r="BL68" s="1236">
        <f>IF(BH64=0,"",VLOOKUP(BH64,'Tablas Magia'!$D$6:$Z$680,17,FALSE))</f>
        <v>15</v>
      </c>
      <c r="BM68" s="5327" t="str">
        <f>IF(BH64=0,"",VLOOKUP(BH64,'Tablas Magia'!$D$6:$Z$680,21,FALSE))</f>
        <v>150 puntos de Zeon por asalto</v>
      </c>
      <c r="BN68" s="5328"/>
      <c r="BO68" s="5328"/>
      <c r="BP68" s="5328"/>
      <c r="BQ68" s="5328"/>
      <c r="BR68" s="5328"/>
      <c r="BS68" s="5328"/>
      <c r="BT68" s="5328"/>
      <c r="BU68" s="5328"/>
      <c r="BV68" s="5329"/>
      <c r="BW68" s="1216"/>
      <c r="BX68" s="1210"/>
      <c r="BY68" s="1210"/>
      <c r="BZ68" s="2272"/>
      <c r="CA68" s="5325" t="s">
        <v>4706</v>
      </c>
      <c r="CB68" s="5326"/>
      <c r="CC68" s="1235">
        <f>IF(CA64=0,"",VLOOKUP(CA64,'Tablas Magia'!$D$6:$Z$680,9,FALSE))</f>
        <v>17</v>
      </c>
      <c r="CD68" s="1235">
        <f>IF(CA64=0,"",VLOOKUP(CA64,'Tablas Magia'!$D$6:$Z$680,13,FALSE))</f>
        <v>500</v>
      </c>
      <c r="CE68" s="1236">
        <f>IF(CA64=0,"",VLOOKUP(CA64,'Tablas Magia'!$D$6:$Z$680,17,FALSE))</f>
        <v>100</v>
      </c>
      <c r="CF68" s="5327" t="str">
        <f>IF(CA64=0,"",VLOOKUP(CA64,'Tablas Magia'!$D$6:$Z$680,21,FALSE))</f>
        <v>RM 160/ 3km de area</v>
      </c>
      <c r="CG68" s="5328"/>
      <c r="CH68" s="5328"/>
      <c r="CI68" s="5328"/>
      <c r="CJ68" s="5328"/>
      <c r="CK68" s="5328"/>
      <c r="CL68" s="5328"/>
      <c r="CM68" s="5328"/>
      <c r="CN68" s="5328"/>
      <c r="CO68" s="5329"/>
      <c r="CP68" s="1216"/>
      <c r="CQ68" s="1210"/>
    </row>
    <row r="69" spans="1:95" ht="12" customHeight="1" thickBot="1" x14ac:dyDescent="0.25">
      <c r="A69" s="1210"/>
      <c r="B69" s="2258"/>
      <c r="C69" s="5335" t="s">
        <v>4707</v>
      </c>
      <c r="D69" s="5336"/>
      <c r="E69" s="1239">
        <f>IF(C64=0,"",VLOOKUP(C64,'Tablas Magia'!$D$6:$Z$680,10,FALSE))</f>
        <v>15</v>
      </c>
      <c r="F69" s="1239">
        <f>IF(C64=0,"",VLOOKUP(C64,'Tablas Magia'!$D$6:$Z$680,14,FALSE))</f>
        <v>200</v>
      </c>
      <c r="G69" s="1240">
        <f>IF(C64=0,"",VLOOKUP(C64,'Tablas Magia'!$D$6:$Z$680,18,FALSE))</f>
        <v>15</v>
      </c>
      <c r="H69" s="5337" t="str">
        <f>IF(C64=0,"",VLOOKUP(C64,'Tablas Magia'!$D$6:$Z$680,22,FALSE))</f>
        <v>250 metros / RM 220</v>
      </c>
      <c r="I69" s="5338"/>
      <c r="J69" s="5338"/>
      <c r="K69" s="5338"/>
      <c r="L69" s="5338"/>
      <c r="M69" s="5338"/>
      <c r="N69" s="5338"/>
      <c r="O69" s="5338"/>
      <c r="P69" s="5338"/>
      <c r="Q69" s="5339"/>
      <c r="R69" s="1216"/>
      <c r="S69" s="1210"/>
      <c r="T69" s="1210"/>
      <c r="U69" s="2258"/>
      <c r="V69" s="5335" t="s">
        <v>4707</v>
      </c>
      <c r="W69" s="5336"/>
      <c r="X69" s="1239">
        <f>IF(V64=0,"",VLOOKUP(V64,'Tablas Magia'!$D$6:$Z$680,10,FALSE))</f>
        <v>15</v>
      </c>
      <c r="Y69" s="1239">
        <f>IF(V64=0,"",VLOOKUP(V64,'Tablas Magia'!$D$6:$Z$680,14,FALSE))</f>
        <v>340</v>
      </c>
      <c r="Z69" s="1240" t="str">
        <f>IF(V64=0,"",VLOOKUP(V64,'Tablas Magia'!$D$6:$Z$680,18,FALSE))</f>
        <v>No</v>
      </c>
      <c r="AA69" s="5337" t="str">
        <f>IF(V64=0,"",VLOOKUP(V64,'Tablas Magia'!$D$6:$Z$680,22,FALSE))</f>
        <v>Retrocede un año</v>
      </c>
      <c r="AB69" s="5338"/>
      <c r="AC69" s="5338"/>
      <c r="AD69" s="5338"/>
      <c r="AE69" s="5338"/>
      <c r="AF69" s="5338"/>
      <c r="AG69" s="5338"/>
      <c r="AH69" s="5338"/>
      <c r="AI69" s="5338"/>
      <c r="AJ69" s="5339"/>
      <c r="AK69" s="1216"/>
      <c r="AL69" s="1210"/>
      <c r="AM69" s="1210"/>
      <c r="AN69" s="2272"/>
      <c r="AO69" s="5335" t="s">
        <v>4707</v>
      </c>
      <c r="AP69" s="5336"/>
      <c r="AQ69" s="1239">
        <f>IF(AO64=0,"",VLOOKUP(AO64,'Tablas Magia'!$D$6:$Z$680,10,FALSE))</f>
        <v>16</v>
      </c>
      <c r="AR69" s="1239">
        <f>IF(AO64=0,"",VLOOKUP(AO64,'Tablas Magia'!$D$6:$Z$680,14,FALSE))</f>
        <v>160</v>
      </c>
      <c r="AS69" s="1240">
        <f>IF(AO64=0,"",VLOOKUP(AO64,'Tablas Magia'!$D$6:$Z$680,18,FALSE))</f>
        <v>20</v>
      </c>
      <c r="AT69" s="5337" t="str">
        <f>IF(AO64=0,"",VLOOKUP(AO64,'Tablas Magia'!$D$6:$Z$680,22,FALSE))</f>
        <v>Idem arriba, los ataques de frío o agua no sobrenatural no causan daño</v>
      </c>
      <c r="AU69" s="5338"/>
      <c r="AV69" s="5338"/>
      <c r="AW69" s="5338"/>
      <c r="AX69" s="5338"/>
      <c r="AY69" s="5338"/>
      <c r="AZ69" s="5338"/>
      <c r="BA69" s="5338"/>
      <c r="BB69" s="5338"/>
      <c r="BC69" s="5339"/>
      <c r="BD69" s="1216"/>
      <c r="BE69" s="1210"/>
      <c r="BF69" s="1210"/>
      <c r="BG69" s="2272"/>
      <c r="BH69" s="5335" t="s">
        <v>4707</v>
      </c>
      <c r="BI69" s="5336"/>
      <c r="BJ69" s="1239">
        <f>IF(BH64=0,"",VLOOKUP(BH64,'Tablas Magia'!$D$6:$Z$680,10,FALSE))</f>
        <v>15</v>
      </c>
      <c r="BK69" s="1239">
        <f>IF(BH64=0,"",VLOOKUP(BH64,'Tablas Magia'!$D$6:$Z$680,14,FALSE))</f>
        <v>300</v>
      </c>
      <c r="BL69" s="1240">
        <f>IF(BH64=0,"",VLOOKUP(BH64,'Tablas Magia'!$D$6:$Z$680,18,FALSE))</f>
        <v>15</v>
      </c>
      <c r="BM69" s="5337" t="str">
        <f>IF(BH64=0,"",VLOOKUP(BH64,'Tablas Magia'!$D$6:$Z$680,22,FALSE))</f>
        <v>200 puntos de Zeon por asalto</v>
      </c>
      <c r="BN69" s="5338"/>
      <c r="BO69" s="5338"/>
      <c r="BP69" s="5338"/>
      <c r="BQ69" s="5338"/>
      <c r="BR69" s="5338"/>
      <c r="BS69" s="5338"/>
      <c r="BT69" s="5338"/>
      <c r="BU69" s="5338"/>
      <c r="BV69" s="5339"/>
      <c r="BW69" s="1216"/>
      <c r="BX69" s="1210"/>
      <c r="BY69" s="1210"/>
      <c r="BZ69" s="2272"/>
      <c r="CA69" s="5335" t="s">
        <v>4707</v>
      </c>
      <c r="CB69" s="5336"/>
      <c r="CC69" s="1239">
        <f>IF(CA64=0,"",VLOOKUP(CA64,'Tablas Magia'!$D$6:$Z$680,10,FALSE))</f>
        <v>19</v>
      </c>
      <c r="CD69" s="1239">
        <f>IF(CA64=0,"",VLOOKUP(CA64,'Tablas Magia'!$D$6:$Z$680,14,FALSE))</f>
        <v>750</v>
      </c>
      <c r="CE69" s="1240">
        <f>IF(CA64=0,"",VLOOKUP(CA64,'Tablas Magia'!$D$6:$Z$680,18,FALSE))</f>
        <v>150</v>
      </c>
      <c r="CF69" s="5337" t="str">
        <f>IF(CA64=0,"",VLOOKUP(CA64,'Tablas Magia'!$D$6:$Z$680,22,FALSE))</f>
        <v>RM 180/ 5 km de area</v>
      </c>
      <c r="CG69" s="5338"/>
      <c r="CH69" s="5338"/>
      <c r="CI69" s="5338"/>
      <c r="CJ69" s="5338"/>
      <c r="CK69" s="5338"/>
      <c r="CL69" s="5338"/>
      <c r="CM69" s="5338"/>
      <c r="CN69" s="5338"/>
      <c r="CO69" s="5339"/>
      <c r="CP69" s="1216"/>
      <c r="CQ69" s="1210"/>
    </row>
    <row r="70" spans="1:95" ht="12" customHeight="1" x14ac:dyDescent="0.2">
      <c r="A70" s="1210"/>
      <c r="B70" s="2258"/>
      <c r="C70" s="534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1"/>
      <c r="E70" s="5341"/>
      <c r="F70" s="5341"/>
      <c r="G70" s="5341"/>
      <c r="H70" s="5341"/>
      <c r="I70" s="5341"/>
      <c r="J70" s="5341"/>
      <c r="K70" s="5341"/>
      <c r="L70" s="5341"/>
      <c r="M70" s="5341"/>
      <c r="N70" s="5341"/>
      <c r="O70" s="5341"/>
      <c r="P70" s="5341"/>
      <c r="Q70" s="5342"/>
      <c r="R70" s="1216"/>
      <c r="S70" s="1210"/>
      <c r="T70" s="1210"/>
      <c r="U70" s="2258"/>
      <c r="V70" s="534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1"/>
      <c r="X70" s="5341"/>
      <c r="Y70" s="5341"/>
      <c r="Z70" s="5341"/>
      <c r="AA70" s="5341"/>
      <c r="AB70" s="5341"/>
      <c r="AC70" s="5341"/>
      <c r="AD70" s="5341"/>
      <c r="AE70" s="5341"/>
      <c r="AF70" s="5341"/>
      <c r="AG70" s="5341"/>
      <c r="AH70" s="5341"/>
      <c r="AI70" s="5341"/>
      <c r="AJ70" s="5342"/>
      <c r="AK70" s="1216"/>
      <c r="AL70" s="1210"/>
      <c r="AM70" s="1210"/>
      <c r="AN70" s="2272"/>
      <c r="AO70" s="534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1"/>
      <c r="AQ70" s="5341"/>
      <c r="AR70" s="5341"/>
      <c r="AS70" s="5341"/>
      <c r="AT70" s="5341"/>
      <c r="AU70" s="5341"/>
      <c r="AV70" s="5341"/>
      <c r="AW70" s="5341"/>
      <c r="AX70" s="5341"/>
      <c r="AY70" s="5341"/>
      <c r="AZ70" s="5341"/>
      <c r="BA70" s="5341"/>
      <c r="BB70" s="5341"/>
      <c r="BC70" s="5342"/>
      <c r="BD70" s="1216"/>
      <c r="BE70" s="1210"/>
      <c r="BF70" s="1210"/>
      <c r="BG70" s="2272"/>
      <c r="BH70" s="534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1"/>
      <c r="BJ70" s="5341"/>
      <c r="BK70" s="5341"/>
      <c r="BL70" s="5341"/>
      <c r="BM70" s="5341"/>
      <c r="BN70" s="5341"/>
      <c r="BO70" s="5341"/>
      <c r="BP70" s="5341"/>
      <c r="BQ70" s="5341"/>
      <c r="BR70" s="5341"/>
      <c r="BS70" s="5341"/>
      <c r="BT70" s="5341"/>
      <c r="BU70" s="5341"/>
      <c r="BV70" s="5342"/>
      <c r="BW70" s="1216"/>
      <c r="BX70" s="1210"/>
      <c r="BY70" s="1210"/>
      <c r="BZ70" s="2272"/>
      <c r="CA70" s="534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1"/>
      <c r="CC70" s="5341"/>
      <c r="CD70" s="5341"/>
      <c r="CE70" s="5341"/>
      <c r="CF70" s="5341"/>
      <c r="CG70" s="5341"/>
      <c r="CH70" s="5341"/>
      <c r="CI70" s="5341"/>
      <c r="CJ70" s="5341"/>
      <c r="CK70" s="5341"/>
      <c r="CL70" s="5341"/>
      <c r="CM70" s="5341"/>
      <c r="CN70" s="5341"/>
      <c r="CO70" s="5342"/>
      <c r="CP70" s="1216"/>
      <c r="CQ70" s="1210"/>
    </row>
    <row r="71" spans="1:95" ht="12" customHeight="1" x14ac:dyDescent="0.2">
      <c r="A71" s="1210"/>
      <c r="B71" s="2258"/>
      <c r="C71" s="5343"/>
      <c r="D71" s="5344"/>
      <c r="E71" s="5344"/>
      <c r="F71" s="5344"/>
      <c r="G71" s="5344"/>
      <c r="H71" s="5344"/>
      <c r="I71" s="5344"/>
      <c r="J71" s="5344"/>
      <c r="K71" s="5344"/>
      <c r="L71" s="5344"/>
      <c r="M71" s="5344"/>
      <c r="N71" s="5344"/>
      <c r="O71" s="5344"/>
      <c r="P71" s="5344"/>
      <c r="Q71" s="5345"/>
      <c r="R71" s="1216"/>
      <c r="S71" s="1210"/>
      <c r="T71" s="1210"/>
      <c r="U71" s="2258"/>
      <c r="V71" s="5343"/>
      <c r="W71" s="5344"/>
      <c r="X71" s="5344"/>
      <c r="Y71" s="5344"/>
      <c r="Z71" s="5344"/>
      <c r="AA71" s="5344"/>
      <c r="AB71" s="5344"/>
      <c r="AC71" s="5344"/>
      <c r="AD71" s="5344"/>
      <c r="AE71" s="5344"/>
      <c r="AF71" s="5344"/>
      <c r="AG71" s="5344"/>
      <c r="AH71" s="5344"/>
      <c r="AI71" s="5344"/>
      <c r="AJ71" s="5345"/>
      <c r="AK71" s="1216"/>
      <c r="AL71" s="1210"/>
      <c r="AM71" s="1210"/>
      <c r="AN71" s="2272"/>
      <c r="AO71" s="5343"/>
      <c r="AP71" s="5344"/>
      <c r="AQ71" s="5344"/>
      <c r="AR71" s="5344"/>
      <c r="AS71" s="5344"/>
      <c r="AT71" s="5344"/>
      <c r="AU71" s="5344"/>
      <c r="AV71" s="5344"/>
      <c r="AW71" s="5344"/>
      <c r="AX71" s="5344"/>
      <c r="AY71" s="5344"/>
      <c r="AZ71" s="5344"/>
      <c r="BA71" s="5344"/>
      <c r="BB71" s="5344"/>
      <c r="BC71" s="5345"/>
      <c r="BD71" s="1216"/>
      <c r="BE71" s="1210"/>
      <c r="BF71" s="1210"/>
      <c r="BG71" s="2272"/>
      <c r="BH71" s="5343"/>
      <c r="BI71" s="5344"/>
      <c r="BJ71" s="5344"/>
      <c r="BK71" s="5344"/>
      <c r="BL71" s="5344"/>
      <c r="BM71" s="5344"/>
      <c r="BN71" s="5344"/>
      <c r="BO71" s="5344"/>
      <c r="BP71" s="5344"/>
      <c r="BQ71" s="5344"/>
      <c r="BR71" s="5344"/>
      <c r="BS71" s="5344"/>
      <c r="BT71" s="5344"/>
      <c r="BU71" s="5344"/>
      <c r="BV71" s="5345"/>
      <c r="BW71" s="1216"/>
      <c r="BX71" s="1210"/>
      <c r="BY71" s="1210"/>
      <c r="BZ71" s="2272"/>
      <c r="CA71" s="5343"/>
      <c r="CB71" s="5344"/>
      <c r="CC71" s="5344"/>
      <c r="CD71" s="5344"/>
      <c r="CE71" s="5344"/>
      <c r="CF71" s="5344"/>
      <c r="CG71" s="5344"/>
      <c r="CH71" s="5344"/>
      <c r="CI71" s="5344"/>
      <c r="CJ71" s="5344"/>
      <c r="CK71" s="5344"/>
      <c r="CL71" s="5344"/>
      <c r="CM71" s="5344"/>
      <c r="CN71" s="5344"/>
      <c r="CO71" s="5345"/>
      <c r="CP71" s="1216"/>
      <c r="CQ71" s="1210"/>
    </row>
    <row r="72" spans="1:95" ht="12" customHeight="1" x14ac:dyDescent="0.2">
      <c r="A72" s="1210"/>
      <c r="B72" s="2258"/>
      <c r="C72" s="5343"/>
      <c r="D72" s="5344"/>
      <c r="E72" s="5344"/>
      <c r="F72" s="5344"/>
      <c r="G72" s="5344"/>
      <c r="H72" s="5344"/>
      <c r="I72" s="5344"/>
      <c r="J72" s="5344"/>
      <c r="K72" s="5344"/>
      <c r="L72" s="5344"/>
      <c r="M72" s="5344"/>
      <c r="N72" s="5344"/>
      <c r="O72" s="5344"/>
      <c r="P72" s="5344"/>
      <c r="Q72" s="5345"/>
      <c r="R72" s="1216"/>
      <c r="S72" s="1210"/>
      <c r="T72" s="1210"/>
      <c r="U72" s="2258"/>
      <c r="V72" s="5343"/>
      <c r="W72" s="5344"/>
      <c r="X72" s="5344"/>
      <c r="Y72" s="5344"/>
      <c r="Z72" s="5344"/>
      <c r="AA72" s="5344"/>
      <c r="AB72" s="5344"/>
      <c r="AC72" s="5344"/>
      <c r="AD72" s="5344"/>
      <c r="AE72" s="5344"/>
      <c r="AF72" s="5344"/>
      <c r="AG72" s="5344"/>
      <c r="AH72" s="5344"/>
      <c r="AI72" s="5344"/>
      <c r="AJ72" s="5345"/>
      <c r="AK72" s="1216"/>
      <c r="AL72" s="1210"/>
      <c r="AM72" s="1210"/>
      <c r="AN72" s="2272"/>
      <c r="AO72" s="5343"/>
      <c r="AP72" s="5344"/>
      <c r="AQ72" s="5344"/>
      <c r="AR72" s="5344"/>
      <c r="AS72" s="5344"/>
      <c r="AT72" s="5344"/>
      <c r="AU72" s="5344"/>
      <c r="AV72" s="5344"/>
      <c r="AW72" s="5344"/>
      <c r="AX72" s="5344"/>
      <c r="AY72" s="5344"/>
      <c r="AZ72" s="5344"/>
      <c r="BA72" s="5344"/>
      <c r="BB72" s="5344"/>
      <c r="BC72" s="5345"/>
      <c r="BD72" s="1216"/>
      <c r="BE72" s="1210"/>
      <c r="BF72" s="1210"/>
      <c r="BG72" s="2272"/>
      <c r="BH72" s="5343"/>
      <c r="BI72" s="5344"/>
      <c r="BJ72" s="5344"/>
      <c r="BK72" s="5344"/>
      <c r="BL72" s="5344"/>
      <c r="BM72" s="5344"/>
      <c r="BN72" s="5344"/>
      <c r="BO72" s="5344"/>
      <c r="BP72" s="5344"/>
      <c r="BQ72" s="5344"/>
      <c r="BR72" s="5344"/>
      <c r="BS72" s="5344"/>
      <c r="BT72" s="5344"/>
      <c r="BU72" s="5344"/>
      <c r="BV72" s="5345"/>
      <c r="BW72" s="1216"/>
      <c r="BX72" s="1210"/>
      <c r="BY72" s="1210"/>
      <c r="BZ72" s="2272"/>
      <c r="CA72" s="5343"/>
      <c r="CB72" s="5344"/>
      <c r="CC72" s="5344"/>
      <c r="CD72" s="5344"/>
      <c r="CE72" s="5344"/>
      <c r="CF72" s="5344"/>
      <c r="CG72" s="5344"/>
      <c r="CH72" s="5344"/>
      <c r="CI72" s="5344"/>
      <c r="CJ72" s="5344"/>
      <c r="CK72" s="5344"/>
      <c r="CL72" s="5344"/>
      <c r="CM72" s="5344"/>
      <c r="CN72" s="5344"/>
      <c r="CO72" s="5345"/>
      <c r="CP72" s="1216"/>
      <c r="CQ72" s="1210"/>
    </row>
    <row r="73" spans="1:95" ht="12" customHeight="1" thickBot="1" x14ac:dyDescent="0.25">
      <c r="A73" s="1210"/>
      <c r="B73" s="2258"/>
      <c r="C73" s="5346"/>
      <c r="D73" s="5347"/>
      <c r="E73" s="5347"/>
      <c r="F73" s="5347"/>
      <c r="G73" s="5347"/>
      <c r="H73" s="5347"/>
      <c r="I73" s="5347"/>
      <c r="J73" s="5347"/>
      <c r="K73" s="5347"/>
      <c r="L73" s="5347"/>
      <c r="M73" s="5347"/>
      <c r="N73" s="5347"/>
      <c r="O73" s="5347"/>
      <c r="P73" s="5347"/>
      <c r="Q73" s="5348"/>
      <c r="R73" s="1216"/>
      <c r="S73" s="1210"/>
      <c r="T73" s="1210"/>
      <c r="U73" s="2258"/>
      <c r="V73" s="5346"/>
      <c r="W73" s="5347"/>
      <c r="X73" s="5347"/>
      <c r="Y73" s="5347"/>
      <c r="Z73" s="5347"/>
      <c r="AA73" s="5347"/>
      <c r="AB73" s="5347"/>
      <c r="AC73" s="5347"/>
      <c r="AD73" s="5347"/>
      <c r="AE73" s="5347"/>
      <c r="AF73" s="5347"/>
      <c r="AG73" s="5347"/>
      <c r="AH73" s="5347"/>
      <c r="AI73" s="5347"/>
      <c r="AJ73" s="5348"/>
      <c r="AK73" s="1216"/>
      <c r="AL73" s="1210"/>
      <c r="AM73" s="1210"/>
      <c r="AN73" s="2272"/>
      <c r="AO73" s="5346"/>
      <c r="AP73" s="5347"/>
      <c r="AQ73" s="5347"/>
      <c r="AR73" s="5347"/>
      <c r="AS73" s="5347"/>
      <c r="AT73" s="5347"/>
      <c r="AU73" s="5347"/>
      <c r="AV73" s="5347"/>
      <c r="AW73" s="5347"/>
      <c r="AX73" s="5347"/>
      <c r="AY73" s="5347"/>
      <c r="AZ73" s="5347"/>
      <c r="BA73" s="5347"/>
      <c r="BB73" s="5347"/>
      <c r="BC73" s="5348"/>
      <c r="BD73" s="1216"/>
      <c r="BE73" s="1210"/>
      <c r="BF73" s="1210"/>
      <c r="BG73" s="2272"/>
      <c r="BH73" s="5346"/>
      <c r="BI73" s="5347"/>
      <c r="BJ73" s="5347"/>
      <c r="BK73" s="5347"/>
      <c r="BL73" s="5347"/>
      <c r="BM73" s="5347"/>
      <c r="BN73" s="5347"/>
      <c r="BO73" s="5347"/>
      <c r="BP73" s="5347"/>
      <c r="BQ73" s="5347"/>
      <c r="BR73" s="5347"/>
      <c r="BS73" s="5347"/>
      <c r="BT73" s="5347"/>
      <c r="BU73" s="5347"/>
      <c r="BV73" s="5348"/>
      <c r="BW73" s="1216"/>
      <c r="BX73" s="1210"/>
      <c r="BY73" s="1210"/>
      <c r="BZ73" s="2272"/>
      <c r="CA73" s="5346"/>
      <c r="CB73" s="5347"/>
      <c r="CC73" s="5347"/>
      <c r="CD73" s="5347"/>
      <c r="CE73" s="5347"/>
      <c r="CF73" s="5347"/>
      <c r="CG73" s="5347"/>
      <c r="CH73" s="5347"/>
      <c r="CI73" s="5347"/>
      <c r="CJ73" s="5347"/>
      <c r="CK73" s="5347"/>
      <c r="CL73" s="5347"/>
      <c r="CM73" s="5347"/>
      <c r="CN73" s="5347"/>
      <c r="CO73" s="5348"/>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49"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0"/>
      <c r="E75" s="5350"/>
      <c r="F75" s="5350"/>
      <c r="G75" s="5350"/>
      <c r="H75" s="1230" t="s">
        <v>1630</v>
      </c>
      <c r="I75" s="1231" t="e">
        <f>IF(C75=0,"",VLOOKUP(C75,'Tablas Magia'!$D$6:$Z$680,3,FALSE))</f>
        <v>#N/A</v>
      </c>
      <c r="J75" s="5315" t="s">
        <v>8162</v>
      </c>
      <c r="K75" s="5315"/>
      <c r="L75" s="5315"/>
      <c r="M75" s="5316" t="e">
        <f>IF(C75=0,"",VLOOKUP(C75,'Tablas Magia'!$D$6:$Z$680,2,FALSE))</f>
        <v>#N/A</v>
      </c>
      <c r="N75" s="5316"/>
      <c r="O75" s="5316"/>
      <c r="P75" s="5316"/>
      <c r="Q75" s="5317"/>
      <c r="R75" s="1216"/>
      <c r="S75" s="1210"/>
      <c r="T75" s="1210"/>
      <c r="U75" s="2258">
        <f>U64+2</f>
        <v>34</v>
      </c>
      <c r="V75" s="5349"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0"/>
      <c r="X75" s="5350"/>
      <c r="Y75" s="5350"/>
      <c r="Z75" s="5350"/>
      <c r="AA75" s="1230" t="s">
        <v>1630</v>
      </c>
      <c r="AB75" s="1231" t="e">
        <f>IF(V75=0,"",VLOOKUP(V75,'Tablas Magia'!$D$6:$Z$680,3,FALSE))</f>
        <v>#N/A</v>
      </c>
      <c r="AC75" s="5315" t="s">
        <v>8162</v>
      </c>
      <c r="AD75" s="5315"/>
      <c r="AE75" s="5315"/>
      <c r="AF75" s="5316" t="e">
        <f>IF(V75=0,"",VLOOKUP(V75,'Tablas Magia'!$D$6:$Z$680,2,FALSE))</f>
        <v>#N/A</v>
      </c>
      <c r="AG75" s="5316"/>
      <c r="AH75" s="5316"/>
      <c r="AI75" s="5316"/>
      <c r="AJ75" s="5317"/>
      <c r="AK75" s="1216"/>
      <c r="AL75" s="1210"/>
      <c r="AM75" s="1210"/>
      <c r="AN75" s="2272">
        <f>AN64+2</f>
        <v>54</v>
      </c>
      <c r="AO75" s="5349"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0"/>
      <c r="AQ75" s="5350"/>
      <c r="AR75" s="5350"/>
      <c r="AS75" s="5350"/>
      <c r="AT75" s="1230" t="s">
        <v>1630</v>
      </c>
      <c r="AU75" s="1231" t="e">
        <f>IF(AO75=0,"",VLOOKUP(AO75,'Tablas Magia'!$D$6:$Z$680,3,FALSE))</f>
        <v>#N/A</v>
      </c>
      <c r="AV75" s="5315" t="s">
        <v>8162</v>
      </c>
      <c r="AW75" s="5315"/>
      <c r="AX75" s="5315"/>
      <c r="AY75" s="5316" t="e">
        <f>IF(AO75=0,"",VLOOKUP(AO75,'Tablas Magia'!$D$6:$Z$680,2,FALSE))</f>
        <v>#N/A</v>
      </c>
      <c r="AZ75" s="5316"/>
      <c r="BA75" s="5316"/>
      <c r="BB75" s="5316"/>
      <c r="BC75" s="5317"/>
      <c r="BD75" s="1216"/>
      <c r="BE75" s="1210"/>
      <c r="BF75" s="1210"/>
      <c r="BG75" s="2272">
        <f>BG64+2</f>
        <v>74</v>
      </c>
      <c r="BH75" s="5349"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0"/>
      <c r="BJ75" s="5350"/>
      <c r="BK75" s="5350"/>
      <c r="BL75" s="5350"/>
      <c r="BM75" s="1230" t="s">
        <v>1630</v>
      </c>
      <c r="BN75" s="1231" t="e">
        <f>IF(BH75=0,"",VLOOKUP(BH75,'Tablas Magia'!$D$6:$Z$680,3,FALSE))</f>
        <v>#N/A</v>
      </c>
      <c r="BO75" s="5315" t="s">
        <v>8162</v>
      </c>
      <c r="BP75" s="5315"/>
      <c r="BQ75" s="5315"/>
      <c r="BR75" s="5316" t="e">
        <f>IF(BH75=0,"",VLOOKUP(BH75,'Tablas Magia'!$D$6:$Z$680,2,FALSE))</f>
        <v>#N/A</v>
      </c>
      <c r="BS75" s="5316"/>
      <c r="BT75" s="5316"/>
      <c r="BU75" s="5316"/>
      <c r="BV75" s="5317"/>
      <c r="BW75" s="1216"/>
      <c r="BX75" s="1210"/>
      <c r="BY75" s="1210"/>
      <c r="BZ75" s="2272">
        <f>BZ64+2</f>
        <v>94</v>
      </c>
      <c r="CA75" s="5349"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0"/>
      <c r="CC75" s="5350"/>
      <c r="CD75" s="5350"/>
      <c r="CE75" s="5350"/>
      <c r="CF75" s="1230" t="s">
        <v>1630</v>
      </c>
      <c r="CG75" s="1231" t="e">
        <f>IF(CA75=0,"",VLOOKUP(CA75,'Tablas Magia'!$D$6:$Z$680,3,FALSE))</f>
        <v>#N/A</v>
      </c>
      <c r="CH75" s="5315" t="s">
        <v>8162</v>
      </c>
      <c r="CI75" s="5315"/>
      <c r="CJ75" s="5315"/>
      <c r="CK75" s="5316" t="e">
        <f>IF(CA75=0,"",VLOOKUP(CA75,'Tablas Magia'!$D$6:$Z$680,2,FALSE))</f>
        <v>#N/A</v>
      </c>
      <c r="CL75" s="5316"/>
      <c r="CM75" s="5316"/>
      <c r="CN75" s="5316"/>
      <c r="CO75" s="5317"/>
      <c r="CP75" s="1216"/>
      <c r="CQ75" s="1210"/>
    </row>
    <row r="76" spans="1:95" ht="12" customHeight="1" x14ac:dyDescent="0.2">
      <c r="A76" s="1210"/>
      <c r="B76" s="2258"/>
      <c r="C76" s="5333" t="s">
        <v>8163</v>
      </c>
      <c r="D76" s="5334"/>
      <c r="E76" s="1232" t="s">
        <v>8164</v>
      </c>
      <c r="F76" s="1232" t="s">
        <v>1824</v>
      </c>
      <c r="G76" s="1232" t="s">
        <v>3467</v>
      </c>
      <c r="H76" s="1233" t="s">
        <v>2175</v>
      </c>
      <c r="I76" s="5330" t="e">
        <f>IF(C75=0,"",VLOOKUP(C75,'Tablas Magia'!$D$6:$Z$680,5,FALSE))</f>
        <v>#N/A</v>
      </c>
      <c r="J76" s="5330"/>
      <c r="K76" s="5331" t="s">
        <v>8165</v>
      </c>
      <c r="L76" s="5331"/>
      <c r="M76" s="5330" t="e">
        <f>IF(C75=0,"",VLOOKUP(C75,'Tablas Magia'!$D$6:$Z$680,6,FALSE))</f>
        <v>#N/A</v>
      </c>
      <c r="N76" s="5330"/>
      <c r="O76" s="5332" t="s">
        <v>8166</v>
      </c>
      <c r="P76" s="5332"/>
      <c r="Q76" s="1234" t="e">
        <f>IF(C75=0,"",VLOOKUP(C75,'Tablas Magia'!$D$6:$Z$680,4,FALSE))</f>
        <v>#N/A</v>
      </c>
      <c r="R76" s="1216"/>
      <c r="S76" s="1210"/>
      <c r="T76" s="1210"/>
      <c r="U76" s="2258"/>
      <c r="V76" s="5333" t="s">
        <v>8163</v>
      </c>
      <c r="W76" s="5334"/>
      <c r="X76" s="1232" t="s">
        <v>8164</v>
      </c>
      <c r="Y76" s="1232" t="s">
        <v>1824</v>
      </c>
      <c r="Z76" s="1232" t="s">
        <v>3467</v>
      </c>
      <c r="AA76" s="1233" t="s">
        <v>2175</v>
      </c>
      <c r="AB76" s="5330" t="e">
        <f>IF(V75=0,"",VLOOKUP(V75,'Tablas Magia'!$D$6:$Z$680,5,FALSE))</f>
        <v>#N/A</v>
      </c>
      <c r="AC76" s="5330"/>
      <c r="AD76" s="5331" t="s">
        <v>8165</v>
      </c>
      <c r="AE76" s="5331"/>
      <c r="AF76" s="5330" t="e">
        <f>IF(V75=0,"",VLOOKUP(V75,'Tablas Magia'!$D$6:$Z$680,6,FALSE))</f>
        <v>#N/A</v>
      </c>
      <c r="AG76" s="5330"/>
      <c r="AH76" s="5332" t="s">
        <v>8166</v>
      </c>
      <c r="AI76" s="5332"/>
      <c r="AJ76" s="1234" t="e">
        <f>IF(V75=0,"",VLOOKUP(V75,'Tablas Magia'!$D$6:$Z$680,4,FALSE))</f>
        <v>#N/A</v>
      </c>
      <c r="AK76" s="1216"/>
      <c r="AL76" s="1210"/>
      <c r="AM76" s="1210"/>
      <c r="AN76" s="2272"/>
      <c r="AO76" s="5333" t="s">
        <v>8163</v>
      </c>
      <c r="AP76" s="5334"/>
      <c r="AQ76" s="1232" t="s">
        <v>8164</v>
      </c>
      <c r="AR76" s="1232" t="s">
        <v>1824</v>
      </c>
      <c r="AS76" s="1232" t="s">
        <v>3467</v>
      </c>
      <c r="AT76" s="1233" t="s">
        <v>2175</v>
      </c>
      <c r="AU76" s="5330" t="e">
        <f>IF(AO75=0,"",VLOOKUP(AO75,'Tablas Magia'!$D$6:$Z$680,5,FALSE))</f>
        <v>#N/A</v>
      </c>
      <c r="AV76" s="5330"/>
      <c r="AW76" s="5331" t="s">
        <v>8165</v>
      </c>
      <c r="AX76" s="5331"/>
      <c r="AY76" s="5330" t="e">
        <f>IF(AO75=0,"",VLOOKUP(AO75,'Tablas Magia'!$D$6:$Z$680,6,FALSE))</f>
        <v>#N/A</v>
      </c>
      <c r="AZ76" s="5330"/>
      <c r="BA76" s="5332" t="s">
        <v>8166</v>
      </c>
      <c r="BB76" s="5332"/>
      <c r="BC76" s="1234" t="e">
        <f>IF(AO75=0,"",VLOOKUP(AO75,'Tablas Magia'!$D$6:$Z$680,4,FALSE))</f>
        <v>#N/A</v>
      </c>
      <c r="BD76" s="1216"/>
      <c r="BE76" s="1210"/>
      <c r="BF76" s="1210"/>
      <c r="BG76" s="2272"/>
      <c r="BH76" s="5333" t="s">
        <v>8163</v>
      </c>
      <c r="BI76" s="5334"/>
      <c r="BJ76" s="1232" t="s">
        <v>8164</v>
      </c>
      <c r="BK76" s="1232" t="s">
        <v>1824</v>
      </c>
      <c r="BL76" s="1232" t="s">
        <v>3467</v>
      </c>
      <c r="BM76" s="1233" t="s">
        <v>2175</v>
      </c>
      <c r="BN76" s="5330" t="e">
        <f>IF(BH75=0,"",VLOOKUP(BH75,'Tablas Magia'!$D$6:$Z$680,5,FALSE))</f>
        <v>#N/A</v>
      </c>
      <c r="BO76" s="5330"/>
      <c r="BP76" s="5331" t="s">
        <v>8165</v>
      </c>
      <c r="BQ76" s="5331"/>
      <c r="BR76" s="5330" t="e">
        <f>IF(BH75=0,"",VLOOKUP(BH75,'Tablas Magia'!$D$6:$Z$680,6,FALSE))</f>
        <v>#N/A</v>
      </c>
      <c r="BS76" s="5330"/>
      <c r="BT76" s="5332" t="s">
        <v>8166</v>
      </c>
      <c r="BU76" s="5332"/>
      <c r="BV76" s="1234" t="e">
        <f>IF(BH75=0,"",VLOOKUP(BH75,'Tablas Magia'!$D$6:$Z$680,4,FALSE))</f>
        <v>#N/A</v>
      </c>
      <c r="BW76" s="1216"/>
      <c r="BX76" s="1210"/>
      <c r="BY76" s="1210"/>
      <c r="BZ76" s="2272"/>
      <c r="CA76" s="5333" t="s">
        <v>8163</v>
      </c>
      <c r="CB76" s="5334"/>
      <c r="CC76" s="1232" t="s">
        <v>8164</v>
      </c>
      <c r="CD76" s="1232" t="s">
        <v>1824</v>
      </c>
      <c r="CE76" s="1232" t="s">
        <v>3467</v>
      </c>
      <c r="CF76" s="1233" t="s">
        <v>2175</v>
      </c>
      <c r="CG76" s="5330" t="e">
        <f>IF(CA75=0,"",VLOOKUP(CA75,'Tablas Magia'!$D$6:$Z$680,5,FALSE))</f>
        <v>#N/A</v>
      </c>
      <c r="CH76" s="5330"/>
      <c r="CI76" s="5331" t="s">
        <v>8165</v>
      </c>
      <c r="CJ76" s="5331"/>
      <c r="CK76" s="5330" t="e">
        <f>IF(CA75=0,"",VLOOKUP(CA75,'Tablas Magia'!$D$6:$Z$680,6,FALSE))</f>
        <v>#N/A</v>
      </c>
      <c r="CL76" s="5330"/>
      <c r="CM76" s="5332" t="s">
        <v>8166</v>
      </c>
      <c r="CN76" s="5332"/>
      <c r="CO76" s="1234" t="e">
        <f>IF(CA75=0,"",VLOOKUP(CA75,'Tablas Magia'!$D$6:$Z$680,4,FALSE))</f>
        <v>#N/A</v>
      </c>
      <c r="CP76" s="1216"/>
      <c r="CQ76" s="1210"/>
    </row>
    <row r="77" spans="1:95" ht="12" customHeight="1" x14ac:dyDescent="0.2">
      <c r="A77" s="1210"/>
      <c r="B77" s="2258"/>
      <c r="C77" s="5325" t="s">
        <v>1677</v>
      </c>
      <c r="D77" s="5326"/>
      <c r="E77" s="1235" t="e">
        <f>IF(C75=0,"",VLOOKUP(C75,'Tablas Magia'!$D$6:$Z$680,7,FALSE))</f>
        <v>#N/A</v>
      </c>
      <c r="F77" s="1235" t="e">
        <f>IF(C75=0,"",VLOOKUP(C75,'Tablas Magia'!$D$6:$Z$680,11,FALSE))</f>
        <v>#N/A</v>
      </c>
      <c r="G77" s="1236" t="e">
        <f>IF(C75=0,"",VLOOKUP(C75,'Tablas Magia'!$D$6:$Z$680,15,FALSE))</f>
        <v>#N/A</v>
      </c>
      <c r="H77" s="5327" t="e">
        <f>IF(C75=0,"",VLOOKUP(C75,'Tablas Magia'!$D$6:$Z$680,19,FALSE))</f>
        <v>#N/A</v>
      </c>
      <c r="I77" s="5328"/>
      <c r="J77" s="5328"/>
      <c r="K77" s="5328"/>
      <c r="L77" s="5328"/>
      <c r="M77" s="5328"/>
      <c r="N77" s="5328"/>
      <c r="O77" s="5328"/>
      <c r="P77" s="5328"/>
      <c r="Q77" s="5329"/>
      <c r="R77" s="1216"/>
      <c r="S77" s="1210"/>
      <c r="T77" s="1210"/>
      <c r="U77" s="2258"/>
      <c r="V77" s="5325" t="s">
        <v>1677</v>
      </c>
      <c r="W77" s="5326"/>
      <c r="X77" s="1235" t="e">
        <f>IF(V75=0,"",VLOOKUP(V75,'Tablas Magia'!$D$6:$Z$680,7,FALSE))</f>
        <v>#N/A</v>
      </c>
      <c r="Y77" s="1235" t="e">
        <f>IF(V75=0,"",VLOOKUP(V75,'Tablas Magia'!$D$6:$Z$680,11,FALSE))</f>
        <v>#N/A</v>
      </c>
      <c r="Z77" s="1236" t="e">
        <f>IF(V75=0,"",VLOOKUP(V75,'Tablas Magia'!$D$6:$Z$680,15,FALSE))</f>
        <v>#N/A</v>
      </c>
      <c r="AA77" s="5327" t="e">
        <f>IF(V75=0,"",VLOOKUP(V75,'Tablas Magia'!$D$6:$Z$680,19,FALSE))</f>
        <v>#N/A</v>
      </c>
      <c r="AB77" s="5328"/>
      <c r="AC77" s="5328"/>
      <c r="AD77" s="5328"/>
      <c r="AE77" s="5328"/>
      <c r="AF77" s="5328"/>
      <c r="AG77" s="5328"/>
      <c r="AH77" s="5328"/>
      <c r="AI77" s="5328"/>
      <c r="AJ77" s="5329"/>
      <c r="AK77" s="1216"/>
      <c r="AL77" s="1210"/>
      <c r="AM77" s="1210"/>
      <c r="AN77" s="2272"/>
      <c r="AO77" s="5325" t="s">
        <v>1677</v>
      </c>
      <c r="AP77" s="5326"/>
      <c r="AQ77" s="1235" t="e">
        <f>IF(AO75=0,"",VLOOKUP(AO75,'Tablas Magia'!$D$6:$Z$680,7,FALSE))</f>
        <v>#N/A</v>
      </c>
      <c r="AR77" s="1235" t="e">
        <f>IF(AO75=0,"",VLOOKUP(AO75,'Tablas Magia'!$D$6:$Z$680,11,FALSE))</f>
        <v>#N/A</v>
      </c>
      <c r="AS77" s="1236" t="e">
        <f>IF(AO75=0,"",VLOOKUP(AO75,'Tablas Magia'!$D$6:$Z$680,15,FALSE))</f>
        <v>#N/A</v>
      </c>
      <c r="AT77" s="5327" t="e">
        <f>IF(AO75=0,"",VLOOKUP(AO75,'Tablas Magia'!$D$6:$Z$680,19,FALSE))</f>
        <v>#N/A</v>
      </c>
      <c r="AU77" s="5328"/>
      <c r="AV77" s="5328"/>
      <c r="AW77" s="5328"/>
      <c r="AX77" s="5328"/>
      <c r="AY77" s="5328"/>
      <c r="AZ77" s="5328"/>
      <c r="BA77" s="5328"/>
      <c r="BB77" s="5328"/>
      <c r="BC77" s="5329"/>
      <c r="BD77" s="1216"/>
      <c r="BE77" s="1210"/>
      <c r="BF77" s="1210"/>
      <c r="BG77" s="2272"/>
      <c r="BH77" s="5325" t="s">
        <v>1677</v>
      </c>
      <c r="BI77" s="5326"/>
      <c r="BJ77" s="1235" t="e">
        <f>IF(BH75=0,"",VLOOKUP(BH75,'Tablas Magia'!$D$6:$Z$680,7,FALSE))</f>
        <v>#N/A</v>
      </c>
      <c r="BK77" s="1235" t="e">
        <f>IF(BH75=0,"",VLOOKUP(BH75,'Tablas Magia'!$D$6:$Z$680,11,FALSE))</f>
        <v>#N/A</v>
      </c>
      <c r="BL77" s="1236" t="e">
        <f>IF(BH75=0,"",VLOOKUP(BH75,'Tablas Magia'!$D$6:$Z$680,15,FALSE))</f>
        <v>#N/A</v>
      </c>
      <c r="BM77" s="5327" t="e">
        <f>IF(BH75=0,"",VLOOKUP(BH75,'Tablas Magia'!$D$6:$Z$680,19,FALSE))</f>
        <v>#N/A</v>
      </c>
      <c r="BN77" s="5328"/>
      <c r="BO77" s="5328"/>
      <c r="BP77" s="5328"/>
      <c r="BQ77" s="5328"/>
      <c r="BR77" s="5328"/>
      <c r="BS77" s="5328"/>
      <c r="BT77" s="5328"/>
      <c r="BU77" s="5328"/>
      <c r="BV77" s="5329"/>
      <c r="BW77" s="1216"/>
      <c r="BX77" s="1210"/>
      <c r="BY77" s="1210"/>
      <c r="BZ77" s="2272"/>
      <c r="CA77" s="5325" t="s">
        <v>1677</v>
      </c>
      <c r="CB77" s="5326"/>
      <c r="CC77" s="1235" t="e">
        <f>IF(CA75=0,"",VLOOKUP(CA75,'Tablas Magia'!$D$6:$Z$680,7,FALSE))</f>
        <v>#N/A</v>
      </c>
      <c r="CD77" s="1235" t="e">
        <f>IF(CA75=0,"",VLOOKUP(CA75,'Tablas Magia'!$D$6:$Z$680,11,FALSE))</f>
        <v>#N/A</v>
      </c>
      <c r="CE77" s="1236" t="e">
        <f>IF(CA75=0,"",VLOOKUP(CA75,'Tablas Magia'!$D$6:$Z$680,15,FALSE))</f>
        <v>#N/A</v>
      </c>
      <c r="CF77" s="5327" t="e">
        <f>IF(CA75=0,"",VLOOKUP(CA75,'Tablas Magia'!$D$6:$Z$680,19,FALSE))</f>
        <v>#N/A</v>
      </c>
      <c r="CG77" s="5328"/>
      <c r="CH77" s="5328"/>
      <c r="CI77" s="5328"/>
      <c r="CJ77" s="5328"/>
      <c r="CK77" s="5328"/>
      <c r="CL77" s="5328"/>
      <c r="CM77" s="5328"/>
      <c r="CN77" s="5328"/>
      <c r="CO77" s="5329"/>
      <c r="CP77" s="1216"/>
      <c r="CQ77" s="1210"/>
    </row>
    <row r="78" spans="1:95" ht="12" customHeight="1" x14ac:dyDescent="0.2">
      <c r="A78" s="1210"/>
      <c r="B78" s="2258"/>
      <c r="C78" s="5320" t="s">
        <v>4705</v>
      </c>
      <c r="D78" s="5321"/>
      <c r="E78" s="1237" t="e">
        <f>IF(C75=0,"",VLOOKUP(C75,'Tablas Magia'!$D$6:$Z$680,8,FALSE))</f>
        <v>#N/A</v>
      </c>
      <c r="F78" s="1237" t="e">
        <f>IF(C75=0,"",VLOOKUP(C75,'Tablas Magia'!$D$6:$Z$680,12,FALSE))</f>
        <v>#N/A</v>
      </c>
      <c r="G78" s="1238" t="e">
        <f>IF(C75=0,"",VLOOKUP(C75,'Tablas Magia'!$D$6:$Z$680,16,FALSE))</f>
        <v>#N/A</v>
      </c>
      <c r="H78" s="5322" t="e">
        <f>IF(C75=0,"",VLOOKUP(C75,'Tablas Magia'!$D$6:$Z$680,20,FALSE))</f>
        <v>#N/A</v>
      </c>
      <c r="I78" s="5323"/>
      <c r="J78" s="5323"/>
      <c r="K78" s="5323"/>
      <c r="L78" s="5323"/>
      <c r="M78" s="5323"/>
      <c r="N78" s="5323"/>
      <c r="O78" s="5323"/>
      <c r="P78" s="5323"/>
      <c r="Q78" s="5324"/>
      <c r="R78" s="1216"/>
      <c r="S78" s="1210"/>
      <c r="T78" s="1210"/>
      <c r="U78" s="2258"/>
      <c r="V78" s="5320" t="s">
        <v>4705</v>
      </c>
      <c r="W78" s="5321"/>
      <c r="X78" s="1237" t="e">
        <f>IF(V75=0,"",VLOOKUP(V75,'Tablas Magia'!$D$6:$Z$680,8,FALSE))</f>
        <v>#N/A</v>
      </c>
      <c r="Y78" s="1237" t="e">
        <f>IF(V75=0,"",VLOOKUP(V75,'Tablas Magia'!$D$6:$Z$680,12,FALSE))</f>
        <v>#N/A</v>
      </c>
      <c r="Z78" s="1238" t="e">
        <f>IF(V75=0,"",VLOOKUP(V75,'Tablas Magia'!$D$6:$Z$680,16,FALSE))</f>
        <v>#N/A</v>
      </c>
      <c r="AA78" s="5322" t="e">
        <f>IF(V75=0,"",VLOOKUP(V75,'Tablas Magia'!$D$6:$Z$680,20,FALSE))</f>
        <v>#N/A</v>
      </c>
      <c r="AB78" s="5323"/>
      <c r="AC78" s="5323"/>
      <c r="AD78" s="5323"/>
      <c r="AE78" s="5323"/>
      <c r="AF78" s="5323"/>
      <c r="AG78" s="5323"/>
      <c r="AH78" s="5323"/>
      <c r="AI78" s="5323"/>
      <c r="AJ78" s="5324"/>
      <c r="AK78" s="1216"/>
      <c r="AL78" s="1210"/>
      <c r="AM78" s="1210"/>
      <c r="AN78" s="2272"/>
      <c r="AO78" s="5320" t="s">
        <v>4705</v>
      </c>
      <c r="AP78" s="5321"/>
      <c r="AQ78" s="1237" t="e">
        <f>IF(AO75=0,"",VLOOKUP(AO75,'Tablas Magia'!$D$6:$Z$680,8,FALSE))</f>
        <v>#N/A</v>
      </c>
      <c r="AR78" s="1237" t="e">
        <f>IF(AO75=0,"",VLOOKUP(AO75,'Tablas Magia'!$D$6:$Z$680,12,FALSE))</f>
        <v>#N/A</v>
      </c>
      <c r="AS78" s="1238" t="e">
        <f>IF(AO75=0,"",VLOOKUP(AO75,'Tablas Magia'!$D$6:$Z$680,16,FALSE))</f>
        <v>#N/A</v>
      </c>
      <c r="AT78" s="5322" t="e">
        <f>IF(AO75=0,"",VLOOKUP(AO75,'Tablas Magia'!$D$6:$Z$680,20,FALSE))</f>
        <v>#N/A</v>
      </c>
      <c r="AU78" s="5323"/>
      <c r="AV78" s="5323"/>
      <c r="AW78" s="5323"/>
      <c r="AX78" s="5323"/>
      <c r="AY78" s="5323"/>
      <c r="AZ78" s="5323"/>
      <c r="BA78" s="5323"/>
      <c r="BB78" s="5323"/>
      <c r="BC78" s="5324"/>
      <c r="BD78" s="1216"/>
      <c r="BE78" s="1210"/>
      <c r="BF78" s="1210"/>
      <c r="BG78" s="2272"/>
      <c r="BH78" s="5320" t="s">
        <v>4705</v>
      </c>
      <c r="BI78" s="5321"/>
      <c r="BJ78" s="1237" t="e">
        <f>IF(BH75=0,"",VLOOKUP(BH75,'Tablas Magia'!$D$6:$Z$680,8,FALSE))</f>
        <v>#N/A</v>
      </c>
      <c r="BK78" s="1237" t="e">
        <f>IF(BH75=0,"",VLOOKUP(BH75,'Tablas Magia'!$D$6:$Z$680,12,FALSE))</f>
        <v>#N/A</v>
      </c>
      <c r="BL78" s="1238" t="e">
        <f>IF(BH75=0,"",VLOOKUP(BH75,'Tablas Magia'!$D$6:$Z$680,16,FALSE))</f>
        <v>#N/A</v>
      </c>
      <c r="BM78" s="5322" t="e">
        <f>IF(BH75=0,"",VLOOKUP(BH75,'Tablas Magia'!$D$6:$Z$680,20,FALSE))</f>
        <v>#N/A</v>
      </c>
      <c r="BN78" s="5323"/>
      <c r="BO78" s="5323"/>
      <c r="BP78" s="5323"/>
      <c r="BQ78" s="5323"/>
      <c r="BR78" s="5323"/>
      <c r="BS78" s="5323"/>
      <c r="BT78" s="5323"/>
      <c r="BU78" s="5323"/>
      <c r="BV78" s="5324"/>
      <c r="BW78" s="1216"/>
      <c r="BX78" s="1210"/>
      <c r="BY78" s="1210"/>
      <c r="BZ78" s="2272"/>
      <c r="CA78" s="5320" t="s">
        <v>4705</v>
      </c>
      <c r="CB78" s="5321"/>
      <c r="CC78" s="1237" t="e">
        <f>IF(CA75=0,"",VLOOKUP(CA75,'Tablas Magia'!$D$6:$Z$680,8,FALSE))</f>
        <v>#N/A</v>
      </c>
      <c r="CD78" s="1237" t="e">
        <f>IF(CA75=0,"",VLOOKUP(CA75,'Tablas Magia'!$D$6:$Z$680,12,FALSE))</f>
        <v>#N/A</v>
      </c>
      <c r="CE78" s="1238" t="e">
        <f>IF(CA75=0,"",VLOOKUP(CA75,'Tablas Magia'!$D$6:$Z$680,16,FALSE))</f>
        <v>#N/A</v>
      </c>
      <c r="CF78" s="5322" t="e">
        <f>IF(CA75=0,"",VLOOKUP(CA75,'Tablas Magia'!$D$6:$Z$680,20,FALSE))</f>
        <v>#N/A</v>
      </c>
      <c r="CG78" s="5323"/>
      <c r="CH78" s="5323"/>
      <c r="CI78" s="5323"/>
      <c r="CJ78" s="5323"/>
      <c r="CK78" s="5323"/>
      <c r="CL78" s="5323"/>
      <c r="CM78" s="5323"/>
      <c r="CN78" s="5323"/>
      <c r="CO78" s="5324"/>
      <c r="CP78" s="1216"/>
      <c r="CQ78" s="1210"/>
    </row>
    <row r="79" spans="1:95" ht="12" customHeight="1" x14ac:dyDescent="0.2">
      <c r="A79" s="1210"/>
      <c r="B79" s="2258"/>
      <c r="C79" s="5325" t="s">
        <v>4706</v>
      </c>
      <c r="D79" s="5326"/>
      <c r="E79" s="1235" t="e">
        <f>IF(C75=0,"",VLOOKUP(C75,'Tablas Magia'!$D$6:$Z$680,9,FALSE))</f>
        <v>#N/A</v>
      </c>
      <c r="F79" s="1235" t="e">
        <f>IF(C75=0,"",VLOOKUP(C75,'Tablas Magia'!$D$6:$Z$680,13,FALSE))</f>
        <v>#N/A</v>
      </c>
      <c r="G79" s="1236" t="e">
        <f>IF(C75=0,"",VLOOKUP(C75,'Tablas Magia'!$D$6:$Z$680,17,FALSE))</f>
        <v>#N/A</v>
      </c>
      <c r="H79" s="5327" t="e">
        <f>IF(C75=0,"",VLOOKUP(C75,'Tablas Magia'!$D$6:$Z$680,21,FALSE))</f>
        <v>#N/A</v>
      </c>
      <c r="I79" s="5328"/>
      <c r="J79" s="5328"/>
      <c r="K79" s="5328"/>
      <c r="L79" s="5328"/>
      <c r="M79" s="5328"/>
      <c r="N79" s="5328"/>
      <c r="O79" s="5328"/>
      <c r="P79" s="5328"/>
      <c r="Q79" s="5329"/>
      <c r="R79" s="1216"/>
      <c r="S79" s="1210"/>
      <c r="T79" s="1210"/>
      <c r="U79" s="2258"/>
      <c r="V79" s="5325" t="s">
        <v>4706</v>
      </c>
      <c r="W79" s="5326"/>
      <c r="X79" s="1235" t="e">
        <f>IF(V75=0,"",VLOOKUP(V75,'Tablas Magia'!$D$6:$Z$680,9,FALSE))</f>
        <v>#N/A</v>
      </c>
      <c r="Y79" s="1235" t="e">
        <f>IF(V75=0,"",VLOOKUP(V75,'Tablas Magia'!$D$6:$Z$680,13,FALSE))</f>
        <v>#N/A</v>
      </c>
      <c r="Z79" s="1236" t="e">
        <f>IF(V75=0,"",VLOOKUP(V75,'Tablas Magia'!$D$6:$Z$680,17,FALSE))</f>
        <v>#N/A</v>
      </c>
      <c r="AA79" s="5327" t="e">
        <f>IF(V75=0,"",VLOOKUP(V75,'Tablas Magia'!$D$6:$Z$680,21,FALSE))</f>
        <v>#N/A</v>
      </c>
      <c r="AB79" s="5328"/>
      <c r="AC79" s="5328"/>
      <c r="AD79" s="5328"/>
      <c r="AE79" s="5328"/>
      <c r="AF79" s="5328"/>
      <c r="AG79" s="5328"/>
      <c r="AH79" s="5328"/>
      <c r="AI79" s="5328"/>
      <c r="AJ79" s="5329"/>
      <c r="AK79" s="1216"/>
      <c r="AL79" s="1210"/>
      <c r="AM79" s="1210"/>
      <c r="AN79" s="2272"/>
      <c r="AO79" s="5325" t="s">
        <v>4706</v>
      </c>
      <c r="AP79" s="5326"/>
      <c r="AQ79" s="1235" t="e">
        <f>IF(AO75=0,"",VLOOKUP(AO75,'Tablas Magia'!$D$6:$Z$680,9,FALSE))</f>
        <v>#N/A</v>
      </c>
      <c r="AR79" s="1235" t="e">
        <f>IF(AO75=0,"",VLOOKUP(AO75,'Tablas Magia'!$D$6:$Z$680,13,FALSE))</f>
        <v>#N/A</v>
      </c>
      <c r="AS79" s="1236" t="e">
        <f>IF(AO75=0,"",VLOOKUP(AO75,'Tablas Magia'!$D$6:$Z$680,17,FALSE))</f>
        <v>#N/A</v>
      </c>
      <c r="AT79" s="5327" t="e">
        <f>IF(AO75=0,"",VLOOKUP(AO75,'Tablas Magia'!$D$6:$Z$680,21,FALSE))</f>
        <v>#N/A</v>
      </c>
      <c r="AU79" s="5328"/>
      <c r="AV79" s="5328"/>
      <c r="AW79" s="5328"/>
      <c r="AX79" s="5328"/>
      <c r="AY79" s="5328"/>
      <c r="AZ79" s="5328"/>
      <c r="BA79" s="5328"/>
      <c r="BB79" s="5328"/>
      <c r="BC79" s="5329"/>
      <c r="BD79" s="1216"/>
      <c r="BE79" s="1210"/>
      <c r="BF79" s="1210"/>
      <c r="BG79" s="2272"/>
      <c r="BH79" s="5325" t="s">
        <v>4706</v>
      </c>
      <c r="BI79" s="5326"/>
      <c r="BJ79" s="1235" t="e">
        <f>IF(BH75=0,"",VLOOKUP(BH75,'Tablas Magia'!$D$6:$Z$680,9,FALSE))</f>
        <v>#N/A</v>
      </c>
      <c r="BK79" s="1235" t="e">
        <f>IF(BH75=0,"",VLOOKUP(BH75,'Tablas Magia'!$D$6:$Z$680,13,FALSE))</f>
        <v>#N/A</v>
      </c>
      <c r="BL79" s="1236" t="e">
        <f>IF(BH75=0,"",VLOOKUP(BH75,'Tablas Magia'!$D$6:$Z$680,17,FALSE))</f>
        <v>#N/A</v>
      </c>
      <c r="BM79" s="5327" t="e">
        <f>IF(BH75=0,"",VLOOKUP(BH75,'Tablas Magia'!$D$6:$Z$680,21,FALSE))</f>
        <v>#N/A</v>
      </c>
      <c r="BN79" s="5328"/>
      <c r="BO79" s="5328"/>
      <c r="BP79" s="5328"/>
      <c r="BQ79" s="5328"/>
      <c r="BR79" s="5328"/>
      <c r="BS79" s="5328"/>
      <c r="BT79" s="5328"/>
      <c r="BU79" s="5328"/>
      <c r="BV79" s="5329"/>
      <c r="BW79" s="1216"/>
      <c r="BX79" s="1210"/>
      <c r="BY79" s="1210"/>
      <c r="BZ79" s="2272"/>
      <c r="CA79" s="5325" t="s">
        <v>4706</v>
      </c>
      <c r="CB79" s="5326"/>
      <c r="CC79" s="1235" t="e">
        <f>IF(CA75=0,"",VLOOKUP(CA75,'Tablas Magia'!$D$6:$Z$680,9,FALSE))</f>
        <v>#N/A</v>
      </c>
      <c r="CD79" s="1235" t="e">
        <f>IF(CA75=0,"",VLOOKUP(CA75,'Tablas Magia'!$D$6:$Z$680,13,FALSE))</f>
        <v>#N/A</v>
      </c>
      <c r="CE79" s="1236" t="e">
        <f>IF(CA75=0,"",VLOOKUP(CA75,'Tablas Magia'!$D$6:$Z$680,17,FALSE))</f>
        <v>#N/A</v>
      </c>
      <c r="CF79" s="5327" t="e">
        <f>IF(CA75=0,"",VLOOKUP(CA75,'Tablas Magia'!$D$6:$Z$680,21,FALSE))</f>
        <v>#N/A</v>
      </c>
      <c r="CG79" s="5328"/>
      <c r="CH79" s="5328"/>
      <c r="CI79" s="5328"/>
      <c r="CJ79" s="5328"/>
      <c r="CK79" s="5328"/>
      <c r="CL79" s="5328"/>
      <c r="CM79" s="5328"/>
      <c r="CN79" s="5328"/>
      <c r="CO79" s="5329"/>
      <c r="CP79" s="1216"/>
      <c r="CQ79" s="1210"/>
    </row>
    <row r="80" spans="1:95" ht="12" customHeight="1" thickBot="1" x14ac:dyDescent="0.25">
      <c r="A80" s="1210"/>
      <c r="B80" s="2258"/>
      <c r="C80" s="5335" t="s">
        <v>4707</v>
      </c>
      <c r="D80" s="5336"/>
      <c r="E80" s="1239" t="e">
        <f>IF(C75=0,"",VLOOKUP(C75,'Tablas Magia'!$D$6:$Z$680,10,FALSE))</f>
        <v>#N/A</v>
      </c>
      <c r="F80" s="1239" t="e">
        <f>IF(C75=0,"",VLOOKUP(C75,'Tablas Magia'!$D$6:$Z$680,14,FALSE))</f>
        <v>#N/A</v>
      </c>
      <c r="G80" s="1240" t="e">
        <f>IF(C75=0,"",VLOOKUP(C75,'Tablas Magia'!$D$6:$Z$680,18,FALSE))</f>
        <v>#N/A</v>
      </c>
      <c r="H80" s="5337" t="e">
        <f>IF(C75=0,"",VLOOKUP(C75,'Tablas Magia'!$D$6:$Z$680,22,FALSE))</f>
        <v>#N/A</v>
      </c>
      <c r="I80" s="5338"/>
      <c r="J80" s="5338"/>
      <c r="K80" s="5338"/>
      <c r="L80" s="5338"/>
      <c r="M80" s="5338"/>
      <c r="N80" s="5338"/>
      <c r="O80" s="5338"/>
      <c r="P80" s="5338"/>
      <c r="Q80" s="5339"/>
      <c r="R80" s="1216"/>
      <c r="S80" s="1210"/>
      <c r="T80" s="1210"/>
      <c r="U80" s="2258"/>
      <c r="V80" s="5335" t="s">
        <v>4707</v>
      </c>
      <c r="W80" s="5336"/>
      <c r="X80" s="1239" t="e">
        <f>IF(V75=0,"",VLOOKUP(V75,'Tablas Magia'!$D$6:$Z$680,10,FALSE))</f>
        <v>#N/A</v>
      </c>
      <c r="Y80" s="1239" t="e">
        <f>IF(V75=0,"",VLOOKUP(V75,'Tablas Magia'!$D$6:$Z$680,14,FALSE))</f>
        <v>#N/A</v>
      </c>
      <c r="Z80" s="1240" t="e">
        <f>IF(V75=0,"",VLOOKUP(V75,'Tablas Magia'!$D$6:$Z$680,18,FALSE))</f>
        <v>#N/A</v>
      </c>
      <c r="AA80" s="5337" t="e">
        <f>IF(V75=0,"",VLOOKUP(V75,'Tablas Magia'!$D$6:$Z$680,22,FALSE))</f>
        <v>#N/A</v>
      </c>
      <c r="AB80" s="5338"/>
      <c r="AC80" s="5338"/>
      <c r="AD80" s="5338"/>
      <c r="AE80" s="5338"/>
      <c r="AF80" s="5338"/>
      <c r="AG80" s="5338"/>
      <c r="AH80" s="5338"/>
      <c r="AI80" s="5338"/>
      <c r="AJ80" s="5339"/>
      <c r="AK80" s="1216"/>
      <c r="AL80" s="1210"/>
      <c r="AM80" s="1210"/>
      <c r="AN80" s="2272"/>
      <c r="AO80" s="5335" t="s">
        <v>4707</v>
      </c>
      <c r="AP80" s="5336"/>
      <c r="AQ80" s="1239" t="e">
        <f>IF(AO75=0,"",VLOOKUP(AO75,'Tablas Magia'!$D$6:$Z$680,10,FALSE))</f>
        <v>#N/A</v>
      </c>
      <c r="AR80" s="1239" t="e">
        <f>IF(AO75=0,"",VLOOKUP(AO75,'Tablas Magia'!$D$6:$Z$680,14,FALSE))</f>
        <v>#N/A</v>
      </c>
      <c r="AS80" s="1240" t="e">
        <f>IF(AO75=0,"",VLOOKUP(AO75,'Tablas Magia'!$D$6:$Z$680,18,FALSE))</f>
        <v>#N/A</v>
      </c>
      <c r="AT80" s="5337" t="e">
        <f>IF(AO75=0,"",VLOOKUP(AO75,'Tablas Magia'!$D$6:$Z$680,22,FALSE))</f>
        <v>#N/A</v>
      </c>
      <c r="AU80" s="5338"/>
      <c r="AV80" s="5338"/>
      <c r="AW80" s="5338"/>
      <c r="AX80" s="5338"/>
      <c r="AY80" s="5338"/>
      <c r="AZ80" s="5338"/>
      <c r="BA80" s="5338"/>
      <c r="BB80" s="5338"/>
      <c r="BC80" s="5339"/>
      <c r="BD80" s="1216"/>
      <c r="BE80" s="1210"/>
      <c r="BF80" s="1210"/>
      <c r="BG80" s="2272"/>
      <c r="BH80" s="5335" t="s">
        <v>4707</v>
      </c>
      <c r="BI80" s="5336"/>
      <c r="BJ80" s="1239" t="e">
        <f>IF(BH75=0,"",VLOOKUP(BH75,'Tablas Magia'!$D$6:$Z$680,10,FALSE))</f>
        <v>#N/A</v>
      </c>
      <c r="BK80" s="1239" t="e">
        <f>IF(BH75=0,"",VLOOKUP(BH75,'Tablas Magia'!$D$6:$Z$680,14,FALSE))</f>
        <v>#N/A</v>
      </c>
      <c r="BL80" s="1240" t="e">
        <f>IF(BH75=0,"",VLOOKUP(BH75,'Tablas Magia'!$D$6:$Z$680,18,FALSE))</f>
        <v>#N/A</v>
      </c>
      <c r="BM80" s="5337" t="e">
        <f>IF(BH75=0,"",VLOOKUP(BH75,'Tablas Magia'!$D$6:$Z$680,22,FALSE))</f>
        <v>#N/A</v>
      </c>
      <c r="BN80" s="5338"/>
      <c r="BO80" s="5338"/>
      <c r="BP80" s="5338"/>
      <c r="BQ80" s="5338"/>
      <c r="BR80" s="5338"/>
      <c r="BS80" s="5338"/>
      <c r="BT80" s="5338"/>
      <c r="BU80" s="5338"/>
      <c r="BV80" s="5339"/>
      <c r="BW80" s="1216"/>
      <c r="BX80" s="1210"/>
      <c r="BY80" s="1210"/>
      <c r="BZ80" s="2272"/>
      <c r="CA80" s="5335" t="s">
        <v>4707</v>
      </c>
      <c r="CB80" s="5336"/>
      <c r="CC80" s="1239" t="e">
        <f>IF(CA75=0,"",VLOOKUP(CA75,'Tablas Magia'!$D$6:$Z$680,10,FALSE))</f>
        <v>#N/A</v>
      </c>
      <c r="CD80" s="1239" t="e">
        <f>IF(CA75=0,"",VLOOKUP(CA75,'Tablas Magia'!$D$6:$Z$680,14,FALSE))</f>
        <v>#N/A</v>
      </c>
      <c r="CE80" s="1240" t="e">
        <f>IF(CA75=0,"",VLOOKUP(CA75,'Tablas Magia'!$D$6:$Z$680,18,FALSE))</f>
        <v>#N/A</v>
      </c>
      <c r="CF80" s="5337" t="e">
        <f>IF(CA75=0,"",VLOOKUP(CA75,'Tablas Magia'!$D$6:$Z$680,22,FALSE))</f>
        <v>#N/A</v>
      </c>
      <c r="CG80" s="5338"/>
      <c r="CH80" s="5338"/>
      <c r="CI80" s="5338"/>
      <c r="CJ80" s="5338"/>
      <c r="CK80" s="5338"/>
      <c r="CL80" s="5338"/>
      <c r="CM80" s="5338"/>
      <c r="CN80" s="5338"/>
      <c r="CO80" s="5339"/>
      <c r="CP80" s="1216"/>
      <c r="CQ80" s="1210"/>
    </row>
    <row r="81" spans="1:95" ht="12" customHeight="1" x14ac:dyDescent="0.2">
      <c r="A81" s="1210"/>
      <c r="B81" s="2258"/>
      <c r="C81" s="5340" t="e">
        <f>IF(C75=0,"",VLOOKUP(C75,'Tablas Magia'!$D$6:$Z$680,23,FALSE))</f>
        <v>#N/A</v>
      </c>
      <c r="D81" s="5341"/>
      <c r="E81" s="5341"/>
      <c r="F81" s="5341"/>
      <c r="G81" s="5341"/>
      <c r="H81" s="5341"/>
      <c r="I81" s="5341"/>
      <c r="J81" s="5341"/>
      <c r="K81" s="5341"/>
      <c r="L81" s="5341"/>
      <c r="M81" s="5341"/>
      <c r="N81" s="5341"/>
      <c r="O81" s="5341"/>
      <c r="P81" s="5341"/>
      <c r="Q81" s="5342"/>
      <c r="R81" s="1216"/>
      <c r="S81" s="1210"/>
      <c r="T81" s="1210"/>
      <c r="U81" s="2258"/>
      <c r="V81" s="5340" t="e">
        <f>IF(V75=0,"",VLOOKUP(V75,'Tablas Magia'!$D$6:$Z$680,23,FALSE))</f>
        <v>#N/A</v>
      </c>
      <c r="W81" s="5341"/>
      <c r="X81" s="5341"/>
      <c r="Y81" s="5341"/>
      <c r="Z81" s="5341"/>
      <c r="AA81" s="5341"/>
      <c r="AB81" s="5341"/>
      <c r="AC81" s="5341"/>
      <c r="AD81" s="5341"/>
      <c r="AE81" s="5341"/>
      <c r="AF81" s="5341"/>
      <c r="AG81" s="5341"/>
      <c r="AH81" s="5341"/>
      <c r="AI81" s="5341"/>
      <c r="AJ81" s="5342"/>
      <c r="AK81" s="1216"/>
      <c r="AL81" s="1210"/>
      <c r="AM81" s="1210"/>
      <c r="AN81" s="2272"/>
      <c r="AO81" s="5340" t="e">
        <f>IF(AO75=0,"",VLOOKUP(AO75,'Tablas Magia'!$D$6:$Z$680,23,FALSE))</f>
        <v>#N/A</v>
      </c>
      <c r="AP81" s="5341"/>
      <c r="AQ81" s="5341"/>
      <c r="AR81" s="5341"/>
      <c r="AS81" s="5341"/>
      <c r="AT81" s="5341"/>
      <c r="AU81" s="5341"/>
      <c r="AV81" s="5341"/>
      <c r="AW81" s="5341"/>
      <c r="AX81" s="5341"/>
      <c r="AY81" s="5341"/>
      <c r="AZ81" s="5341"/>
      <c r="BA81" s="5341"/>
      <c r="BB81" s="5341"/>
      <c r="BC81" s="5342"/>
      <c r="BD81" s="1216"/>
      <c r="BE81" s="1210"/>
      <c r="BF81" s="1210"/>
      <c r="BG81" s="2272"/>
      <c r="BH81" s="5340" t="e">
        <f>IF(BH75=0,"",VLOOKUP(BH75,'Tablas Magia'!$D$6:$Z$680,23,FALSE))</f>
        <v>#N/A</v>
      </c>
      <c r="BI81" s="5341"/>
      <c r="BJ81" s="5341"/>
      <c r="BK81" s="5341"/>
      <c r="BL81" s="5341"/>
      <c r="BM81" s="5341"/>
      <c r="BN81" s="5341"/>
      <c r="BO81" s="5341"/>
      <c r="BP81" s="5341"/>
      <c r="BQ81" s="5341"/>
      <c r="BR81" s="5341"/>
      <c r="BS81" s="5341"/>
      <c r="BT81" s="5341"/>
      <c r="BU81" s="5341"/>
      <c r="BV81" s="5342"/>
      <c r="BW81" s="1216"/>
      <c r="BX81" s="1210"/>
      <c r="BY81" s="1210"/>
      <c r="BZ81" s="2272"/>
      <c r="CA81" s="5340" t="e">
        <f>IF(CA75=0,"",VLOOKUP(CA75,'Tablas Magia'!$D$6:$Z$680,23,FALSE))</f>
        <v>#N/A</v>
      </c>
      <c r="CB81" s="5341"/>
      <c r="CC81" s="5341"/>
      <c r="CD81" s="5341"/>
      <c r="CE81" s="5341"/>
      <c r="CF81" s="5341"/>
      <c r="CG81" s="5341"/>
      <c r="CH81" s="5341"/>
      <c r="CI81" s="5341"/>
      <c r="CJ81" s="5341"/>
      <c r="CK81" s="5341"/>
      <c r="CL81" s="5341"/>
      <c r="CM81" s="5341"/>
      <c r="CN81" s="5341"/>
      <c r="CO81" s="5342"/>
      <c r="CP81" s="1216"/>
      <c r="CQ81" s="1210"/>
    </row>
    <row r="82" spans="1:95" ht="12" customHeight="1" x14ac:dyDescent="0.2">
      <c r="A82" s="1210"/>
      <c r="B82" s="2258"/>
      <c r="C82" s="5343"/>
      <c r="D82" s="5344"/>
      <c r="E82" s="5344"/>
      <c r="F82" s="5344"/>
      <c r="G82" s="5344"/>
      <c r="H82" s="5344"/>
      <c r="I82" s="5344"/>
      <c r="J82" s="5344"/>
      <c r="K82" s="5344"/>
      <c r="L82" s="5344"/>
      <c r="M82" s="5344"/>
      <c r="N82" s="5344"/>
      <c r="O82" s="5344"/>
      <c r="P82" s="5344"/>
      <c r="Q82" s="5345"/>
      <c r="R82" s="1216"/>
      <c r="S82" s="1210"/>
      <c r="T82" s="1210"/>
      <c r="U82" s="2258"/>
      <c r="V82" s="5343"/>
      <c r="W82" s="5344"/>
      <c r="X82" s="5344"/>
      <c r="Y82" s="5344"/>
      <c r="Z82" s="5344"/>
      <c r="AA82" s="5344"/>
      <c r="AB82" s="5344"/>
      <c r="AC82" s="5344"/>
      <c r="AD82" s="5344"/>
      <c r="AE82" s="5344"/>
      <c r="AF82" s="5344"/>
      <c r="AG82" s="5344"/>
      <c r="AH82" s="5344"/>
      <c r="AI82" s="5344"/>
      <c r="AJ82" s="5345"/>
      <c r="AK82" s="1216"/>
      <c r="AL82" s="1210"/>
      <c r="AM82" s="1210"/>
      <c r="AN82" s="2272"/>
      <c r="AO82" s="5343"/>
      <c r="AP82" s="5344"/>
      <c r="AQ82" s="5344"/>
      <c r="AR82" s="5344"/>
      <c r="AS82" s="5344"/>
      <c r="AT82" s="5344"/>
      <c r="AU82" s="5344"/>
      <c r="AV82" s="5344"/>
      <c r="AW82" s="5344"/>
      <c r="AX82" s="5344"/>
      <c r="AY82" s="5344"/>
      <c r="AZ82" s="5344"/>
      <c r="BA82" s="5344"/>
      <c r="BB82" s="5344"/>
      <c r="BC82" s="5345"/>
      <c r="BD82" s="1216"/>
      <c r="BE82" s="1210"/>
      <c r="BF82" s="1210"/>
      <c r="BG82" s="2272"/>
      <c r="BH82" s="5343"/>
      <c r="BI82" s="5344"/>
      <c r="BJ82" s="5344"/>
      <c r="BK82" s="5344"/>
      <c r="BL82" s="5344"/>
      <c r="BM82" s="5344"/>
      <c r="BN82" s="5344"/>
      <c r="BO82" s="5344"/>
      <c r="BP82" s="5344"/>
      <c r="BQ82" s="5344"/>
      <c r="BR82" s="5344"/>
      <c r="BS82" s="5344"/>
      <c r="BT82" s="5344"/>
      <c r="BU82" s="5344"/>
      <c r="BV82" s="5345"/>
      <c r="BW82" s="1216"/>
      <c r="BX82" s="1210"/>
      <c r="BY82" s="1210"/>
      <c r="BZ82" s="2272"/>
      <c r="CA82" s="5343"/>
      <c r="CB82" s="5344"/>
      <c r="CC82" s="5344"/>
      <c r="CD82" s="5344"/>
      <c r="CE82" s="5344"/>
      <c r="CF82" s="5344"/>
      <c r="CG82" s="5344"/>
      <c r="CH82" s="5344"/>
      <c r="CI82" s="5344"/>
      <c r="CJ82" s="5344"/>
      <c r="CK82" s="5344"/>
      <c r="CL82" s="5344"/>
      <c r="CM82" s="5344"/>
      <c r="CN82" s="5344"/>
      <c r="CO82" s="5345"/>
      <c r="CP82" s="1216"/>
      <c r="CQ82" s="1210"/>
    </row>
    <row r="83" spans="1:95" ht="12" customHeight="1" x14ac:dyDescent="0.2">
      <c r="A83" s="1210"/>
      <c r="B83" s="2258"/>
      <c r="C83" s="5343"/>
      <c r="D83" s="5344"/>
      <c r="E83" s="5344"/>
      <c r="F83" s="5344"/>
      <c r="G83" s="5344"/>
      <c r="H83" s="5344"/>
      <c r="I83" s="5344"/>
      <c r="J83" s="5344"/>
      <c r="K83" s="5344"/>
      <c r="L83" s="5344"/>
      <c r="M83" s="5344"/>
      <c r="N83" s="5344"/>
      <c r="O83" s="5344"/>
      <c r="P83" s="5344"/>
      <c r="Q83" s="5345"/>
      <c r="R83" s="1216"/>
      <c r="S83" s="1210"/>
      <c r="T83" s="1210"/>
      <c r="U83" s="2258"/>
      <c r="V83" s="5343"/>
      <c r="W83" s="5344"/>
      <c r="X83" s="5344"/>
      <c r="Y83" s="5344"/>
      <c r="Z83" s="5344"/>
      <c r="AA83" s="5344"/>
      <c r="AB83" s="5344"/>
      <c r="AC83" s="5344"/>
      <c r="AD83" s="5344"/>
      <c r="AE83" s="5344"/>
      <c r="AF83" s="5344"/>
      <c r="AG83" s="5344"/>
      <c r="AH83" s="5344"/>
      <c r="AI83" s="5344"/>
      <c r="AJ83" s="5345"/>
      <c r="AK83" s="1216"/>
      <c r="AL83" s="1210"/>
      <c r="AM83" s="1210"/>
      <c r="AN83" s="2272"/>
      <c r="AO83" s="5343"/>
      <c r="AP83" s="5344"/>
      <c r="AQ83" s="5344"/>
      <c r="AR83" s="5344"/>
      <c r="AS83" s="5344"/>
      <c r="AT83" s="5344"/>
      <c r="AU83" s="5344"/>
      <c r="AV83" s="5344"/>
      <c r="AW83" s="5344"/>
      <c r="AX83" s="5344"/>
      <c r="AY83" s="5344"/>
      <c r="AZ83" s="5344"/>
      <c r="BA83" s="5344"/>
      <c r="BB83" s="5344"/>
      <c r="BC83" s="5345"/>
      <c r="BD83" s="1216"/>
      <c r="BE83" s="1210"/>
      <c r="BF83" s="1210"/>
      <c r="BG83" s="2272"/>
      <c r="BH83" s="5343"/>
      <c r="BI83" s="5344"/>
      <c r="BJ83" s="5344"/>
      <c r="BK83" s="5344"/>
      <c r="BL83" s="5344"/>
      <c r="BM83" s="5344"/>
      <c r="BN83" s="5344"/>
      <c r="BO83" s="5344"/>
      <c r="BP83" s="5344"/>
      <c r="BQ83" s="5344"/>
      <c r="BR83" s="5344"/>
      <c r="BS83" s="5344"/>
      <c r="BT83" s="5344"/>
      <c r="BU83" s="5344"/>
      <c r="BV83" s="5345"/>
      <c r="BW83" s="1216"/>
      <c r="BX83" s="1210"/>
      <c r="BY83" s="1210"/>
      <c r="BZ83" s="2272"/>
      <c r="CA83" s="5343"/>
      <c r="CB83" s="5344"/>
      <c r="CC83" s="5344"/>
      <c r="CD83" s="5344"/>
      <c r="CE83" s="5344"/>
      <c r="CF83" s="5344"/>
      <c r="CG83" s="5344"/>
      <c r="CH83" s="5344"/>
      <c r="CI83" s="5344"/>
      <c r="CJ83" s="5344"/>
      <c r="CK83" s="5344"/>
      <c r="CL83" s="5344"/>
      <c r="CM83" s="5344"/>
      <c r="CN83" s="5344"/>
      <c r="CO83" s="5345"/>
      <c r="CP83" s="1216"/>
      <c r="CQ83" s="1210"/>
    </row>
    <row r="84" spans="1:95" ht="12" customHeight="1" thickBot="1" x14ac:dyDescent="0.25">
      <c r="A84" s="1210"/>
      <c r="B84" s="2258"/>
      <c r="C84" s="5346"/>
      <c r="D84" s="5347"/>
      <c r="E84" s="5347"/>
      <c r="F84" s="5347"/>
      <c r="G84" s="5347"/>
      <c r="H84" s="5347"/>
      <c r="I84" s="5347"/>
      <c r="J84" s="5347"/>
      <c r="K84" s="5347"/>
      <c r="L84" s="5347"/>
      <c r="M84" s="5347"/>
      <c r="N84" s="5347"/>
      <c r="O84" s="5347"/>
      <c r="P84" s="5347"/>
      <c r="Q84" s="5348"/>
      <c r="R84" s="1216"/>
      <c r="S84" s="1210"/>
      <c r="T84" s="1210"/>
      <c r="U84" s="2258"/>
      <c r="V84" s="5346"/>
      <c r="W84" s="5347"/>
      <c r="X84" s="5347"/>
      <c r="Y84" s="5347"/>
      <c r="Z84" s="5347"/>
      <c r="AA84" s="5347"/>
      <c r="AB84" s="5347"/>
      <c r="AC84" s="5347"/>
      <c r="AD84" s="5347"/>
      <c r="AE84" s="5347"/>
      <c r="AF84" s="5347"/>
      <c r="AG84" s="5347"/>
      <c r="AH84" s="5347"/>
      <c r="AI84" s="5347"/>
      <c r="AJ84" s="5348"/>
      <c r="AK84" s="1216"/>
      <c r="AL84" s="1210"/>
      <c r="AM84" s="1210"/>
      <c r="AN84" s="2272"/>
      <c r="AO84" s="5346"/>
      <c r="AP84" s="5347"/>
      <c r="AQ84" s="5347"/>
      <c r="AR84" s="5347"/>
      <c r="AS84" s="5347"/>
      <c r="AT84" s="5347"/>
      <c r="AU84" s="5347"/>
      <c r="AV84" s="5347"/>
      <c r="AW84" s="5347"/>
      <c r="AX84" s="5347"/>
      <c r="AY84" s="5347"/>
      <c r="AZ84" s="5347"/>
      <c r="BA84" s="5347"/>
      <c r="BB84" s="5347"/>
      <c r="BC84" s="5348"/>
      <c r="BD84" s="1216"/>
      <c r="BE84" s="1210"/>
      <c r="BF84" s="1210"/>
      <c r="BG84" s="2272"/>
      <c r="BH84" s="5346"/>
      <c r="BI84" s="5347"/>
      <c r="BJ84" s="5347"/>
      <c r="BK84" s="5347"/>
      <c r="BL84" s="5347"/>
      <c r="BM84" s="5347"/>
      <c r="BN84" s="5347"/>
      <c r="BO84" s="5347"/>
      <c r="BP84" s="5347"/>
      <c r="BQ84" s="5347"/>
      <c r="BR84" s="5347"/>
      <c r="BS84" s="5347"/>
      <c r="BT84" s="5347"/>
      <c r="BU84" s="5347"/>
      <c r="BV84" s="5348"/>
      <c r="BW84" s="1216"/>
      <c r="BX84" s="1210"/>
      <c r="BY84" s="1210"/>
      <c r="BZ84" s="2272"/>
      <c r="CA84" s="5346"/>
      <c r="CB84" s="5347"/>
      <c r="CC84" s="5347"/>
      <c r="CD84" s="5347"/>
      <c r="CE84" s="5347"/>
      <c r="CF84" s="5347"/>
      <c r="CG84" s="5347"/>
      <c r="CH84" s="5347"/>
      <c r="CI84" s="5347"/>
      <c r="CJ84" s="5347"/>
      <c r="CK84" s="5347"/>
      <c r="CL84" s="5347"/>
      <c r="CM84" s="5347"/>
      <c r="CN84" s="5347"/>
      <c r="CO84" s="5348"/>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49"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0"/>
      <c r="E86" s="5350"/>
      <c r="F86" s="5350"/>
      <c r="G86" s="5350"/>
      <c r="H86" s="1230" t="s">
        <v>1630</v>
      </c>
      <c r="I86" s="1231">
        <f>IF(C86=0,"",VLOOKUP(C86,'Tablas Magia'!$D$6:$Z$680,3,FALSE))</f>
        <v>16</v>
      </c>
      <c r="J86" s="5315" t="s">
        <v>8162</v>
      </c>
      <c r="K86" s="5315"/>
      <c r="L86" s="5315"/>
      <c r="M86" s="5316" t="str">
        <f>IF(C86=0,"",VLOOKUP(C86,'Tablas Magia'!$D$6:$Z$680,2,FALSE))</f>
        <v>Fuego</v>
      </c>
      <c r="N86" s="5316"/>
      <c r="O86" s="5316"/>
      <c r="P86" s="5316"/>
      <c r="Q86" s="5317"/>
      <c r="R86" s="1216"/>
      <c r="S86" s="1210"/>
      <c r="T86" s="1210"/>
      <c r="U86" s="2258">
        <f>U75+2</f>
        <v>36</v>
      </c>
      <c r="V86" s="5349"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0"/>
      <c r="X86" s="5350"/>
      <c r="Y86" s="5350"/>
      <c r="Z86" s="5350"/>
      <c r="AA86" s="1230" t="s">
        <v>1630</v>
      </c>
      <c r="AB86" s="1231">
        <f>IF(V86=0,"",VLOOKUP(V86,'Tablas Magia'!$D$6:$Z$680,3,FALSE))</f>
        <v>36</v>
      </c>
      <c r="AC86" s="5315" t="s">
        <v>8162</v>
      </c>
      <c r="AD86" s="5315"/>
      <c r="AE86" s="5315"/>
      <c r="AF86" s="5316" t="str">
        <f>IF(V86=0,"",VLOOKUP(V86,'Tablas Magia'!$D$6:$Z$680,2,FALSE))</f>
        <v>Fuego</v>
      </c>
      <c r="AG86" s="5316"/>
      <c r="AH86" s="5316"/>
      <c r="AI86" s="5316"/>
      <c r="AJ86" s="5317"/>
      <c r="AK86" s="1216"/>
      <c r="AL86" s="1210"/>
      <c r="AM86" s="1210"/>
      <c r="AN86" s="2272">
        <f>AN75+2</f>
        <v>56</v>
      </c>
      <c r="AO86" s="5349"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0"/>
      <c r="AQ86" s="5350"/>
      <c r="AR86" s="5350"/>
      <c r="AS86" s="5350"/>
      <c r="AT86" s="1230" t="s">
        <v>1630</v>
      </c>
      <c r="AU86" s="1231">
        <f>IF(AO86=0,"",VLOOKUP(AO86,'Tablas Magia'!$D$6:$Z$680,3,FALSE))</f>
        <v>56</v>
      </c>
      <c r="AV86" s="5315" t="s">
        <v>8162</v>
      </c>
      <c r="AW86" s="5315"/>
      <c r="AX86" s="5315"/>
      <c r="AY86" s="5316" t="str">
        <f>IF(AO86=0,"",VLOOKUP(AO86,'Tablas Magia'!$D$6:$Z$680,2,FALSE))</f>
        <v>Fuego</v>
      </c>
      <c r="AZ86" s="5316"/>
      <c r="BA86" s="5316"/>
      <c r="BB86" s="5316"/>
      <c r="BC86" s="5317"/>
      <c r="BD86" s="1216"/>
      <c r="BE86" s="1210"/>
      <c r="BF86" s="1210"/>
      <c r="BG86" s="2272">
        <f>BG75+2</f>
        <v>76</v>
      </c>
      <c r="BH86" s="5349"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0"/>
      <c r="BJ86" s="5350"/>
      <c r="BK86" s="5350"/>
      <c r="BL86" s="5350"/>
      <c r="BM86" s="1230" t="s">
        <v>1630</v>
      </c>
      <c r="BN86" s="1231">
        <f>IF(BH86=0,"",VLOOKUP(BH86,'Tablas Magia'!$D$6:$Z$680,3,FALSE))</f>
        <v>76</v>
      </c>
      <c r="BO86" s="5315" t="s">
        <v>8162</v>
      </c>
      <c r="BP86" s="5315"/>
      <c r="BQ86" s="5315"/>
      <c r="BR86" s="5316" t="str">
        <f>IF(BH86=0,"",VLOOKUP(BH86,'Tablas Magia'!$D$6:$Z$680,2,FALSE))</f>
        <v>Fuego</v>
      </c>
      <c r="BS86" s="5316"/>
      <c r="BT86" s="5316"/>
      <c r="BU86" s="5316"/>
      <c r="BV86" s="5317"/>
      <c r="BW86" s="1216"/>
      <c r="BX86" s="1210"/>
      <c r="BY86" s="1210"/>
      <c r="BZ86" s="2272">
        <f>BZ75+2</f>
        <v>96</v>
      </c>
      <c r="CA86" s="5349"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0"/>
      <c r="CC86" s="5350"/>
      <c r="CD86" s="5350"/>
      <c r="CE86" s="5350"/>
      <c r="CF86" s="1230" t="s">
        <v>1630</v>
      </c>
      <c r="CG86" s="1231">
        <f>IF(CA86=0,"",VLOOKUP(CA86,'Tablas Magia'!$D$6:$Z$680,3,FALSE))</f>
        <v>96</v>
      </c>
      <c r="CH86" s="5315" t="s">
        <v>8162</v>
      </c>
      <c r="CI86" s="5315"/>
      <c r="CJ86" s="5315"/>
      <c r="CK86" s="5316" t="str">
        <f>IF(CA86=0,"",VLOOKUP(CA86,'Tablas Magia'!$D$6:$Z$680,2,FALSE))</f>
        <v>Fuego</v>
      </c>
      <c r="CL86" s="5316"/>
      <c r="CM86" s="5316"/>
      <c r="CN86" s="5316"/>
      <c r="CO86" s="5317"/>
      <c r="CP86" s="1216"/>
      <c r="CQ86" s="1210"/>
    </row>
    <row r="87" spans="1:95" ht="12" customHeight="1" x14ac:dyDescent="0.2">
      <c r="A87" s="1210"/>
      <c r="B87" s="2258"/>
      <c r="C87" s="5333" t="s">
        <v>8163</v>
      </c>
      <c r="D87" s="5334"/>
      <c r="E87" s="1232" t="s">
        <v>8164</v>
      </c>
      <c r="F87" s="1232" t="s">
        <v>1824</v>
      </c>
      <c r="G87" s="1232" t="s">
        <v>3467</v>
      </c>
      <c r="H87" s="1233" t="s">
        <v>2175</v>
      </c>
      <c r="I87" s="5330" t="str">
        <f>IF(C86=0,"",VLOOKUP(C86,'Tablas Magia'!$D$6:$Z$680,5,FALSE))</f>
        <v>Ataque</v>
      </c>
      <c r="J87" s="5330"/>
      <c r="K87" s="5331" t="s">
        <v>8165</v>
      </c>
      <c r="L87" s="5331"/>
      <c r="M87" s="5330" t="str">
        <f>IF(C86=0,"",VLOOKUP(C86,'Tablas Magia'!$D$6:$Z$680,6,FALSE))</f>
        <v>Activa</v>
      </c>
      <c r="N87" s="5330"/>
      <c r="O87" s="5332" t="s">
        <v>8166</v>
      </c>
      <c r="P87" s="5332"/>
      <c r="Q87" s="1234" t="str">
        <f>IF(C86=0,"",VLOOKUP(C86,'Tablas Magia'!$D$6:$Z$680,4,FALSE))</f>
        <v>No</v>
      </c>
      <c r="R87" s="1216"/>
      <c r="S87" s="1210"/>
      <c r="T87" s="1210"/>
      <c r="U87" s="2258"/>
      <c r="V87" s="5333" t="s">
        <v>8163</v>
      </c>
      <c r="W87" s="5334"/>
      <c r="X87" s="1232" t="s">
        <v>8164</v>
      </c>
      <c r="Y87" s="1232" t="s">
        <v>1824</v>
      </c>
      <c r="Z87" s="1232" t="s">
        <v>3467</v>
      </c>
      <c r="AA87" s="1233" t="s">
        <v>2175</v>
      </c>
      <c r="AB87" s="5330" t="str">
        <f>IF(V86=0,"",VLOOKUP(V86,'Tablas Magia'!$D$6:$Z$680,5,FALSE))</f>
        <v>Efecto</v>
      </c>
      <c r="AC87" s="5330"/>
      <c r="AD87" s="5331" t="s">
        <v>8165</v>
      </c>
      <c r="AE87" s="5331"/>
      <c r="AF87" s="5330" t="str">
        <f>IF(V86=0,"",VLOOKUP(V86,'Tablas Magia'!$D$6:$Z$680,6,FALSE))</f>
        <v>Activa</v>
      </c>
      <c r="AG87" s="5330"/>
      <c r="AH87" s="5332" t="s">
        <v>8166</v>
      </c>
      <c r="AI87" s="5332"/>
      <c r="AJ87" s="1234" t="str">
        <f>IF(V86=0,"",VLOOKUP(V86,'Tablas Magia'!$D$6:$Z$680,4,FALSE))</f>
        <v>Si</v>
      </c>
      <c r="AK87" s="1216"/>
      <c r="AL87" s="1210"/>
      <c r="AM87" s="1210"/>
      <c r="AN87" s="2272"/>
      <c r="AO87" s="5333" t="s">
        <v>8163</v>
      </c>
      <c r="AP87" s="5334"/>
      <c r="AQ87" s="1232" t="s">
        <v>8164</v>
      </c>
      <c r="AR87" s="1232" t="s">
        <v>1824</v>
      </c>
      <c r="AS87" s="1232" t="s">
        <v>3467</v>
      </c>
      <c r="AT87" s="1233" t="s">
        <v>2175</v>
      </c>
      <c r="AU87" s="5330" t="str">
        <f>IF(AO86=0,"",VLOOKUP(AO86,'Tablas Magia'!$D$6:$Z$680,5,FALSE))</f>
        <v>Efecto</v>
      </c>
      <c r="AV87" s="5330"/>
      <c r="AW87" s="5331" t="s">
        <v>8165</v>
      </c>
      <c r="AX87" s="5331"/>
      <c r="AY87" s="5330" t="str">
        <f>IF(AO86=0,"",VLOOKUP(AO86,'Tablas Magia'!$D$6:$Z$680,6,FALSE))</f>
        <v>Activa</v>
      </c>
      <c r="AZ87" s="5330"/>
      <c r="BA87" s="5332" t="s">
        <v>8166</v>
      </c>
      <c r="BB87" s="5332"/>
      <c r="BC87" s="1234" t="str">
        <f>IF(AO86=0,"",VLOOKUP(AO86,'Tablas Magia'!$D$6:$Z$680,4,FALSE))</f>
        <v>Si</v>
      </c>
      <c r="BD87" s="1216"/>
      <c r="BE87" s="1210"/>
      <c r="BF87" s="1210"/>
      <c r="BG87" s="2272"/>
      <c r="BH87" s="5333" t="s">
        <v>8163</v>
      </c>
      <c r="BI87" s="5334"/>
      <c r="BJ87" s="1232" t="s">
        <v>8164</v>
      </c>
      <c r="BK87" s="1232" t="s">
        <v>1824</v>
      </c>
      <c r="BL87" s="1232" t="s">
        <v>3467</v>
      </c>
      <c r="BM87" s="1233" t="s">
        <v>2175</v>
      </c>
      <c r="BN87" s="5330" t="str">
        <f>IF(BH86=0,"",VLOOKUP(BH86,'Tablas Magia'!$D$6:$Z$680,5,FALSE))</f>
        <v>Automático</v>
      </c>
      <c r="BO87" s="5330"/>
      <c r="BP87" s="5331" t="s">
        <v>8165</v>
      </c>
      <c r="BQ87" s="5331"/>
      <c r="BR87" s="5330" t="str">
        <f>IF(BH86=0,"",VLOOKUP(BH86,'Tablas Magia'!$D$6:$Z$680,6,FALSE))</f>
        <v>Activa</v>
      </c>
      <c r="BS87" s="5330"/>
      <c r="BT87" s="5332" t="s">
        <v>8166</v>
      </c>
      <c r="BU87" s="5332"/>
      <c r="BV87" s="1234" t="str">
        <f>IF(BH86=0,"",VLOOKUP(BH86,'Tablas Magia'!$D$6:$Z$680,4,FALSE))</f>
        <v>No</v>
      </c>
      <c r="BW87" s="1216"/>
      <c r="BX87" s="1210"/>
      <c r="BY87" s="1210"/>
      <c r="BZ87" s="2272"/>
      <c r="CA87" s="5333" t="s">
        <v>8163</v>
      </c>
      <c r="CB87" s="5334"/>
      <c r="CC87" s="1232" t="s">
        <v>8164</v>
      </c>
      <c r="CD87" s="1232" t="s">
        <v>1824</v>
      </c>
      <c r="CE87" s="1232" t="s">
        <v>3467</v>
      </c>
      <c r="CF87" s="1233" t="s">
        <v>2175</v>
      </c>
      <c r="CG87" s="5330" t="str">
        <f>IF(CA86=0,"",VLOOKUP(CA86,'Tablas Magia'!$D$6:$Z$680,5,FALSE))</f>
        <v>Automático</v>
      </c>
      <c r="CH87" s="5330"/>
      <c r="CI87" s="5331" t="s">
        <v>8165</v>
      </c>
      <c r="CJ87" s="5331"/>
      <c r="CK87" s="5330" t="str">
        <f>IF(CA86=0,"",VLOOKUP(CA86,'Tablas Magia'!$D$6:$Z$680,6,FALSE))</f>
        <v>Activa</v>
      </c>
      <c r="CL87" s="5330"/>
      <c r="CM87" s="5332" t="s">
        <v>8166</v>
      </c>
      <c r="CN87" s="5332"/>
      <c r="CO87" s="1234" t="str">
        <f>IF(CA86=0,"",VLOOKUP(CA86,'Tablas Magia'!$D$6:$Z$680,4,FALSE))</f>
        <v>Si</v>
      </c>
      <c r="CP87" s="1216"/>
      <c r="CQ87" s="1210"/>
    </row>
    <row r="88" spans="1:95" ht="12" customHeight="1" x14ac:dyDescent="0.2">
      <c r="A88" s="1210"/>
      <c r="B88" s="2258"/>
      <c r="C88" s="5325" t="s">
        <v>1677</v>
      </c>
      <c r="D88" s="5326"/>
      <c r="E88" s="1235">
        <f>IF(C86=0,"",VLOOKUP(C86,'Tablas Magia'!$D$6:$Z$680,7,FALSE))</f>
        <v>6</v>
      </c>
      <c r="F88" s="1235">
        <f>IF(C86=0,"",VLOOKUP(C86,'Tablas Magia'!$D$6:$Z$680,11,FALSE))</f>
        <v>50</v>
      </c>
      <c r="G88" s="1236" t="str">
        <f>IF(C86=0,"",VLOOKUP(C86,'Tablas Magia'!$D$6:$Z$680,15,FALSE))</f>
        <v>No</v>
      </c>
      <c r="H88" s="5327" t="str">
        <f>IF(C86=0,"",VLOOKUP(C86,'Tablas Magia'!$D$6:$Z$680,19,FALSE))</f>
        <v>Daño Base 50 / Área de 5 metros de radio</v>
      </c>
      <c r="I88" s="5328"/>
      <c r="J88" s="5328"/>
      <c r="K88" s="5328"/>
      <c r="L88" s="5328"/>
      <c r="M88" s="5328"/>
      <c r="N88" s="5328"/>
      <c r="O88" s="5328"/>
      <c r="P88" s="5328"/>
      <c r="Q88" s="5329"/>
      <c r="R88" s="1216"/>
      <c r="S88" s="1210"/>
      <c r="T88" s="1210"/>
      <c r="U88" s="2258"/>
      <c r="V88" s="5325" t="s">
        <v>1677</v>
      </c>
      <c r="W88" s="5326"/>
      <c r="X88" s="1235">
        <f>IF(V86=0,"",VLOOKUP(V86,'Tablas Magia'!$D$6:$Z$680,7,FALSE))</f>
        <v>7</v>
      </c>
      <c r="Y88" s="1235">
        <f>IF(V86=0,"",VLOOKUP(V86,'Tablas Magia'!$D$6:$Z$680,11,FALSE))</f>
        <v>60</v>
      </c>
      <c r="Z88" s="1236">
        <f>IF(V86=0,"",VLOOKUP(V86,'Tablas Magia'!$D$6:$Z$680,15,FALSE))</f>
        <v>15</v>
      </c>
      <c r="AA88" s="5327" t="str">
        <f>IF(V86=0,"",VLOOKUP(V86,'Tablas Magia'!$D$6:$Z$680,19,FALSE))</f>
        <v>+5 grados/ 1 km de radio</v>
      </c>
      <c r="AB88" s="5328"/>
      <c r="AC88" s="5328"/>
      <c r="AD88" s="5328"/>
      <c r="AE88" s="5328"/>
      <c r="AF88" s="5328"/>
      <c r="AG88" s="5328"/>
      <c r="AH88" s="5328"/>
      <c r="AI88" s="5328"/>
      <c r="AJ88" s="5329"/>
      <c r="AK88" s="1216"/>
      <c r="AL88" s="1210"/>
      <c r="AM88" s="1210"/>
      <c r="AN88" s="2272"/>
      <c r="AO88" s="5325" t="s">
        <v>1677</v>
      </c>
      <c r="AP88" s="5326"/>
      <c r="AQ88" s="1235">
        <f>IF(AO86=0,"",VLOOKUP(AO86,'Tablas Magia'!$D$6:$Z$680,7,FALSE))</f>
        <v>6</v>
      </c>
      <c r="AR88" s="1235">
        <f>IF(AO86=0,"",VLOOKUP(AO86,'Tablas Magia'!$D$6:$Z$680,11,FALSE))</f>
        <v>120</v>
      </c>
      <c r="AS88" s="1236">
        <f>IF(AO86=0,"",VLOOKUP(AO86,'Tablas Magia'!$D$6:$Z$680,15,FALSE))</f>
        <v>10</v>
      </c>
      <c r="AT88" s="5327" t="str">
        <f>IF(AO86=0,"",VLOOKUP(AO86,'Tablas Magia'!$D$6:$Z$680,19,FALSE))</f>
        <v>Sacrificio máximo de 50 PV por asalto</v>
      </c>
      <c r="AU88" s="5328"/>
      <c r="AV88" s="5328"/>
      <c r="AW88" s="5328"/>
      <c r="AX88" s="5328"/>
      <c r="AY88" s="5328"/>
      <c r="AZ88" s="5328"/>
      <c r="BA88" s="5328"/>
      <c r="BB88" s="5328"/>
      <c r="BC88" s="5329"/>
      <c r="BD88" s="1216"/>
      <c r="BE88" s="1210"/>
      <c r="BF88" s="1210"/>
      <c r="BG88" s="2272"/>
      <c r="BH88" s="5325" t="s">
        <v>1677</v>
      </c>
      <c r="BI88" s="5326"/>
      <c r="BJ88" s="1235">
        <f>IF(BH86=0,"",VLOOKUP(BH86,'Tablas Magia'!$D$6:$Z$680,7,FALSE))</f>
        <v>8</v>
      </c>
      <c r="BK88" s="1235">
        <f>IF(BH86=0,"",VLOOKUP(BH86,'Tablas Magia'!$D$6:$Z$680,11,FALSE))</f>
        <v>150</v>
      </c>
      <c r="BL88" s="1236">
        <f>IF(BH86=0,"",VLOOKUP(BH86,'Tablas Magia'!$D$6:$Z$680,15,FALSE))</f>
        <v>15</v>
      </c>
      <c r="BM88" s="5327" t="str">
        <f>IF(BH86=0,"",VLOOKUP(BH86,'Tablas Magia'!$D$6:$Z$680,19,FALSE))</f>
        <v>25 metros de radio/ HA Absurdo (180)</v>
      </c>
      <c r="BN88" s="5328"/>
      <c r="BO88" s="5328"/>
      <c r="BP88" s="5328"/>
      <c r="BQ88" s="5328"/>
      <c r="BR88" s="5328"/>
      <c r="BS88" s="5328"/>
      <c r="BT88" s="5328"/>
      <c r="BU88" s="5328"/>
      <c r="BV88" s="5329"/>
      <c r="BW88" s="1216"/>
      <c r="BX88" s="1210"/>
      <c r="BY88" s="1210"/>
      <c r="BZ88" s="2272"/>
      <c r="CA88" s="5325" t="s">
        <v>1677</v>
      </c>
      <c r="CB88" s="5326"/>
      <c r="CC88" s="1235">
        <f>IF(CA86=0,"",VLOOKUP(CA86,'Tablas Magia'!$D$6:$Z$680,7,FALSE))</f>
        <v>10</v>
      </c>
      <c r="CD88" s="1235">
        <f>IF(CA86=0,"",VLOOKUP(CA86,'Tablas Magia'!$D$6:$Z$680,11,FALSE))</f>
        <v>300</v>
      </c>
      <c r="CE88" s="1236">
        <f>IF(CA86=0,"",VLOOKUP(CA86,'Tablas Magia'!$D$6:$Z$680,15,FALSE))</f>
        <v>30</v>
      </c>
      <c r="CF88" s="5327" t="str">
        <f>IF(CA86=0,"",VLOOKUP(CA86,'Tablas Magia'!$D$6:$Z$680,19,FALSE))</f>
        <v>100 km/ 140 RM</v>
      </c>
      <c r="CG88" s="5328"/>
      <c r="CH88" s="5328"/>
      <c r="CI88" s="5328"/>
      <c r="CJ88" s="5328"/>
      <c r="CK88" s="5328"/>
      <c r="CL88" s="5328"/>
      <c r="CM88" s="5328"/>
      <c r="CN88" s="5328"/>
      <c r="CO88" s="5329"/>
      <c r="CP88" s="1216"/>
      <c r="CQ88" s="1210"/>
    </row>
    <row r="89" spans="1:95" ht="12" customHeight="1" x14ac:dyDescent="0.2">
      <c r="A89" s="1210"/>
      <c r="B89" s="2258"/>
      <c r="C89" s="5320" t="s">
        <v>4705</v>
      </c>
      <c r="D89" s="5321"/>
      <c r="E89" s="1237">
        <f>IF(C86=0,"",VLOOKUP(C86,'Tablas Magia'!$D$6:$Z$680,8,FALSE))</f>
        <v>9</v>
      </c>
      <c r="F89" s="1237">
        <f>IF(C86=0,"",VLOOKUP(C86,'Tablas Magia'!$D$6:$Z$680,12,FALSE))</f>
        <v>100</v>
      </c>
      <c r="G89" s="1238" t="str">
        <f>IF(C86=0,"",VLOOKUP(C86,'Tablas Magia'!$D$6:$Z$680,16,FALSE))</f>
        <v>No</v>
      </c>
      <c r="H89" s="5322" t="str">
        <f>IF(C86=0,"",VLOOKUP(C86,'Tablas Magia'!$D$6:$Z$680,20,FALSE))</f>
        <v>Daño Base 100 / Área de 25 metros de radio</v>
      </c>
      <c r="I89" s="5323"/>
      <c r="J89" s="5323"/>
      <c r="K89" s="5323"/>
      <c r="L89" s="5323"/>
      <c r="M89" s="5323"/>
      <c r="N89" s="5323"/>
      <c r="O89" s="5323"/>
      <c r="P89" s="5323"/>
      <c r="Q89" s="5324"/>
      <c r="R89" s="1216"/>
      <c r="S89" s="1210"/>
      <c r="T89" s="1210"/>
      <c r="U89" s="2258"/>
      <c r="V89" s="5320" t="s">
        <v>4705</v>
      </c>
      <c r="W89" s="5321"/>
      <c r="X89" s="1237">
        <f>IF(V86=0,"",VLOOKUP(V86,'Tablas Magia'!$D$6:$Z$680,8,FALSE))</f>
        <v>10</v>
      </c>
      <c r="Y89" s="1237">
        <f>IF(V86=0,"",VLOOKUP(V86,'Tablas Magia'!$D$6:$Z$680,12,FALSE))</f>
        <v>140</v>
      </c>
      <c r="Z89" s="1238">
        <f>IF(V86=0,"",VLOOKUP(V86,'Tablas Magia'!$D$6:$Z$680,16,FALSE))</f>
        <v>40</v>
      </c>
      <c r="AA89" s="5322" t="str">
        <f>IF(V86=0,"",VLOOKUP(V86,'Tablas Magia'!$D$6:$Z$680,20,FALSE))</f>
        <v>+10 grados / 5 km de radio</v>
      </c>
      <c r="AB89" s="5323"/>
      <c r="AC89" s="5323"/>
      <c r="AD89" s="5323"/>
      <c r="AE89" s="5323"/>
      <c r="AF89" s="5323"/>
      <c r="AG89" s="5323"/>
      <c r="AH89" s="5323"/>
      <c r="AI89" s="5323"/>
      <c r="AJ89" s="5324"/>
      <c r="AK89" s="1216"/>
      <c r="AL89" s="1210"/>
      <c r="AM89" s="1210"/>
      <c r="AN89" s="2272"/>
      <c r="AO89" s="5320" t="s">
        <v>4705</v>
      </c>
      <c r="AP89" s="5321"/>
      <c r="AQ89" s="1237">
        <f>IF(AO86=0,"",VLOOKUP(AO86,'Tablas Magia'!$D$6:$Z$680,8,FALSE))</f>
        <v>9</v>
      </c>
      <c r="AR89" s="1237">
        <f>IF(AO86=0,"",VLOOKUP(AO86,'Tablas Magia'!$D$6:$Z$680,12,FALSE))</f>
        <v>180</v>
      </c>
      <c r="AS89" s="1238">
        <f>IF(AO86=0,"",VLOOKUP(AO86,'Tablas Magia'!$D$6:$Z$680,16,FALSE))</f>
        <v>10</v>
      </c>
      <c r="AT89" s="5322" t="str">
        <f>IF(AO86=0,"",VLOOKUP(AO86,'Tablas Magia'!$D$6:$Z$680,20,FALSE))</f>
        <v>Sacrificio máximo de 100 PV por asalto</v>
      </c>
      <c r="AU89" s="5323"/>
      <c r="AV89" s="5323"/>
      <c r="AW89" s="5323"/>
      <c r="AX89" s="5323"/>
      <c r="AY89" s="5323"/>
      <c r="AZ89" s="5323"/>
      <c r="BA89" s="5323"/>
      <c r="BB89" s="5323"/>
      <c r="BC89" s="5324"/>
      <c r="BD89" s="1216"/>
      <c r="BE89" s="1210"/>
      <c r="BF89" s="1210"/>
      <c r="BG89" s="2272"/>
      <c r="BH89" s="5320" t="s">
        <v>4705</v>
      </c>
      <c r="BI89" s="5321"/>
      <c r="BJ89" s="1237">
        <f>IF(BH86=0,"",VLOOKUP(BH86,'Tablas Magia'!$D$6:$Z$680,8,FALSE))</f>
        <v>10</v>
      </c>
      <c r="BK89" s="1237">
        <f>IF(BH86=0,"",VLOOKUP(BH86,'Tablas Magia'!$D$6:$Z$680,12,FALSE))</f>
        <v>200</v>
      </c>
      <c r="BL89" s="1238">
        <f>IF(BH86=0,"",VLOOKUP(BH86,'Tablas Magia'!$D$6:$Z$680,16,FALSE))</f>
        <v>20</v>
      </c>
      <c r="BM89" s="5322" t="str">
        <f>IF(BH86=0,"",VLOOKUP(BH86,'Tablas Magia'!$D$6:$Z$680,20,FALSE))</f>
        <v>150 metros de radio/ HA CIM (240)</v>
      </c>
      <c r="BN89" s="5323"/>
      <c r="BO89" s="5323"/>
      <c r="BP89" s="5323"/>
      <c r="BQ89" s="5323"/>
      <c r="BR89" s="5323"/>
      <c r="BS89" s="5323"/>
      <c r="BT89" s="5323"/>
      <c r="BU89" s="5323"/>
      <c r="BV89" s="5324"/>
      <c r="BW89" s="1216"/>
      <c r="BX89" s="1210"/>
      <c r="BY89" s="1210"/>
      <c r="BZ89" s="2272"/>
      <c r="CA89" s="5320" t="s">
        <v>4705</v>
      </c>
      <c r="CB89" s="5321"/>
      <c r="CC89" s="1237">
        <f>IF(CA86=0,"",VLOOKUP(CA86,'Tablas Magia'!$D$6:$Z$680,8,FALSE))</f>
        <v>12</v>
      </c>
      <c r="CD89" s="1237">
        <f>IF(CA86=0,"",VLOOKUP(CA86,'Tablas Magia'!$D$6:$Z$680,12,FALSE))</f>
        <v>450</v>
      </c>
      <c r="CE89" s="1238">
        <f>IF(CA86=0,"",VLOOKUP(CA86,'Tablas Magia'!$D$6:$Z$680,16,FALSE))</f>
        <v>45</v>
      </c>
      <c r="CF89" s="5322" t="str">
        <f>IF(CA86=0,"",VLOOKUP(CA86,'Tablas Magia'!$D$6:$Z$680,20,FALSE))</f>
        <v>1.000 km/ 180RM</v>
      </c>
      <c r="CG89" s="5323"/>
      <c r="CH89" s="5323"/>
      <c r="CI89" s="5323"/>
      <c r="CJ89" s="5323"/>
      <c r="CK89" s="5323"/>
      <c r="CL89" s="5323"/>
      <c r="CM89" s="5323"/>
      <c r="CN89" s="5323"/>
      <c r="CO89" s="5324"/>
      <c r="CP89" s="1216"/>
      <c r="CQ89" s="1210"/>
    </row>
    <row r="90" spans="1:95" ht="12" customHeight="1" x14ac:dyDescent="0.2">
      <c r="A90" s="1210"/>
      <c r="B90" s="2258"/>
      <c r="C90" s="5325" t="s">
        <v>4706</v>
      </c>
      <c r="D90" s="5326"/>
      <c r="E90" s="1235">
        <f>IF(C86=0,"",VLOOKUP(C86,'Tablas Magia'!$D$6:$Z$680,9,FALSE))</f>
        <v>12</v>
      </c>
      <c r="F90" s="1235">
        <f>IF(C86=0,"",VLOOKUP(C86,'Tablas Magia'!$D$6:$Z$680,13,FALSE))</f>
        <v>160</v>
      </c>
      <c r="G90" s="1236" t="str">
        <f>IF(C86=0,"",VLOOKUP(C86,'Tablas Magia'!$D$6:$Z$680,17,FALSE))</f>
        <v>No</v>
      </c>
      <c r="H90" s="5327" t="str">
        <f>IF(C86=0,"",VLOOKUP(C86,'Tablas Magia'!$D$6:$Z$680,21,FALSE))</f>
        <v>Daño Base 140 / Área de 80 metros de radio</v>
      </c>
      <c r="I90" s="5328"/>
      <c r="J90" s="5328"/>
      <c r="K90" s="5328"/>
      <c r="L90" s="5328"/>
      <c r="M90" s="5328"/>
      <c r="N90" s="5328"/>
      <c r="O90" s="5328"/>
      <c r="P90" s="5328"/>
      <c r="Q90" s="5329"/>
      <c r="R90" s="1216"/>
      <c r="S90" s="1210"/>
      <c r="T90" s="1210"/>
      <c r="U90" s="2258"/>
      <c r="V90" s="5325" t="s">
        <v>4706</v>
      </c>
      <c r="W90" s="5326"/>
      <c r="X90" s="1235">
        <f>IF(V86=0,"",VLOOKUP(V86,'Tablas Magia'!$D$6:$Z$680,9,FALSE))</f>
        <v>12</v>
      </c>
      <c r="Y90" s="1235">
        <f>IF(V86=0,"",VLOOKUP(V86,'Tablas Magia'!$D$6:$Z$680,13,FALSE))</f>
        <v>240</v>
      </c>
      <c r="Z90" s="1236">
        <f>IF(V86=0,"",VLOOKUP(V86,'Tablas Magia'!$D$6:$Z$680,17,FALSE))</f>
        <v>50</v>
      </c>
      <c r="AA90" s="5327" t="str">
        <f>IF(V86=0,"",VLOOKUP(V86,'Tablas Magia'!$D$6:$Z$680,21,FALSE))</f>
        <v>+20 grados / 10km de radio</v>
      </c>
      <c r="AB90" s="5328"/>
      <c r="AC90" s="5328"/>
      <c r="AD90" s="5328"/>
      <c r="AE90" s="5328"/>
      <c r="AF90" s="5328"/>
      <c r="AG90" s="5328"/>
      <c r="AH90" s="5328"/>
      <c r="AI90" s="5328"/>
      <c r="AJ90" s="5329"/>
      <c r="AK90" s="1216"/>
      <c r="AL90" s="1210"/>
      <c r="AM90" s="1210"/>
      <c r="AN90" s="2272"/>
      <c r="AO90" s="5325" t="s">
        <v>4706</v>
      </c>
      <c r="AP90" s="5326"/>
      <c r="AQ90" s="1235">
        <f>IF(AO86=0,"",VLOOKUP(AO86,'Tablas Magia'!$D$6:$Z$680,9,FALSE))</f>
        <v>13</v>
      </c>
      <c r="AR90" s="1235">
        <f>IF(AO86=0,"",VLOOKUP(AO86,'Tablas Magia'!$D$6:$Z$680,13,FALSE))</f>
        <v>240</v>
      </c>
      <c r="AS90" s="1236">
        <f>IF(AO86=0,"",VLOOKUP(AO86,'Tablas Magia'!$D$6:$Z$680,17,FALSE))</f>
        <v>15</v>
      </c>
      <c r="AT90" s="5327" t="str">
        <f>IF(AO86=0,"",VLOOKUP(AO86,'Tablas Magia'!$D$6:$Z$680,21,FALSE))</f>
        <v>Sacrificio máximo de 150 PV por asalto</v>
      </c>
      <c r="AU90" s="5328"/>
      <c r="AV90" s="5328"/>
      <c r="AW90" s="5328"/>
      <c r="AX90" s="5328"/>
      <c r="AY90" s="5328"/>
      <c r="AZ90" s="5328"/>
      <c r="BA90" s="5328"/>
      <c r="BB90" s="5328"/>
      <c r="BC90" s="5329"/>
      <c r="BD90" s="1216"/>
      <c r="BE90" s="1210"/>
      <c r="BF90" s="1210"/>
      <c r="BG90" s="2272"/>
      <c r="BH90" s="5325" t="s">
        <v>4706</v>
      </c>
      <c r="BI90" s="5326"/>
      <c r="BJ90" s="1235">
        <f>IF(BH86=0,"",VLOOKUP(BH86,'Tablas Magia'!$D$6:$Z$680,9,FALSE))</f>
        <v>12</v>
      </c>
      <c r="BK90" s="1235">
        <f>IF(BH86=0,"",VLOOKUP(BH86,'Tablas Magia'!$D$6:$Z$680,13,FALSE))</f>
        <v>240</v>
      </c>
      <c r="BL90" s="1236">
        <f>IF(BH86=0,"",VLOOKUP(BH86,'Tablas Magia'!$D$6:$Z$680,17,FALSE))</f>
        <v>25</v>
      </c>
      <c r="BM90" s="5327" t="str">
        <f>IF(BH86=0,"",VLOOKUP(BH86,'Tablas Magia'!$D$6:$Z$680,21,FALSE))</f>
        <v>200 metros de radio/ HA IMP (280)</v>
      </c>
      <c r="BN90" s="5328"/>
      <c r="BO90" s="5328"/>
      <c r="BP90" s="5328"/>
      <c r="BQ90" s="5328"/>
      <c r="BR90" s="5328"/>
      <c r="BS90" s="5328"/>
      <c r="BT90" s="5328"/>
      <c r="BU90" s="5328"/>
      <c r="BV90" s="5329"/>
      <c r="BW90" s="1216"/>
      <c r="BX90" s="1210"/>
      <c r="BY90" s="1210"/>
      <c r="BZ90" s="2272"/>
      <c r="CA90" s="5325" t="s">
        <v>4706</v>
      </c>
      <c r="CB90" s="5326"/>
      <c r="CC90" s="1235">
        <f>IF(CA86=0,"",VLOOKUP(CA86,'Tablas Magia'!$D$6:$Z$680,9,FALSE))</f>
        <v>15</v>
      </c>
      <c r="CD90" s="1235">
        <f>IF(CA86=0,"",VLOOKUP(CA86,'Tablas Magia'!$D$6:$Z$680,13,FALSE))</f>
        <v>600</v>
      </c>
      <c r="CE90" s="1236">
        <f>IF(CA86=0,"",VLOOKUP(CA86,'Tablas Magia'!$D$6:$Z$680,17,FALSE))</f>
        <v>60</v>
      </c>
      <c r="CF90" s="5327" t="str">
        <f>IF(CA86=0,"",VLOOKUP(CA86,'Tablas Magia'!$D$6:$Z$680,21,FALSE))</f>
        <v>10.000 km / 200 RM</v>
      </c>
      <c r="CG90" s="5328"/>
      <c r="CH90" s="5328"/>
      <c r="CI90" s="5328"/>
      <c r="CJ90" s="5328"/>
      <c r="CK90" s="5328"/>
      <c r="CL90" s="5328"/>
      <c r="CM90" s="5328"/>
      <c r="CN90" s="5328"/>
      <c r="CO90" s="5329"/>
      <c r="CP90" s="1216"/>
      <c r="CQ90" s="1210"/>
    </row>
    <row r="91" spans="1:95" ht="12" customHeight="1" thickBot="1" x14ac:dyDescent="0.25">
      <c r="A91" s="1210"/>
      <c r="B91" s="2258"/>
      <c r="C91" s="5335" t="s">
        <v>4707</v>
      </c>
      <c r="D91" s="5336"/>
      <c r="E91" s="1239">
        <f>IF(C86=0,"",VLOOKUP(C86,'Tablas Magia'!$D$6:$Z$680,10,FALSE))</f>
        <v>15</v>
      </c>
      <c r="F91" s="1239">
        <f>IF(C86=0,"",VLOOKUP(C86,'Tablas Magia'!$D$6:$Z$680,14,FALSE))</f>
        <v>250</v>
      </c>
      <c r="G91" s="1240" t="str">
        <f>IF(C86=0,"",VLOOKUP(C86,'Tablas Magia'!$D$6:$Z$680,18,FALSE))</f>
        <v>No</v>
      </c>
      <c r="H91" s="5337" t="str">
        <f>IF(C86=0,"",VLOOKUP(C86,'Tablas Magia'!$D$6:$Z$680,22,FALSE))</f>
        <v>Daño Base 160 / Área de 150 metros de radio</v>
      </c>
      <c r="I91" s="5338"/>
      <c r="J91" s="5338"/>
      <c r="K91" s="5338"/>
      <c r="L91" s="5338"/>
      <c r="M91" s="5338"/>
      <c r="N91" s="5338"/>
      <c r="O91" s="5338"/>
      <c r="P91" s="5338"/>
      <c r="Q91" s="5339"/>
      <c r="R91" s="1216"/>
      <c r="S91" s="1210"/>
      <c r="T91" s="1210"/>
      <c r="U91" s="2258"/>
      <c r="V91" s="5335" t="s">
        <v>4707</v>
      </c>
      <c r="W91" s="5336"/>
      <c r="X91" s="1239">
        <f>IF(V86=0,"",VLOOKUP(V86,'Tablas Magia'!$D$6:$Z$680,10,FALSE))</f>
        <v>15</v>
      </c>
      <c r="Y91" s="1239">
        <f>IF(V86=0,"",VLOOKUP(V86,'Tablas Magia'!$D$6:$Z$680,14,FALSE))</f>
        <v>300</v>
      </c>
      <c r="Z91" s="1240">
        <f>IF(V86=0,"",VLOOKUP(V86,'Tablas Magia'!$D$6:$Z$680,18,FALSE))</f>
        <v>60</v>
      </c>
      <c r="AA91" s="5337" t="str">
        <f>IF(V86=0,"",VLOOKUP(V86,'Tablas Magia'!$D$6:$Z$680,22,FALSE))</f>
        <v>+30 grados / 15 km de  radio</v>
      </c>
      <c r="AB91" s="5338"/>
      <c r="AC91" s="5338"/>
      <c r="AD91" s="5338"/>
      <c r="AE91" s="5338"/>
      <c r="AF91" s="5338"/>
      <c r="AG91" s="5338"/>
      <c r="AH91" s="5338"/>
      <c r="AI91" s="5338"/>
      <c r="AJ91" s="5339"/>
      <c r="AK91" s="1216"/>
      <c r="AL91" s="1210"/>
      <c r="AM91" s="1210"/>
      <c r="AN91" s="2272"/>
      <c r="AO91" s="5335" t="s">
        <v>4707</v>
      </c>
      <c r="AP91" s="5336"/>
      <c r="AQ91" s="1239">
        <f>IF(AO86=0,"",VLOOKUP(AO86,'Tablas Magia'!$D$6:$Z$680,10,FALSE))</f>
        <v>15</v>
      </c>
      <c r="AR91" s="1239">
        <f>IF(AO86=0,"",VLOOKUP(AO86,'Tablas Magia'!$D$6:$Z$680,14,FALSE))</f>
        <v>300</v>
      </c>
      <c r="AS91" s="1240">
        <f>IF(AO86=0,"",VLOOKUP(AO86,'Tablas Magia'!$D$6:$Z$680,18,FALSE))</f>
        <v>15</v>
      </c>
      <c r="AT91" s="5337" t="str">
        <f>IF(AO86=0,"",VLOOKUP(AO86,'Tablas Magia'!$D$6:$Z$680,22,FALSE))</f>
        <v>Sacrificio máximo de 200 PV por asalto</v>
      </c>
      <c r="AU91" s="5338"/>
      <c r="AV91" s="5338"/>
      <c r="AW91" s="5338"/>
      <c r="AX91" s="5338"/>
      <c r="AY91" s="5338"/>
      <c r="AZ91" s="5338"/>
      <c r="BA91" s="5338"/>
      <c r="BB91" s="5338"/>
      <c r="BC91" s="5339"/>
      <c r="BD91" s="1216"/>
      <c r="BE91" s="1210"/>
      <c r="BF91" s="1210"/>
      <c r="BG91" s="2272"/>
      <c r="BH91" s="5335" t="s">
        <v>4707</v>
      </c>
      <c r="BI91" s="5336"/>
      <c r="BJ91" s="1239">
        <f>IF(BH86=0,"",VLOOKUP(BH86,'Tablas Magia'!$D$6:$Z$680,10,FALSE))</f>
        <v>15</v>
      </c>
      <c r="BK91" s="1239">
        <f>IF(BH86=0,"",VLOOKUP(BH86,'Tablas Magia'!$D$6:$Z$680,14,FALSE))</f>
        <v>280</v>
      </c>
      <c r="BL91" s="1240">
        <f>IF(BH86=0,"",VLOOKUP(BH86,'Tablas Magia'!$D$6:$Z$680,18,FALSE))</f>
        <v>30</v>
      </c>
      <c r="BM91" s="5337" t="str">
        <f>IF(BH86=0,"",VLOOKUP(BH86,'Tablas Magia'!$D$6:$Z$680,22,FALSE))</f>
        <v>250 metros de radio/ HA INH (320)</v>
      </c>
      <c r="BN91" s="5338"/>
      <c r="BO91" s="5338"/>
      <c r="BP91" s="5338"/>
      <c r="BQ91" s="5338"/>
      <c r="BR91" s="5338"/>
      <c r="BS91" s="5338"/>
      <c r="BT91" s="5338"/>
      <c r="BU91" s="5338"/>
      <c r="BV91" s="5339"/>
      <c r="BW91" s="1216"/>
      <c r="BX91" s="1210"/>
      <c r="BY91" s="1210"/>
      <c r="BZ91" s="2272"/>
      <c r="CA91" s="5335" t="s">
        <v>4707</v>
      </c>
      <c r="CB91" s="5336"/>
      <c r="CC91" s="1239">
        <f>IF(CA86=0,"",VLOOKUP(CA86,'Tablas Magia'!$D$6:$Z$680,10,FALSE))</f>
        <v>18</v>
      </c>
      <c r="CD91" s="1239">
        <f>IF(CA86=0,"",VLOOKUP(CA86,'Tablas Magia'!$D$6:$Z$680,14,FALSE))</f>
        <v>1000</v>
      </c>
      <c r="CE91" s="1240">
        <f>IF(CA86=0,"",VLOOKUP(CA86,'Tablas Magia'!$D$6:$Z$680,18,FALSE))</f>
        <v>100</v>
      </c>
      <c r="CF91" s="5337" t="str">
        <f>IF(CA86=0,"",VLOOKUP(CA86,'Tablas Magia'!$D$6:$Z$680,22,FALSE))</f>
        <v>Afecta a cualquier fuente de calor / RM 240</v>
      </c>
      <c r="CG91" s="5338"/>
      <c r="CH91" s="5338"/>
      <c r="CI91" s="5338"/>
      <c r="CJ91" s="5338"/>
      <c r="CK91" s="5338"/>
      <c r="CL91" s="5338"/>
      <c r="CM91" s="5338"/>
      <c r="CN91" s="5338"/>
      <c r="CO91" s="5339"/>
      <c r="CP91" s="1216"/>
      <c r="CQ91" s="1210"/>
    </row>
    <row r="92" spans="1:95" ht="12" customHeight="1" x14ac:dyDescent="0.2">
      <c r="A92" s="1210"/>
      <c r="B92" s="2258"/>
      <c r="C92" s="5340" t="str">
        <f>IF(C86=0,"",VLOOKUP(C86,'Tablas Magia'!$D$6:$Z$680,23,FALSE))</f>
        <v>Proyecta un ataque ígneo que estalla en un área. No es posible seleccionar blancos en el interior de la explosión. Ataca en la TA de calor</v>
      </c>
      <c r="D92" s="5341"/>
      <c r="E92" s="5341"/>
      <c r="F92" s="5341"/>
      <c r="G92" s="5341"/>
      <c r="H92" s="5341"/>
      <c r="I92" s="5341"/>
      <c r="J92" s="5341"/>
      <c r="K92" s="5341"/>
      <c r="L92" s="5341"/>
      <c r="M92" s="5341"/>
      <c r="N92" s="5341"/>
      <c r="O92" s="5341"/>
      <c r="P92" s="5341"/>
      <c r="Q92" s="5342"/>
      <c r="R92" s="1216"/>
      <c r="S92" s="1210"/>
      <c r="T92" s="1210"/>
      <c r="U92" s="2258"/>
      <c r="V92" s="5340" t="str">
        <f>IF(V86=0,"",VLOOKUP(V86,'Tablas Magia'!$D$6:$Z$680,23,FALSE))</f>
        <v>Aumenta la temperatura ambiente. Si la temperatura aumenta 10º por encima de lo que es natural en una zona en su momento más cálido, el índice de aumento se reduce a la mitad.</v>
      </c>
      <c r="W92" s="5341"/>
      <c r="X92" s="5341"/>
      <c r="Y92" s="5341"/>
      <c r="Z92" s="5341"/>
      <c r="AA92" s="5341"/>
      <c r="AB92" s="5341"/>
      <c r="AC92" s="5341"/>
      <c r="AD92" s="5341"/>
      <c r="AE92" s="5341"/>
      <c r="AF92" s="5341"/>
      <c r="AG92" s="5341"/>
      <c r="AH92" s="5341"/>
      <c r="AI92" s="5341"/>
      <c r="AJ92" s="5342"/>
      <c r="AK92" s="1216"/>
      <c r="AL92" s="1210"/>
      <c r="AM92" s="1210"/>
      <c r="AN92" s="2272"/>
      <c r="AO92" s="534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1"/>
      <c r="AQ92" s="5341"/>
      <c r="AR92" s="5341"/>
      <c r="AS92" s="5341"/>
      <c r="AT92" s="5341"/>
      <c r="AU92" s="5341"/>
      <c r="AV92" s="5341"/>
      <c r="AW92" s="5341"/>
      <c r="AX92" s="5341"/>
      <c r="AY92" s="5341"/>
      <c r="AZ92" s="5341"/>
      <c r="BA92" s="5341"/>
      <c r="BB92" s="5341"/>
      <c r="BC92" s="5342"/>
      <c r="BD92" s="1216"/>
      <c r="BE92" s="1210"/>
      <c r="BF92" s="1210"/>
      <c r="BG92" s="2272"/>
      <c r="BH92" s="534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1"/>
      <c r="BJ92" s="5341"/>
      <c r="BK92" s="5341"/>
      <c r="BL92" s="5341"/>
      <c r="BM92" s="5341"/>
      <c r="BN92" s="5341"/>
      <c r="BO92" s="5341"/>
      <c r="BP92" s="5341"/>
      <c r="BQ92" s="5341"/>
      <c r="BR92" s="5341"/>
      <c r="BS92" s="5341"/>
      <c r="BT92" s="5341"/>
      <c r="BU92" s="5341"/>
      <c r="BV92" s="5342"/>
      <c r="BW92" s="1216"/>
      <c r="BX92" s="1210"/>
      <c r="BY92" s="1210"/>
      <c r="BZ92" s="2272"/>
      <c r="CA92" s="534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1"/>
      <c r="CC92" s="5341"/>
      <c r="CD92" s="5341"/>
      <c r="CE92" s="5341"/>
      <c r="CF92" s="5341"/>
      <c r="CG92" s="5341"/>
      <c r="CH92" s="5341"/>
      <c r="CI92" s="5341"/>
      <c r="CJ92" s="5341"/>
      <c r="CK92" s="5341"/>
      <c r="CL92" s="5341"/>
      <c r="CM92" s="5341"/>
      <c r="CN92" s="5341"/>
      <c r="CO92" s="5342"/>
      <c r="CP92" s="1216"/>
      <c r="CQ92" s="1210"/>
    </row>
    <row r="93" spans="1:95" ht="12" customHeight="1" x14ac:dyDescent="0.2">
      <c r="A93" s="1210"/>
      <c r="B93" s="2258"/>
      <c r="C93" s="5343"/>
      <c r="D93" s="5344"/>
      <c r="E93" s="5344"/>
      <c r="F93" s="5344"/>
      <c r="G93" s="5344"/>
      <c r="H93" s="5344"/>
      <c r="I93" s="5344"/>
      <c r="J93" s="5344"/>
      <c r="K93" s="5344"/>
      <c r="L93" s="5344"/>
      <c r="M93" s="5344"/>
      <c r="N93" s="5344"/>
      <c r="O93" s="5344"/>
      <c r="P93" s="5344"/>
      <c r="Q93" s="5345"/>
      <c r="R93" s="1216"/>
      <c r="S93" s="1210"/>
      <c r="T93" s="1210"/>
      <c r="U93" s="2258"/>
      <c r="V93" s="5343"/>
      <c r="W93" s="5344"/>
      <c r="X93" s="5344"/>
      <c r="Y93" s="5344"/>
      <c r="Z93" s="5344"/>
      <c r="AA93" s="5344"/>
      <c r="AB93" s="5344"/>
      <c r="AC93" s="5344"/>
      <c r="AD93" s="5344"/>
      <c r="AE93" s="5344"/>
      <c r="AF93" s="5344"/>
      <c r="AG93" s="5344"/>
      <c r="AH93" s="5344"/>
      <c r="AI93" s="5344"/>
      <c r="AJ93" s="5345"/>
      <c r="AK93" s="1216"/>
      <c r="AL93" s="1210"/>
      <c r="AM93" s="1210"/>
      <c r="AN93" s="2272"/>
      <c r="AO93" s="5343"/>
      <c r="AP93" s="5344"/>
      <c r="AQ93" s="5344"/>
      <c r="AR93" s="5344"/>
      <c r="AS93" s="5344"/>
      <c r="AT93" s="5344"/>
      <c r="AU93" s="5344"/>
      <c r="AV93" s="5344"/>
      <c r="AW93" s="5344"/>
      <c r="AX93" s="5344"/>
      <c r="AY93" s="5344"/>
      <c r="AZ93" s="5344"/>
      <c r="BA93" s="5344"/>
      <c r="BB93" s="5344"/>
      <c r="BC93" s="5345"/>
      <c r="BD93" s="1216"/>
      <c r="BE93" s="1210"/>
      <c r="BF93" s="1210"/>
      <c r="BG93" s="2272"/>
      <c r="BH93" s="5343"/>
      <c r="BI93" s="5344"/>
      <c r="BJ93" s="5344"/>
      <c r="BK93" s="5344"/>
      <c r="BL93" s="5344"/>
      <c r="BM93" s="5344"/>
      <c r="BN93" s="5344"/>
      <c r="BO93" s="5344"/>
      <c r="BP93" s="5344"/>
      <c r="BQ93" s="5344"/>
      <c r="BR93" s="5344"/>
      <c r="BS93" s="5344"/>
      <c r="BT93" s="5344"/>
      <c r="BU93" s="5344"/>
      <c r="BV93" s="5345"/>
      <c r="BW93" s="1216"/>
      <c r="BX93" s="1210"/>
      <c r="BY93" s="1210"/>
      <c r="BZ93" s="2272"/>
      <c r="CA93" s="5343"/>
      <c r="CB93" s="5344"/>
      <c r="CC93" s="5344"/>
      <c r="CD93" s="5344"/>
      <c r="CE93" s="5344"/>
      <c r="CF93" s="5344"/>
      <c r="CG93" s="5344"/>
      <c r="CH93" s="5344"/>
      <c r="CI93" s="5344"/>
      <c r="CJ93" s="5344"/>
      <c r="CK93" s="5344"/>
      <c r="CL93" s="5344"/>
      <c r="CM93" s="5344"/>
      <c r="CN93" s="5344"/>
      <c r="CO93" s="5345"/>
      <c r="CP93" s="1216"/>
      <c r="CQ93" s="1210"/>
    </row>
    <row r="94" spans="1:95" ht="12" customHeight="1" x14ac:dyDescent="0.2">
      <c r="A94" s="1210"/>
      <c r="B94" s="2258"/>
      <c r="C94" s="5343"/>
      <c r="D94" s="5344"/>
      <c r="E94" s="5344"/>
      <c r="F94" s="5344"/>
      <c r="G94" s="5344"/>
      <c r="H94" s="5344"/>
      <c r="I94" s="5344"/>
      <c r="J94" s="5344"/>
      <c r="K94" s="5344"/>
      <c r="L94" s="5344"/>
      <c r="M94" s="5344"/>
      <c r="N94" s="5344"/>
      <c r="O94" s="5344"/>
      <c r="P94" s="5344"/>
      <c r="Q94" s="5345"/>
      <c r="R94" s="1216"/>
      <c r="S94" s="1210"/>
      <c r="T94" s="1210"/>
      <c r="U94" s="2258"/>
      <c r="V94" s="5343"/>
      <c r="W94" s="5344"/>
      <c r="X94" s="5344"/>
      <c r="Y94" s="5344"/>
      <c r="Z94" s="5344"/>
      <c r="AA94" s="5344"/>
      <c r="AB94" s="5344"/>
      <c r="AC94" s="5344"/>
      <c r="AD94" s="5344"/>
      <c r="AE94" s="5344"/>
      <c r="AF94" s="5344"/>
      <c r="AG94" s="5344"/>
      <c r="AH94" s="5344"/>
      <c r="AI94" s="5344"/>
      <c r="AJ94" s="5345"/>
      <c r="AK94" s="1216"/>
      <c r="AL94" s="1210"/>
      <c r="AM94" s="1210"/>
      <c r="AN94" s="2272"/>
      <c r="AO94" s="5343"/>
      <c r="AP94" s="5344"/>
      <c r="AQ94" s="5344"/>
      <c r="AR94" s="5344"/>
      <c r="AS94" s="5344"/>
      <c r="AT94" s="5344"/>
      <c r="AU94" s="5344"/>
      <c r="AV94" s="5344"/>
      <c r="AW94" s="5344"/>
      <c r="AX94" s="5344"/>
      <c r="AY94" s="5344"/>
      <c r="AZ94" s="5344"/>
      <c r="BA94" s="5344"/>
      <c r="BB94" s="5344"/>
      <c r="BC94" s="5345"/>
      <c r="BD94" s="1216"/>
      <c r="BE94" s="1210"/>
      <c r="BF94" s="1210"/>
      <c r="BG94" s="2272"/>
      <c r="BH94" s="5343"/>
      <c r="BI94" s="5344"/>
      <c r="BJ94" s="5344"/>
      <c r="BK94" s="5344"/>
      <c r="BL94" s="5344"/>
      <c r="BM94" s="5344"/>
      <c r="BN94" s="5344"/>
      <c r="BO94" s="5344"/>
      <c r="BP94" s="5344"/>
      <c r="BQ94" s="5344"/>
      <c r="BR94" s="5344"/>
      <c r="BS94" s="5344"/>
      <c r="BT94" s="5344"/>
      <c r="BU94" s="5344"/>
      <c r="BV94" s="5345"/>
      <c r="BW94" s="1216"/>
      <c r="BX94" s="1210"/>
      <c r="BY94" s="1210"/>
      <c r="BZ94" s="2272"/>
      <c r="CA94" s="5343"/>
      <c r="CB94" s="5344"/>
      <c r="CC94" s="5344"/>
      <c r="CD94" s="5344"/>
      <c r="CE94" s="5344"/>
      <c r="CF94" s="5344"/>
      <c r="CG94" s="5344"/>
      <c r="CH94" s="5344"/>
      <c r="CI94" s="5344"/>
      <c r="CJ94" s="5344"/>
      <c r="CK94" s="5344"/>
      <c r="CL94" s="5344"/>
      <c r="CM94" s="5344"/>
      <c r="CN94" s="5344"/>
      <c r="CO94" s="5345"/>
      <c r="CP94" s="1216"/>
      <c r="CQ94" s="1210"/>
    </row>
    <row r="95" spans="1:95" ht="12" customHeight="1" thickBot="1" x14ac:dyDescent="0.25">
      <c r="A95" s="1210"/>
      <c r="B95" s="2258"/>
      <c r="C95" s="5346"/>
      <c r="D95" s="5347"/>
      <c r="E95" s="5347"/>
      <c r="F95" s="5347"/>
      <c r="G95" s="5347"/>
      <c r="H95" s="5347"/>
      <c r="I95" s="5347"/>
      <c r="J95" s="5347"/>
      <c r="K95" s="5347"/>
      <c r="L95" s="5347"/>
      <c r="M95" s="5347"/>
      <c r="N95" s="5347"/>
      <c r="O95" s="5347"/>
      <c r="P95" s="5347"/>
      <c r="Q95" s="5348"/>
      <c r="R95" s="1216"/>
      <c r="S95" s="1210"/>
      <c r="T95" s="1210"/>
      <c r="U95" s="2258"/>
      <c r="V95" s="5346"/>
      <c r="W95" s="5347"/>
      <c r="X95" s="5347"/>
      <c r="Y95" s="5347"/>
      <c r="Z95" s="5347"/>
      <c r="AA95" s="5347"/>
      <c r="AB95" s="5347"/>
      <c r="AC95" s="5347"/>
      <c r="AD95" s="5347"/>
      <c r="AE95" s="5347"/>
      <c r="AF95" s="5347"/>
      <c r="AG95" s="5347"/>
      <c r="AH95" s="5347"/>
      <c r="AI95" s="5347"/>
      <c r="AJ95" s="5348"/>
      <c r="AK95" s="1216"/>
      <c r="AL95" s="1210"/>
      <c r="AM95" s="1210"/>
      <c r="AN95" s="2272"/>
      <c r="AO95" s="5346"/>
      <c r="AP95" s="5347"/>
      <c r="AQ95" s="5347"/>
      <c r="AR95" s="5347"/>
      <c r="AS95" s="5347"/>
      <c r="AT95" s="5347"/>
      <c r="AU95" s="5347"/>
      <c r="AV95" s="5347"/>
      <c r="AW95" s="5347"/>
      <c r="AX95" s="5347"/>
      <c r="AY95" s="5347"/>
      <c r="AZ95" s="5347"/>
      <c r="BA95" s="5347"/>
      <c r="BB95" s="5347"/>
      <c r="BC95" s="5348"/>
      <c r="BD95" s="1216"/>
      <c r="BE95" s="1210"/>
      <c r="BF95" s="1210"/>
      <c r="BG95" s="2272"/>
      <c r="BH95" s="5346"/>
      <c r="BI95" s="5347"/>
      <c r="BJ95" s="5347"/>
      <c r="BK95" s="5347"/>
      <c r="BL95" s="5347"/>
      <c r="BM95" s="5347"/>
      <c r="BN95" s="5347"/>
      <c r="BO95" s="5347"/>
      <c r="BP95" s="5347"/>
      <c r="BQ95" s="5347"/>
      <c r="BR95" s="5347"/>
      <c r="BS95" s="5347"/>
      <c r="BT95" s="5347"/>
      <c r="BU95" s="5347"/>
      <c r="BV95" s="5348"/>
      <c r="BW95" s="1216"/>
      <c r="BX95" s="1210"/>
      <c r="BY95" s="1210"/>
      <c r="BZ95" s="2272"/>
      <c r="CA95" s="5346"/>
      <c r="CB95" s="5347"/>
      <c r="CC95" s="5347"/>
      <c r="CD95" s="5347"/>
      <c r="CE95" s="5347"/>
      <c r="CF95" s="5347"/>
      <c r="CG95" s="5347"/>
      <c r="CH95" s="5347"/>
      <c r="CI95" s="5347"/>
      <c r="CJ95" s="5347"/>
      <c r="CK95" s="5347"/>
      <c r="CL95" s="5347"/>
      <c r="CM95" s="5347"/>
      <c r="CN95" s="5347"/>
      <c r="CO95" s="5348"/>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49"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0"/>
      <c r="E97" s="5350"/>
      <c r="F97" s="5350"/>
      <c r="G97" s="5350"/>
      <c r="H97" s="1230" t="s">
        <v>1630</v>
      </c>
      <c r="I97" s="1231" t="e">
        <f>IF(C97=0,"",VLOOKUP(C97,'Tablas Magia'!$D$6:$Z$680,3,FALSE))</f>
        <v>#N/A</v>
      </c>
      <c r="J97" s="5315" t="s">
        <v>8162</v>
      </c>
      <c r="K97" s="5315"/>
      <c r="L97" s="5315"/>
      <c r="M97" s="5316" t="e">
        <f>IF(C97=0,"",VLOOKUP(C97,'Tablas Magia'!$D$6:$Z$680,2,FALSE))</f>
        <v>#N/A</v>
      </c>
      <c r="N97" s="5316"/>
      <c r="O97" s="5316"/>
      <c r="P97" s="5316"/>
      <c r="Q97" s="5317"/>
      <c r="R97" s="1216"/>
      <c r="S97" s="1210"/>
      <c r="T97" s="1210"/>
      <c r="U97" s="2258">
        <f>U86+2</f>
        <v>38</v>
      </c>
      <c r="V97" s="5349"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0"/>
      <c r="X97" s="5350"/>
      <c r="Y97" s="5350"/>
      <c r="Z97" s="5350"/>
      <c r="AA97" s="1230" t="s">
        <v>1630</v>
      </c>
      <c r="AB97" s="1231" t="e">
        <f>IF(V97=0,"",VLOOKUP(V97,'Tablas Magia'!$D$6:$Z$680,3,FALSE))</f>
        <v>#N/A</v>
      </c>
      <c r="AC97" s="5315" t="s">
        <v>8162</v>
      </c>
      <c r="AD97" s="5315"/>
      <c r="AE97" s="5315"/>
      <c r="AF97" s="5316" t="e">
        <f>IF(V97=0,"",VLOOKUP(V97,'Tablas Magia'!$D$6:$Z$680,2,FALSE))</f>
        <v>#N/A</v>
      </c>
      <c r="AG97" s="5316"/>
      <c r="AH97" s="5316"/>
      <c r="AI97" s="5316"/>
      <c r="AJ97" s="5317"/>
      <c r="AK97" s="1216"/>
      <c r="AL97" s="1210"/>
      <c r="AM97" s="1210"/>
      <c r="AN97" s="2272">
        <f>AN86+2</f>
        <v>58</v>
      </c>
      <c r="AO97" s="5349"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0"/>
      <c r="AQ97" s="5350"/>
      <c r="AR97" s="5350"/>
      <c r="AS97" s="5350"/>
      <c r="AT97" s="1230" t="s">
        <v>1630</v>
      </c>
      <c r="AU97" s="1231" t="e">
        <f>IF(AO97=0,"",VLOOKUP(AO97,'Tablas Magia'!$D$6:$Z$680,3,FALSE))</f>
        <v>#N/A</v>
      </c>
      <c r="AV97" s="5315" t="s">
        <v>8162</v>
      </c>
      <c r="AW97" s="5315"/>
      <c r="AX97" s="5315"/>
      <c r="AY97" s="5316" t="e">
        <f>IF(AO97=0,"",VLOOKUP(AO97,'Tablas Magia'!$D$6:$Z$680,2,FALSE))</f>
        <v>#N/A</v>
      </c>
      <c r="AZ97" s="5316"/>
      <c r="BA97" s="5316"/>
      <c r="BB97" s="5316"/>
      <c r="BC97" s="5317"/>
      <c r="BD97" s="1216"/>
      <c r="BE97" s="1210"/>
      <c r="BF97" s="1210"/>
      <c r="BG97" s="2272">
        <f>BG86+2</f>
        <v>78</v>
      </c>
      <c r="BH97" s="5349"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0"/>
      <c r="BJ97" s="5350"/>
      <c r="BK97" s="5350"/>
      <c r="BL97" s="5350"/>
      <c r="BM97" s="1230" t="s">
        <v>1630</v>
      </c>
      <c r="BN97" s="1231" t="e">
        <f>IF(BH97=0,"",VLOOKUP(BH97,'Tablas Magia'!$D$6:$Z$680,3,FALSE))</f>
        <v>#N/A</v>
      </c>
      <c r="BO97" s="5315" t="s">
        <v>8162</v>
      </c>
      <c r="BP97" s="5315"/>
      <c r="BQ97" s="5315"/>
      <c r="BR97" s="5316" t="e">
        <f>IF(BH97=0,"",VLOOKUP(BH97,'Tablas Magia'!$D$6:$Z$680,2,FALSE))</f>
        <v>#N/A</v>
      </c>
      <c r="BS97" s="5316"/>
      <c r="BT97" s="5316"/>
      <c r="BU97" s="5316"/>
      <c r="BV97" s="5317"/>
      <c r="BW97" s="1216"/>
      <c r="BX97" s="1210"/>
      <c r="BY97" s="1210"/>
      <c r="BZ97" s="2272">
        <f>BZ86+2</f>
        <v>98</v>
      </c>
      <c r="CA97" s="5349"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0"/>
      <c r="CC97" s="5350"/>
      <c r="CD97" s="5350"/>
      <c r="CE97" s="5350"/>
      <c r="CF97" s="1230" t="s">
        <v>1630</v>
      </c>
      <c r="CG97" s="1231" t="e">
        <f>IF(CA97=0,"",VLOOKUP(CA97,'Tablas Magia'!$D$6:$Z$680,3,FALSE))</f>
        <v>#N/A</v>
      </c>
      <c r="CH97" s="5315" t="s">
        <v>8162</v>
      </c>
      <c r="CI97" s="5315"/>
      <c r="CJ97" s="5315"/>
      <c r="CK97" s="5316" t="e">
        <f>IF(CA97=0,"",VLOOKUP(CA97,'Tablas Magia'!$D$6:$Z$680,2,FALSE))</f>
        <v>#N/A</v>
      </c>
      <c r="CL97" s="5316"/>
      <c r="CM97" s="5316"/>
      <c r="CN97" s="5316"/>
      <c r="CO97" s="5317"/>
      <c r="CP97" s="1216"/>
      <c r="CQ97" s="1210"/>
    </row>
    <row r="98" spans="1:95" ht="12" customHeight="1" x14ac:dyDescent="0.2">
      <c r="A98" s="1210"/>
      <c r="B98" s="2258"/>
      <c r="C98" s="5333" t="s">
        <v>8163</v>
      </c>
      <c r="D98" s="5334"/>
      <c r="E98" s="1232" t="s">
        <v>8164</v>
      </c>
      <c r="F98" s="1232" t="s">
        <v>1824</v>
      </c>
      <c r="G98" s="1232" t="s">
        <v>3467</v>
      </c>
      <c r="H98" s="1233" t="s">
        <v>2175</v>
      </c>
      <c r="I98" s="5330" t="e">
        <f>IF(C97=0,"",VLOOKUP(C97,'Tablas Magia'!$D$6:$Z$680,5,FALSE))</f>
        <v>#N/A</v>
      </c>
      <c r="J98" s="5330"/>
      <c r="K98" s="5331" t="s">
        <v>8165</v>
      </c>
      <c r="L98" s="5331"/>
      <c r="M98" s="5330" t="e">
        <f>IF(C97=0,"",VLOOKUP(C97,'Tablas Magia'!$D$6:$Z$680,6,FALSE))</f>
        <v>#N/A</v>
      </c>
      <c r="N98" s="5330"/>
      <c r="O98" s="5332" t="s">
        <v>8166</v>
      </c>
      <c r="P98" s="5332"/>
      <c r="Q98" s="1234" t="e">
        <f>IF(C97=0,"",VLOOKUP(C97,'Tablas Magia'!$D$6:$Z$680,4,FALSE))</f>
        <v>#N/A</v>
      </c>
      <c r="R98" s="1216"/>
      <c r="S98" s="1210"/>
      <c r="T98" s="1210"/>
      <c r="U98" s="2258"/>
      <c r="V98" s="5333" t="s">
        <v>8163</v>
      </c>
      <c r="W98" s="5334"/>
      <c r="X98" s="1232" t="s">
        <v>8164</v>
      </c>
      <c r="Y98" s="1232" t="s">
        <v>1824</v>
      </c>
      <c r="Z98" s="1232" t="s">
        <v>3467</v>
      </c>
      <c r="AA98" s="1233" t="s">
        <v>2175</v>
      </c>
      <c r="AB98" s="5330" t="e">
        <f>IF(V97=0,"",VLOOKUP(V97,'Tablas Magia'!$D$6:$Z$680,5,FALSE))</f>
        <v>#N/A</v>
      </c>
      <c r="AC98" s="5330"/>
      <c r="AD98" s="5331" t="s">
        <v>8165</v>
      </c>
      <c r="AE98" s="5331"/>
      <c r="AF98" s="5330" t="e">
        <f>IF(V97=0,"",VLOOKUP(V97,'Tablas Magia'!$D$6:$Z$680,6,FALSE))</f>
        <v>#N/A</v>
      </c>
      <c r="AG98" s="5330"/>
      <c r="AH98" s="5332" t="s">
        <v>8166</v>
      </c>
      <c r="AI98" s="5332"/>
      <c r="AJ98" s="1234" t="e">
        <f>IF(V97=0,"",VLOOKUP(V97,'Tablas Magia'!$D$6:$Z$680,4,FALSE))</f>
        <v>#N/A</v>
      </c>
      <c r="AK98" s="1216"/>
      <c r="AL98" s="1210"/>
      <c r="AM98" s="1210"/>
      <c r="AN98" s="2272"/>
      <c r="AO98" s="5333" t="s">
        <v>8163</v>
      </c>
      <c r="AP98" s="5334"/>
      <c r="AQ98" s="1232" t="s">
        <v>8164</v>
      </c>
      <c r="AR98" s="1232" t="s">
        <v>1824</v>
      </c>
      <c r="AS98" s="1232" t="s">
        <v>3467</v>
      </c>
      <c r="AT98" s="1233" t="s">
        <v>2175</v>
      </c>
      <c r="AU98" s="5330" t="e">
        <f>IF(AO97=0,"",VLOOKUP(AO97,'Tablas Magia'!$D$6:$Z$680,5,FALSE))</f>
        <v>#N/A</v>
      </c>
      <c r="AV98" s="5330"/>
      <c r="AW98" s="5331" t="s">
        <v>8165</v>
      </c>
      <c r="AX98" s="5331"/>
      <c r="AY98" s="5330" t="e">
        <f>IF(AO97=0,"",VLOOKUP(AO97,'Tablas Magia'!$D$6:$Z$680,6,FALSE))</f>
        <v>#N/A</v>
      </c>
      <c r="AZ98" s="5330"/>
      <c r="BA98" s="5332" t="s">
        <v>8166</v>
      </c>
      <c r="BB98" s="5332"/>
      <c r="BC98" s="1234" t="e">
        <f>IF(AO97=0,"",VLOOKUP(AO97,'Tablas Magia'!$D$6:$Z$680,4,FALSE))</f>
        <v>#N/A</v>
      </c>
      <c r="BD98" s="1216"/>
      <c r="BE98" s="1210"/>
      <c r="BF98" s="1210"/>
      <c r="BG98" s="2272"/>
      <c r="BH98" s="5333" t="s">
        <v>8163</v>
      </c>
      <c r="BI98" s="5334"/>
      <c r="BJ98" s="1232" t="s">
        <v>8164</v>
      </c>
      <c r="BK98" s="1232" t="s">
        <v>1824</v>
      </c>
      <c r="BL98" s="1232" t="s">
        <v>3467</v>
      </c>
      <c r="BM98" s="1233" t="s">
        <v>2175</v>
      </c>
      <c r="BN98" s="5330" t="e">
        <f>IF(BH97=0,"",VLOOKUP(BH97,'Tablas Magia'!$D$6:$Z$680,5,FALSE))</f>
        <v>#N/A</v>
      </c>
      <c r="BO98" s="5330"/>
      <c r="BP98" s="5331" t="s">
        <v>8165</v>
      </c>
      <c r="BQ98" s="5331"/>
      <c r="BR98" s="5330" t="e">
        <f>IF(BH97=0,"",VLOOKUP(BH97,'Tablas Magia'!$D$6:$Z$680,6,FALSE))</f>
        <v>#N/A</v>
      </c>
      <c r="BS98" s="5330"/>
      <c r="BT98" s="5332" t="s">
        <v>8166</v>
      </c>
      <c r="BU98" s="5332"/>
      <c r="BV98" s="1234" t="e">
        <f>IF(BH97=0,"",VLOOKUP(BH97,'Tablas Magia'!$D$6:$Z$680,4,FALSE))</f>
        <v>#N/A</v>
      </c>
      <c r="BW98" s="1216"/>
      <c r="BX98" s="1210"/>
      <c r="BY98" s="1210"/>
      <c r="BZ98" s="2272"/>
      <c r="CA98" s="5333" t="s">
        <v>8163</v>
      </c>
      <c r="CB98" s="5334"/>
      <c r="CC98" s="1232" t="s">
        <v>8164</v>
      </c>
      <c r="CD98" s="1232" t="s">
        <v>1824</v>
      </c>
      <c r="CE98" s="1232" t="s">
        <v>3467</v>
      </c>
      <c r="CF98" s="1233" t="s">
        <v>2175</v>
      </c>
      <c r="CG98" s="5330" t="e">
        <f>IF(CA97=0,"",VLOOKUP(CA97,'Tablas Magia'!$D$6:$Z$680,5,FALSE))</f>
        <v>#N/A</v>
      </c>
      <c r="CH98" s="5330"/>
      <c r="CI98" s="5331" t="s">
        <v>8165</v>
      </c>
      <c r="CJ98" s="5331"/>
      <c r="CK98" s="5330" t="e">
        <f>IF(CA97=0,"",VLOOKUP(CA97,'Tablas Magia'!$D$6:$Z$680,6,FALSE))</f>
        <v>#N/A</v>
      </c>
      <c r="CL98" s="5330"/>
      <c r="CM98" s="5332" t="s">
        <v>8166</v>
      </c>
      <c r="CN98" s="5332"/>
      <c r="CO98" s="1234" t="e">
        <f>IF(CA97=0,"",VLOOKUP(CA97,'Tablas Magia'!$D$6:$Z$680,4,FALSE))</f>
        <v>#N/A</v>
      </c>
      <c r="CP98" s="1216"/>
      <c r="CQ98" s="1210"/>
    </row>
    <row r="99" spans="1:95" ht="12" customHeight="1" x14ac:dyDescent="0.2">
      <c r="A99" s="1210"/>
      <c r="B99" s="2258"/>
      <c r="C99" s="5325" t="s">
        <v>1677</v>
      </c>
      <c r="D99" s="5326"/>
      <c r="E99" s="1235" t="e">
        <f>IF(C97=0,"",VLOOKUP(C97,'Tablas Magia'!$D$6:$Z$680,7,FALSE))</f>
        <v>#N/A</v>
      </c>
      <c r="F99" s="1235" t="e">
        <f>IF(C97=0,"",VLOOKUP(C97,'Tablas Magia'!$D$6:$Z$680,11,FALSE))</f>
        <v>#N/A</v>
      </c>
      <c r="G99" s="1236" t="e">
        <f>IF(C97=0,"",VLOOKUP(C97,'Tablas Magia'!$D$6:$Z$680,15,FALSE))</f>
        <v>#N/A</v>
      </c>
      <c r="H99" s="5327" t="e">
        <f>IF(C97=0,"",VLOOKUP(C97,'Tablas Magia'!$D$6:$Z$680,19,FALSE))</f>
        <v>#N/A</v>
      </c>
      <c r="I99" s="5328"/>
      <c r="J99" s="5328"/>
      <c r="K99" s="5328"/>
      <c r="L99" s="5328"/>
      <c r="M99" s="5328"/>
      <c r="N99" s="5328"/>
      <c r="O99" s="5328"/>
      <c r="P99" s="5328"/>
      <c r="Q99" s="5329"/>
      <c r="R99" s="1216"/>
      <c r="S99" s="1210"/>
      <c r="T99" s="1210"/>
      <c r="U99" s="2258"/>
      <c r="V99" s="5325" t="s">
        <v>1677</v>
      </c>
      <c r="W99" s="5326"/>
      <c r="X99" s="1235" t="e">
        <f>IF(V97=0,"",VLOOKUP(V97,'Tablas Magia'!$D$6:$Z$680,7,FALSE))</f>
        <v>#N/A</v>
      </c>
      <c r="Y99" s="1235" t="e">
        <f>IF(V97=0,"",VLOOKUP(V97,'Tablas Magia'!$D$6:$Z$680,11,FALSE))</f>
        <v>#N/A</v>
      </c>
      <c r="Z99" s="1236" t="e">
        <f>IF(V97=0,"",VLOOKUP(V97,'Tablas Magia'!$D$6:$Z$680,15,FALSE))</f>
        <v>#N/A</v>
      </c>
      <c r="AA99" s="5327" t="e">
        <f>IF(V97=0,"",VLOOKUP(V97,'Tablas Magia'!$D$6:$Z$680,19,FALSE))</f>
        <v>#N/A</v>
      </c>
      <c r="AB99" s="5328"/>
      <c r="AC99" s="5328"/>
      <c r="AD99" s="5328"/>
      <c r="AE99" s="5328"/>
      <c r="AF99" s="5328"/>
      <c r="AG99" s="5328"/>
      <c r="AH99" s="5328"/>
      <c r="AI99" s="5328"/>
      <c r="AJ99" s="5329"/>
      <c r="AK99" s="1216"/>
      <c r="AL99" s="1210"/>
      <c r="AM99" s="1210"/>
      <c r="AN99" s="2272"/>
      <c r="AO99" s="5325" t="s">
        <v>1677</v>
      </c>
      <c r="AP99" s="5326"/>
      <c r="AQ99" s="1235" t="e">
        <f>IF(AO97=0,"",VLOOKUP(AO97,'Tablas Magia'!$D$6:$Z$680,7,FALSE))</f>
        <v>#N/A</v>
      </c>
      <c r="AR99" s="1235" t="e">
        <f>IF(AO97=0,"",VLOOKUP(AO97,'Tablas Magia'!$D$6:$Z$680,11,FALSE))</f>
        <v>#N/A</v>
      </c>
      <c r="AS99" s="1236" t="e">
        <f>IF(AO97=0,"",VLOOKUP(AO97,'Tablas Magia'!$D$6:$Z$680,15,FALSE))</f>
        <v>#N/A</v>
      </c>
      <c r="AT99" s="5327" t="e">
        <f>IF(AO97=0,"",VLOOKUP(AO97,'Tablas Magia'!$D$6:$Z$680,19,FALSE))</f>
        <v>#N/A</v>
      </c>
      <c r="AU99" s="5328"/>
      <c r="AV99" s="5328"/>
      <c r="AW99" s="5328"/>
      <c r="AX99" s="5328"/>
      <c r="AY99" s="5328"/>
      <c r="AZ99" s="5328"/>
      <c r="BA99" s="5328"/>
      <c r="BB99" s="5328"/>
      <c r="BC99" s="5329"/>
      <c r="BD99" s="1216"/>
      <c r="BE99" s="1210"/>
      <c r="BF99" s="1210"/>
      <c r="BG99" s="2272"/>
      <c r="BH99" s="5325" t="s">
        <v>1677</v>
      </c>
      <c r="BI99" s="5326"/>
      <c r="BJ99" s="1235" t="e">
        <f>IF(BH97=0,"",VLOOKUP(BH97,'Tablas Magia'!$D$6:$Z$680,7,FALSE))</f>
        <v>#N/A</v>
      </c>
      <c r="BK99" s="1235" t="e">
        <f>IF(BH97=0,"",VLOOKUP(BH97,'Tablas Magia'!$D$6:$Z$680,11,FALSE))</f>
        <v>#N/A</v>
      </c>
      <c r="BL99" s="1236" t="e">
        <f>IF(BH97=0,"",VLOOKUP(BH97,'Tablas Magia'!$D$6:$Z$680,15,FALSE))</f>
        <v>#N/A</v>
      </c>
      <c r="BM99" s="5327" t="e">
        <f>IF(BH97=0,"",VLOOKUP(BH97,'Tablas Magia'!$D$6:$Z$680,19,FALSE))</f>
        <v>#N/A</v>
      </c>
      <c r="BN99" s="5328"/>
      <c r="BO99" s="5328"/>
      <c r="BP99" s="5328"/>
      <c r="BQ99" s="5328"/>
      <c r="BR99" s="5328"/>
      <c r="BS99" s="5328"/>
      <c r="BT99" s="5328"/>
      <c r="BU99" s="5328"/>
      <c r="BV99" s="5329"/>
      <c r="BW99" s="1216"/>
      <c r="BX99" s="1210"/>
      <c r="BY99" s="1210"/>
      <c r="BZ99" s="2272"/>
      <c r="CA99" s="5325" t="s">
        <v>1677</v>
      </c>
      <c r="CB99" s="5326"/>
      <c r="CC99" s="1235" t="e">
        <f>IF(CA97=0,"",VLOOKUP(CA97,'Tablas Magia'!$D$6:$Z$680,7,FALSE))</f>
        <v>#N/A</v>
      </c>
      <c r="CD99" s="1235" t="e">
        <f>IF(CA97=0,"",VLOOKUP(CA97,'Tablas Magia'!$D$6:$Z$680,11,FALSE))</f>
        <v>#N/A</v>
      </c>
      <c r="CE99" s="1236" t="e">
        <f>IF(CA97=0,"",VLOOKUP(CA97,'Tablas Magia'!$D$6:$Z$680,15,FALSE))</f>
        <v>#N/A</v>
      </c>
      <c r="CF99" s="5327" t="e">
        <f>IF(CA97=0,"",VLOOKUP(CA97,'Tablas Magia'!$D$6:$Z$680,19,FALSE))</f>
        <v>#N/A</v>
      </c>
      <c r="CG99" s="5328"/>
      <c r="CH99" s="5328"/>
      <c r="CI99" s="5328"/>
      <c r="CJ99" s="5328"/>
      <c r="CK99" s="5328"/>
      <c r="CL99" s="5328"/>
      <c r="CM99" s="5328"/>
      <c r="CN99" s="5328"/>
      <c r="CO99" s="5329"/>
      <c r="CP99" s="1216"/>
      <c r="CQ99" s="1210"/>
    </row>
    <row r="100" spans="1:95" ht="12" customHeight="1" x14ac:dyDescent="0.2">
      <c r="A100" s="1210"/>
      <c r="B100" s="2258"/>
      <c r="C100" s="5320" t="s">
        <v>4705</v>
      </c>
      <c r="D100" s="5321"/>
      <c r="E100" s="1237" t="e">
        <f>IF(C97=0,"",VLOOKUP(C97,'Tablas Magia'!$D$6:$Z$680,8,FALSE))</f>
        <v>#N/A</v>
      </c>
      <c r="F100" s="1237" t="e">
        <f>IF(C97=0,"",VLOOKUP(C97,'Tablas Magia'!$D$6:$Z$680,12,FALSE))</f>
        <v>#N/A</v>
      </c>
      <c r="G100" s="1238" t="e">
        <f>IF(C97=0,"",VLOOKUP(C97,'Tablas Magia'!$D$6:$Z$680,16,FALSE))</f>
        <v>#N/A</v>
      </c>
      <c r="H100" s="5322" t="e">
        <f>IF(C97=0,"",VLOOKUP(C97,'Tablas Magia'!$D$6:$Z$680,20,FALSE))</f>
        <v>#N/A</v>
      </c>
      <c r="I100" s="5323"/>
      <c r="J100" s="5323"/>
      <c r="K100" s="5323"/>
      <c r="L100" s="5323"/>
      <c r="M100" s="5323"/>
      <c r="N100" s="5323"/>
      <c r="O100" s="5323"/>
      <c r="P100" s="5323"/>
      <c r="Q100" s="5324"/>
      <c r="R100" s="1216"/>
      <c r="S100" s="1210"/>
      <c r="T100" s="1210"/>
      <c r="U100" s="2258"/>
      <c r="V100" s="5320" t="s">
        <v>4705</v>
      </c>
      <c r="W100" s="5321"/>
      <c r="X100" s="1237" t="e">
        <f>IF(V97=0,"",VLOOKUP(V97,'Tablas Magia'!$D$6:$Z$680,8,FALSE))</f>
        <v>#N/A</v>
      </c>
      <c r="Y100" s="1237" t="e">
        <f>IF(V97=0,"",VLOOKUP(V97,'Tablas Magia'!$D$6:$Z$680,12,FALSE))</f>
        <v>#N/A</v>
      </c>
      <c r="Z100" s="1238" t="e">
        <f>IF(V97=0,"",VLOOKUP(V97,'Tablas Magia'!$D$6:$Z$680,16,FALSE))</f>
        <v>#N/A</v>
      </c>
      <c r="AA100" s="5322" t="e">
        <f>IF(V97=0,"",VLOOKUP(V97,'Tablas Magia'!$D$6:$Z$680,20,FALSE))</f>
        <v>#N/A</v>
      </c>
      <c r="AB100" s="5323"/>
      <c r="AC100" s="5323"/>
      <c r="AD100" s="5323"/>
      <c r="AE100" s="5323"/>
      <c r="AF100" s="5323"/>
      <c r="AG100" s="5323"/>
      <c r="AH100" s="5323"/>
      <c r="AI100" s="5323"/>
      <c r="AJ100" s="5324"/>
      <c r="AK100" s="1216"/>
      <c r="AL100" s="1210"/>
      <c r="AM100" s="1210"/>
      <c r="AN100" s="2272"/>
      <c r="AO100" s="5320" t="s">
        <v>4705</v>
      </c>
      <c r="AP100" s="5321"/>
      <c r="AQ100" s="1237" t="e">
        <f>IF(AO97=0,"",VLOOKUP(AO97,'Tablas Magia'!$D$6:$Z$680,8,FALSE))</f>
        <v>#N/A</v>
      </c>
      <c r="AR100" s="1237" t="e">
        <f>IF(AO97=0,"",VLOOKUP(AO97,'Tablas Magia'!$D$6:$Z$680,12,FALSE))</f>
        <v>#N/A</v>
      </c>
      <c r="AS100" s="1238" t="e">
        <f>IF(AO97=0,"",VLOOKUP(AO97,'Tablas Magia'!$D$6:$Z$680,16,FALSE))</f>
        <v>#N/A</v>
      </c>
      <c r="AT100" s="5322" t="e">
        <f>IF(AO97=0,"",VLOOKUP(AO97,'Tablas Magia'!$D$6:$Z$680,20,FALSE))</f>
        <v>#N/A</v>
      </c>
      <c r="AU100" s="5323"/>
      <c r="AV100" s="5323"/>
      <c r="AW100" s="5323"/>
      <c r="AX100" s="5323"/>
      <c r="AY100" s="5323"/>
      <c r="AZ100" s="5323"/>
      <c r="BA100" s="5323"/>
      <c r="BB100" s="5323"/>
      <c r="BC100" s="5324"/>
      <c r="BD100" s="1216"/>
      <c r="BE100" s="1210"/>
      <c r="BF100" s="1210"/>
      <c r="BG100" s="2272"/>
      <c r="BH100" s="5320" t="s">
        <v>4705</v>
      </c>
      <c r="BI100" s="5321"/>
      <c r="BJ100" s="1237" t="e">
        <f>IF(BH97=0,"",VLOOKUP(BH97,'Tablas Magia'!$D$6:$Z$680,8,FALSE))</f>
        <v>#N/A</v>
      </c>
      <c r="BK100" s="1237" t="e">
        <f>IF(BH97=0,"",VLOOKUP(BH97,'Tablas Magia'!$D$6:$Z$680,12,FALSE))</f>
        <v>#N/A</v>
      </c>
      <c r="BL100" s="1238" t="e">
        <f>IF(BH97=0,"",VLOOKUP(BH97,'Tablas Magia'!$D$6:$Z$680,16,FALSE))</f>
        <v>#N/A</v>
      </c>
      <c r="BM100" s="5322" t="e">
        <f>IF(BH97=0,"",VLOOKUP(BH97,'Tablas Magia'!$D$6:$Z$680,20,FALSE))</f>
        <v>#N/A</v>
      </c>
      <c r="BN100" s="5323"/>
      <c r="BO100" s="5323"/>
      <c r="BP100" s="5323"/>
      <c r="BQ100" s="5323"/>
      <c r="BR100" s="5323"/>
      <c r="BS100" s="5323"/>
      <c r="BT100" s="5323"/>
      <c r="BU100" s="5323"/>
      <c r="BV100" s="5324"/>
      <c r="BW100" s="1216"/>
      <c r="BX100" s="1210"/>
      <c r="BY100" s="1210"/>
      <c r="BZ100" s="2272"/>
      <c r="CA100" s="5320" t="s">
        <v>4705</v>
      </c>
      <c r="CB100" s="5321"/>
      <c r="CC100" s="1237" t="e">
        <f>IF(CA97=0,"",VLOOKUP(CA97,'Tablas Magia'!$D$6:$Z$680,8,FALSE))</f>
        <v>#N/A</v>
      </c>
      <c r="CD100" s="1237" t="e">
        <f>IF(CA97=0,"",VLOOKUP(CA97,'Tablas Magia'!$D$6:$Z$680,12,FALSE))</f>
        <v>#N/A</v>
      </c>
      <c r="CE100" s="1238" t="e">
        <f>IF(CA97=0,"",VLOOKUP(CA97,'Tablas Magia'!$D$6:$Z$680,16,FALSE))</f>
        <v>#N/A</v>
      </c>
      <c r="CF100" s="5322" t="e">
        <f>IF(CA97=0,"",VLOOKUP(CA97,'Tablas Magia'!$D$6:$Z$680,20,FALSE))</f>
        <v>#N/A</v>
      </c>
      <c r="CG100" s="5323"/>
      <c r="CH100" s="5323"/>
      <c r="CI100" s="5323"/>
      <c r="CJ100" s="5323"/>
      <c r="CK100" s="5323"/>
      <c r="CL100" s="5323"/>
      <c r="CM100" s="5323"/>
      <c r="CN100" s="5323"/>
      <c r="CO100" s="5324"/>
      <c r="CP100" s="1216"/>
      <c r="CQ100" s="1210"/>
    </row>
    <row r="101" spans="1:95" ht="12" customHeight="1" x14ac:dyDescent="0.2">
      <c r="A101" s="1210"/>
      <c r="B101" s="2258"/>
      <c r="C101" s="5325" t="s">
        <v>4706</v>
      </c>
      <c r="D101" s="5326"/>
      <c r="E101" s="1235" t="e">
        <f>IF(C97=0,"",VLOOKUP(C97,'Tablas Magia'!$D$6:$Z$680,9,FALSE))</f>
        <v>#N/A</v>
      </c>
      <c r="F101" s="1235" t="e">
        <f>IF(C97=0,"",VLOOKUP(C97,'Tablas Magia'!$D$6:$Z$680,13,FALSE))</f>
        <v>#N/A</v>
      </c>
      <c r="G101" s="1236" t="e">
        <f>IF(C97=0,"",VLOOKUP(C97,'Tablas Magia'!$D$6:$Z$680,17,FALSE))</f>
        <v>#N/A</v>
      </c>
      <c r="H101" s="5327" t="e">
        <f>IF(C97=0,"",VLOOKUP(C97,'Tablas Magia'!$D$6:$Z$680,21,FALSE))</f>
        <v>#N/A</v>
      </c>
      <c r="I101" s="5328"/>
      <c r="J101" s="5328"/>
      <c r="K101" s="5328"/>
      <c r="L101" s="5328"/>
      <c r="M101" s="5328"/>
      <c r="N101" s="5328"/>
      <c r="O101" s="5328"/>
      <c r="P101" s="5328"/>
      <c r="Q101" s="5329"/>
      <c r="R101" s="1216"/>
      <c r="S101" s="1210"/>
      <c r="T101" s="1210"/>
      <c r="U101" s="2258"/>
      <c r="V101" s="5325" t="s">
        <v>4706</v>
      </c>
      <c r="W101" s="5326"/>
      <c r="X101" s="1235" t="e">
        <f>IF(V97=0,"",VLOOKUP(V97,'Tablas Magia'!$D$6:$Z$680,9,FALSE))</f>
        <v>#N/A</v>
      </c>
      <c r="Y101" s="1235" t="e">
        <f>IF(V97=0,"",VLOOKUP(V97,'Tablas Magia'!$D$6:$Z$680,13,FALSE))</f>
        <v>#N/A</v>
      </c>
      <c r="Z101" s="1236" t="e">
        <f>IF(V97=0,"",VLOOKUP(V97,'Tablas Magia'!$D$6:$Z$680,17,FALSE))</f>
        <v>#N/A</v>
      </c>
      <c r="AA101" s="5327" t="e">
        <f>IF(V97=0,"",VLOOKUP(V97,'Tablas Magia'!$D$6:$Z$680,21,FALSE))</f>
        <v>#N/A</v>
      </c>
      <c r="AB101" s="5328"/>
      <c r="AC101" s="5328"/>
      <c r="AD101" s="5328"/>
      <c r="AE101" s="5328"/>
      <c r="AF101" s="5328"/>
      <c r="AG101" s="5328"/>
      <c r="AH101" s="5328"/>
      <c r="AI101" s="5328"/>
      <c r="AJ101" s="5329"/>
      <c r="AK101" s="1216"/>
      <c r="AL101" s="1210"/>
      <c r="AM101" s="1210"/>
      <c r="AN101" s="2272"/>
      <c r="AO101" s="5325" t="s">
        <v>4706</v>
      </c>
      <c r="AP101" s="5326"/>
      <c r="AQ101" s="1235" t="e">
        <f>IF(AO97=0,"",VLOOKUP(AO97,'Tablas Magia'!$D$6:$Z$680,9,FALSE))</f>
        <v>#N/A</v>
      </c>
      <c r="AR101" s="1235" t="e">
        <f>IF(AO97=0,"",VLOOKUP(AO97,'Tablas Magia'!$D$6:$Z$680,13,FALSE))</f>
        <v>#N/A</v>
      </c>
      <c r="AS101" s="1236" t="e">
        <f>IF(AO97=0,"",VLOOKUP(AO97,'Tablas Magia'!$D$6:$Z$680,17,FALSE))</f>
        <v>#N/A</v>
      </c>
      <c r="AT101" s="5327" t="e">
        <f>IF(AO97=0,"",VLOOKUP(AO97,'Tablas Magia'!$D$6:$Z$680,21,FALSE))</f>
        <v>#N/A</v>
      </c>
      <c r="AU101" s="5328"/>
      <c r="AV101" s="5328"/>
      <c r="AW101" s="5328"/>
      <c r="AX101" s="5328"/>
      <c r="AY101" s="5328"/>
      <c r="AZ101" s="5328"/>
      <c r="BA101" s="5328"/>
      <c r="BB101" s="5328"/>
      <c r="BC101" s="5329"/>
      <c r="BD101" s="1216"/>
      <c r="BE101" s="1210"/>
      <c r="BF101" s="1210"/>
      <c r="BG101" s="2272"/>
      <c r="BH101" s="5325" t="s">
        <v>4706</v>
      </c>
      <c r="BI101" s="5326"/>
      <c r="BJ101" s="1235" t="e">
        <f>IF(BH97=0,"",VLOOKUP(BH97,'Tablas Magia'!$D$6:$Z$680,9,FALSE))</f>
        <v>#N/A</v>
      </c>
      <c r="BK101" s="1235" t="e">
        <f>IF(BH97=0,"",VLOOKUP(BH97,'Tablas Magia'!$D$6:$Z$680,13,FALSE))</f>
        <v>#N/A</v>
      </c>
      <c r="BL101" s="1236" t="e">
        <f>IF(BH97=0,"",VLOOKUP(BH97,'Tablas Magia'!$D$6:$Z$680,17,FALSE))</f>
        <v>#N/A</v>
      </c>
      <c r="BM101" s="5327" t="e">
        <f>IF(BH97=0,"",VLOOKUP(BH97,'Tablas Magia'!$D$6:$Z$680,21,FALSE))</f>
        <v>#N/A</v>
      </c>
      <c r="BN101" s="5328"/>
      <c r="BO101" s="5328"/>
      <c r="BP101" s="5328"/>
      <c r="BQ101" s="5328"/>
      <c r="BR101" s="5328"/>
      <c r="BS101" s="5328"/>
      <c r="BT101" s="5328"/>
      <c r="BU101" s="5328"/>
      <c r="BV101" s="5329"/>
      <c r="BW101" s="1216"/>
      <c r="BX101" s="1210"/>
      <c r="BY101" s="1210"/>
      <c r="BZ101" s="2272"/>
      <c r="CA101" s="5325" t="s">
        <v>4706</v>
      </c>
      <c r="CB101" s="5326"/>
      <c r="CC101" s="1235" t="e">
        <f>IF(CA97=0,"",VLOOKUP(CA97,'Tablas Magia'!$D$6:$Z$680,9,FALSE))</f>
        <v>#N/A</v>
      </c>
      <c r="CD101" s="1235" t="e">
        <f>IF(CA97=0,"",VLOOKUP(CA97,'Tablas Magia'!$D$6:$Z$680,13,FALSE))</f>
        <v>#N/A</v>
      </c>
      <c r="CE101" s="1236" t="e">
        <f>IF(CA97=0,"",VLOOKUP(CA97,'Tablas Magia'!$D$6:$Z$680,17,FALSE))</f>
        <v>#N/A</v>
      </c>
      <c r="CF101" s="5327" t="e">
        <f>IF(CA97=0,"",VLOOKUP(CA97,'Tablas Magia'!$D$6:$Z$680,21,FALSE))</f>
        <v>#N/A</v>
      </c>
      <c r="CG101" s="5328"/>
      <c r="CH101" s="5328"/>
      <c r="CI101" s="5328"/>
      <c r="CJ101" s="5328"/>
      <c r="CK101" s="5328"/>
      <c r="CL101" s="5328"/>
      <c r="CM101" s="5328"/>
      <c r="CN101" s="5328"/>
      <c r="CO101" s="5329"/>
      <c r="CP101" s="1216"/>
      <c r="CQ101" s="1210"/>
    </row>
    <row r="102" spans="1:95" ht="12" customHeight="1" thickBot="1" x14ac:dyDescent="0.25">
      <c r="A102" s="1210"/>
      <c r="B102" s="2258"/>
      <c r="C102" s="5335" t="s">
        <v>4707</v>
      </c>
      <c r="D102" s="5336"/>
      <c r="E102" s="1239" t="e">
        <f>IF(C97=0,"",VLOOKUP(C97,'Tablas Magia'!$D$6:$Z$680,10,FALSE))</f>
        <v>#N/A</v>
      </c>
      <c r="F102" s="1239" t="e">
        <f>IF(C97=0,"",VLOOKUP(C97,'Tablas Magia'!$D$6:$Z$680,14,FALSE))</f>
        <v>#N/A</v>
      </c>
      <c r="G102" s="1240" t="e">
        <f>IF(C97=0,"",VLOOKUP(C97,'Tablas Magia'!$D$6:$Z$680,18,FALSE))</f>
        <v>#N/A</v>
      </c>
      <c r="H102" s="5337" t="e">
        <f>IF(C97=0,"",VLOOKUP(C97,'Tablas Magia'!$D$6:$Z$680,22,FALSE))</f>
        <v>#N/A</v>
      </c>
      <c r="I102" s="5338"/>
      <c r="J102" s="5338"/>
      <c r="K102" s="5338"/>
      <c r="L102" s="5338"/>
      <c r="M102" s="5338"/>
      <c r="N102" s="5338"/>
      <c r="O102" s="5338"/>
      <c r="P102" s="5338"/>
      <c r="Q102" s="5339"/>
      <c r="R102" s="1216"/>
      <c r="S102" s="1210"/>
      <c r="T102" s="1210"/>
      <c r="U102" s="2258"/>
      <c r="V102" s="5335" t="s">
        <v>4707</v>
      </c>
      <c r="W102" s="5336"/>
      <c r="X102" s="1239" t="e">
        <f>IF(V97=0,"",VLOOKUP(V97,'Tablas Magia'!$D$6:$Z$680,10,FALSE))</f>
        <v>#N/A</v>
      </c>
      <c r="Y102" s="1239" t="e">
        <f>IF(V97=0,"",VLOOKUP(V97,'Tablas Magia'!$D$6:$Z$680,14,FALSE))</f>
        <v>#N/A</v>
      </c>
      <c r="Z102" s="1240" t="e">
        <f>IF(V97=0,"",VLOOKUP(V97,'Tablas Magia'!$D$6:$Z$680,18,FALSE))</f>
        <v>#N/A</v>
      </c>
      <c r="AA102" s="5337" t="e">
        <f>IF(V97=0,"",VLOOKUP(V97,'Tablas Magia'!$D$6:$Z$680,22,FALSE))</f>
        <v>#N/A</v>
      </c>
      <c r="AB102" s="5338"/>
      <c r="AC102" s="5338"/>
      <c r="AD102" s="5338"/>
      <c r="AE102" s="5338"/>
      <c r="AF102" s="5338"/>
      <c r="AG102" s="5338"/>
      <c r="AH102" s="5338"/>
      <c r="AI102" s="5338"/>
      <c r="AJ102" s="5339"/>
      <c r="AK102" s="1216"/>
      <c r="AL102" s="1210"/>
      <c r="AM102" s="1210"/>
      <c r="AN102" s="2272"/>
      <c r="AO102" s="5335" t="s">
        <v>4707</v>
      </c>
      <c r="AP102" s="5336"/>
      <c r="AQ102" s="1239" t="e">
        <f>IF(AO97=0,"",VLOOKUP(AO97,'Tablas Magia'!$D$6:$Z$680,10,FALSE))</f>
        <v>#N/A</v>
      </c>
      <c r="AR102" s="1239" t="e">
        <f>IF(AO97=0,"",VLOOKUP(AO97,'Tablas Magia'!$D$6:$Z$680,14,FALSE))</f>
        <v>#N/A</v>
      </c>
      <c r="AS102" s="1240" t="e">
        <f>IF(AO97=0,"",VLOOKUP(AO97,'Tablas Magia'!$D$6:$Z$680,18,FALSE))</f>
        <v>#N/A</v>
      </c>
      <c r="AT102" s="5337" t="e">
        <f>IF(AO97=0,"",VLOOKUP(AO97,'Tablas Magia'!$D$6:$Z$680,22,FALSE))</f>
        <v>#N/A</v>
      </c>
      <c r="AU102" s="5338"/>
      <c r="AV102" s="5338"/>
      <c r="AW102" s="5338"/>
      <c r="AX102" s="5338"/>
      <c r="AY102" s="5338"/>
      <c r="AZ102" s="5338"/>
      <c r="BA102" s="5338"/>
      <c r="BB102" s="5338"/>
      <c r="BC102" s="5339"/>
      <c r="BD102" s="1216"/>
      <c r="BE102" s="1210"/>
      <c r="BF102" s="1210"/>
      <c r="BG102" s="2272"/>
      <c r="BH102" s="5335" t="s">
        <v>4707</v>
      </c>
      <c r="BI102" s="5336"/>
      <c r="BJ102" s="1239" t="e">
        <f>IF(BH97=0,"",VLOOKUP(BH97,'Tablas Magia'!$D$6:$Z$680,10,FALSE))</f>
        <v>#N/A</v>
      </c>
      <c r="BK102" s="1239" t="e">
        <f>IF(BH97=0,"",VLOOKUP(BH97,'Tablas Magia'!$D$6:$Z$680,14,FALSE))</f>
        <v>#N/A</v>
      </c>
      <c r="BL102" s="1240" t="e">
        <f>IF(BH97=0,"",VLOOKUP(BH97,'Tablas Magia'!$D$6:$Z$680,18,FALSE))</f>
        <v>#N/A</v>
      </c>
      <c r="BM102" s="5337" t="e">
        <f>IF(BH97=0,"",VLOOKUP(BH97,'Tablas Magia'!$D$6:$Z$680,22,FALSE))</f>
        <v>#N/A</v>
      </c>
      <c r="BN102" s="5338"/>
      <c r="BO102" s="5338"/>
      <c r="BP102" s="5338"/>
      <c r="BQ102" s="5338"/>
      <c r="BR102" s="5338"/>
      <c r="BS102" s="5338"/>
      <c r="BT102" s="5338"/>
      <c r="BU102" s="5338"/>
      <c r="BV102" s="5339"/>
      <c r="BW102" s="1216"/>
      <c r="BX102" s="1210"/>
      <c r="BY102" s="1210"/>
      <c r="BZ102" s="2272"/>
      <c r="CA102" s="5335" t="s">
        <v>4707</v>
      </c>
      <c r="CB102" s="5336"/>
      <c r="CC102" s="1239" t="e">
        <f>IF(CA97=0,"",VLOOKUP(CA97,'Tablas Magia'!$D$6:$Z$680,10,FALSE))</f>
        <v>#N/A</v>
      </c>
      <c r="CD102" s="1239" t="e">
        <f>IF(CA97=0,"",VLOOKUP(CA97,'Tablas Magia'!$D$6:$Z$680,14,FALSE))</f>
        <v>#N/A</v>
      </c>
      <c r="CE102" s="1240" t="e">
        <f>IF(CA97=0,"",VLOOKUP(CA97,'Tablas Magia'!$D$6:$Z$680,18,FALSE))</f>
        <v>#N/A</v>
      </c>
      <c r="CF102" s="5337" t="e">
        <f>IF(CA97=0,"",VLOOKUP(CA97,'Tablas Magia'!$D$6:$Z$680,22,FALSE))</f>
        <v>#N/A</v>
      </c>
      <c r="CG102" s="5338"/>
      <c r="CH102" s="5338"/>
      <c r="CI102" s="5338"/>
      <c r="CJ102" s="5338"/>
      <c r="CK102" s="5338"/>
      <c r="CL102" s="5338"/>
      <c r="CM102" s="5338"/>
      <c r="CN102" s="5338"/>
      <c r="CO102" s="5339"/>
      <c r="CP102" s="1216"/>
      <c r="CQ102" s="1210"/>
    </row>
    <row r="103" spans="1:95" ht="12" customHeight="1" x14ac:dyDescent="0.2">
      <c r="A103" s="1210"/>
      <c r="B103" s="2258"/>
      <c r="C103" s="5340" t="e">
        <f>IF(C97=0,"",VLOOKUP(C97,'Tablas Magia'!$D$6:$Z$680,23,FALSE))</f>
        <v>#N/A</v>
      </c>
      <c r="D103" s="5341"/>
      <c r="E103" s="5341"/>
      <c r="F103" s="5341"/>
      <c r="G103" s="5341"/>
      <c r="H103" s="5341"/>
      <c r="I103" s="5341"/>
      <c r="J103" s="5341"/>
      <c r="K103" s="5341"/>
      <c r="L103" s="5341"/>
      <c r="M103" s="5341"/>
      <c r="N103" s="5341"/>
      <c r="O103" s="5341"/>
      <c r="P103" s="5341"/>
      <c r="Q103" s="5342"/>
      <c r="R103" s="1216"/>
      <c r="S103" s="1210"/>
      <c r="T103" s="1210"/>
      <c r="U103" s="2258"/>
      <c r="V103" s="5340" t="e">
        <f>IF(V97=0,"",VLOOKUP(V97,'Tablas Magia'!$D$6:$Z$680,23,FALSE))</f>
        <v>#N/A</v>
      </c>
      <c r="W103" s="5341"/>
      <c r="X103" s="5341"/>
      <c r="Y103" s="5341"/>
      <c r="Z103" s="5341"/>
      <c r="AA103" s="5341"/>
      <c r="AB103" s="5341"/>
      <c r="AC103" s="5341"/>
      <c r="AD103" s="5341"/>
      <c r="AE103" s="5341"/>
      <c r="AF103" s="5341"/>
      <c r="AG103" s="5341"/>
      <c r="AH103" s="5341"/>
      <c r="AI103" s="5341"/>
      <c r="AJ103" s="5342"/>
      <c r="AK103" s="1216"/>
      <c r="AL103" s="1210"/>
      <c r="AM103" s="1210"/>
      <c r="AN103" s="2272"/>
      <c r="AO103" s="5340" t="e">
        <f>IF(AO97=0,"",VLOOKUP(AO97,'Tablas Magia'!$D$6:$Z$680,23,FALSE))</f>
        <v>#N/A</v>
      </c>
      <c r="AP103" s="5341"/>
      <c r="AQ103" s="5341"/>
      <c r="AR103" s="5341"/>
      <c r="AS103" s="5341"/>
      <c r="AT103" s="5341"/>
      <c r="AU103" s="5341"/>
      <c r="AV103" s="5341"/>
      <c r="AW103" s="5341"/>
      <c r="AX103" s="5341"/>
      <c r="AY103" s="5341"/>
      <c r="AZ103" s="5341"/>
      <c r="BA103" s="5341"/>
      <c r="BB103" s="5341"/>
      <c r="BC103" s="5342"/>
      <c r="BD103" s="1216"/>
      <c r="BE103" s="1210"/>
      <c r="BF103" s="1210"/>
      <c r="BG103" s="2272"/>
      <c r="BH103" s="5340" t="e">
        <f>IF(BH97=0,"",VLOOKUP(BH97,'Tablas Magia'!$D$6:$Z$680,23,FALSE))</f>
        <v>#N/A</v>
      </c>
      <c r="BI103" s="5341"/>
      <c r="BJ103" s="5341"/>
      <c r="BK103" s="5341"/>
      <c r="BL103" s="5341"/>
      <c r="BM103" s="5341"/>
      <c r="BN103" s="5341"/>
      <c r="BO103" s="5341"/>
      <c r="BP103" s="5341"/>
      <c r="BQ103" s="5341"/>
      <c r="BR103" s="5341"/>
      <c r="BS103" s="5341"/>
      <c r="BT103" s="5341"/>
      <c r="BU103" s="5341"/>
      <c r="BV103" s="5342"/>
      <c r="BW103" s="1216"/>
      <c r="BX103" s="1210"/>
      <c r="BY103" s="1210"/>
      <c r="BZ103" s="2272"/>
      <c r="CA103" s="5340" t="e">
        <f>IF(CA97=0,"",VLOOKUP(CA97,'Tablas Magia'!$D$6:$Z$680,23,FALSE))</f>
        <v>#N/A</v>
      </c>
      <c r="CB103" s="5341"/>
      <c r="CC103" s="5341"/>
      <c r="CD103" s="5341"/>
      <c r="CE103" s="5341"/>
      <c r="CF103" s="5341"/>
      <c r="CG103" s="5341"/>
      <c r="CH103" s="5341"/>
      <c r="CI103" s="5341"/>
      <c r="CJ103" s="5341"/>
      <c r="CK103" s="5341"/>
      <c r="CL103" s="5341"/>
      <c r="CM103" s="5341"/>
      <c r="CN103" s="5341"/>
      <c r="CO103" s="5342"/>
      <c r="CP103" s="1216"/>
      <c r="CQ103" s="1210"/>
    </row>
    <row r="104" spans="1:95" ht="12" customHeight="1" x14ac:dyDescent="0.2">
      <c r="A104" s="1210"/>
      <c r="B104" s="2258"/>
      <c r="C104" s="5343"/>
      <c r="D104" s="5344"/>
      <c r="E104" s="5344"/>
      <c r="F104" s="5344"/>
      <c r="G104" s="5344"/>
      <c r="H104" s="5344"/>
      <c r="I104" s="5344"/>
      <c r="J104" s="5344"/>
      <c r="K104" s="5344"/>
      <c r="L104" s="5344"/>
      <c r="M104" s="5344"/>
      <c r="N104" s="5344"/>
      <c r="O104" s="5344"/>
      <c r="P104" s="5344"/>
      <c r="Q104" s="5345"/>
      <c r="R104" s="1216"/>
      <c r="S104" s="1210"/>
      <c r="T104" s="1210"/>
      <c r="U104" s="2258"/>
      <c r="V104" s="5343"/>
      <c r="W104" s="5344"/>
      <c r="X104" s="5344"/>
      <c r="Y104" s="5344"/>
      <c r="Z104" s="5344"/>
      <c r="AA104" s="5344"/>
      <c r="AB104" s="5344"/>
      <c r="AC104" s="5344"/>
      <c r="AD104" s="5344"/>
      <c r="AE104" s="5344"/>
      <c r="AF104" s="5344"/>
      <c r="AG104" s="5344"/>
      <c r="AH104" s="5344"/>
      <c r="AI104" s="5344"/>
      <c r="AJ104" s="5345"/>
      <c r="AK104" s="1216"/>
      <c r="AL104" s="1210"/>
      <c r="AM104" s="1210"/>
      <c r="AN104" s="2272"/>
      <c r="AO104" s="5343"/>
      <c r="AP104" s="5344"/>
      <c r="AQ104" s="5344"/>
      <c r="AR104" s="5344"/>
      <c r="AS104" s="5344"/>
      <c r="AT104" s="5344"/>
      <c r="AU104" s="5344"/>
      <c r="AV104" s="5344"/>
      <c r="AW104" s="5344"/>
      <c r="AX104" s="5344"/>
      <c r="AY104" s="5344"/>
      <c r="AZ104" s="5344"/>
      <c r="BA104" s="5344"/>
      <c r="BB104" s="5344"/>
      <c r="BC104" s="5345"/>
      <c r="BD104" s="1216"/>
      <c r="BE104" s="1210"/>
      <c r="BF104" s="1210"/>
      <c r="BG104" s="2272"/>
      <c r="BH104" s="5343"/>
      <c r="BI104" s="5344"/>
      <c r="BJ104" s="5344"/>
      <c r="BK104" s="5344"/>
      <c r="BL104" s="5344"/>
      <c r="BM104" s="5344"/>
      <c r="BN104" s="5344"/>
      <c r="BO104" s="5344"/>
      <c r="BP104" s="5344"/>
      <c r="BQ104" s="5344"/>
      <c r="BR104" s="5344"/>
      <c r="BS104" s="5344"/>
      <c r="BT104" s="5344"/>
      <c r="BU104" s="5344"/>
      <c r="BV104" s="5345"/>
      <c r="BW104" s="1216"/>
      <c r="BX104" s="1210"/>
      <c r="BY104" s="1210"/>
      <c r="BZ104" s="2272"/>
      <c r="CA104" s="5343"/>
      <c r="CB104" s="5344"/>
      <c r="CC104" s="5344"/>
      <c r="CD104" s="5344"/>
      <c r="CE104" s="5344"/>
      <c r="CF104" s="5344"/>
      <c r="CG104" s="5344"/>
      <c r="CH104" s="5344"/>
      <c r="CI104" s="5344"/>
      <c r="CJ104" s="5344"/>
      <c r="CK104" s="5344"/>
      <c r="CL104" s="5344"/>
      <c r="CM104" s="5344"/>
      <c r="CN104" s="5344"/>
      <c r="CO104" s="5345"/>
      <c r="CP104" s="1216"/>
      <c r="CQ104" s="1210"/>
    </row>
    <row r="105" spans="1:95" ht="12" customHeight="1" x14ac:dyDescent="0.2">
      <c r="A105" s="1210"/>
      <c r="B105" s="2258"/>
      <c r="C105" s="5343"/>
      <c r="D105" s="5344"/>
      <c r="E105" s="5344"/>
      <c r="F105" s="5344"/>
      <c r="G105" s="5344"/>
      <c r="H105" s="5344"/>
      <c r="I105" s="5344"/>
      <c r="J105" s="5344"/>
      <c r="K105" s="5344"/>
      <c r="L105" s="5344"/>
      <c r="M105" s="5344"/>
      <c r="N105" s="5344"/>
      <c r="O105" s="5344"/>
      <c r="P105" s="5344"/>
      <c r="Q105" s="5345"/>
      <c r="R105" s="1216"/>
      <c r="S105" s="1210"/>
      <c r="T105" s="1210"/>
      <c r="U105" s="2258"/>
      <c r="V105" s="5343"/>
      <c r="W105" s="5344"/>
      <c r="X105" s="5344"/>
      <c r="Y105" s="5344"/>
      <c r="Z105" s="5344"/>
      <c r="AA105" s="5344"/>
      <c r="AB105" s="5344"/>
      <c r="AC105" s="5344"/>
      <c r="AD105" s="5344"/>
      <c r="AE105" s="5344"/>
      <c r="AF105" s="5344"/>
      <c r="AG105" s="5344"/>
      <c r="AH105" s="5344"/>
      <c r="AI105" s="5344"/>
      <c r="AJ105" s="5345"/>
      <c r="AK105" s="1216"/>
      <c r="AL105" s="1210"/>
      <c r="AM105" s="1210"/>
      <c r="AN105" s="2272"/>
      <c r="AO105" s="5343"/>
      <c r="AP105" s="5344"/>
      <c r="AQ105" s="5344"/>
      <c r="AR105" s="5344"/>
      <c r="AS105" s="5344"/>
      <c r="AT105" s="5344"/>
      <c r="AU105" s="5344"/>
      <c r="AV105" s="5344"/>
      <c r="AW105" s="5344"/>
      <c r="AX105" s="5344"/>
      <c r="AY105" s="5344"/>
      <c r="AZ105" s="5344"/>
      <c r="BA105" s="5344"/>
      <c r="BB105" s="5344"/>
      <c r="BC105" s="5345"/>
      <c r="BD105" s="1216"/>
      <c r="BE105" s="1210"/>
      <c r="BF105" s="1210"/>
      <c r="BG105" s="2272"/>
      <c r="BH105" s="5343"/>
      <c r="BI105" s="5344"/>
      <c r="BJ105" s="5344"/>
      <c r="BK105" s="5344"/>
      <c r="BL105" s="5344"/>
      <c r="BM105" s="5344"/>
      <c r="BN105" s="5344"/>
      <c r="BO105" s="5344"/>
      <c r="BP105" s="5344"/>
      <c r="BQ105" s="5344"/>
      <c r="BR105" s="5344"/>
      <c r="BS105" s="5344"/>
      <c r="BT105" s="5344"/>
      <c r="BU105" s="5344"/>
      <c r="BV105" s="5345"/>
      <c r="BW105" s="1216"/>
      <c r="BX105" s="1210"/>
      <c r="BY105" s="1210"/>
      <c r="BZ105" s="2272"/>
      <c r="CA105" s="5343"/>
      <c r="CB105" s="5344"/>
      <c r="CC105" s="5344"/>
      <c r="CD105" s="5344"/>
      <c r="CE105" s="5344"/>
      <c r="CF105" s="5344"/>
      <c r="CG105" s="5344"/>
      <c r="CH105" s="5344"/>
      <c r="CI105" s="5344"/>
      <c r="CJ105" s="5344"/>
      <c r="CK105" s="5344"/>
      <c r="CL105" s="5344"/>
      <c r="CM105" s="5344"/>
      <c r="CN105" s="5344"/>
      <c r="CO105" s="5345"/>
      <c r="CP105" s="1216"/>
      <c r="CQ105" s="1210"/>
    </row>
    <row r="106" spans="1:95" ht="13.5" thickBot="1" x14ac:dyDescent="0.25">
      <c r="A106" s="1210"/>
      <c r="B106" s="2258"/>
      <c r="C106" s="5346"/>
      <c r="D106" s="5347"/>
      <c r="E106" s="5347"/>
      <c r="F106" s="5347"/>
      <c r="G106" s="5347"/>
      <c r="H106" s="5347"/>
      <c r="I106" s="5347"/>
      <c r="J106" s="5347"/>
      <c r="K106" s="5347"/>
      <c r="L106" s="5347"/>
      <c r="M106" s="5347"/>
      <c r="N106" s="5347"/>
      <c r="O106" s="5347"/>
      <c r="P106" s="5347"/>
      <c r="Q106" s="5348"/>
      <c r="R106" s="1216"/>
      <c r="S106" s="1210"/>
      <c r="T106" s="1210"/>
      <c r="U106" s="2258"/>
      <c r="V106" s="5346"/>
      <c r="W106" s="5347"/>
      <c r="X106" s="5347"/>
      <c r="Y106" s="5347"/>
      <c r="Z106" s="5347"/>
      <c r="AA106" s="5347"/>
      <c r="AB106" s="5347"/>
      <c r="AC106" s="5347"/>
      <c r="AD106" s="5347"/>
      <c r="AE106" s="5347"/>
      <c r="AF106" s="5347"/>
      <c r="AG106" s="5347"/>
      <c r="AH106" s="5347"/>
      <c r="AI106" s="5347"/>
      <c r="AJ106" s="5348"/>
      <c r="AK106" s="1216"/>
      <c r="AL106" s="1210"/>
      <c r="AM106" s="1210"/>
      <c r="AN106" s="2272"/>
      <c r="AO106" s="5346"/>
      <c r="AP106" s="5347"/>
      <c r="AQ106" s="5347"/>
      <c r="AR106" s="5347"/>
      <c r="AS106" s="5347"/>
      <c r="AT106" s="5347"/>
      <c r="AU106" s="5347"/>
      <c r="AV106" s="5347"/>
      <c r="AW106" s="5347"/>
      <c r="AX106" s="5347"/>
      <c r="AY106" s="5347"/>
      <c r="AZ106" s="5347"/>
      <c r="BA106" s="5347"/>
      <c r="BB106" s="5347"/>
      <c r="BC106" s="5348"/>
      <c r="BD106" s="1216"/>
      <c r="BE106" s="1210"/>
      <c r="BF106" s="1210"/>
      <c r="BG106" s="2272"/>
      <c r="BH106" s="5346"/>
      <c r="BI106" s="5347"/>
      <c r="BJ106" s="5347"/>
      <c r="BK106" s="5347"/>
      <c r="BL106" s="5347"/>
      <c r="BM106" s="5347"/>
      <c r="BN106" s="5347"/>
      <c r="BO106" s="5347"/>
      <c r="BP106" s="5347"/>
      <c r="BQ106" s="5347"/>
      <c r="BR106" s="5347"/>
      <c r="BS106" s="5347"/>
      <c r="BT106" s="5347"/>
      <c r="BU106" s="5347"/>
      <c r="BV106" s="5348"/>
      <c r="BW106" s="1216"/>
      <c r="BX106" s="1210"/>
      <c r="BY106" s="1210"/>
      <c r="BZ106" s="2272"/>
      <c r="CA106" s="5346"/>
      <c r="CB106" s="5347"/>
      <c r="CC106" s="5347"/>
      <c r="CD106" s="5347"/>
      <c r="CE106" s="5347"/>
      <c r="CF106" s="5347"/>
      <c r="CG106" s="5347"/>
      <c r="CH106" s="5347"/>
      <c r="CI106" s="5347"/>
      <c r="CJ106" s="5347"/>
      <c r="CK106" s="5347"/>
      <c r="CL106" s="5347"/>
      <c r="CM106" s="5347"/>
      <c r="CN106" s="5347"/>
      <c r="CO106" s="5348"/>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49"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0"/>
      <c r="E108" s="5350"/>
      <c r="F108" s="5350"/>
      <c r="G108" s="5350"/>
      <c r="H108" s="1230" t="s">
        <v>1630</v>
      </c>
      <c r="I108" s="1231">
        <f>IF(C108=0,"",VLOOKUP(C108,'Tablas Magia'!$D$6:$Z$680,3,FALSE))</f>
        <v>20</v>
      </c>
      <c r="J108" s="5315" t="s">
        <v>8162</v>
      </c>
      <c r="K108" s="5315"/>
      <c r="L108" s="5315"/>
      <c r="M108" s="5316" t="str">
        <f>IF(C108=0,"",VLOOKUP(C108,'Tablas Magia'!$D$6:$Z$680,2,FALSE))</f>
        <v>Fuego</v>
      </c>
      <c r="N108" s="5316"/>
      <c r="O108" s="5316"/>
      <c r="P108" s="5316"/>
      <c r="Q108" s="5317"/>
      <c r="R108" s="1216"/>
      <c r="S108" s="1210"/>
      <c r="T108" s="1210"/>
      <c r="U108" s="2258">
        <f>U97+2</f>
        <v>40</v>
      </c>
      <c r="V108" s="5349"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0"/>
      <c r="X108" s="5350"/>
      <c r="Y108" s="5350"/>
      <c r="Z108" s="5350"/>
      <c r="AA108" s="1230" t="s">
        <v>1630</v>
      </c>
      <c r="AB108" s="1231">
        <f>IF(V108=0,"",VLOOKUP(V108,'Tablas Magia'!$D$6:$Z$680,3,FALSE))</f>
        <v>40</v>
      </c>
      <c r="AC108" s="5315" t="s">
        <v>8162</v>
      </c>
      <c r="AD108" s="5315"/>
      <c r="AE108" s="5315"/>
      <c r="AF108" s="5316" t="str">
        <f>IF(V108=0,"",VLOOKUP(V108,'Tablas Magia'!$D$6:$Z$680,2,FALSE))</f>
        <v>Fuego</v>
      </c>
      <c r="AG108" s="5316"/>
      <c r="AH108" s="5316"/>
      <c r="AI108" s="5316"/>
      <c r="AJ108" s="5317"/>
      <c r="AK108" s="1216"/>
      <c r="AL108" s="1210"/>
      <c r="AM108" s="1210"/>
      <c r="AN108" s="2272">
        <f>AN97+2</f>
        <v>60</v>
      </c>
      <c r="AO108" s="5349"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0"/>
      <c r="AQ108" s="5350"/>
      <c r="AR108" s="5350"/>
      <c r="AS108" s="5350"/>
      <c r="AT108" s="1230" t="s">
        <v>1630</v>
      </c>
      <c r="AU108" s="1231">
        <f>IF(AO108=0,"",VLOOKUP(AO108,'Tablas Magia'!$D$6:$Z$680,3,FALSE))</f>
        <v>60</v>
      </c>
      <c r="AV108" s="5315" t="s">
        <v>8162</v>
      </c>
      <c r="AW108" s="5315"/>
      <c r="AX108" s="5315"/>
      <c r="AY108" s="5316" t="str">
        <f>IF(AO108=0,"",VLOOKUP(AO108,'Tablas Magia'!$D$6:$Z$680,2,FALSE))</f>
        <v>Fuego</v>
      </c>
      <c r="AZ108" s="5316"/>
      <c r="BA108" s="5316"/>
      <c r="BB108" s="5316"/>
      <c r="BC108" s="5317"/>
      <c r="BD108" s="1216"/>
      <c r="BE108" s="1210"/>
      <c r="BF108" s="1210"/>
      <c r="BG108" s="2272">
        <f>BG97+2</f>
        <v>80</v>
      </c>
      <c r="BH108" s="5349"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0"/>
      <c r="BJ108" s="5350"/>
      <c r="BK108" s="5350"/>
      <c r="BL108" s="5350"/>
      <c r="BM108" s="1230" t="s">
        <v>1630</v>
      </c>
      <c r="BN108" s="1231">
        <f>IF(BH108=0,"",VLOOKUP(BH108,'Tablas Magia'!$D$6:$Z$680,3,FALSE))</f>
        <v>80</v>
      </c>
      <c r="BO108" s="5315" t="s">
        <v>8162</v>
      </c>
      <c r="BP108" s="5315"/>
      <c r="BQ108" s="5315"/>
      <c r="BR108" s="5316" t="str">
        <f>IF(BH108=0,"",VLOOKUP(BH108,'Tablas Magia'!$D$6:$Z$680,2,FALSE))</f>
        <v>Fuego</v>
      </c>
      <c r="BS108" s="5316"/>
      <c r="BT108" s="5316"/>
      <c r="BU108" s="5316"/>
      <c r="BV108" s="5317"/>
      <c r="BW108" s="1216"/>
      <c r="BX108" s="1210"/>
      <c r="BY108" s="1210"/>
      <c r="BZ108" s="2272">
        <f>BZ97+2</f>
        <v>100</v>
      </c>
      <c r="CA108" s="5349"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0"/>
      <c r="CC108" s="5350"/>
      <c r="CD108" s="5350"/>
      <c r="CE108" s="5350"/>
      <c r="CF108" s="1230" t="s">
        <v>1630</v>
      </c>
      <c r="CG108" s="1231">
        <f>IF(CA108=0,"",VLOOKUP(CA108,'Tablas Magia'!$D$6:$Z$680,3,FALSE))</f>
        <v>100</v>
      </c>
      <c r="CH108" s="5315" t="s">
        <v>8162</v>
      </c>
      <c r="CI108" s="5315"/>
      <c r="CJ108" s="5315"/>
      <c r="CK108" s="5316" t="str">
        <f>IF(CA108=0,"",VLOOKUP(CA108,'Tablas Magia'!$D$6:$Z$680,2,FALSE))</f>
        <v>Fuego</v>
      </c>
      <c r="CL108" s="5316"/>
      <c r="CM108" s="5316"/>
      <c r="CN108" s="5316"/>
      <c r="CO108" s="5317"/>
      <c r="CP108" s="1216"/>
      <c r="CQ108" s="1210"/>
    </row>
    <row r="109" spans="1:95" ht="12.75" customHeight="1" x14ac:dyDescent="0.2">
      <c r="A109" s="1210"/>
      <c r="B109" s="2258"/>
      <c r="C109" s="5333" t="s">
        <v>8163</v>
      </c>
      <c r="D109" s="5334"/>
      <c r="E109" s="1232" t="s">
        <v>8164</v>
      </c>
      <c r="F109" s="1232" t="s">
        <v>1824</v>
      </c>
      <c r="G109" s="1232" t="s">
        <v>3467</v>
      </c>
      <c r="H109" s="1233" t="s">
        <v>2175</v>
      </c>
      <c r="I109" s="5330" t="str">
        <f>IF(C108=0,"",VLOOKUP(C108,'Tablas Magia'!$D$6:$Z$680,5,FALSE))</f>
        <v>Efecto</v>
      </c>
      <c r="J109" s="5330"/>
      <c r="K109" s="5331" t="s">
        <v>8165</v>
      </c>
      <c r="L109" s="5331"/>
      <c r="M109" s="5330" t="str">
        <f>IF(C108=0,"",VLOOKUP(C108,'Tablas Magia'!$D$6:$Z$680,6,FALSE))</f>
        <v>Activa</v>
      </c>
      <c r="N109" s="5330"/>
      <c r="O109" s="5332" t="s">
        <v>8166</v>
      </c>
      <c r="P109" s="5332"/>
      <c r="Q109" s="1234" t="str">
        <f>IF(C108=0,"",VLOOKUP(C108,'Tablas Magia'!$D$6:$Z$680,4,FALSE))</f>
        <v>Si</v>
      </c>
      <c r="R109" s="1216"/>
      <c r="S109" s="1210"/>
      <c r="T109" s="1210"/>
      <c r="U109" s="2258"/>
      <c r="V109" s="5333" t="s">
        <v>8163</v>
      </c>
      <c r="W109" s="5334"/>
      <c r="X109" s="1232" t="s">
        <v>8164</v>
      </c>
      <c r="Y109" s="1232" t="s">
        <v>1824</v>
      </c>
      <c r="Z109" s="1232" t="s">
        <v>3467</v>
      </c>
      <c r="AA109" s="1233" t="s">
        <v>2175</v>
      </c>
      <c r="AB109" s="5330" t="str">
        <f>IF(V108=0,"",VLOOKUP(V108,'Tablas Magia'!$D$6:$Z$680,5,FALSE))</f>
        <v>Efecto</v>
      </c>
      <c r="AC109" s="5330"/>
      <c r="AD109" s="5331" t="s">
        <v>8165</v>
      </c>
      <c r="AE109" s="5331"/>
      <c r="AF109" s="5330" t="str">
        <f>IF(V108=0,"",VLOOKUP(V108,'Tablas Magia'!$D$6:$Z$680,6,FALSE))</f>
        <v>Activa</v>
      </c>
      <c r="AG109" s="5330"/>
      <c r="AH109" s="5332" t="s">
        <v>8166</v>
      </c>
      <c r="AI109" s="5332"/>
      <c r="AJ109" s="1234" t="str">
        <f>IF(V108=0,"",VLOOKUP(V108,'Tablas Magia'!$D$6:$Z$680,4,FALSE))</f>
        <v>Si</v>
      </c>
      <c r="AK109" s="1216"/>
      <c r="AL109" s="1210"/>
      <c r="AM109" s="1210"/>
      <c r="AN109" s="2272"/>
      <c r="AO109" s="5333" t="s">
        <v>8163</v>
      </c>
      <c r="AP109" s="5334"/>
      <c r="AQ109" s="1232" t="s">
        <v>8164</v>
      </c>
      <c r="AR109" s="1232" t="s">
        <v>1824</v>
      </c>
      <c r="AS109" s="1232" t="s">
        <v>3467</v>
      </c>
      <c r="AT109" s="1233" t="s">
        <v>2175</v>
      </c>
      <c r="AU109" s="5330" t="str">
        <f>IF(AO108=0,"",VLOOKUP(AO108,'Tablas Magia'!$D$6:$Z$680,5,FALSE))</f>
        <v>Automático</v>
      </c>
      <c r="AV109" s="5330"/>
      <c r="AW109" s="5331" t="s">
        <v>8165</v>
      </c>
      <c r="AX109" s="5331"/>
      <c r="AY109" s="5330" t="str">
        <f>IF(AO108=0,"",VLOOKUP(AO108,'Tablas Magia'!$D$6:$Z$680,6,FALSE))</f>
        <v>Activa</v>
      </c>
      <c r="AZ109" s="5330"/>
      <c r="BA109" s="5332" t="s">
        <v>8166</v>
      </c>
      <c r="BB109" s="5332"/>
      <c r="BC109" s="1234" t="str">
        <f>IF(AO108=0,"",VLOOKUP(AO108,'Tablas Magia'!$D$6:$Z$680,4,FALSE))</f>
        <v>No</v>
      </c>
      <c r="BD109" s="1216"/>
      <c r="BE109" s="1210"/>
      <c r="BF109" s="1210"/>
      <c r="BG109" s="2272"/>
      <c r="BH109" s="5333" t="s">
        <v>8163</v>
      </c>
      <c r="BI109" s="5334"/>
      <c r="BJ109" s="1232" t="s">
        <v>8164</v>
      </c>
      <c r="BK109" s="1232" t="s">
        <v>1824</v>
      </c>
      <c r="BL109" s="1232" t="s">
        <v>3467</v>
      </c>
      <c r="BM109" s="1233" t="s">
        <v>2175</v>
      </c>
      <c r="BN109" s="5330" t="str">
        <f>IF(BH108=0,"",VLOOKUP(BH108,'Tablas Magia'!$D$6:$Z$680,5,FALSE))</f>
        <v>Efecto</v>
      </c>
      <c r="BO109" s="5330"/>
      <c r="BP109" s="5331" t="s">
        <v>8165</v>
      </c>
      <c r="BQ109" s="5331"/>
      <c r="BR109" s="5330" t="str">
        <f>IF(BH108=0,"",VLOOKUP(BH108,'Tablas Magia'!$D$6:$Z$680,6,FALSE))</f>
        <v>Activa</v>
      </c>
      <c r="BS109" s="5330"/>
      <c r="BT109" s="5332" t="s">
        <v>8166</v>
      </c>
      <c r="BU109" s="5332"/>
      <c r="BV109" s="1234" t="str">
        <f>IF(BH108=0,"",VLOOKUP(BH108,'Tablas Magia'!$D$6:$Z$680,4,FALSE))</f>
        <v>Si</v>
      </c>
      <c r="BW109" s="1216"/>
      <c r="BX109" s="1210"/>
      <c r="BY109" s="1210"/>
      <c r="BZ109" s="2272"/>
      <c r="CA109" s="5333" t="s">
        <v>8163</v>
      </c>
      <c r="CB109" s="5334"/>
      <c r="CC109" s="1232" t="s">
        <v>8164</v>
      </c>
      <c r="CD109" s="1232" t="s">
        <v>1824</v>
      </c>
      <c r="CE109" s="1232" t="s">
        <v>3467</v>
      </c>
      <c r="CF109" s="1233" t="s">
        <v>2175</v>
      </c>
      <c r="CG109" s="5330" t="str">
        <f>IF(CA108=0,"",VLOOKUP(CA108,'Tablas Magia'!$D$6:$Z$680,5,FALSE))</f>
        <v>Automático</v>
      </c>
      <c r="CH109" s="5330"/>
      <c r="CI109" s="5331" t="s">
        <v>8165</v>
      </c>
      <c r="CJ109" s="5331"/>
      <c r="CK109" s="5330" t="str">
        <f>IF(CA108=0,"",VLOOKUP(CA108,'Tablas Magia'!$D$6:$Z$680,6,FALSE))</f>
        <v>Activa</v>
      </c>
      <c r="CL109" s="5330"/>
      <c r="CM109" s="5332" t="s">
        <v>8166</v>
      </c>
      <c r="CN109" s="5332"/>
      <c r="CO109" s="1234" t="str">
        <f>IF(CA108=0,"",VLOOKUP(CA108,'Tablas Magia'!$D$6:$Z$680,4,FALSE))</f>
        <v>Si</v>
      </c>
      <c r="CP109" s="1216"/>
      <c r="CQ109" s="1210"/>
    </row>
    <row r="110" spans="1:95" ht="12.75" customHeight="1" x14ac:dyDescent="0.2">
      <c r="A110" s="1210"/>
      <c r="B110" s="2258"/>
      <c r="C110" s="5325" t="s">
        <v>1677</v>
      </c>
      <c r="D110" s="5326"/>
      <c r="E110" s="1235">
        <f>IF(C108=0,"",VLOOKUP(C108,'Tablas Magia'!$D$6:$Z$680,7,FALSE))</f>
        <v>6</v>
      </c>
      <c r="F110" s="1235">
        <f>IF(C108=0,"",VLOOKUP(C108,'Tablas Magia'!$D$6:$Z$680,11,FALSE))</f>
        <v>50</v>
      </c>
      <c r="G110" s="1236">
        <f>IF(C108=0,"",VLOOKUP(C108,'Tablas Magia'!$D$6:$Z$680,15,FALSE))</f>
        <v>5</v>
      </c>
      <c r="H110" s="5327" t="str">
        <f>IF(C108=0,"",VLOOKUP(C108,'Tablas Magia'!$D$6:$Z$680,19,FALSE))</f>
        <v>RM 100/ 5 intensidades</v>
      </c>
      <c r="I110" s="5328"/>
      <c r="J110" s="5328"/>
      <c r="K110" s="5328"/>
      <c r="L110" s="5328"/>
      <c r="M110" s="5328"/>
      <c r="N110" s="5328"/>
      <c r="O110" s="5328"/>
      <c r="P110" s="5328"/>
      <c r="Q110" s="5329"/>
      <c r="R110" s="1216"/>
      <c r="S110" s="1210"/>
      <c r="T110" s="1210"/>
      <c r="U110" s="2258"/>
      <c r="V110" s="5325" t="s">
        <v>1677</v>
      </c>
      <c r="W110" s="5326"/>
      <c r="X110" s="1235">
        <f>IF(V108=0,"",VLOOKUP(V108,'Tablas Magia'!$D$6:$Z$680,7,FALSE))</f>
        <v>7</v>
      </c>
      <c r="Y110" s="1235">
        <f>IF(V108=0,"",VLOOKUP(V108,'Tablas Magia'!$D$6:$Z$680,11,FALSE))</f>
        <v>80</v>
      </c>
      <c r="Z110" s="1236">
        <f>IF(V108=0,"",VLOOKUP(V108,'Tablas Magia'!$D$6:$Z$680,15,FALSE))</f>
        <v>20</v>
      </c>
      <c r="AA110" s="5327" t="str">
        <f>IF(V108=0,"",VLOOKUP(V108,'Tablas Magia'!$D$6:$Z$680,19,FALSE))</f>
        <v>10 metros de radio/ Daño 80</v>
      </c>
      <c r="AB110" s="5328"/>
      <c r="AC110" s="5328"/>
      <c r="AD110" s="5328"/>
      <c r="AE110" s="5328"/>
      <c r="AF110" s="5328"/>
      <c r="AG110" s="5328"/>
      <c r="AH110" s="5328"/>
      <c r="AI110" s="5328"/>
      <c r="AJ110" s="5329"/>
      <c r="AK110" s="1216"/>
      <c r="AL110" s="1210"/>
      <c r="AM110" s="1210"/>
      <c r="AN110" s="2272"/>
      <c r="AO110" s="5325" t="s">
        <v>1677</v>
      </c>
      <c r="AP110" s="5326"/>
      <c r="AQ110" s="1235">
        <f>IF(AO108=0,"",VLOOKUP(AO108,'Tablas Magia'!$D$6:$Z$680,7,FALSE))</f>
        <v>10</v>
      </c>
      <c r="AR110" s="1235">
        <f>IF(AO108=0,"",VLOOKUP(AO108,'Tablas Magia'!$D$6:$Z$680,11,FALSE))</f>
        <v>100</v>
      </c>
      <c r="AS110" s="1236">
        <f>IF(AO108=0,"",VLOOKUP(AO108,'Tablas Magia'!$D$6:$Z$680,15,FALSE))</f>
        <v>10</v>
      </c>
      <c r="AT110" s="5327" t="str">
        <f>IF(AO108=0,"",VLOOKUP(AO108,'Tablas Magia'!$D$6:$Z$680,19,FALSE))</f>
        <v>RM 140/ +100 a la Tabla 76/ 50 metros de radio</v>
      </c>
      <c r="AU110" s="5328"/>
      <c r="AV110" s="5328"/>
      <c r="AW110" s="5328"/>
      <c r="AX110" s="5328"/>
      <c r="AY110" s="5328"/>
      <c r="AZ110" s="5328"/>
      <c r="BA110" s="5328"/>
      <c r="BB110" s="5328"/>
      <c r="BC110" s="5329"/>
      <c r="BD110" s="1216"/>
      <c r="BE110" s="1210"/>
      <c r="BF110" s="1210"/>
      <c r="BG110" s="2272"/>
      <c r="BH110" s="5325" t="s">
        <v>1677</v>
      </c>
      <c r="BI110" s="5326"/>
      <c r="BJ110" s="1235">
        <f>IF(BH108=0,"",VLOOKUP(BH108,'Tablas Magia'!$D$6:$Z$680,7,FALSE))</f>
        <v>6</v>
      </c>
      <c r="BK110" s="1235">
        <f>IF(BH108=0,"",VLOOKUP(BH108,'Tablas Magia'!$D$6:$Z$680,11,FALSE))</f>
        <v>120</v>
      </c>
      <c r="BL110" s="1236">
        <f>IF(BH108=0,"",VLOOKUP(BH108,'Tablas Magia'!$D$6:$Z$680,15,FALSE))</f>
        <v>10</v>
      </c>
      <c r="BM110" s="5327" t="str">
        <f>IF(BH108=0,"",VLOOKUP(BH108,'Tablas Magia'!$D$6:$Z$680,19,FALSE))</f>
        <v>20 PV por asalto</v>
      </c>
      <c r="BN110" s="5328"/>
      <c r="BO110" s="5328"/>
      <c r="BP110" s="5328"/>
      <c r="BQ110" s="5328"/>
      <c r="BR110" s="5328"/>
      <c r="BS110" s="5328"/>
      <c r="BT110" s="5328"/>
      <c r="BU110" s="5328"/>
      <c r="BV110" s="5329"/>
      <c r="BW110" s="1216"/>
      <c r="BX110" s="1210"/>
      <c r="BY110" s="1210"/>
      <c r="BZ110" s="2272"/>
      <c r="CA110" s="5325" t="s">
        <v>1677</v>
      </c>
      <c r="CB110" s="5326"/>
      <c r="CC110" s="1235">
        <f>IF(CA108=0,"",VLOOKUP(CA108,'Tablas Magia'!$D$6:$Z$680,7,FALSE))</f>
        <v>15</v>
      </c>
      <c r="CD110" s="1235">
        <f>IF(CA108=0,"",VLOOKUP(CA108,'Tablas Magia'!$D$6:$Z$680,11,FALSE))</f>
        <v>450</v>
      </c>
      <c r="CE110" s="1236">
        <f>IF(CA108=0,"",VLOOKUP(CA108,'Tablas Magia'!$D$6:$Z$680,15,FALSE))</f>
        <v>90</v>
      </c>
      <c r="CF110" s="5327" t="str">
        <f>IF(CA108=0,"",VLOOKUP(CA108,'Tablas Magia'!$D$6:$Z$680,19,FALSE))</f>
        <v>10 km de radio / RM 240</v>
      </c>
      <c r="CG110" s="5328"/>
      <c r="CH110" s="5328"/>
      <c r="CI110" s="5328"/>
      <c r="CJ110" s="5328"/>
      <c r="CK110" s="5328"/>
      <c r="CL110" s="5328"/>
      <c r="CM110" s="5328"/>
      <c r="CN110" s="5328"/>
      <c r="CO110" s="5329"/>
      <c r="CP110" s="1216"/>
      <c r="CQ110" s="1210"/>
    </row>
    <row r="111" spans="1:95" x14ac:dyDescent="0.2">
      <c r="A111" s="1210"/>
      <c r="B111" s="2258"/>
      <c r="C111" s="5320" t="s">
        <v>4705</v>
      </c>
      <c r="D111" s="5321"/>
      <c r="E111" s="1237">
        <f>IF(C108=0,"",VLOOKUP(C108,'Tablas Magia'!$D$6:$Z$680,8,FALSE))</f>
        <v>9</v>
      </c>
      <c r="F111" s="1237">
        <f>IF(C108=0,"",VLOOKUP(C108,'Tablas Magia'!$D$6:$Z$680,12,FALSE))</f>
        <v>80</v>
      </c>
      <c r="G111" s="1238">
        <f>IF(C108=0,"",VLOOKUP(C108,'Tablas Magia'!$D$6:$Z$680,16,FALSE))</f>
        <v>10</v>
      </c>
      <c r="H111" s="5322" t="str">
        <f>IF(C108=0,"",VLOOKUP(C108,'Tablas Magia'!$D$6:$Z$680,20,FALSE))</f>
        <v>RM 120 / 8 intensidades</v>
      </c>
      <c r="I111" s="5323"/>
      <c r="J111" s="5323"/>
      <c r="K111" s="5323"/>
      <c r="L111" s="5323"/>
      <c r="M111" s="5323"/>
      <c r="N111" s="5323"/>
      <c r="O111" s="5323"/>
      <c r="P111" s="5323"/>
      <c r="Q111" s="5324"/>
      <c r="R111" s="1216"/>
      <c r="S111" s="1210"/>
      <c r="T111" s="1210"/>
      <c r="U111" s="2258"/>
      <c r="V111" s="5320" t="s">
        <v>4705</v>
      </c>
      <c r="W111" s="5321"/>
      <c r="X111" s="1237">
        <f>IF(V108=0,"",VLOOKUP(V108,'Tablas Magia'!$D$6:$Z$680,8,FALSE))</f>
        <v>10</v>
      </c>
      <c r="Y111" s="1237">
        <f>IF(V108=0,"",VLOOKUP(V108,'Tablas Magia'!$D$6:$Z$680,12,FALSE))</f>
        <v>160</v>
      </c>
      <c r="Z111" s="1238">
        <f>IF(V108=0,"",VLOOKUP(V108,'Tablas Magia'!$D$6:$Z$680,16,FALSE))</f>
        <v>40</v>
      </c>
      <c r="AA111" s="5322" t="str">
        <f>IF(V108=0,"",VLOOKUP(V108,'Tablas Magia'!$D$6:$Z$680,20,FALSE))</f>
        <v>50 metros de radio/ Daño 120</v>
      </c>
      <c r="AB111" s="5323"/>
      <c r="AC111" s="5323"/>
      <c r="AD111" s="5323"/>
      <c r="AE111" s="5323"/>
      <c r="AF111" s="5323"/>
      <c r="AG111" s="5323"/>
      <c r="AH111" s="5323"/>
      <c r="AI111" s="5323"/>
      <c r="AJ111" s="5324"/>
      <c r="AK111" s="1216"/>
      <c r="AL111" s="1210"/>
      <c r="AM111" s="1210"/>
      <c r="AN111" s="2272"/>
      <c r="AO111" s="5320" t="s">
        <v>4705</v>
      </c>
      <c r="AP111" s="5321"/>
      <c r="AQ111" s="1237">
        <f>IF(AO108=0,"",VLOOKUP(AO108,'Tablas Magia'!$D$6:$Z$680,8,FALSE))</f>
        <v>12</v>
      </c>
      <c r="AR111" s="1237">
        <f>IF(AO108=0,"",VLOOKUP(AO108,'Tablas Magia'!$D$6:$Z$680,12,FALSE))</f>
        <v>150</v>
      </c>
      <c r="AS111" s="1238">
        <f>IF(AO108=0,"",VLOOKUP(AO108,'Tablas Magia'!$D$6:$Z$680,16,FALSE))</f>
        <v>15</v>
      </c>
      <c r="AT111" s="5322" t="str">
        <f>IF(AO108=0,"",VLOOKUP(AO108,'Tablas Magia'!$D$6:$Z$680,20,FALSE))</f>
        <v>RM 160/ +120 a la Tabla 76/ 100 metros de radio</v>
      </c>
      <c r="AU111" s="5323"/>
      <c r="AV111" s="5323"/>
      <c r="AW111" s="5323"/>
      <c r="AX111" s="5323"/>
      <c r="AY111" s="5323"/>
      <c r="AZ111" s="5323"/>
      <c r="BA111" s="5323"/>
      <c r="BB111" s="5323"/>
      <c r="BC111" s="5324"/>
      <c r="BD111" s="1216"/>
      <c r="BE111" s="1210"/>
      <c r="BF111" s="1210"/>
      <c r="BG111" s="2272"/>
      <c r="BH111" s="5320" t="s">
        <v>4705</v>
      </c>
      <c r="BI111" s="5321"/>
      <c r="BJ111" s="1237">
        <f>IF(BH108=0,"",VLOOKUP(BH108,'Tablas Magia'!$D$6:$Z$680,8,FALSE))</f>
        <v>9</v>
      </c>
      <c r="BK111" s="1237">
        <f>IF(BH108=0,"",VLOOKUP(BH108,'Tablas Magia'!$D$6:$Z$680,12,FALSE))</f>
        <v>180</v>
      </c>
      <c r="BL111" s="1238">
        <f>IF(BH108=0,"",VLOOKUP(BH108,'Tablas Magia'!$D$6:$Z$680,16,FALSE))</f>
        <v>10</v>
      </c>
      <c r="BM111" s="5322" t="str">
        <f>IF(BH108=0,"",VLOOKUP(BH108,'Tablas Magia'!$D$6:$Z$680,20,FALSE))</f>
        <v>80 PV por asalto</v>
      </c>
      <c r="BN111" s="5323"/>
      <c r="BO111" s="5323"/>
      <c r="BP111" s="5323"/>
      <c r="BQ111" s="5323"/>
      <c r="BR111" s="5323"/>
      <c r="BS111" s="5323"/>
      <c r="BT111" s="5323"/>
      <c r="BU111" s="5323"/>
      <c r="BV111" s="5324"/>
      <c r="BW111" s="1216"/>
      <c r="BX111" s="1210"/>
      <c r="BY111" s="1210"/>
      <c r="BZ111" s="2272"/>
      <c r="CA111" s="5320" t="s">
        <v>4705</v>
      </c>
      <c r="CB111" s="5321"/>
      <c r="CC111" s="1237">
        <f>IF(CA108=0,"",VLOOKUP(CA108,'Tablas Magia'!$D$6:$Z$680,8,FALSE))</f>
        <v>16</v>
      </c>
      <c r="CD111" s="1237">
        <f>IF(CA108=0,"",VLOOKUP(CA108,'Tablas Magia'!$D$6:$Z$680,12,FALSE))</f>
        <v>800</v>
      </c>
      <c r="CE111" s="1238">
        <f>IF(CA108=0,"",VLOOKUP(CA108,'Tablas Magia'!$D$6:$Z$680,16,FALSE))</f>
        <v>100</v>
      </c>
      <c r="CF111" s="5322" t="str">
        <f>IF(CA108=0,"",VLOOKUP(CA108,'Tablas Magia'!$D$6:$Z$680,20,FALSE))</f>
        <v>25 km de radio / RM 150</v>
      </c>
      <c r="CG111" s="5323"/>
      <c r="CH111" s="5323"/>
      <c r="CI111" s="5323"/>
      <c r="CJ111" s="5323"/>
      <c r="CK111" s="5323"/>
      <c r="CL111" s="5323"/>
      <c r="CM111" s="5323"/>
      <c r="CN111" s="5323"/>
      <c r="CO111" s="5324"/>
      <c r="CP111" s="1216"/>
      <c r="CQ111" s="1210"/>
    </row>
    <row r="112" spans="1:95" x14ac:dyDescent="0.2">
      <c r="A112" s="1210"/>
      <c r="B112" s="2258"/>
      <c r="C112" s="5325" t="s">
        <v>4706</v>
      </c>
      <c r="D112" s="5326"/>
      <c r="E112" s="1235">
        <f>IF(C108=0,"",VLOOKUP(C108,'Tablas Magia'!$D$6:$Z$680,9,FALSE))</f>
        <v>12</v>
      </c>
      <c r="F112" s="1235">
        <f>IF(C108=0,"",VLOOKUP(C108,'Tablas Magia'!$D$6:$Z$680,13,FALSE))</f>
        <v>120</v>
      </c>
      <c r="G112" s="1236">
        <f>IF(C108=0,"",VLOOKUP(C108,'Tablas Magia'!$D$6:$Z$680,17,FALSE))</f>
        <v>15</v>
      </c>
      <c r="H112" s="5327" t="str">
        <f>IF(C108=0,"",VLOOKUP(C108,'Tablas Magia'!$D$6:$Z$680,21,FALSE))</f>
        <v>RM 140/ 12 intensidades</v>
      </c>
      <c r="I112" s="5328"/>
      <c r="J112" s="5328"/>
      <c r="K112" s="5328"/>
      <c r="L112" s="5328"/>
      <c r="M112" s="5328"/>
      <c r="N112" s="5328"/>
      <c r="O112" s="5328"/>
      <c r="P112" s="5328"/>
      <c r="Q112" s="5329"/>
      <c r="R112" s="1216"/>
      <c r="S112" s="1210"/>
      <c r="T112" s="1210"/>
      <c r="U112" s="2258"/>
      <c r="V112" s="5325" t="s">
        <v>4706</v>
      </c>
      <c r="W112" s="5326"/>
      <c r="X112" s="1235">
        <f>IF(V108=0,"",VLOOKUP(V108,'Tablas Magia'!$D$6:$Z$680,9,FALSE))</f>
        <v>12</v>
      </c>
      <c r="Y112" s="1235">
        <f>IF(V108=0,"",VLOOKUP(V108,'Tablas Magia'!$D$6:$Z$680,13,FALSE))</f>
        <v>240</v>
      </c>
      <c r="Z112" s="1236">
        <f>IF(V108=0,"",VLOOKUP(V108,'Tablas Magia'!$D$6:$Z$680,17,FALSE))</f>
        <v>50</v>
      </c>
      <c r="AA112" s="5327" t="str">
        <f>IF(V108=0,"",VLOOKUP(V108,'Tablas Magia'!$D$6:$Z$680,21,FALSE))</f>
        <v>150 metros de radio/ Daño 180</v>
      </c>
      <c r="AB112" s="5328"/>
      <c r="AC112" s="5328"/>
      <c r="AD112" s="5328"/>
      <c r="AE112" s="5328"/>
      <c r="AF112" s="5328"/>
      <c r="AG112" s="5328"/>
      <c r="AH112" s="5328"/>
      <c r="AI112" s="5328"/>
      <c r="AJ112" s="5329"/>
      <c r="AK112" s="1216"/>
      <c r="AL112" s="1210"/>
      <c r="AM112" s="1210"/>
      <c r="AN112" s="2272"/>
      <c r="AO112" s="5325" t="s">
        <v>4706</v>
      </c>
      <c r="AP112" s="5326"/>
      <c r="AQ112" s="1235">
        <f>IF(AO108=0,"",VLOOKUP(AO108,'Tablas Magia'!$D$6:$Z$680,9,FALSE))</f>
        <v>12</v>
      </c>
      <c r="AR112" s="1235">
        <f>IF(AO108=0,"",VLOOKUP(AO108,'Tablas Magia'!$D$6:$Z$680,13,FALSE))</f>
        <v>200</v>
      </c>
      <c r="AS112" s="1236">
        <f>IF(AO108=0,"",VLOOKUP(AO108,'Tablas Magia'!$D$6:$Z$680,17,FALSE))</f>
        <v>15</v>
      </c>
      <c r="AT112" s="5327" t="str">
        <f>IF(AO108=0,"",VLOOKUP(AO108,'Tablas Magia'!$D$6:$Z$680,21,FALSE))</f>
        <v>RM 180/ +140 a la Tabla 76/ 150 metros de radio</v>
      </c>
      <c r="AU112" s="5328"/>
      <c r="AV112" s="5328"/>
      <c r="AW112" s="5328"/>
      <c r="AX112" s="5328"/>
      <c r="AY112" s="5328"/>
      <c r="AZ112" s="5328"/>
      <c r="BA112" s="5328"/>
      <c r="BB112" s="5328"/>
      <c r="BC112" s="5329"/>
      <c r="BD112" s="1216"/>
      <c r="BE112" s="1210"/>
      <c r="BF112" s="1210"/>
      <c r="BG112" s="2272"/>
      <c r="BH112" s="5325" t="s">
        <v>4706</v>
      </c>
      <c r="BI112" s="5326"/>
      <c r="BJ112" s="1235">
        <f>IF(BH108=0,"",VLOOKUP(BH108,'Tablas Magia'!$D$6:$Z$680,9,FALSE))</f>
        <v>12</v>
      </c>
      <c r="BK112" s="1235">
        <f>IF(BH108=0,"",VLOOKUP(BH108,'Tablas Magia'!$D$6:$Z$680,13,FALSE))</f>
        <v>240</v>
      </c>
      <c r="BL112" s="1236">
        <f>IF(BH108=0,"",VLOOKUP(BH108,'Tablas Magia'!$D$6:$Z$680,17,FALSE))</f>
        <v>15</v>
      </c>
      <c r="BM112" s="5327" t="str">
        <f>IF(BH108=0,"",VLOOKUP(BH108,'Tablas Magia'!$D$6:$Z$680,21,FALSE))</f>
        <v>140 PV por asalto</v>
      </c>
      <c r="BN112" s="5328"/>
      <c r="BO112" s="5328"/>
      <c r="BP112" s="5328"/>
      <c r="BQ112" s="5328"/>
      <c r="BR112" s="5328"/>
      <c r="BS112" s="5328"/>
      <c r="BT112" s="5328"/>
      <c r="BU112" s="5328"/>
      <c r="BV112" s="5329"/>
      <c r="BW112" s="1216"/>
      <c r="BX112" s="1210"/>
      <c r="BY112" s="1210"/>
      <c r="BZ112" s="2272"/>
      <c r="CA112" s="5325" t="s">
        <v>4706</v>
      </c>
      <c r="CB112" s="5326"/>
      <c r="CC112" s="1235">
        <f>IF(CA108=0,"",VLOOKUP(CA108,'Tablas Magia'!$D$6:$Z$680,9,FALSE))</f>
        <v>17</v>
      </c>
      <c r="CD112" s="1235">
        <f>IF(CA108=0,"",VLOOKUP(CA108,'Tablas Magia'!$D$6:$Z$680,13,FALSE))</f>
        <v>1200</v>
      </c>
      <c r="CE112" s="1236">
        <f>IF(CA108=0,"",VLOOKUP(CA108,'Tablas Magia'!$D$6:$Z$680,17,FALSE))</f>
        <v>105</v>
      </c>
      <c r="CF112" s="5327" t="str">
        <f>IF(CA108=0,"",VLOOKUP(CA108,'Tablas Magia'!$D$6:$Z$680,21,FALSE))</f>
        <v>50 km de radio / RM 160</v>
      </c>
      <c r="CG112" s="5328"/>
      <c r="CH112" s="5328"/>
      <c r="CI112" s="5328"/>
      <c r="CJ112" s="5328"/>
      <c r="CK112" s="5328"/>
      <c r="CL112" s="5328"/>
      <c r="CM112" s="5328"/>
      <c r="CN112" s="5328"/>
      <c r="CO112" s="5329"/>
      <c r="CP112" s="1216"/>
      <c r="CQ112" s="1210"/>
    </row>
    <row r="113" spans="1:95" ht="13.5" thickBot="1" x14ac:dyDescent="0.25">
      <c r="A113" s="1210"/>
      <c r="B113" s="2258"/>
      <c r="C113" s="5335" t="s">
        <v>4707</v>
      </c>
      <c r="D113" s="5336"/>
      <c r="E113" s="1239">
        <f>IF(C108=0,"",VLOOKUP(C108,'Tablas Magia'!$D$6:$Z$680,10,FALSE))</f>
        <v>15</v>
      </c>
      <c r="F113" s="1239">
        <f>IF(C108=0,"",VLOOKUP(C108,'Tablas Magia'!$D$6:$Z$680,14,FALSE))</f>
        <v>180</v>
      </c>
      <c r="G113" s="1240">
        <f>IF(C108=0,"",VLOOKUP(C108,'Tablas Magia'!$D$6:$Z$680,18,FALSE))</f>
        <v>20</v>
      </c>
      <c r="H113" s="5337" t="str">
        <f>IF(C108=0,"",VLOOKUP(C108,'Tablas Magia'!$D$6:$Z$680,22,FALSE))</f>
        <v>RM 180/ 15 intensidades</v>
      </c>
      <c r="I113" s="5338"/>
      <c r="J113" s="5338"/>
      <c r="K113" s="5338"/>
      <c r="L113" s="5338"/>
      <c r="M113" s="5338"/>
      <c r="N113" s="5338"/>
      <c r="O113" s="5338"/>
      <c r="P113" s="5338"/>
      <c r="Q113" s="5339"/>
      <c r="R113" s="1216"/>
      <c r="S113" s="1210"/>
      <c r="T113" s="1210"/>
      <c r="U113" s="2258"/>
      <c r="V113" s="5335" t="s">
        <v>4707</v>
      </c>
      <c r="W113" s="5336"/>
      <c r="X113" s="1239">
        <f>IF(V108=0,"",VLOOKUP(V108,'Tablas Magia'!$D$6:$Z$680,10,FALSE))</f>
        <v>15</v>
      </c>
      <c r="Y113" s="1239">
        <f>IF(V108=0,"",VLOOKUP(V108,'Tablas Magia'!$D$6:$Z$680,14,FALSE))</f>
        <v>320</v>
      </c>
      <c r="Z113" s="1240">
        <f>IF(V108=0,"",VLOOKUP(V108,'Tablas Magia'!$D$6:$Z$680,18,FALSE))</f>
        <v>60</v>
      </c>
      <c r="AA113" s="5337" t="str">
        <f>IF(V108=0,"",VLOOKUP(V108,'Tablas Magia'!$D$6:$Z$680,22,FALSE))</f>
        <v>250 metros de radio/ Daño 240</v>
      </c>
      <c r="AB113" s="5338"/>
      <c r="AC113" s="5338"/>
      <c r="AD113" s="5338"/>
      <c r="AE113" s="5338"/>
      <c r="AF113" s="5338"/>
      <c r="AG113" s="5338"/>
      <c r="AH113" s="5338"/>
      <c r="AI113" s="5338"/>
      <c r="AJ113" s="5339"/>
      <c r="AK113" s="1216"/>
      <c r="AL113" s="1210"/>
      <c r="AM113" s="1210"/>
      <c r="AN113" s="2272"/>
      <c r="AO113" s="5335" t="s">
        <v>4707</v>
      </c>
      <c r="AP113" s="5336"/>
      <c r="AQ113" s="1239">
        <f>IF(AO108=0,"",VLOOKUP(AO108,'Tablas Magia'!$D$6:$Z$680,10,FALSE))</f>
        <v>16</v>
      </c>
      <c r="AR113" s="1239">
        <f>IF(AO108=0,"",VLOOKUP(AO108,'Tablas Magia'!$D$6:$Z$680,14,FALSE))</f>
        <v>260</v>
      </c>
      <c r="AS113" s="1240">
        <f>IF(AO108=0,"",VLOOKUP(AO108,'Tablas Magia'!$D$6:$Z$680,18,FALSE))</f>
        <v>20</v>
      </c>
      <c r="AT113" s="5337" t="str">
        <f>IF(AO108=0,"",VLOOKUP(AO108,'Tablas Magia'!$D$6:$Z$680,22,FALSE))</f>
        <v>RM 200/ +160 a la Tabla 76/ 200 metros de radio</v>
      </c>
      <c r="AU113" s="5338"/>
      <c r="AV113" s="5338"/>
      <c r="AW113" s="5338"/>
      <c r="AX113" s="5338"/>
      <c r="AY113" s="5338"/>
      <c r="AZ113" s="5338"/>
      <c r="BA113" s="5338"/>
      <c r="BB113" s="5338"/>
      <c r="BC113" s="5339"/>
      <c r="BD113" s="1216"/>
      <c r="BE113" s="1210"/>
      <c r="BF113" s="1210"/>
      <c r="BG113" s="2272"/>
      <c r="BH113" s="5335" t="s">
        <v>4707</v>
      </c>
      <c r="BI113" s="5336"/>
      <c r="BJ113" s="1239">
        <f>IF(BH108=0,"",VLOOKUP(BH108,'Tablas Magia'!$D$6:$Z$680,10,FALSE))</f>
        <v>15</v>
      </c>
      <c r="BK113" s="1239">
        <f>IF(BH108=0,"",VLOOKUP(BH108,'Tablas Magia'!$D$6:$Z$680,14,FALSE))</f>
        <v>300</v>
      </c>
      <c r="BL113" s="1240">
        <f>IF(BH108=0,"",VLOOKUP(BH108,'Tablas Magia'!$D$6:$Z$680,18,FALSE))</f>
        <v>15</v>
      </c>
      <c r="BM113" s="5337" t="str">
        <f>IF(BH108=0,"",VLOOKUP(BH108,'Tablas Magia'!$D$6:$Z$680,22,FALSE))</f>
        <v>200 PV por asalto</v>
      </c>
      <c r="BN113" s="5338"/>
      <c r="BO113" s="5338"/>
      <c r="BP113" s="5338"/>
      <c r="BQ113" s="5338"/>
      <c r="BR113" s="5338"/>
      <c r="BS113" s="5338"/>
      <c r="BT113" s="5338"/>
      <c r="BU113" s="5338"/>
      <c r="BV113" s="5339"/>
      <c r="BW113" s="1216"/>
      <c r="BX113" s="1210"/>
      <c r="BY113" s="1210"/>
      <c r="BZ113" s="2272"/>
      <c r="CA113" s="5335" t="s">
        <v>4707</v>
      </c>
      <c r="CB113" s="5336"/>
      <c r="CC113" s="1239">
        <f>IF(CA108=0,"",VLOOKUP(CA108,'Tablas Magia'!$D$6:$Z$680,10,FALSE))</f>
        <v>18</v>
      </c>
      <c r="CD113" s="1239">
        <f>IF(CA108=0,"",VLOOKUP(CA108,'Tablas Magia'!$D$6:$Z$680,14,FALSE))</f>
        <v>1600</v>
      </c>
      <c r="CE113" s="1240">
        <f>IF(CA108=0,"",VLOOKUP(CA108,'Tablas Magia'!$D$6:$Z$680,18,FALSE))</f>
        <v>110</v>
      </c>
      <c r="CF113" s="5337" t="str">
        <f>IF(CA108=0,"",VLOOKUP(CA108,'Tablas Magia'!$D$6:$Z$680,22,FALSE))</f>
        <v>150 km de radio / RM 180</v>
      </c>
      <c r="CG113" s="5338"/>
      <c r="CH113" s="5338"/>
      <c r="CI113" s="5338"/>
      <c r="CJ113" s="5338"/>
      <c r="CK113" s="5338"/>
      <c r="CL113" s="5338"/>
      <c r="CM113" s="5338"/>
      <c r="CN113" s="5338"/>
      <c r="CO113" s="5339"/>
      <c r="CP113" s="1216"/>
      <c r="CQ113" s="1210"/>
    </row>
    <row r="114" spans="1:95" ht="12.75" customHeight="1" x14ac:dyDescent="0.2">
      <c r="A114" s="1210"/>
      <c r="B114" s="2258"/>
      <c r="C114" s="534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1"/>
      <c r="E114" s="5341"/>
      <c r="F114" s="5341"/>
      <c r="G114" s="5341"/>
      <c r="H114" s="5341"/>
      <c r="I114" s="5341"/>
      <c r="J114" s="5341"/>
      <c r="K114" s="5341"/>
      <c r="L114" s="5341"/>
      <c r="M114" s="5341"/>
      <c r="N114" s="5341"/>
      <c r="O114" s="5341"/>
      <c r="P114" s="5341"/>
      <c r="Q114" s="5342"/>
      <c r="R114" s="1216"/>
      <c r="S114" s="1210"/>
      <c r="T114" s="1210"/>
      <c r="U114" s="2258"/>
      <c r="V114" s="534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1"/>
      <c r="X114" s="5341"/>
      <c r="Y114" s="5341"/>
      <c r="Z114" s="5341"/>
      <c r="AA114" s="5341"/>
      <c r="AB114" s="5341"/>
      <c r="AC114" s="5341"/>
      <c r="AD114" s="5341"/>
      <c r="AE114" s="5341"/>
      <c r="AF114" s="5341"/>
      <c r="AG114" s="5341"/>
      <c r="AH114" s="5341"/>
      <c r="AI114" s="5341"/>
      <c r="AJ114" s="5342"/>
      <c r="AK114" s="1216"/>
      <c r="AL114" s="1210"/>
      <c r="AM114" s="1210"/>
      <c r="AN114" s="2272"/>
      <c r="AO114" s="534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1"/>
      <c r="AQ114" s="5341"/>
      <c r="AR114" s="5341"/>
      <c r="AS114" s="5341"/>
      <c r="AT114" s="5341"/>
      <c r="AU114" s="5341"/>
      <c r="AV114" s="5341"/>
      <c r="AW114" s="5341"/>
      <c r="AX114" s="5341"/>
      <c r="AY114" s="5341"/>
      <c r="AZ114" s="5341"/>
      <c r="BA114" s="5341"/>
      <c r="BB114" s="5341"/>
      <c r="BC114" s="5342"/>
      <c r="BD114" s="1216"/>
      <c r="BE114" s="1210"/>
      <c r="BF114" s="1210"/>
      <c r="BG114" s="2272"/>
      <c r="BH114" s="534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1"/>
      <c r="BJ114" s="5341"/>
      <c r="BK114" s="5341"/>
      <c r="BL114" s="5341"/>
      <c r="BM114" s="5341"/>
      <c r="BN114" s="5341"/>
      <c r="BO114" s="5341"/>
      <c r="BP114" s="5341"/>
      <c r="BQ114" s="5341"/>
      <c r="BR114" s="5341"/>
      <c r="BS114" s="5341"/>
      <c r="BT114" s="5341"/>
      <c r="BU114" s="5341"/>
      <c r="BV114" s="5342"/>
      <c r="BW114" s="1216"/>
      <c r="BX114" s="1210"/>
      <c r="BY114" s="1210"/>
      <c r="BZ114" s="2272"/>
      <c r="CA114" s="534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1"/>
      <c r="CC114" s="5341"/>
      <c r="CD114" s="5341"/>
      <c r="CE114" s="5341"/>
      <c r="CF114" s="5341"/>
      <c r="CG114" s="5341"/>
      <c r="CH114" s="5341"/>
      <c r="CI114" s="5341"/>
      <c r="CJ114" s="5341"/>
      <c r="CK114" s="5341"/>
      <c r="CL114" s="5341"/>
      <c r="CM114" s="5341"/>
      <c r="CN114" s="5341"/>
      <c r="CO114" s="5342"/>
      <c r="CP114" s="1216"/>
      <c r="CQ114" s="1210"/>
    </row>
    <row r="115" spans="1:95" x14ac:dyDescent="0.2">
      <c r="A115" s="1210"/>
      <c r="B115" s="2258"/>
      <c r="C115" s="5343"/>
      <c r="D115" s="5344"/>
      <c r="E115" s="5344"/>
      <c r="F115" s="5344"/>
      <c r="G115" s="5344"/>
      <c r="H115" s="5344"/>
      <c r="I115" s="5344"/>
      <c r="J115" s="5344"/>
      <c r="K115" s="5344"/>
      <c r="L115" s="5344"/>
      <c r="M115" s="5344"/>
      <c r="N115" s="5344"/>
      <c r="O115" s="5344"/>
      <c r="P115" s="5344"/>
      <c r="Q115" s="5345"/>
      <c r="R115" s="1216"/>
      <c r="S115" s="1210"/>
      <c r="T115" s="1210"/>
      <c r="U115" s="2258"/>
      <c r="V115" s="5343"/>
      <c r="W115" s="5344"/>
      <c r="X115" s="5344"/>
      <c r="Y115" s="5344"/>
      <c r="Z115" s="5344"/>
      <c r="AA115" s="5344"/>
      <c r="AB115" s="5344"/>
      <c r="AC115" s="5344"/>
      <c r="AD115" s="5344"/>
      <c r="AE115" s="5344"/>
      <c r="AF115" s="5344"/>
      <c r="AG115" s="5344"/>
      <c r="AH115" s="5344"/>
      <c r="AI115" s="5344"/>
      <c r="AJ115" s="5345"/>
      <c r="AK115" s="1216"/>
      <c r="AL115" s="1210"/>
      <c r="AM115" s="1210"/>
      <c r="AN115" s="2272"/>
      <c r="AO115" s="5343"/>
      <c r="AP115" s="5344"/>
      <c r="AQ115" s="5344"/>
      <c r="AR115" s="5344"/>
      <c r="AS115" s="5344"/>
      <c r="AT115" s="5344"/>
      <c r="AU115" s="5344"/>
      <c r="AV115" s="5344"/>
      <c r="AW115" s="5344"/>
      <c r="AX115" s="5344"/>
      <c r="AY115" s="5344"/>
      <c r="AZ115" s="5344"/>
      <c r="BA115" s="5344"/>
      <c r="BB115" s="5344"/>
      <c r="BC115" s="5345"/>
      <c r="BD115" s="1216"/>
      <c r="BE115" s="1210"/>
      <c r="BF115" s="1210"/>
      <c r="BG115" s="2272"/>
      <c r="BH115" s="5343"/>
      <c r="BI115" s="5344"/>
      <c r="BJ115" s="5344"/>
      <c r="BK115" s="5344"/>
      <c r="BL115" s="5344"/>
      <c r="BM115" s="5344"/>
      <c r="BN115" s="5344"/>
      <c r="BO115" s="5344"/>
      <c r="BP115" s="5344"/>
      <c r="BQ115" s="5344"/>
      <c r="BR115" s="5344"/>
      <c r="BS115" s="5344"/>
      <c r="BT115" s="5344"/>
      <c r="BU115" s="5344"/>
      <c r="BV115" s="5345"/>
      <c r="BW115" s="1216"/>
      <c r="BX115" s="1210"/>
      <c r="BY115" s="1210"/>
      <c r="BZ115" s="2272"/>
      <c r="CA115" s="5343"/>
      <c r="CB115" s="5344"/>
      <c r="CC115" s="5344"/>
      <c r="CD115" s="5344"/>
      <c r="CE115" s="5344"/>
      <c r="CF115" s="5344"/>
      <c r="CG115" s="5344"/>
      <c r="CH115" s="5344"/>
      <c r="CI115" s="5344"/>
      <c r="CJ115" s="5344"/>
      <c r="CK115" s="5344"/>
      <c r="CL115" s="5344"/>
      <c r="CM115" s="5344"/>
      <c r="CN115" s="5344"/>
      <c r="CO115" s="5345"/>
      <c r="CP115" s="1216"/>
      <c r="CQ115" s="1210"/>
    </row>
    <row r="116" spans="1:95" x14ac:dyDescent="0.2">
      <c r="A116" s="1210"/>
      <c r="B116" s="2258"/>
      <c r="C116" s="5343"/>
      <c r="D116" s="5344"/>
      <c r="E116" s="5344"/>
      <c r="F116" s="5344"/>
      <c r="G116" s="5344"/>
      <c r="H116" s="5344"/>
      <c r="I116" s="5344"/>
      <c r="J116" s="5344"/>
      <c r="K116" s="5344"/>
      <c r="L116" s="5344"/>
      <c r="M116" s="5344"/>
      <c r="N116" s="5344"/>
      <c r="O116" s="5344"/>
      <c r="P116" s="5344"/>
      <c r="Q116" s="5345"/>
      <c r="R116" s="1216"/>
      <c r="S116" s="1210"/>
      <c r="T116" s="1210"/>
      <c r="U116" s="2258"/>
      <c r="V116" s="5343"/>
      <c r="W116" s="5344"/>
      <c r="X116" s="5344"/>
      <c r="Y116" s="5344"/>
      <c r="Z116" s="5344"/>
      <c r="AA116" s="5344"/>
      <c r="AB116" s="5344"/>
      <c r="AC116" s="5344"/>
      <c r="AD116" s="5344"/>
      <c r="AE116" s="5344"/>
      <c r="AF116" s="5344"/>
      <c r="AG116" s="5344"/>
      <c r="AH116" s="5344"/>
      <c r="AI116" s="5344"/>
      <c r="AJ116" s="5345"/>
      <c r="AK116" s="1216"/>
      <c r="AL116" s="1210"/>
      <c r="AM116" s="1210"/>
      <c r="AN116" s="2272"/>
      <c r="AO116" s="5343"/>
      <c r="AP116" s="5344"/>
      <c r="AQ116" s="5344"/>
      <c r="AR116" s="5344"/>
      <c r="AS116" s="5344"/>
      <c r="AT116" s="5344"/>
      <c r="AU116" s="5344"/>
      <c r="AV116" s="5344"/>
      <c r="AW116" s="5344"/>
      <c r="AX116" s="5344"/>
      <c r="AY116" s="5344"/>
      <c r="AZ116" s="5344"/>
      <c r="BA116" s="5344"/>
      <c r="BB116" s="5344"/>
      <c r="BC116" s="5345"/>
      <c r="BD116" s="1216"/>
      <c r="BE116" s="1210"/>
      <c r="BF116" s="1210"/>
      <c r="BG116" s="2272"/>
      <c r="BH116" s="5343"/>
      <c r="BI116" s="5344"/>
      <c r="BJ116" s="5344"/>
      <c r="BK116" s="5344"/>
      <c r="BL116" s="5344"/>
      <c r="BM116" s="5344"/>
      <c r="BN116" s="5344"/>
      <c r="BO116" s="5344"/>
      <c r="BP116" s="5344"/>
      <c r="BQ116" s="5344"/>
      <c r="BR116" s="5344"/>
      <c r="BS116" s="5344"/>
      <c r="BT116" s="5344"/>
      <c r="BU116" s="5344"/>
      <c r="BV116" s="5345"/>
      <c r="BW116" s="1216"/>
      <c r="BX116" s="1210"/>
      <c r="BY116" s="1210"/>
      <c r="BZ116" s="2272"/>
      <c r="CA116" s="5343"/>
      <c r="CB116" s="5344"/>
      <c r="CC116" s="5344"/>
      <c r="CD116" s="5344"/>
      <c r="CE116" s="5344"/>
      <c r="CF116" s="5344"/>
      <c r="CG116" s="5344"/>
      <c r="CH116" s="5344"/>
      <c r="CI116" s="5344"/>
      <c r="CJ116" s="5344"/>
      <c r="CK116" s="5344"/>
      <c r="CL116" s="5344"/>
      <c r="CM116" s="5344"/>
      <c r="CN116" s="5344"/>
      <c r="CO116" s="5345"/>
      <c r="CP116" s="1216"/>
      <c r="CQ116" s="1210"/>
    </row>
    <row r="117" spans="1:95" ht="13.5" thickBot="1" x14ac:dyDescent="0.25">
      <c r="A117" s="1210"/>
      <c r="B117" s="2258"/>
      <c r="C117" s="5346"/>
      <c r="D117" s="5347"/>
      <c r="E117" s="5347"/>
      <c r="F117" s="5347"/>
      <c r="G117" s="5347"/>
      <c r="H117" s="5347"/>
      <c r="I117" s="5347"/>
      <c r="J117" s="5347"/>
      <c r="K117" s="5347"/>
      <c r="L117" s="5347"/>
      <c r="M117" s="5347"/>
      <c r="N117" s="5347"/>
      <c r="O117" s="5347"/>
      <c r="P117" s="5347"/>
      <c r="Q117" s="5348"/>
      <c r="R117" s="1216"/>
      <c r="S117" s="1210"/>
      <c r="T117" s="1210"/>
      <c r="U117" s="2258"/>
      <c r="V117" s="5346"/>
      <c r="W117" s="5347"/>
      <c r="X117" s="5347"/>
      <c r="Y117" s="5347"/>
      <c r="Z117" s="5347"/>
      <c r="AA117" s="5347"/>
      <c r="AB117" s="5347"/>
      <c r="AC117" s="5347"/>
      <c r="AD117" s="5347"/>
      <c r="AE117" s="5347"/>
      <c r="AF117" s="5347"/>
      <c r="AG117" s="5347"/>
      <c r="AH117" s="5347"/>
      <c r="AI117" s="5347"/>
      <c r="AJ117" s="5348"/>
      <c r="AK117" s="1216"/>
      <c r="AL117" s="1210"/>
      <c r="AM117" s="1210"/>
      <c r="AN117" s="2272"/>
      <c r="AO117" s="5346"/>
      <c r="AP117" s="5347"/>
      <c r="AQ117" s="5347"/>
      <c r="AR117" s="5347"/>
      <c r="AS117" s="5347"/>
      <c r="AT117" s="5347"/>
      <c r="AU117" s="5347"/>
      <c r="AV117" s="5347"/>
      <c r="AW117" s="5347"/>
      <c r="AX117" s="5347"/>
      <c r="AY117" s="5347"/>
      <c r="AZ117" s="5347"/>
      <c r="BA117" s="5347"/>
      <c r="BB117" s="5347"/>
      <c r="BC117" s="5348"/>
      <c r="BD117" s="1216"/>
      <c r="BE117" s="1210"/>
      <c r="BF117" s="1210"/>
      <c r="BG117" s="2272"/>
      <c r="BH117" s="5346"/>
      <c r="BI117" s="5347"/>
      <c r="BJ117" s="5347"/>
      <c r="BK117" s="5347"/>
      <c r="BL117" s="5347"/>
      <c r="BM117" s="5347"/>
      <c r="BN117" s="5347"/>
      <c r="BO117" s="5347"/>
      <c r="BP117" s="5347"/>
      <c r="BQ117" s="5347"/>
      <c r="BR117" s="5347"/>
      <c r="BS117" s="5347"/>
      <c r="BT117" s="5347"/>
      <c r="BU117" s="5347"/>
      <c r="BV117" s="5348"/>
      <c r="BW117" s="1216"/>
      <c r="BX117" s="1210"/>
      <c r="BY117" s="1210"/>
      <c r="BZ117" s="2272"/>
      <c r="CA117" s="5346"/>
      <c r="CB117" s="5347"/>
      <c r="CC117" s="5347"/>
      <c r="CD117" s="5347"/>
      <c r="CE117" s="5347"/>
      <c r="CF117" s="5347"/>
      <c r="CG117" s="5347"/>
      <c r="CH117" s="5347"/>
      <c r="CI117" s="5347"/>
      <c r="CJ117" s="5347"/>
      <c r="CK117" s="5347"/>
      <c r="CL117" s="5347"/>
      <c r="CM117" s="5347"/>
      <c r="CN117" s="5347"/>
      <c r="CO117" s="5348"/>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64"/>
      <c r="X3" s="5365"/>
      <c r="Y3" s="5365"/>
      <c r="Z3" s="5365"/>
      <c r="AA3" s="5365"/>
      <c r="AB3" s="5365"/>
      <c r="AC3" s="1346"/>
      <c r="AD3" s="1346"/>
      <c r="AE3" s="1346"/>
      <c r="AF3" s="1346"/>
      <c r="AG3" s="1346"/>
      <c r="AH3" s="1346"/>
      <c r="AI3" s="1346"/>
      <c r="AJ3" s="1346"/>
      <c r="AK3" s="1346"/>
      <c r="AL3" s="804"/>
      <c r="AM3" s="803"/>
      <c r="AN3" s="773"/>
      <c r="AO3" s="962"/>
    </row>
    <row r="4" spans="1:41" ht="12" customHeight="1" x14ac:dyDescent="0.2">
      <c r="A4" s="771"/>
      <c r="B4" s="1352"/>
      <c r="C4" s="812"/>
      <c r="D4" s="5361" t="s">
        <v>3452</v>
      </c>
      <c r="E4" s="5361"/>
      <c r="F4" s="5361"/>
      <c r="G4" s="5361"/>
      <c r="H4" s="5370" t="str">
        <f>Principal!L4</f>
        <v/>
      </c>
      <c r="I4" s="5370"/>
      <c r="J4" s="5370"/>
      <c r="K4" s="5370"/>
      <c r="L4" s="5370"/>
      <c r="M4" s="5371" t="s">
        <v>8179</v>
      </c>
      <c r="N4" s="5371"/>
      <c r="O4" s="5371"/>
      <c r="P4" s="5371"/>
      <c r="Q4" s="5371"/>
      <c r="R4" s="813"/>
      <c r="S4" s="803"/>
      <c r="T4" s="771"/>
      <c r="U4" s="772"/>
      <c r="V4" s="1352"/>
      <c r="W4" s="5366"/>
      <c r="X4" s="5367"/>
      <c r="Y4" s="5367"/>
      <c r="Z4" s="5367"/>
      <c r="AA4" s="5367"/>
      <c r="AB4" s="5367"/>
      <c r="AC4" s="1347"/>
      <c r="AD4" s="5372" t="s">
        <v>8179</v>
      </c>
      <c r="AE4" s="5372"/>
      <c r="AF4" s="5372"/>
      <c r="AG4" s="5372"/>
      <c r="AH4" s="5372"/>
      <c r="AI4" s="5372"/>
      <c r="AJ4" s="5372"/>
      <c r="AK4" s="5372"/>
      <c r="AL4" s="814"/>
      <c r="AM4" s="803"/>
      <c r="AN4" s="773"/>
      <c r="AO4" s="962"/>
    </row>
    <row r="5" spans="1:41" ht="12" customHeight="1" x14ac:dyDescent="0.2">
      <c r="A5" s="771"/>
      <c r="B5" s="1352"/>
      <c r="C5" s="5373"/>
      <c r="D5" s="5363"/>
      <c r="E5" s="5363"/>
      <c r="F5" s="5363"/>
      <c r="G5" s="5363"/>
      <c r="H5" s="5363"/>
      <c r="I5" s="5374"/>
      <c r="J5" s="5374"/>
      <c r="K5" s="5374"/>
      <c r="L5" s="5374"/>
      <c r="M5" s="5371"/>
      <c r="N5" s="5371"/>
      <c r="O5" s="5371"/>
      <c r="P5" s="5371"/>
      <c r="Q5" s="5371"/>
      <c r="R5" s="830"/>
      <c r="S5" s="803"/>
      <c r="T5" s="771"/>
      <c r="U5" s="772"/>
      <c r="V5" s="1352"/>
      <c r="W5" s="5366"/>
      <c r="X5" s="5367"/>
      <c r="Y5" s="5367"/>
      <c r="Z5" s="5367"/>
      <c r="AA5" s="5367"/>
      <c r="AB5" s="5367"/>
      <c r="AC5" s="1347"/>
      <c r="AD5" s="5372"/>
      <c r="AE5" s="5372"/>
      <c r="AF5" s="5372"/>
      <c r="AG5" s="5372"/>
      <c r="AH5" s="5372"/>
      <c r="AI5" s="5372"/>
      <c r="AJ5" s="5372"/>
      <c r="AK5" s="5372"/>
      <c r="AL5" s="814"/>
      <c r="AM5" s="803"/>
      <c r="AN5" s="773"/>
      <c r="AO5" s="962"/>
    </row>
    <row r="6" spans="1:41" ht="12" customHeight="1" x14ac:dyDescent="0.2">
      <c r="A6" s="771"/>
      <c r="B6" s="1352"/>
      <c r="C6" s="812"/>
      <c r="D6" s="5362" t="s">
        <v>3459</v>
      </c>
      <c r="E6" s="5362"/>
      <c r="F6" s="5363" t="str">
        <f>Principal!L5</f>
        <v>Hechicero</v>
      </c>
      <c r="G6" s="5363"/>
      <c r="H6" s="5363"/>
      <c r="I6" s="833"/>
      <c r="J6" s="833"/>
      <c r="K6" s="5362"/>
      <c r="L6" s="5362"/>
      <c r="M6" s="1343"/>
      <c r="N6" s="1341"/>
      <c r="O6" s="5360"/>
      <c r="P6" s="5360"/>
      <c r="Q6" s="834"/>
      <c r="R6" s="830"/>
      <c r="S6" s="803"/>
      <c r="T6" s="771"/>
      <c r="U6" s="772"/>
      <c r="V6" s="1352"/>
      <c r="W6" s="5366"/>
      <c r="X6" s="5367"/>
      <c r="Y6" s="5367"/>
      <c r="Z6" s="5367"/>
      <c r="AA6" s="5367"/>
      <c r="AB6" s="5367"/>
      <c r="AC6" s="1347"/>
      <c r="AD6" s="5361"/>
      <c r="AE6" s="5361"/>
      <c r="AF6" s="5361"/>
      <c r="AG6" s="5361"/>
      <c r="AH6" s="5361"/>
      <c r="AI6" s="5361"/>
      <c r="AJ6" s="5361"/>
      <c r="AK6" s="5361"/>
      <c r="AL6" s="814"/>
      <c r="AM6" s="803"/>
      <c r="AN6" s="773"/>
      <c r="AO6" s="962"/>
    </row>
    <row r="7" spans="1:41" ht="12" customHeight="1" x14ac:dyDescent="0.2">
      <c r="A7" s="771"/>
      <c r="B7" s="1352"/>
      <c r="C7" s="812"/>
      <c r="D7" s="5362" t="s">
        <v>1630</v>
      </c>
      <c r="E7" s="5362"/>
      <c r="F7" s="5363" t="str">
        <f>Principal!P5</f>
        <v>1</v>
      </c>
      <c r="G7" s="5363"/>
      <c r="H7" s="5363"/>
      <c r="I7" s="837"/>
      <c r="J7" s="837"/>
      <c r="K7" s="837"/>
      <c r="L7" s="837"/>
      <c r="M7" s="5362"/>
      <c r="N7" s="5362"/>
      <c r="O7" s="838"/>
      <c r="P7" s="1341"/>
      <c r="Q7" s="1341"/>
      <c r="R7" s="830"/>
      <c r="S7" s="803"/>
      <c r="T7" s="771"/>
      <c r="U7" s="772"/>
      <c r="V7" s="1352"/>
      <c r="W7" s="5366"/>
      <c r="X7" s="5367"/>
      <c r="Y7" s="5367"/>
      <c r="Z7" s="5367"/>
      <c r="AA7" s="5367"/>
      <c r="AB7" s="5367"/>
      <c r="AC7" s="1347"/>
      <c r="AD7" s="5363" t="str">
        <f>IF(C5&lt;1,"",C5)</f>
        <v/>
      </c>
      <c r="AE7" s="5363"/>
      <c r="AF7" s="5363"/>
      <c r="AG7" s="5363"/>
      <c r="AH7" s="5363"/>
      <c r="AI7" s="5363"/>
      <c r="AJ7" s="5363"/>
      <c r="AK7" s="5363"/>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68"/>
      <c r="X8" s="5369"/>
      <c r="Y8" s="5369"/>
      <c r="Z8" s="5369"/>
      <c r="AA8" s="5369"/>
      <c r="AB8" s="5369"/>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75" t="s">
        <v>8177</v>
      </c>
      <c r="D11" s="5376"/>
      <c r="E11" s="5376"/>
      <c r="F11" s="5376"/>
      <c r="G11" s="5376"/>
      <c r="H11" s="5376"/>
      <c r="I11" s="5376"/>
      <c r="J11" s="5376"/>
      <c r="K11" s="5376"/>
      <c r="L11" s="5376"/>
      <c r="M11" s="5376"/>
      <c r="N11" s="5376"/>
      <c r="O11" s="5376"/>
      <c r="P11" s="5376"/>
      <c r="Q11" s="5377"/>
      <c r="R11" s="5378">
        <f>IF(C11="","",IF(ISNA(VLOOKUP(C11,'Tablas Técnicas'!$AD$6:$AJ$188,3,FALSE)),"-",VLOOKUP(C11,'Tablas Técnicas'!$AD$6:$AJ$188,3,FALSE)))</f>
        <v>0</v>
      </c>
      <c r="S11" s="858"/>
      <c r="T11" s="771"/>
      <c r="U11" s="771"/>
      <c r="V11" s="1349">
        <v>6</v>
      </c>
      <c r="W11" s="5375" t="s">
        <v>8177</v>
      </c>
      <c r="X11" s="5376"/>
      <c r="Y11" s="5376"/>
      <c r="Z11" s="5376"/>
      <c r="AA11" s="5376"/>
      <c r="AB11" s="5376"/>
      <c r="AC11" s="5376"/>
      <c r="AD11" s="5376"/>
      <c r="AE11" s="5376"/>
      <c r="AF11" s="5376"/>
      <c r="AG11" s="5376"/>
      <c r="AH11" s="5376"/>
      <c r="AI11" s="5376"/>
      <c r="AJ11" s="5376"/>
      <c r="AK11" s="5377"/>
      <c r="AL11" s="5378">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80"/>
      <c r="G12" s="5380"/>
      <c r="H12" s="5380"/>
      <c r="I12" s="5381" t="s">
        <v>3480</v>
      </c>
      <c r="J12" s="5381"/>
      <c r="K12" s="5381"/>
      <c r="L12" s="5382" t="str">
        <f>IF(C11="","",IF(ISNA(VLOOKUP(C11,'Tablas Técnicas'!$AD$6:$AJ$188,7,FALSE)),"-",VLOOKUP(C11,'Tablas Técnicas'!$AD$6:$AJ$188,7,FALSE)))</f>
        <v/>
      </c>
      <c r="M12" s="5382"/>
      <c r="N12" s="5382"/>
      <c r="O12" s="5382"/>
      <c r="P12" s="5382"/>
      <c r="Q12" s="5383"/>
      <c r="R12" s="5379"/>
      <c r="S12" s="803"/>
      <c r="T12" s="771"/>
      <c r="U12" s="771"/>
      <c r="V12" s="1349"/>
      <c r="W12" s="864" t="s">
        <v>1630</v>
      </c>
      <c r="X12" s="865">
        <f>IF(W11="","",IF(ISNA(VLOOKUP(W11,'Tablas Técnicas'!$AD$6:$AJ$188,2,FALSE)),"-",VLOOKUP(W11,'Tablas Técnicas'!$AD$6:$AJ$188,2,FALSE)))</f>
        <v>1</v>
      </c>
      <c r="Y12" s="866" t="s">
        <v>2175</v>
      </c>
      <c r="Z12" s="5380"/>
      <c r="AA12" s="5380"/>
      <c r="AB12" s="5380"/>
      <c r="AC12" s="5381" t="s">
        <v>3480</v>
      </c>
      <c r="AD12" s="5381"/>
      <c r="AE12" s="5381"/>
      <c r="AF12" s="5382" t="str">
        <f>IF(W11="","",IF(ISNA(VLOOKUP(W11,'Tablas Técnicas'!$AD$6:$AJ$188,7,FALSE)),"-",VLOOKUP(W11,'Tablas Técnicas'!$AD$6:$AJ$188,7,FALSE)))</f>
        <v/>
      </c>
      <c r="AG12" s="5382"/>
      <c r="AH12" s="5382"/>
      <c r="AI12" s="5382"/>
      <c r="AJ12" s="5382"/>
      <c r="AK12" s="5383"/>
      <c r="AL12" s="5379"/>
      <c r="AM12" s="803"/>
      <c r="AN12" s="773"/>
      <c r="AO12" s="962"/>
    </row>
    <row r="13" spans="1:41" ht="12" customHeight="1" x14ac:dyDescent="0.2">
      <c r="A13" s="771"/>
      <c r="B13" s="1349"/>
      <c r="C13" s="5384" t="str">
        <f>IF(C11="","",IF(ISNA(VLOOKUP(C11,'Tablas Técnicas'!$AD$6:$AJ$188,5,FALSE)),"-",VLOOKUP(C11,'Tablas Técnicas'!$AD$6:$AJ$188,5,FALSE)))</f>
        <v/>
      </c>
      <c r="D13" s="5385"/>
      <c r="E13" s="5385"/>
      <c r="F13" s="5385"/>
      <c r="G13" s="5385"/>
      <c r="H13" s="5385"/>
      <c r="I13" s="5385"/>
      <c r="J13" s="5385"/>
      <c r="K13" s="5385"/>
      <c r="L13" s="5385"/>
      <c r="M13" s="5385"/>
      <c r="N13" s="5385"/>
      <c r="O13" s="5385"/>
      <c r="P13" s="5385"/>
      <c r="Q13" s="5385"/>
      <c r="R13" s="5386"/>
      <c r="S13" s="871"/>
      <c r="T13" s="870"/>
      <c r="U13" s="771"/>
      <c r="V13" s="1349"/>
      <c r="W13" s="5384" t="str">
        <f>IF(W11="","",IF(ISNA(VLOOKUP(W11,'Tablas Técnicas'!$AD$6:$AJ$188,5,FALSE)),"-",VLOOKUP(W11,'Tablas Técnicas'!$AD$6:$AJ$188,5,FALSE)))</f>
        <v/>
      </c>
      <c r="X13" s="5385"/>
      <c r="Y13" s="5385"/>
      <c r="Z13" s="5385"/>
      <c r="AA13" s="5385"/>
      <c r="AB13" s="5385"/>
      <c r="AC13" s="5385"/>
      <c r="AD13" s="5385"/>
      <c r="AE13" s="5385"/>
      <c r="AF13" s="5385"/>
      <c r="AG13" s="5385"/>
      <c r="AH13" s="5385"/>
      <c r="AI13" s="5385"/>
      <c r="AJ13" s="5385"/>
      <c r="AK13" s="5385"/>
      <c r="AL13" s="5386"/>
      <c r="AM13" s="871"/>
      <c r="AN13" s="773"/>
      <c r="AO13" s="962"/>
    </row>
    <row r="14" spans="1:41" ht="12" customHeight="1" x14ac:dyDescent="0.2">
      <c r="A14" s="771"/>
      <c r="B14" s="1349"/>
      <c r="C14" s="5387"/>
      <c r="D14" s="5388"/>
      <c r="E14" s="5388"/>
      <c r="F14" s="5388"/>
      <c r="G14" s="5388"/>
      <c r="H14" s="5388"/>
      <c r="I14" s="5388"/>
      <c r="J14" s="5388"/>
      <c r="K14" s="5388"/>
      <c r="L14" s="5388"/>
      <c r="M14" s="5388"/>
      <c r="N14" s="5388"/>
      <c r="O14" s="5388"/>
      <c r="P14" s="5388"/>
      <c r="Q14" s="5388"/>
      <c r="R14" s="5389"/>
      <c r="S14" s="880"/>
      <c r="T14" s="870"/>
      <c r="U14" s="771"/>
      <c r="V14" s="1349"/>
      <c r="W14" s="5387"/>
      <c r="X14" s="5388"/>
      <c r="Y14" s="5388"/>
      <c r="Z14" s="5388"/>
      <c r="AA14" s="5388"/>
      <c r="AB14" s="5388"/>
      <c r="AC14" s="5388"/>
      <c r="AD14" s="5388"/>
      <c r="AE14" s="5388"/>
      <c r="AF14" s="5388"/>
      <c r="AG14" s="5388"/>
      <c r="AH14" s="5388"/>
      <c r="AI14" s="5388"/>
      <c r="AJ14" s="5388"/>
      <c r="AK14" s="5388"/>
      <c r="AL14" s="5389"/>
      <c r="AM14" s="880"/>
      <c r="AN14" s="773"/>
      <c r="AO14" s="962"/>
    </row>
    <row r="15" spans="1:41" ht="12" customHeight="1" x14ac:dyDescent="0.2">
      <c r="A15" s="771"/>
      <c r="B15" s="1349"/>
      <c r="C15" s="5387"/>
      <c r="D15" s="5388"/>
      <c r="E15" s="5388"/>
      <c r="F15" s="5388"/>
      <c r="G15" s="5388"/>
      <c r="H15" s="5388"/>
      <c r="I15" s="5388"/>
      <c r="J15" s="5388"/>
      <c r="K15" s="5388"/>
      <c r="L15" s="5388"/>
      <c r="M15" s="5388"/>
      <c r="N15" s="5388"/>
      <c r="O15" s="5388"/>
      <c r="P15" s="5388"/>
      <c r="Q15" s="5388"/>
      <c r="R15" s="5389"/>
      <c r="S15" s="880"/>
      <c r="T15" s="870"/>
      <c r="U15" s="771"/>
      <c r="V15" s="1349"/>
      <c r="W15" s="5387"/>
      <c r="X15" s="5388"/>
      <c r="Y15" s="5388"/>
      <c r="Z15" s="5388"/>
      <c r="AA15" s="5388"/>
      <c r="AB15" s="5388"/>
      <c r="AC15" s="5388"/>
      <c r="AD15" s="5388"/>
      <c r="AE15" s="5388"/>
      <c r="AF15" s="5388"/>
      <c r="AG15" s="5388"/>
      <c r="AH15" s="5388"/>
      <c r="AI15" s="5388"/>
      <c r="AJ15" s="5388"/>
      <c r="AK15" s="5388"/>
      <c r="AL15" s="5389"/>
      <c r="AM15" s="880"/>
      <c r="AN15" s="773"/>
      <c r="AO15" s="962"/>
    </row>
    <row r="16" spans="1:41" ht="12" customHeight="1" x14ac:dyDescent="0.2">
      <c r="A16" s="771"/>
      <c r="B16" s="1349"/>
      <c r="C16" s="5390"/>
      <c r="D16" s="5391"/>
      <c r="E16" s="5391"/>
      <c r="F16" s="5391"/>
      <c r="G16" s="5391"/>
      <c r="H16" s="5391"/>
      <c r="I16" s="5391"/>
      <c r="J16" s="5391"/>
      <c r="K16" s="5391"/>
      <c r="L16" s="5391"/>
      <c r="M16" s="5391"/>
      <c r="N16" s="5391"/>
      <c r="O16" s="5391"/>
      <c r="P16" s="5391"/>
      <c r="Q16" s="5391"/>
      <c r="R16" s="5392"/>
      <c r="S16" s="880"/>
      <c r="T16" s="870"/>
      <c r="U16" s="771"/>
      <c r="V16" s="1349"/>
      <c r="W16" s="5390"/>
      <c r="X16" s="5391"/>
      <c r="Y16" s="5391"/>
      <c r="Z16" s="5391"/>
      <c r="AA16" s="5391"/>
      <c r="AB16" s="5391"/>
      <c r="AC16" s="5391"/>
      <c r="AD16" s="5391"/>
      <c r="AE16" s="5391"/>
      <c r="AF16" s="5391"/>
      <c r="AG16" s="5391"/>
      <c r="AH16" s="5391"/>
      <c r="AI16" s="5391"/>
      <c r="AJ16" s="5391"/>
      <c r="AK16" s="5391"/>
      <c r="AL16" s="5392"/>
      <c r="AM16" s="880"/>
      <c r="AN16" s="773"/>
      <c r="AO16" s="962"/>
    </row>
    <row r="17" spans="1:43" ht="12" customHeight="1" x14ac:dyDescent="0.2">
      <c r="A17" s="771"/>
      <c r="B17" s="1353"/>
      <c r="C17" s="5393" t="str">
        <f>"Desventajas: "&amp;IF(C11="","",IF(ISNA(VLOOKUP(C11,'Tablas Técnicas'!$AD$6:$AJ$188,6,FALSE)),"-",VLOOKUP(C11,'Tablas Técnicas'!$AD$6:$AJ$188,6,FALSE)))</f>
        <v xml:space="preserve">Desventajas: </v>
      </c>
      <c r="D17" s="5394"/>
      <c r="E17" s="5394"/>
      <c r="F17" s="5394"/>
      <c r="G17" s="5394"/>
      <c r="H17" s="5394"/>
      <c r="I17" s="5394"/>
      <c r="J17" s="5394"/>
      <c r="K17" s="5394"/>
      <c r="L17" s="5394"/>
      <c r="M17" s="5394"/>
      <c r="N17" s="5395"/>
      <c r="O17" s="5399" t="s">
        <v>3500</v>
      </c>
      <c r="P17" s="5400"/>
      <c r="Q17" s="5400"/>
      <c r="R17" s="5401"/>
      <c r="S17" s="803"/>
      <c r="T17" s="771"/>
      <c r="U17" s="771"/>
      <c r="V17" s="1353"/>
      <c r="W17" s="5393" t="str">
        <f>"Desventajas: "&amp;IF(W11="","",IF(ISNA(VLOOKUP(W11,'Tablas Técnicas'!$AD$6:$AJ$188,6,FALSE)),"-",VLOOKUP(W11,'Tablas Técnicas'!$AD$6:$AJ$188,6,FALSE)))</f>
        <v xml:space="preserve">Desventajas: </v>
      </c>
      <c r="X17" s="5394"/>
      <c r="Y17" s="5394"/>
      <c r="Z17" s="5394"/>
      <c r="AA17" s="5394"/>
      <c r="AB17" s="5394"/>
      <c r="AC17" s="5394"/>
      <c r="AD17" s="5394"/>
      <c r="AE17" s="5394"/>
      <c r="AF17" s="5394"/>
      <c r="AG17" s="5394"/>
      <c r="AH17" s="5395"/>
      <c r="AI17" s="5399" t="s">
        <v>3500</v>
      </c>
      <c r="AJ17" s="5400"/>
      <c r="AK17" s="5400"/>
      <c r="AL17" s="5401"/>
      <c r="AM17" s="803"/>
      <c r="AN17" s="773"/>
      <c r="AO17" s="962"/>
      <c r="AQ17" s="1473"/>
    </row>
    <row r="18" spans="1:43" ht="12" customHeight="1" x14ac:dyDescent="0.2">
      <c r="A18" s="771"/>
      <c r="B18" s="1349"/>
      <c r="C18" s="5396"/>
      <c r="D18" s="5397"/>
      <c r="E18" s="5397"/>
      <c r="F18" s="5397"/>
      <c r="G18" s="5397"/>
      <c r="H18" s="5397"/>
      <c r="I18" s="5397"/>
      <c r="J18" s="5397"/>
      <c r="K18" s="5397"/>
      <c r="L18" s="5397"/>
      <c r="M18" s="5397"/>
      <c r="N18" s="5398"/>
      <c r="O18" s="5402"/>
      <c r="P18" s="5403"/>
      <c r="Q18" s="5403"/>
      <c r="R18" s="5404"/>
      <c r="S18" s="803"/>
      <c r="T18" s="771"/>
      <c r="U18" s="771"/>
      <c r="V18" s="1349"/>
      <c r="W18" s="5396"/>
      <c r="X18" s="5397"/>
      <c r="Y18" s="5397"/>
      <c r="Z18" s="5397"/>
      <c r="AA18" s="5397"/>
      <c r="AB18" s="5397"/>
      <c r="AC18" s="5397"/>
      <c r="AD18" s="5397"/>
      <c r="AE18" s="5397"/>
      <c r="AF18" s="5397"/>
      <c r="AG18" s="5397"/>
      <c r="AH18" s="5398"/>
      <c r="AI18" s="5402"/>
      <c r="AJ18" s="5403"/>
      <c r="AK18" s="5403"/>
      <c r="AL18" s="5404"/>
      <c r="AM18" s="803"/>
      <c r="AN18" s="773"/>
      <c r="AO18" s="962"/>
    </row>
    <row r="19" spans="1:43" ht="12" customHeight="1" x14ac:dyDescent="0.2">
      <c r="A19" s="771"/>
      <c r="B19" s="1353"/>
      <c r="C19" s="5411" t="str">
        <f>IF(C11="","",IF(ISNA(VLOOKUP(C11,'Tablas Técnicas'!$AD$6:$AJ$188,4,FALSE)),"-",VLOOKUP(C11,'Tablas Técnicas'!$AD$6:$AJ$188,4,FALSE)))</f>
        <v/>
      </c>
      <c r="D19" s="5412"/>
      <c r="E19" s="5412"/>
      <c r="F19" s="5412"/>
      <c r="G19" s="5412"/>
      <c r="H19" s="5412"/>
      <c r="I19" s="5412"/>
      <c r="J19" s="5412"/>
      <c r="K19" s="5412"/>
      <c r="L19" s="5412"/>
      <c r="M19" s="5412"/>
      <c r="N19" s="5412"/>
      <c r="O19" s="5405"/>
      <c r="P19" s="5406"/>
      <c r="Q19" s="5406"/>
      <c r="R19" s="5407"/>
      <c r="S19" s="803"/>
      <c r="T19" s="771"/>
      <c r="U19" s="771"/>
      <c r="V19" s="1353"/>
      <c r="W19" s="5411" t="str">
        <f>IF(W11="","",IF(ISNA(VLOOKUP(W11,'Tablas Técnicas'!$AD$6:$AJ$188,4,FALSE)),"-",VLOOKUP(W11,'Tablas Técnicas'!$AD$6:$AJ$188,4,FALSE)))</f>
        <v/>
      </c>
      <c r="X19" s="5412"/>
      <c r="Y19" s="5412"/>
      <c r="Z19" s="5412"/>
      <c r="AA19" s="5412"/>
      <c r="AB19" s="5412"/>
      <c r="AC19" s="5412"/>
      <c r="AD19" s="5412"/>
      <c r="AE19" s="5412"/>
      <c r="AF19" s="5412"/>
      <c r="AG19" s="5412"/>
      <c r="AH19" s="5412"/>
      <c r="AI19" s="5405"/>
      <c r="AJ19" s="5406"/>
      <c r="AK19" s="5406"/>
      <c r="AL19" s="5407"/>
      <c r="AM19" s="803"/>
      <c r="AN19" s="773"/>
      <c r="AO19" s="962"/>
    </row>
    <row r="20" spans="1:43" ht="12" customHeight="1" thickBot="1" x14ac:dyDescent="0.25">
      <c r="A20" s="771"/>
      <c r="B20" s="1349"/>
      <c r="C20" s="5413"/>
      <c r="D20" s="5414"/>
      <c r="E20" s="5414"/>
      <c r="F20" s="5414"/>
      <c r="G20" s="5414"/>
      <c r="H20" s="5414"/>
      <c r="I20" s="5414"/>
      <c r="J20" s="5414"/>
      <c r="K20" s="5414"/>
      <c r="L20" s="5414"/>
      <c r="M20" s="5414"/>
      <c r="N20" s="5414"/>
      <c r="O20" s="5408"/>
      <c r="P20" s="5409"/>
      <c r="Q20" s="5409"/>
      <c r="R20" s="5410"/>
      <c r="S20" s="803"/>
      <c r="T20" s="771"/>
      <c r="U20" s="771"/>
      <c r="V20" s="1349"/>
      <c r="W20" s="5413"/>
      <c r="X20" s="5414"/>
      <c r="Y20" s="5414"/>
      <c r="Z20" s="5414"/>
      <c r="AA20" s="5414"/>
      <c r="AB20" s="5414"/>
      <c r="AC20" s="5414"/>
      <c r="AD20" s="5414"/>
      <c r="AE20" s="5414"/>
      <c r="AF20" s="5414"/>
      <c r="AG20" s="5414"/>
      <c r="AH20" s="5414"/>
      <c r="AI20" s="5408"/>
      <c r="AJ20" s="5409"/>
      <c r="AK20" s="5409"/>
      <c r="AL20" s="5410"/>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75" t="s">
        <v>8177</v>
      </c>
      <c r="D22" s="5376"/>
      <c r="E22" s="5376"/>
      <c r="F22" s="5376"/>
      <c r="G22" s="5376"/>
      <c r="H22" s="5376"/>
      <c r="I22" s="5376"/>
      <c r="J22" s="5376"/>
      <c r="K22" s="5376"/>
      <c r="L22" s="5376"/>
      <c r="M22" s="5376"/>
      <c r="N22" s="5376"/>
      <c r="O22" s="5376"/>
      <c r="P22" s="5376"/>
      <c r="Q22" s="5377"/>
      <c r="R22" s="5378">
        <f>IF(C22="","",IF(ISNA(VLOOKUP(C22,'Tablas Técnicas'!$AD$6:$AJ$188,3,FALSE)),"-",VLOOKUP(C22,'Tablas Técnicas'!$AD$6:$AJ$188,3,FALSE)))</f>
        <v>0</v>
      </c>
      <c r="S22" s="858"/>
      <c r="T22" s="771"/>
      <c r="U22" s="771"/>
      <c r="V22" s="1349">
        <v>7</v>
      </c>
      <c r="W22" s="5375" t="s">
        <v>8177</v>
      </c>
      <c r="X22" s="5376"/>
      <c r="Y22" s="5376"/>
      <c r="Z22" s="5376"/>
      <c r="AA22" s="5376"/>
      <c r="AB22" s="5376"/>
      <c r="AC22" s="5376"/>
      <c r="AD22" s="5376"/>
      <c r="AE22" s="5376"/>
      <c r="AF22" s="5376"/>
      <c r="AG22" s="5376"/>
      <c r="AH22" s="5376"/>
      <c r="AI22" s="5376"/>
      <c r="AJ22" s="5376"/>
      <c r="AK22" s="5377"/>
      <c r="AL22" s="5378">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80"/>
      <c r="G23" s="5380"/>
      <c r="H23" s="5380"/>
      <c r="I23" s="5381" t="s">
        <v>3480</v>
      </c>
      <c r="J23" s="5381"/>
      <c r="K23" s="5381"/>
      <c r="L23" s="5382" t="str">
        <f>IF(C22="","",IF(ISNA(VLOOKUP(C22,'Tablas Técnicas'!$AD$6:$AJ$188,7,FALSE)),"-",VLOOKUP(C22,'Tablas Técnicas'!$AD$6:$AJ$188,7,FALSE)))</f>
        <v/>
      </c>
      <c r="M23" s="5382"/>
      <c r="N23" s="5382"/>
      <c r="O23" s="5382"/>
      <c r="P23" s="5382"/>
      <c r="Q23" s="5383"/>
      <c r="R23" s="5379"/>
      <c r="S23" s="803"/>
      <c r="T23" s="771"/>
      <c r="U23" s="771"/>
      <c r="V23" s="1349"/>
      <c r="W23" s="864" t="s">
        <v>1630</v>
      </c>
      <c r="X23" s="865">
        <f>IF(W22="","",IF(ISNA(VLOOKUP(W22,'Tablas Técnicas'!$AD$6:$AJ$188,2,FALSE)),"-",VLOOKUP(W22,'Tablas Técnicas'!$AD$6:$AJ$188,2,FALSE)))</f>
        <v>1</v>
      </c>
      <c r="Y23" s="866" t="s">
        <v>2175</v>
      </c>
      <c r="Z23" s="5380"/>
      <c r="AA23" s="5380"/>
      <c r="AB23" s="5380"/>
      <c r="AC23" s="5381" t="s">
        <v>3480</v>
      </c>
      <c r="AD23" s="5381"/>
      <c r="AE23" s="5381"/>
      <c r="AF23" s="5382" t="str">
        <f>IF(W22="","",IF(ISNA(VLOOKUP(W22,'Tablas Técnicas'!$AD$6:$AJ$188,7,FALSE)),"-",VLOOKUP(W22,'Tablas Técnicas'!$AD$6:$AJ$188,7,FALSE)))</f>
        <v/>
      </c>
      <c r="AG23" s="5382"/>
      <c r="AH23" s="5382"/>
      <c r="AI23" s="5382"/>
      <c r="AJ23" s="5382"/>
      <c r="AK23" s="5383"/>
      <c r="AL23" s="5379"/>
      <c r="AM23" s="803"/>
      <c r="AN23" s="773"/>
      <c r="AO23" s="962"/>
    </row>
    <row r="24" spans="1:43" ht="12" customHeight="1" x14ac:dyDescent="0.2">
      <c r="A24" s="771"/>
      <c r="B24" s="1349"/>
      <c r="C24" s="5384" t="str">
        <f>IF(C22="","",IF(ISNA(VLOOKUP(C22,'Tablas Técnicas'!$AD$6:$AJ$188,5,FALSE)),"-",VLOOKUP(C22,'Tablas Técnicas'!$AD$6:$AJ$188,5,FALSE)))</f>
        <v/>
      </c>
      <c r="D24" s="5385"/>
      <c r="E24" s="5385"/>
      <c r="F24" s="5385"/>
      <c r="G24" s="5385"/>
      <c r="H24" s="5385"/>
      <c r="I24" s="5385"/>
      <c r="J24" s="5385"/>
      <c r="K24" s="5385"/>
      <c r="L24" s="5385"/>
      <c r="M24" s="5385"/>
      <c r="N24" s="5385"/>
      <c r="O24" s="5385"/>
      <c r="P24" s="5385"/>
      <c r="Q24" s="5385"/>
      <c r="R24" s="5386"/>
      <c r="S24" s="871"/>
      <c r="T24" s="870"/>
      <c r="U24" s="771"/>
      <c r="V24" s="1349"/>
      <c r="W24" s="5384" t="str">
        <f>IF(W22="","",IF(ISNA(VLOOKUP(W22,'Tablas Técnicas'!$AD$6:$AJ$188,5,FALSE)),"-",VLOOKUP(W22,'Tablas Técnicas'!$AD$6:$AJ$188,5,FALSE)))</f>
        <v/>
      </c>
      <c r="X24" s="5385"/>
      <c r="Y24" s="5385"/>
      <c r="Z24" s="5385"/>
      <c r="AA24" s="5385"/>
      <c r="AB24" s="5385"/>
      <c r="AC24" s="5385"/>
      <c r="AD24" s="5385"/>
      <c r="AE24" s="5385"/>
      <c r="AF24" s="5385"/>
      <c r="AG24" s="5385"/>
      <c r="AH24" s="5385"/>
      <c r="AI24" s="5385"/>
      <c r="AJ24" s="5385"/>
      <c r="AK24" s="5385"/>
      <c r="AL24" s="5386"/>
      <c r="AM24" s="871"/>
      <c r="AN24" s="773"/>
      <c r="AO24" s="962"/>
    </row>
    <row r="25" spans="1:43" ht="12" customHeight="1" x14ac:dyDescent="0.2">
      <c r="A25" s="771"/>
      <c r="B25" s="1349"/>
      <c r="C25" s="5387"/>
      <c r="D25" s="5388"/>
      <c r="E25" s="5388"/>
      <c r="F25" s="5388"/>
      <c r="G25" s="5388"/>
      <c r="H25" s="5388"/>
      <c r="I25" s="5388"/>
      <c r="J25" s="5388"/>
      <c r="K25" s="5388"/>
      <c r="L25" s="5388"/>
      <c r="M25" s="5388"/>
      <c r="N25" s="5388"/>
      <c r="O25" s="5388"/>
      <c r="P25" s="5388"/>
      <c r="Q25" s="5388"/>
      <c r="R25" s="5389"/>
      <c r="S25" s="880"/>
      <c r="T25" s="870"/>
      <c r="U25" s="771"/>
      <c r="V25" s="1349"/>
      <c r="W25" s="5387"/>
      <c r="X25" s="5388"/>
      <c r="Y25" s="5388"/>
      <c r="Z25" s="5388"/>
      <c r="AA25" s="5388"/>
      <c r="AB25" s="5388"/>
      <c r="AC25" s="5388"/>
      <c r="AD25" s="5388"/>
      <c r="AE25" s="5388"/>
      <c r="AF25" s="5388"/>
      <c r="AG25" s="5388"/>
      <c r="AH25" s="5388"/>
      <c r="AI25" s="5388"/>
      <c r="AJ25" s="5388"/>
      <c r="AK25" s="5388"/>
      <c r="AL25" s="5389"/>
      <c r="AM25" s="880"/>
      <c r="AN25" s="773"/>
      <c r="AO25" s="962"/>
    </row>
    <row r="26" spans="1:43" ht="12" customHeight="1" x14ac:dyDescent="0.2">
      <c r="A26" s="771"/>
      <c r="B26" s="1349"/>
      <c r="C26" s="5387"/>
      <c r="D26" s="5388"/>
      <c r="E26" s="5388"/>
      <c r="F26" s="5388"/>
      <c r="G26" s="5388"/>
      <c r="H26" s="5388"/>
      <c r="I26" s="5388"/>
      <c r="J26" s="5388"/>
      <c r="K26" s="5388"/>
      <c r="L26" s="5388"/>
      <c r="M26" s="5388"/>
      <c r="N26" s="5388"/>
      <c r="O26" s="5388"/>
      <c r="P26" s="5388"/>
      <c r="Q26" s="5388"/>
      <c r="R26" s="5389"/>
      <c r="S26" s="880"/>
      <c r="T26" s="870"/>
      <c r="U26" s="771"/>
      <c r="V26" s="1349"/>
      <c r="W26" s="5387"/>
      <c r="X26" s="5388"/>
      <c r="Y26" s="5388"/>
      <c r="Z26" s="5388"/>
      <c r="AA26" s="5388"/>
      <c r="AB26" s="5388"/>
      <c r="AC26" s="5388"/>
      <c r="AD26" s="5388"/>
      <c r="AE26" s="5388"/>
      <c r="AF26" s="5388"/>
      <c r="AG26" s="5388"/>
      <c r="AH26" s="5388"/>
      <c r="AI26" s="5388"/>
      <c r="AJ26" s="5388"/>
      <c r="AK26" s="5388"/>
      <c r="AL26" s="5389"/>
      <c r="AM26" s="880"/>
      <c r="AN26" s="773"/>
      <c r="AO26" s="962"/>
    </row>
    <row r="27" spans="1:43" ht="12" customHeight="1" x14ac:dyDescent="0.2">
      <c r="A27" s="771"/>
      <c r="B27" s="1349"/>
      <c r="C27" s="5390"/>
      <c r="D27" s="5391"/>
      <c r="E27" s="5391"/>
      <c r="F27" s="5391"/>
      <c r="G27" s="5391"/>
      <c r="H27" s="5391"/>
      <c r="I27" s="5391"/>
      <c r="J27" s="5391"/>
      <c r="K27" s="5391"/>
      <c r="L27" s="5391"/>
      <c r="M27" s="5391"/>
      <c r="N27" s="5391"/>
      <c r="O27" s="5391"/>
      <c r="P27" s="5391"/>
      <c r="Q27" s="5391"/>
      <c r="R27" s="5392"/>
      <c r="S27" s="880"/>
      <c r="T27" s="870"/>
      <c r="U27" s="771"/>
      <c r="V27" s="1349"/>
      <c r="W27" s="5390"/>
      <c r="X27" s="5391"/>
      <c r="Y27" s="5391"/>
      <c r="Z27" s="5391"/>
      <c r="AA27" s="5391"/>
      <c r="AB27" s="5391"/>
      <c r="AC27" s="5391"/>
      <c r="AD27" s="5391"/>
      <c r="AE27" s="5391"/>
      <c r="AF27" s="5391"/>
      <c r="AG27" s="5391"/>
      <c r="AH27" s="5391"/>
      <c r="AI27" s="5391"/>
      <c r="AJ27" s="5391"/>
      <c r="AK27" s="5391"/>
      <c r="AL27" s="5392"/>
      <c r="AM27" s="880"/>
      <c r="AN27" s="773"/>
      <c r="AO27" s="962"/>
    </row>
    <row r="28" spans="1:43" ht="12" customHeight="1" x14ac:dyDescent="0.2">
      <c r="A28" s="771"/>
      <c r="B28" s="1353"/>
      <c r="C28" s="5393" t="str">
        <f>"Desventajas: "&amp;IF(C22="","",IF(ISNA(VLOOKUP(C22,'Tablas Técnicas'!$AD$6:$AJ$188,6,FALSE)),"-",VLOOKUP(C22,'Tablas Técnicas'!$AD$6:$AJ$188,6,FALSE)))</f>
        <v xml:space="preserve">Desventajas: </v>
      </c>
      <c r="D28" s="5394"/>
      <c r="E28" s="5394"/>
      <c r="F28" s="5394"/>
      <c r="G28" s="5394"/>
      <c r="H28" s="5394"/>
      <c r="I28" s="5394"/>
      <c r="J28" s="5394"/>
      <c r="K28" s="5394"/>
      <c r="L28" s="5394"/>
      <c r="M28" s="5394"/>
      <c r="N28" s="5395"/>
      <c r="O28" s="5399" t="s">
        <v>3500</v>
      </c>
      <c r="P28" s="5400"/>
      <c r="Q28" s="5400"/>
      <c r="R28" s="5401"/>
      <c r="S28" s="803"/>
      <c r="T28" s="771"/>
      <c r="U28" s="771"/>
      <c r="V28" s="1353"/>
      <c r="W28" s="5393" t="str">
        <f>"Desventajas: "&amp;IF(W22="","",IF(ISNA(VLOOKUP(W22,'Tablas Técnicas'!$AD$6:$AJ$188,6,FALSE)),"-",VLOOKUP(W22,'Tablas Técnicas'!$AD$6:$AJ$188,6,FALSE)))</f>
        <v xml:space="preserve">Desventajas: </v>
      </c>
      <c r="X28" s="5394"/>
      <c r="Y28" s="5394"/>
      <c r="Z28" s="5394"/>
      <c r="AA28" s="5394"/>
      <c r="AB28" s="5394"/>
      <c r="AC28" s="5394"/>
      <c r="AD28" s="5394"/>
      <c r="AE28" s="5394"/>
      <c r="AF28" s="5394"/>
      <c r="AG28" s="5394"/>
      <c r="AH28" s="5395"/>
      <c r="AI28" s="5399" t="s">
        <v>3500</v>
      </c>
      <c r="AJ28" s="5400"/>
      <c r="AK28" s="5400"/>
      <c r="AL28" s="5401"/>
      <c r="AM28" s="803"/>
      <c r="AN28" s="773"/>
      <c r="AO28" s="962"/>
    </row>
    <row r="29" spans="1:43" ht="12" customHeight="1" x14ac:dyDescent="0.2">
      <c r="A29" s="771"/>
      <c r="B29" s="1349"/>
      <c r="C29" s="5396"/>
      <c r="D29" s="5397"/>
      <c r="E29" s="5397"/>
      <c r="F29" s="5397"/>
      <c r="G29" s="5397"/>
      <c r="H29" s="5397"/>
      <c r="I29" s="5397"/>
      <c r="J29" s="5397"/>
      <c r="K29" s="5397"/>
      <c r="L29" s="5397"/>
      <c r="M29" s="5397"/>
      <c r="N29" s="5398"/>
      <c r="O29" s="5402"/>
      <c r="P29" s="5403"/>
      <c r="Q29" s="5403"/>
      <c r="R29" s="5404"/>
      <c r="S29" s="803"/>
      <c r="T29" s="771"/>
      <c r="U29" s="771"/>
      <c r="V29" s="1349"/>
      <c r="W29" s="5396"/>
      <c r="X29" s="5397"/>
      <c r="Y29" s="5397"/>
      <c r="Z29" s="5397"/>
      <c r="AA29" s="5397"/>
      <c r="AB29" s="5397"/>
      <c r="AC29" s="5397"/>
      <c r="AD29" s="5397"/>
      <c r="AE29" s="5397"/>
      <c r="AF29" s="5397"/>
      <c r="AG29" s="5397"/>
      <c r="AH29" s="5398"/>
      <c r="AI29" s="5402"/>
      <c r="AJ29" s="5403"/>
      <c r="AK29" s="5403"/>
      <c r="AL29" s="5404"/>
      <c r="AM29" s="803"/>
      <c r="AN29" s="773"/>
      <c r="AO29" s="962"/>
    </row>
    <row r="30" spans="1:43" ht="12" customHeight="1" x14ac:dyDescent="0.2">
      <c r="A30" s="771"/>
      <c r="B30" s="1353"/>
      <c r="C30" s="5411" t="str">
        <f>IF(C22="","",IF(ISNA(VLOOKUP(C22,'Tablas Técnicas'!$AD$6:$AJ$188,4,FALSE)),"-",VLOOKUP(C22,'Tablas Técnicas'!$AD$6:$AJ$188,4,FALSE)))</f>
        <v/>
      </c>
      <c r="D30" s="5412"/>
      <c r="E30" s="5412"/>
      <c r="F30" s="5412"/>
      <c r="G30" s="5412"/>
      <c r="H30" s="5412"/>
      <c r="I30" s="5412"/>
      <c r="J30" s="5412"/>
      <c r="K30" s="5412"/>
      <c r="L30" s="5412"/>
      <c r="M30" s="5412"/>
      <c r="N30" s="5412"/>
      <c r="O30" s="5405"/>
      <c r="P30" s="5406"/>
      <c r="Q30" s="5406"/>
      <c r="R30" s="5407"/>
      <c r="S30" s="803"/>
      <c r="T30" s="771"/>
      <c r="U30" s="771"/>
      <c r="V30" s="1353"/>
      <c r="W30" s="5411" t="str">
        <f>IF(W22="","",IF(ISNA(VLOOKUP(W22,'Tablas Técnicas'!$AD$6:$AJ$188,4,FALSE)),"-",VLOOKUP(W22,'Tablas Técnicas'!$AD$6:$AJ$188,4,FALSE)))</f>
        <v/>
      </c>
      <c r="X30" s="5412"/>
      <c r="Y30" s="5412"/>
      <c r="Z30" s="5412"/>
      <c r="AA30" s="5412"/>
      <c r="AB30" s="5412"/>
      <c r="AC30" s="5412"/>
      <c r="AD30" s="5412"/>
      <c r="AE30" s="5412"/>
      <c r="AF30" s="5412"/>
      <c r="AG30" s="5412"/>
      <c r="AH30" s="5412"/>
      <c r="AI30" s="5405"/>
      <c r="AJ30" s="5406"/>
      <c r="AK30" s="5406"/>
      <c r="AL30" s="5407"/>
      <c r="AM30" s="803"/>
      <c r="AN30" s="773"/>
      <c r="AO30" s="962"/>
    </row>
    <row r="31" spans="1:43" ht="12" customHeight="1" thickBot="1" x14ac:dyDescent="0.25">
      <c r="A31" s="771"/>
      <c r="B31" s="1349"/>
      <c r="C31" s="5413"/>
      <c r="D31" s="5414"/>
      <c r="E31" s="5414"/>
      <c r="F31" s="5414"/>
      <c r="G31" s="5414"/>
      <c r="H31" s="5414"/>
      <c r="I31" s="5414"/>
      <c r="J31" s="5414"/>
      <c r="K31" s="5414"/>
      <c r="L31" s="5414"/>
      <c r="M31" s="5414"/>
      <c r="N31" s="5414"/>
      <c r="O31" s="5408"/>
      <c r="P31" s="5409"/>
      <c r="Q31" s="5409"/>
      <c r="R31" s="5410"/>
      <c r="S31" s="803"/>
      <c r="T31" s="771"/>
      <c r="U31" s="771"/>
      <c r="V31" s="1349"/>
      <c r="W31" s="5413"/>
      <c r="X31" s="5414"/>
      <c r="Y31" s="5414"/>
      <c r="Z31" s="5414"/>
      <c r="AA31" s="5414"/>
      <c r="AB31" s="5414"/>
      <c r="AC31" s="5414"/>
      <c r="AD31" s="5414"/>
      <c r="AE31" s="5414"/>
      <c r="AF31" s="5414"/>
      <c r="AG31" s="5414"/>
      <c r="AH31" s="5414"/>
      <c r="AI31" s="5408"/>
      <c r="AJ31" s="5409"/>
      <c r="AK31" s="5409"/>
      <c r="AL31" s="5410"/>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75" t="s">
        <v>8177</v>
      </c>
      <c r="D33" s="5376"/>
      <c r="E33" s="5376"/>
      <c r="F33" s="5376"/>
      <c r="G33" s="5376"/>
      <c r="H33" s="5376"/>
      <c r="I33" s="5376"/>
      <c r="J33" s="5376"/>
      <c r="K33" s="5376"/>
      <c r="L33" s="5376"/>
      <c r="M33" s="5376"/>
      <c r="N33" s="5376"/>
      <c r="O33" s="5376"/>
      <c r="P33" s="5376"/>
      <c r="Q33" s="5377"/>
      <c r="R33" s="5378">
        <f>IF(C33="","",IF(ISNA(VLOOKUP(C33,'Tablas Técnicas'!$AD$6:$AJ$188,3,FALSE)),"-",VLOOKUP(C33,'Tablas Técnicas'!$AD$6:$AJ$188,3,FALSE)))</f>
        <v>0</v>
      </c>
      <c r="S33" s="858"/>
      <c r="T33" s="771"/>
      <c r="U33" s="771"/>
      <c r="V33" s="1349">
        <v>8</v>
      </c>
      <c r="W33" s="5375" t="s">
        <v>8177</v>
      </c>
      <c r="X33" s="5376"/>
      <c r="Y33" s="5376"/>
      <c r="Z33" s="5376"/>
      <c r="AA33" s="5376"/>
      <c r="AB33" s="5376"/>
      <c r="AC33" s="5376"/>
      <c r="AD33" s="5376"/>
      <c r="AE33" s="5376"/>
      <c r="AF33" s="5376"/>
      <c r="AG33" s="5376"/>
      <c r="AH33" s="5376"/>
      <c r="AI33" s="5376"/>
      <c r="AJ33" s="5376"/>
      <c r="AK33" s="5377"/>
      <c r="AL33" s="5378">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80"/>
      <c r="G34" s="5380"/>
      <c r="H34" s="5380"/>
      <c r="I34" s="5381" t="s">
        <v>3480</v>
      </c>
      <c r="J34" s="5381"/>
      <c r="K34" s="5381"/>
      <c r="L34" s="5382" t="str">
        <f>IF(C33="","",IF(ISNA(VLOOKUP(C33,'Tablas Técnicas'!$AD$6:$AJ$188,7,FALSE)),"-",VLOOKUP(C33,'Tablas Técnicas'!$AD$6:$AJ$188,7,FALSE)))</f>
        <v/>
      </c>
      <c r="M34" s="5382"/>
      <c r="N34" s="5382"/>
      <c r="O34" s="5382"/>
      <c r="P34" s="5382"/>
      <c r="Q34" s="5383"/>
      <c r="R34" s="5379"/>
      <c r="S34" s="803"/>
      <c r="T34" s="771"/>
      <c r="U34" s="771"/>
      <c r="V34" s="1349"/>
      <c r="W34" s="864" t="s">
        <v>1630</v>
      </c>
      <c r="X34" s="865">
        <f>IF(W33="","",IF(ISNA(VLOOKUP(W33,'Tablas Técnicas'!$AD$6:$AJ$188,2,FALSE)),"-",VLOOKUP(W33,'Tablas Técnicas'!$AD$6:$AJ$188,2,FALSE)))</f>
        <v>1</v>
      </c>
      <c r="Y34" s="866" t="s">
        <v>2175</v>
      </c>
      <c r="Z34" s="5380"/>
      <c r="AA34" s="5380"/>
      <c r="AB34" s="5380"/>
      <c r="AC34" s="5381" t="s">
        <v>3480</v>
      </c>
      <c r="AD34" s="5381"/>
      <c r="AE34" s="5381"/>
      <c r="AF34" s="5382" t="str">
        <f>IF(W33="","",IF(ISNA(VLOOKUP(W33,'Tablas Técnicas'!$AD$6:$AJ$188,7,FALSE)),"-",VLOOKUP(W33,'Tablas Técnicas'!$AD$6:$AJ$188,7,FALSE)))</f>
        <v/>
      </c>
      <c r="AG34" s="5382"/>
      <c r="AH34" s="5382"/>
      <c r="AI34" s="5382"/>
      <c r="AJ34" s="5382"/>
      <c r="AK34" s="5383"/>
      <c r="AL34" s="5379"/>
      <c r="AM34" s="803"/>
      <c r="AN34" s="773"/>
      <c r="AO34" s="962"/>
    </row>
    <row r="35" spans="1:41" ht="12" customHeight="1" x14ac:dyDescent="0.2">
      <c r="A35" s="771"/>
      <c r="B35" s="1349"/>
      <c r="C35" s="5384" t="str">
        <f>IF(C33="","",IF(ISNA(VLOOKUP(C33,'Tablas Técnicas'!$AD$6:$AJ$188,5,FALSE)),"-",VLOOKUP(C33,'Tablas Técnicas'!$AD$6:$AJ$188,5,FALSE)))</f>
        <v/>
      </c>
      <c r="D35" s="5385"/>
      <c r="E35" s="5385"/>
      <c r="F35" s="5385"/>
      <c r="G35" s="5385"/>
      <c r="H35" s="5385"/>
      <c r="I35" s="5385"/>
      <c r="J35" s="5385"/>
      <c r="K35" s="5385"/>
      <c r="L35" s="5385"/>
      <c r="M35" s="5385"/>
      <c r="N35" s="5385"/>
      <c r="O35" s="5385"/>
      <c r="P35" s="5385"/>
      <c r="Q35" s="5385"/>
      <c r="R35" s="5386"/>
      <c r="S35" s="871"/>
      <c r="T35" s="870"/>
      <c r="U35" s="771"/>
      <c r="V35" s="1349"/>
      <c r="W35" s="5384" t="str">
        <f>IF(W33="","",IF(ISNA(VLOOKUP(W33,'Tablas Técnicas'!$AD$6:$AJ$188,5,FALSE)),"-",VLOOKUP(W33,'Tablas Técnicas'!$AD$6:$AJ$188,5,FALSE)))</f>
        <v/>
      </c>
      <c r="X35" s="5385"/>
      <c r="Y35" s="5385"/>
      <c r="Z35" s="5385"/>
      <c r="AA35" s="5385"/>
      <c r="AB35" s="5385"/>
      <c r="AC35" s="5385"/>
      <c r="AD35" s="5385"/>
      <c r="AE35" s="5385"/>
      <c r="AF35" s="5385"/>
      <c r="AG35" s="5385"/>
      <c r="AH35" s="5385"/>
      <c r="AI35" s="5385"/>
      <c r="AJ35" s="5385"/>
      <c r="AK35" s="5385"/>
      <c r="AL35" s="5386"/>
      <c r="AM35" s="871"/>
      <c r="AN35" s="773"/>
      <c r="AO35" s="962"/>
    </row>
    <row r="36" spans="1:41" ht="12" customHeight="1" x14ac:dyDescent="0.2">
      <c r="A36" s="771"/>
      <c r="B36" s="1349"/>
      <c r="C36" s="5387"/>
      <c r="D36" s="5388"/>
      <c r="E36" s="5388"/>
      <c r="F36" s="5388"/>
      <c r="G36" s="5388"/>
      <c r="H36" s="5388"/>
      <c r="I36" s="5388"/>
      <c r="J36" s="5388"/>
      <c r="K36" s="5388"/>
      <c r="L36" s="5388"/>
      <c r="M36" s="5388"/>
      <c r="N36" s="5388"/>
      <c r="O36" s="5388"/>
      <c r="P36" s="5388"/>
      <c r="Q36" s="5388"/>
      <c r="R36" s="5389"/>
      <c r="S36" s="880"/>
      <c r="T36" s="870"/>
      <c r="U36" s="771"/>
      <c r="V36" s="1349"/>
      <c r="W36" s="5387"/>
      <c r="X36" s="5388"/>
      <c r="Y36" s="5388"/>
      <c r="Z36" s="5388"/>
      <c r="AA36" s="5388"/>
      <c r="AB36" s="5388"/>
      <c r="AC36" s="5388"/>
      <c r="AD36" s="5388"/>
      <c r="AE36" s="5388"/>
      <c r="AF36" s="5388"/>
      <c r="AG36" s="5388"/>
      <c r="AH36" s="5388"/>
      <c r="AI36" s="5388"/>
      <c r="AJ36" s="5388"/>
      <c r="AK36" s="5388"/>
      <c r="AL36" s="5389"/>
      <c r="AM36" s="880"/>
      <c r="AN36" s="773"/>
      <c r="AO36" s="962"/>
    </row>
    <row r="37" spans="1:41" ht="12" customHeight="1" x14ac:dyDescent="0.2">
      <c r="A37" s="771"/>
      <c r="B37" s="1349"/>
      <c r="C37" s="5387"/>
      <c r="D37" s="5388"/>
      <c r="E37" s="5388"/>
      <c r="F37" s="5388"/>
      <c r="G37" s="5388"/>
      <c r="H37" s="5388"/>
      <c r="I37" s="5388"/>
      <c r="J37" s="5388"/>
      <c r="K37" s="5388"/>
      <c r="L37" s="5388"/>
      <c r="M37" s="5388"/>
      <c r="N37" s="5388"/>
      <c r="O37" s="5388"/>
      <c r="P37" s="5388"/>
      <c r="Q37" s="5388"/>
      <c r="R37" s="5389"/>
      <c r="S37" s="880"/>
      <c r="T37" s="870"/>
      <c r="U37" s="771"/>
      <c r="V37" s="1349"/>
      <c r="W37" s="5387"/>
      <c r="X37" s="5388"/>
      <c r="Y37" s="5388"/>
      <c r="Z37" s="5388"/>
      <c r="AA37" s="5388"/>
      <c r="AB37" s="5388"/>
      <c r="AC37" s="5388"/>
      <c r="AD37" s="5388"/>
      <c r="AE37" s="5388"/>
      <c r="AF37" s="5388"/>
      <c r="AG37" s="5388"/>
      <c r="AH37" s="5388"/>
      <c r="AI37" s="5388"/>
      <c r="AJ37" s="5388"/>
      <c r="AK37" s="5388"/>
      <c r="AL37" s="5389"/>
      <c r="AM37" s="880"/>
      <c r="AN37" s="773"/>
      <c r="AO37" s="962"/>
    </row>
    <row r="38" spans="1:41" ht="12" customHeight="1" x14ac:dyDescent="0.2">
      <c r="A38" s="771"/>
      <c r="B38" s="1349"/>
      <c r="C38" s="5390"/>
      <c r="D38" s="5391"/>
      <c r="E38" s="5391"/>
      <c r="F38" s="5391"/>
      <c r="G38" s="5391"/>
      <c r="H38" s="5391"/>
      <c r="I38" s="5391"/>
      <c r="J38" s="5391"/>
      <c r="K38" s="5391"/>
      <c r="L38" s="5391"/>
      <c r="M38" s="5391"/>
      <c r="N38" s="5391"/>
      <c r="O38" s="5391"/>
      <c r="P38" s="5391"/>
      <c r="Q38" s="5391"/>
      <c r="R38" s="5392"/>
      <c r="S38" s="880"/>
      <c r="T38" s="870"/>
      <c r="U38" s="771"/>
      <c r="V38" s="1349"/>
      <c r="W38" s="5390"/>
      <c r="X38" s="5391"/>
      <c r="Y38" s="5391"/>
      <c r="Z38" s="5391"/>
      <c r="AA38" s="5391"/>
      <c r="AB38" s="5391"/>
      <c r="AC38" s="5391"/>
      <c r="AD38" s="5391"/>
      <c r="AE38" s="5391"/>
      <c r="AF38" s="5391"/>
      <c r="AG38" s="5391"/>
      <c r="AH38" s="5391"/>
      <c r="AI38" s="5391"/>
      <c r="AJ38" s="5391"/>
      <c r="AK38" s="5391"/>
      <c r="AL38" s="5392"/>
      <c r="AM38" s="880"/>
      <c r="AN38" s="773"/>
      <c r="AO38" s="962"/>
    </row>
    <row r="39" spans="1:41" ht="12" customHeight="1" x14ac:dyDescent="0.2">
      <c r="A39" s="771"/>
      <c r="B39" s="1353"/>
      <c r="C39" s="5393" t="str">
        <f>"Desventajas: "&amp;IF(C33="","",IF(ISNA(VLOOKUP(C33,'Tablas Técnicas'!$AD$6:$AJ$188,6,FALSE)),"-",VLOOKUP(C33,'Tablas Técnicas'!$AD$6:$AJ$188,6,FALSE)))</f>
        <v xml:space="preserve">Desventajas: </v>
      </c>
      <c r="D39" s="5394"/>
      <c r="E39" s="5394"/>
      <c r="F39" s="5394"/>
      <c r="G39" s="5394"/>
      <c r="H39" s="5394"/>
      <c r="I39" s="5394"/>
      <c r="J39" s="5394"/>
      <c r="K39" s="5394"/>
      <c r="L39" s="5394"/>
      <c r="M39" s="5394"/>
      <c r="N39" s="5395"/>
      <c r="O39" s="5399" t="s">
        <v>3500</v>
      </c>
      <c r="P39" s="5400"/>
      <c r="Q39" s="5400"/>
      <c r="R39" s="5401"/>
      <c r="S39" s="803"/>
      <c r="T39" s="771"/>
      <c r="U39" s="771"/>
      <c r="V39" s="1353"/>
      <c r="W39" s="5393" t="str">
        <f>"Desventajas: "&amp;IF(W33="","",IF(ISNA(VLOOKUP(W33,'Tablas Técnicas'!$AD$6:$AJ$188,6,FALSE)),"-",VLOOKUP(W33,'Tablas Técnicas'!$AD$6:$AJ$188,6,FALSE)))</f>
        <v xml:space="preserve">Desventajas: </v>
      </c>
      <c r="X39" s="5394"/>
      <c r="Y39" s="5394"/>
      <c r="Z39" s="5394"/>
      <c r="AA39" s="5394"/>
      <c r="AB39" s="5394"/>
      <c r="AC39" s="5394"/>
      <c r="AD39" s="5394"/>
      <c r="AE39" s="5394"/>
      <c r="AF39" s="5394"/>
      <c r="AG39" s="5394"/>
      <c r="AH39" s="5395"/>
      <c r="AI39" s="5399" t="s">
        <v>3500</v>
      </c>
      <c r="AJ39" s="5400"/>
      <c r="AK39" s="5400"/>
      <c r="AL39" s="5401"/>
      <c r="AM39" s="803"/>
      <c r="AN39" s="773"/>
      <c r="AO39" s="962"/>
    </row>
    <row r="40" spans="1:41" ht="12" customHeight="1" x14ac:dyDescent="0.2">
      <c r="A40" s="771"/>
      <c r="B40" s="1349"/>
      <c r="C40" s="5396"/>
      <c r="D40" s="5397"/>
      <c r="E40" s="5397"/>
      <c r="F40" s="5397"/>
      <c r="G40" s="5397"/>
      <c r="H40" s="5397"/>
      <c r="I40" s="5397"/>
      <c r="J40" s="5397"/>
      <c r="K40" s="5397"/>
      <c r="L40" s="5397"/>
      <c r="M40" s="5397"/>
      <c r="N40" s="5398"/>
      <c r="O40" s="5402"/>
      <c r="P40" s="5403"/>
      <c r="Q40" s="5403"/>
      <c r="R40" s="5404"/>
      <c r="S40" s="803"/>
      <c r="T40" s="771"/>
      <c r="U40" s="771"/>
      <c r="V40" s="1349"/>
      <c r="W40" s="5396"/>
      <c r="X40" s="5397"/>
      <c r="Y40" s="5397"/>
      <c r="Z40" s="5397"/>
      <c r="AA40" s="5397"/>
      <c r="AB40" s="5397"/>
      <c r="AC40" s="5397"/>
      <c r="AD40" s="5397"/>
      <c r="AE40" s="5397"/>
      <c r="AF40" s="5397"/>
      <c r="AG40" s="5397"/>
      <c r="AH40" s="5398"/>
      <c r="AI40" s="5402"/>
      <c r="AJ40" s="5403"/>
      <c r="AK40" s="5403"/>
      <c r="AL40" s="5404"/>
      <c r="AM40" s="803"/>
      <c r="AN40" s="773"/>
      <c r="AO40" s="962"/>
    </row>
    <row r="41" spans="1:41" ht="12" customHeight="1" x14ac:dyDescent="0.2">
      <c r="A41" s="771"/>
      <c r="B41" s="1353"/>
      <c r="C41" s="5411" t="str">
        <f>IF(C33="","",IF(ISNA(VLOOKUP(C33,'Tablas Técnicas'!$AD$6:$AJ$188,4,FALSE)),"-",VLOOKUP(C33,'Tablas Técnicas'!$AD$6:$AJ$188,4,FALSE)))</f>
        <v/>
      </c>
      <c r="D41" s="5412"/>
      <c r="E41" s="5412"/>
      <c r="F41" s="5412"/>
      <c r="G41" s="5412"/>
      <c r="H41" s="5412"/>
      <c r="I41" s="5412"/>
      <c r="J41" s="5412"/>
      <c r="K41" s="5412"/>
      <c r="L41" s="5412"/>
      <c r="M41" s="5412"/>
      <c r="N41" s="5412"/>
      <c r="O41" s="5405"/>
      <c r="P41" s="5406"/>
      <c r="Q41" s="5406"/>
      <c r="R41" s="5407"/>
      <c r="S41" s="803"/>
      <c r="T41" s="771"/>
      <c r="U41" s="771"/>
      <c r="V41" s="1353"/>
      <c r="W41" s="5411" t="str">
        <f>IF(W33="","",IF(ISNA(VLOOKUP(W33,'Tablas Técnicas'!$AD$6:$AJ$188,4,FALSE)),"-",VLOOKUP(W33,'Tablas Técnicas'!$AD$6:$AJ$188,4,FALSE)))</f>
        <v/>
      </c>
      <c r="X41" s="5412"/>
      <c r="Y41" s="5412"/>
      <c r="Z41" s="5412"/>
      <c r="AA41" s="5412"/>
      <c r="AB41" s="5412"/>
      <c r="AC41" s="5412"/>
      <c r="AD41" s="5412"/>
      <c r="AE41" s="5412"/>
      <c r="AF41" s="5412"/>
      <c r="AG41" s="5412"/>
      <c r="AH41" s="5412"/>
      <c r="AI41" s="5405"/>
      <c r="AJ41" s="5406"/>
      <c r="AK41" s="5406"/>
      <c r="AL41" s="5407"/>
      <c r="AM41" s="803"/>
      <c r="AN41" s="773"/>
      <c r="AO41" s="962"/>
    </row>
    <row r="42" spans="1:41" ht="12" customHeight="1" thickBot="1" x14ac:dyDescent="0.25">
      <c r="A42" s="771"/>
      <c r="B42" s="1349"/>
      <c r="C42" s="5413"/>
      <c r="D42" s="5414"/>
      <c r="E42" s="5414"/>
      <c r="F42" s="5414"/>
      <c r="G42" s="5414"/>
      <c r="H42" s="5414"/>
      <c r="I42" s="5414"/>
      <c r="J42" s="5414"/>
      <c r="K42" s="5414"/>
      <c r="L42" s="5414"/>
      <c r="M42" s="5414"/>
      <c r="N42" s="5414"/>
      <c r="O42" s="5408"/>
      <c r="P42" s="5409"/>
      <c r="Q42" s="5409"/>
      <c r="R42" s="5410"/>
      <c r="S42" s="803"/>
      <c r="T42" s="771"/>
      <c r="U42" s="771"/>
      <c r="V42" s="1349"/>
      <c r="W42" s="5413"/>
      <c r="X42" s="5414"/>
      <c r="Y42" s="5414"/>
      <c r="Z42" s="5414"/>
      <c r="AA42" s="5414"/>
      <c r="AB42" s="5414"/>
      <c r="AC42" s="5414"/>
      <c r="AD42" s="5414"/>
      <c r="AE42" s="5414"/>
      <c r="AF42" s="5414"/>
      <c r="AG42" s="5414"/>
      <c r="AH42" s="5414"/>
      <c r="AI42" s="5408"/>
      <c r="AJ42" s="5409"/>
      <c r="AK42" s="5409"/>
      <c r="AL42" s="5410"/>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75" t="s">
        <v>8177</v>
      </c>
      <c r="D44" s="5376"/>
      <c r="E44" s="5376"/>
      <c r="F44" s="5376"/>
      <c r="G44" s="5376"/>
      <c r="H44" s="5376"/>
      <c r="I44" s="5376"/>
      <c r="J44" s="5376"/>
      <c r="K44" s="5376"/>
      <c r="L44" s="5376"/>
      <c r="M44" s="5376"/>
      <c r="N44" s="5376"/>
      <c r="O44" s="5376"/>
      <c r="P44" s="5376"/>
      <c r="Q44" s="5377"/>
      <c r="R44" s="5378">
        <f>IF(C44="","",IF(ISNA(VLOOKUP(C44,'Tablas Técnicas'!$AD$6:$AJ$188,3,FALSE)),"-",VLOOKUP(C44,'Tablas Técnicas'!$AD$6:$AJ$188,3,FALSE)))</f>
        <v>0</v>
      </c>
      <c r="S44" s="858"/>
      <c r="T44" s="771"/>
      <c r="U44" s="771"/>
      <c r="V44" s="1349">
        <v>9</v>
      </c>
      <c r="W44" s="5375" t="s">
        <v>8177</v>
      </c>
      <c r="X44" s="5376"/>
      <c r="Y44" s="5376"/>
      <c r="Z44" s="5376"/>
      <c r="AA44" s="5376"/>
      <c r="AB44" s="5376"/>
      <c r="AC44" s="5376"/>
      <c r="AD44" s="5376"/>
      <c r="AE44" s="5376"/>
      <c r="AF44" s="5376"/>
      <c r="AG44" s="5376"/>
      <c r="AH44" s="5376"/>
      <c r="AI44" s="5376"/>
      <c r="AJ44" s="5376"/>
      <c r="AK44" s="5377"/>
      <c r="AL44" s="5378">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80"/>
      <c r="G45" s="5380"/>
      <c r="H45" s="5380"/>
      <c r="I45" s="5381" t="s">
        <v>3480</v>
      </c>
      <c r="J45" s="5381"/>
      <c r="K45" s="5381"/>
      <c r="L45" s="5382" t="str">
        <f>IF(C44="","",IF(ISNA(VLOOKUP(C44,'Tablas Técnicas'!$AD$6:$AJ$188,7,FALSE)),"-",VLOOKUP(C44,'Tablas Técnicas'!$AD$6:$AJ$188,7,FALSE)))</f>
        <v/>
      </c>
      <c r="M45" s="5382"/>
      <c r="N45" s="5382"/>
      <c r="O45" s="5382"/>
      <c r="P45" s="5382"/>
      <c r="Q45" s="5383"/>
      <c r="R45" s="5379"/>
      <c r="S45" s="803"/>
      <c r="T45" s="771"/>
      <c r="U45" s="771"/>
      <c r="V45" s="1349"/>
      <c r="W45" s="864" t="s">
        <v>1630</v>
      </c>
      <c r="X45" s="865">
        <f>IF(W44="","",IF(ISNA(VLOOKUP(W44,'Tablas Técnicas'!$AD$6:$AJ$188,2,FALSE)),"-",VLOOKUP(W44,'Tablas Técnicas'!$AD$6:$AJ$188,2,FALSE)))</f>
        <v>1</v>
      </c>
      <c r="Y45" s="866" t="s">
        <v>2175</v>
      </c>
      <c r="Z45" s="5380"/>
      <c r="AA45" s="5380"/>
      <c r="AB45" s="5380"/>
      <c r="AC45" s="5381" t="s">
        <v>3480</v>
      </c>
      <c r="AD45" s="5381"/>
      <c r="AE45" s="5381"/>
      <c r="AF45" s="5382" t="str">
        <f>IF(W44="","",IF(ISNA(VLOOKUP(W44,'Tablas Técnicas'!$AD$6:$AJ$188,7,FALSE)),"-",VLOOKUP(W44,'Tablas Técnicas'!$AD$6:$AJ$188,7,FALSE)))</f>
        <v/>
      </c>
      <c r="AG45" s="5382"/>
      <c r="AH45" s="5382"/>
      <c r="AI45" s="5382"/>
      <c r="AJ45" s="5382"/>
      <c r="AK45" s="5383"/>
      <c r="AL45" s="5379"/>
      <c r="AM45" s="803"/>
      <c r="AN45" s="773"/>
      <c r="AO45" s="962"/>
    </row>
    <row r="46" spans="1:41" ht="12" customHeight="1" x14ac:dyDescent="0.2">
      <c r="A46" s="771"/>
      <c r="B46" s="1349"/>
      <c r="C46" s="5384" t="str">
        <f>IF(C44="","",IF(ISNA(VLOOKUP(C44,'Tablas Técnicas'!$AD$6:$AJ$188,5,FALSE)),"-",VLOOKUP(C44,'Tablas Técnicas'!$AD$6:$AJ$188,5,FALSE)))</f>
        <v/>
      </c>
      <c r="D46" s="5385"/>
      <c r="E46" s="5385"/>
      <c r="F46" s="5385"/>
      <c r="G46" s="5385"/>
      <c r="H46" s="5385"/>
      <c r="I46" s="5385"/>
      <c r="J46" s="5385"/>
      <c r="K46" s="5385"/>
      <c r="L46" s="5385"/>
      <c r="M46" s="5385"/>
      <c r="N46" s="5385"/>
      <c r="O46" s="5385"/>
      <c r="P46" s="5385"/>
      <c r="Q46" s="5385"/>
      <c r="R46" s="5386"/>
      <c r="S46" s="871"/>
      <c r="T46" s="870"/>
      <c r="U46" s="771"/>
      <c r="V46" s="1349"/>
      <c r="W46" s="5384" t="str">
        <f>IF(W44="","",IF(ISNA(VLOOKUP(W44,'Tablas Técnicas'!$AD$6:$AJ$188,5,FALSE)),"-",VLOOKUP(W44,'Tablas Técnicas'!$AD$6:$AJ$188,5,FALSE)))</f>
        <v/>
      </c>
      <c r="X46" s="5385"/>
      <c r="Y46" s="5385"/>
      <c r="Z46" s="5385"/>
      <c r="AA46" s="5385"/>
      <c r="AB46" s="5385"/>
      <c r="AC46" s="5385"/>
      <c r="AD46" s="5385"/>
      <c r="AE46" s="5385"/>
      <c r="AF46" s="5385"/>
      <c r="AG46" s="5385"/>
      <c r="AH46" s="5385"/>
      <c r="AI46" s="5385"/>
      <c r="AJ46" s="5385"/>
      <c r="AK46" s="5385"/>
      <c r="AL46" s="5386"/>
      <c r="AM46" s="871"/>
      <c r="AN46" s="773"/>
      <c r="AO46" s="962"/>
    </row>
    <row r="47" spans="1:41" ht="12" customHeight="1" x14ac:dyDescent="0.2">
      <c r="A47" s="771"/>
      <c r="B47" s="1349"/>
      <c r="C47" s="5387"/>
      <c r="D47" s="5388"/>
      <c r="E47" s="5388"/>
      <c r="F47" s="5388"/>
      <c r="G47" s="5388"/>
      <c r="H47" s="5388"/>
      <c r="I47" s="5388"/>
      <c r="J47" s="5388"/>
      <c r="K47" s="5388"/>
      <c r="L47" s="5388"/>
      <c r="M47" s="5388"/>
      <c r="N47" s="5388"/>
      <c r="O47" s="5388"/>
      <c r="P47" s="5388"/>
      <c r="Q47" s="5388"/>
      <c r="R47" s="5389"/>
      <c r="S47" s="880"/>
      <c r="T47" s="870"/>
      <c r="U47" s="771"/>
      <c r="V47" s="1349"/>
      <c r="W47" s="5387"/>
      <c r="X47" s="5388"/>
      <c r="Y47" s="5388"/>
      <c r="Z47" s="5388"/>
      <c r="AA47" s="5388"/>
      <c r="AB47" s="5388"/>
      <c r="AC47" s="5388"/>
      <c r="AD47" s="5388"/>
      <c r="AE47" s="5388"/>
      <c r="AF47" s="5388"/>
      <c r="AG47" s="5388"/>
      <c r="AH47" s="5388"/>
      <c r="AI47" s="5388"/>
      <c r="AJ47" s="5388"/>
      <c r="AK47" s="5388"/>
      <c r="AL47" s="5389"/>
      <c r="AM47" s="880"/>
      <c r="AN47" s="773"/>
      <c r="AO47" s="962"/>
    </row>
    <row r="48" spans="1:41" ht="12" customHeight="1" x14ac:dyDescent="0.2">
      <c r="A48" s="771"/>
      <c r="B48" s="1349"/>
      <c r="C48" s="5387"/>
      <c r="D48" s="5388"/>
      <c r="E48" s="5388"/>
      <c r="F48" s="5388"/>
      <c r="G48" s="5388"/>
      <c r="H48" s="5388"/>
      <c r="I48" s="5388"/>
      <c r="J48" s="5388"/>
      <c r="K48" s="5388"/>
      <c r="L48" s="5388"/>
      <c r="M48" s="5388"/>
      <c r="N48" s="5388"/>
      <c r="O48" s="5388"/>
      <c r="P48" s="5388"/>
      <c r="Q48" s="5388"/>
      <c r="R48" s="5389"/>
      <c r="S48" s="880"/>
      <c r="T48" s="870"/>
      <c r="U48" s="771"/>
      <c r="V48" s="1349"/>
      <c r="W48" s="5387"/>
      <c r="X48" s="5388"/>
      <c r="Y48" s="5388"/>
      <c r="Z48" s="5388"/>
      <c r="AA48" s="5388"/>
      <c r="AB48" s="5388"/>
      <c r="AC48" s="5388"/>
      <c r="AD48" s="5388"/>
      <c r="AE48" s="5388"/>
      <c r="AF48" s="5388"/>
      <c r="AG48" s="5388"/>
      <c r="AH48" s="5388"/>
      <c r="AI48" s="5388"/>
      <c r="AJ48" s="5388"/>
      <c r="AK48" s="5388"/>
      <c r="AL48" s="5389"/>
      <c r="AM48" s="880"/>
      <c r="AN48" s="773"/>
      <c r="AO48" s="962"/>
    </row>
    <row r="49" spans="1:41" ht="12" customHeight="1" x14ac:dyDescent="0.2">
      <c r="A49" s="771"/>
      <c r="B49" s="1349"/>
      <c r="C49" s="5390"/>
      <c r="D49" s="5391"/>
      <c r="E49" s="5391"/>
      <c r="F49" s="5391"/>
      <c r="G49" s="5391"/>
      <c r="H49" s="5391"/>
      <c r="I49" s="5391"/>
      <c r="J49" s="5391"/>
      <c r="K49" s="5391"/>
      <c r="L49" s="5391"/>
      <c r="M49" s="5391"/>
      <c r="N49" s="5391"/>
      <c r="O49" s="5391"/>
      <c r="P49" s="5391"/>
      <c r="Q49" s="5391"/>
      <c r="R49" s="5392"/>
      <c r="S49" s="880"/>
      <c r="T49" s="870"/>
      <c r="U49" s="771"/>
      <c r="V49" s="1349"/>
      <c r="W49" s="5390"/>
      <c r="X49" s="5391"/>
      <c r="Y49" s="5391"/>
      <c r="Z49" s="5391"/>
      <c r="AA49" s="5391"/>
      <c r="AB49" s="5391"/>
      <c r="AC49" s="5391"/>
      <c r="AD49" s="5391"/>
      <c r="AE49" s="5391"/>
      <c r="AF49" s="5391"/>
      <c r="AG49" s="5391"/>
      <c r="AH49" s="5391"/>
      <c r="AI49" s="5391"/>
      <c r="AJ49" s="5391"/>
      <c r="AK49" s="5391"/>
      <c r="AL49" s="5392"/>
      <c r="AM49" s="880"/>
      <c r="AN49" s="773"/>
      <c r="AO49" s="962"/>
    </row>
    <row r="50" spans="1:41" ht="12" customHeight="1" x14ac:dyDescent="0.2">
      <c r="A50" s="771"/>
      <c r="B50" s="1353"/>
      <c r="C50" s="5393" t="str">
        <f>"Desventajas: "&amp;IF(C44="","",IF(ISNA(VLOOKUP(C44,'Tablas Técnicas'!$AD$6:$AJ$188,6,FALSE)),"-",VLOOKUP(C44,'Tablas Técnicas'!$AD$6:$AJ$188,6,FALSE)))</f>
        <v xml:space="preserve">Desventajas: </v>
      </c>
      <c r="D50" s="5394"/>
      <c r="E50" s="5394"/>
      <c r="F50" s="5394"/>
      <c r="G50" s="5394"/>
      <c r="H50" s="5394"/>
      <c r="I50" s="5394"/>
      <c r="J50" s="5394"/>
      <c r="K50" s="5394"/>
      <c r="L50" s="5394"/>
      <c r="M50" s="5394"/>
      <c r="N50" s="5395"/>
      <c r="O50" s="5399" t="s">
        <v>3500</v>
      </c>
      <c r="P50" s="5400"/>
      <c r="Q50" s="5400"/>
      <c r="R50" s="5401"/>
      <c r="S50" s="803"/>
      <c r="T50" s="771"/>
      <c r="U50" s="771"/>
      <c r="V50" s="1353"/>
      <c r="W50" s="5393" t="str">
        <f>"Desventajas: "&amp;IF(W44="","",IF(ISNA(VLOOKUP(W44,'Tablas Técnicas'!$AD$6:$AJ$188,6,FALSE)),"-",VLOOKUP(W44,'Tablas Técnicas'!$AD$6:$AJ$188,6,FALSE)))</f>
        <v xml:space="preserve">Desventajas: </v>
      </c>
      <c r="X50" s="5394"/>
      <c r="Y50" s="5394"/>
      <c r="Z50" s="5394"/>
      <c r="AA50" s="5394"/>
      <c r="AB50" s="5394"/>
      <c r="AC50" s="5394"/>
      <c r="AD50" s="5394"/>
      <c r="AE50" s="5394"/>
      <c r="AF50" s="5394"/>
      <c r="AG50" s="5394"/>
      <c r="AH50" s="5395"/>
      <c r="AI50" s="5399" t="s">
        <v>3500</v>
      </c>
      <c r="AJ50" s="5400"/>
      <c r="AK50" s="5400"/>
      <c r="AL50" s="5401"/>
      <c r="AM50" s="803"/>
      <c r="AN50" s="773"/>
      <c r="AO50" s="962"/>
    </row>
    <row r="51" spans="1:41" ht="12" customHeight="1" x14ac:dyDescent="0.2">
      <c r="A51" s="771"/>
      <c r="B51" s="1349"/>
      <c r="C51" s="5396"/>
      <c r="D51" s="5397"/>
      <c r="E51" s="5397"/>
      <c r="F51" s="5397"/>
      <c r="G51" s="5397"/>
      <c r="H51" s="5397"/>
      <c r="I51" s="5397"/>
      <c r="J51" s="5397"/>
      <c r="K51" s="5397"/>
      <c r="L51" s="5397"/>
      <c r="M51" s="5397"/>
      <c r="N51" s="5398"/>
      <c r="O51" s="5402"/>
      <c r="P51" s="5403"/>
      <c r="Q51" s="5403"/>
      <c r="R51" s="5404"/>
      <c r="S51" s="803"/>
      <c r="T51" s="771"/>
      <c r="U51" s="771"/>
      <c r="V51" s="1349"/>
      <c r="W51" s="5396"/>
      <c r="X51" s="5397"/>
      <c r="Y51" s="5397"/>
      <c r="Z51" s="5397"/>
      <c r="AA51" s="5397"/>
      <c r="AB51" s="5397"/>
      <c r="AC51" s="5397"/>
      <c r="AD51" s="5397"/>
      <c r="AE51" s="5397"/>
      <c r="AF51" s="5397"/>
      <c r="AG51" s="5397"/>
      <c r="AH51" s="5398"/>
      <c r="AI51" s="5402"/>
      <c r="AJ51" s="5403"/>
      <c r="AK51" s="5403"/>
      <c r="AL51" s="5404"/>
      <c r="AM51" s="803"/>
      <c r="AN51" s="773"/>
      <c r="AO51" s="962"/>
    </row>
    <row r="52" spans="1:41" ht="12" customHeight="1" x14ac:dyDescent="0.2">
      <c r="A52" s="771"/>
      <c r="B52" s="1353"/>
      <c r="C52" s="5411" t="str">
        <f>IF(C44="","",IF(ISNA(VLOOKUP(C44,'Tablas Técnicas'!$AD$6:$AJ$188,4,FALSE)),"-",VLOOKUP(C44,'Tablas Técnicas'!$AD$6:$AJ$188,4,FALSE)))</f>
        <v/>
      </c>
      <c r="D52" s="5412"/>
      <c r="E52" s="5412"/>
      <c r="F52" s="5412"/>
      <c r="G52" s="5412"/>
      <c r="H52" s="5412"/>
      <c r="I52" s="5412"/>
      <c r="J52" s="5412"/>
      <c r="K52" s="5412"/>
      <c r="L52" s="5412"/>
      <c r="M52" s="5412"/>
      <c r="N52" s="5412"/>
      <c r="O52" s="5405"/>
      <c r="P52" s="5406"/>
      <c r="Q52" s="5406"/>
      <c r="R52" s="5407"/>
      <c r="S52" s="803"/>
      <c r="T52" s="771"/>
      <c r="U52" s="771"/>
      <c r="V52" s="1353"/>
      <c r="W52" s="5411" t="str">
        <f>IF(W44="","",IF(ISNA(VLOOKUP(W44,'Tablas Técnicas'!$AD$6:$AJ$188,4,FALSE)),"-",VLOOKUP(W44,'Tablas Técnicas'!$AD$6:$AJ$188,4,FALSE)))</f>
        <v/>
      </c>
      <c r="X52" s="5412"/>
      <c r="Y52" s="5412"/>
      <c r="Z52" s="5412"/>
      <c r="AA52" s="5412"/>
      <c r="AB52" s="5412"/>
      <c r="AC52" s="5412"/>
      <c r="AD52" s="5412"/>
      <c r="AE52" s="5412"/>
      <c r="AF52" s="5412"/>
      <c r="AG52" s="5412"/>
      <c r="AH52" s="5412"/>
      <c r="AI52" s="5405"/>
      <c r="AJ52" s="5406"/>
      <c r="AK52" s="5406"/>
      <c r="AL52" s="5407"/>
      <c r="AM52" s="803"/>
      <c r="AN52" s="773"/>
      <c r="AO52" s="962"/>
    </row>
    <row r="53" spans="1:41" ht="12" customHeight="1" thickBot="1" x14ac:dyDescent="0.25">
      <c r="A53" s="771"/>
      <c r="B53" s="1349"/>
      <c r="C53" s="5413"/>
      <c r="D53" s="5414"/>
      <c r="E53" s="5414"/>
      <c r="F53" s="5414"/>
      <c r="G53" s="5414"/>
      <c r="H53" s="5414"/>
      <c r="I53" s="5414"/>
      <c r="J53" s="5414"/>
      <c r="K53" s="5414"/>
      <c r="L53" s="5414"/>
      <c r="M53" s="5414"/>
      <c r="N53" s="5414"/>
      <c r="O53" s="5408"/>
      <c r="P53" s="5409"/>
      <c r="Q53" s="5409"/>
      <c r="R53" s="5410"/>
      <c r="S53" s="803"/>
      <c r="T53" s="771"/>
      <c r="U53" s="771"/>
      <c r="V53" s="1349"/>
      <c r="W53" s="5413"/>
      <c r="X53" s="5414"/>
      <c r="Y53" s="5414"/>
      <c r="Z53" s="5414"/>
      <c r="AA53" s="5414"/>
      <c r="AB53" s="5414"/>
      <c r="AC53" s="5414"/>
      <c r="AD53" s="5414"/>
      <c r="AE53" s="5414"/>
      <c r="AF53" s="5414"/>
      <c r="AG53" s="5414"/>
      <c r="AH53" s="5414"/>
      <c r="AI53" s="5408"/>
      <c r="AJ53" s="5409"/>
      <c r="AK53" s="5409"/>
      <c r="AL53" s="5410"/>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75" t="s">
        <v>8177</v>
      </c>
      <c r="D55" s="5376"/>
      <c r="E55" s="5376"/>
      <c r="F55" s="5376"/>
      <c r="G55" s="5376"/>
      <c r="H55" s="5376"/>
      <c r="I55" s="5376"/>
      <c r="J55" s="5376"/>
      <c r="K55" s="5376"/>
      <c r="L55" s="5376"/>
      <c r="M55" s="5376"/>
      <c r="N55" s="5376"/>
      <c r="O55" s="5376"/>
      <c r="P55" s="5376"/>
      <c r="Q55" s="5377"/>
      <c r="R55" s="5378">
        <f>IF(C55="","",IF(ISNA(VLOOKUP(C55,'Tablas Técnicas'!$AD$6:$AJ$188,3,FALSE)),"-",VLOOKUP(C55,'Tablas Técnicas'!$AD$6:$AJ$188,3,FALSE)))</f>
        <v>0</v>
      </c>
      <c r="S55" s="858"/>
      <c r="T55" s="771"/>
      <c r="U55" s="771"/>
      <c r="V55" s="1349">
        <v>10</v>
      </c>
      <c r="W55" s="5375" t="s">
        <v>8177</v>
      </c>
      <c r="X55" s="5376"/>
      <c r="Y55" s="5376"/>
      <c r="Z55" s="5376"/>
      <c r="AA55" s="5376"/>
      <c r="AB55" s="5376"/>
      <c r="AC55" s="5376"/>
      <c r="AD55" s="5376"/>
      <c r="AE55" s="5376"/>
      <c r="AF55" s="5376"/>
      <c r="AG55" s="5376"/>
      <c r="AH55" s="5376"/>
      <c r="AI55" s="5376"/>
      <c r="AJ55" s="5376"/>
      <c r="AK55" s="5377"/>
      <c r="AL55" s="5378">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80"/>
      <c r="G56" s="5380"/>
      <c r="H56" s="5380"/>
      <c r="I56" s="5381" t="s">
        <v>3480</v>
      </c>
      <c r="J56" s="5381"/>
      <c r="K56" s="5381"/>
      <c r="L56" s="5382" t="str">
        <f>IF(C55="","",IF(ISNA(VLOOKUP(C55,'Tablas Técnicas'!$AD$6:$AJ$188,7,FALSE)),"-",VLOOKUP(C55,'Tablas Técnicas'!$AD$6:$AJ$188,7,FALSE)))</f>
        <v/>
      </c>
      <c r="M56" s="5382"/>
      <c r="N56" s="5382"/>
      <c r="O56" s="5382"/>
      <c r="P56" s="5382"/>
      <c r="Q56" s="5383"/>
      <c r="R56" s="5379"/>
      <c r="S56" s="803"/>
      <c r="T56" s="771"/>
      <c r="U56" s="771"/>
      <c r="V56" s="1349"/>
      <c r="W56" s="864" t="s">
        <v>1630</v>
      </c>
      <c r="X56" s="865">
        <f>IF(W55="","",IF(ISNA(VLOOKUP(W55,'Tablas Técnicas'!$AD$6:$AJ$188,2,FALSE)),"-",VLOOKUP(W55,'Tablas Técnicas'!$AD$6:$AJ$188,2,FALSE)))</f>
        <v>1</v>
      </c>
      <c r="Y56" s="866" t="s">
        <v>2175</v>
      </c>
      <c r="Z56" s="5380"/>
      <c r="AA56" s="5380"/>
      <c r="AB56" s="5380"/>
      <c r="AC56" s="5381" t="s">
        <v>3480</v>
      </c>
      <c r="AD56" s="5381"/>
      <c r="AE56" s="5381"/>
      <c r="AF56" s="5382" t="str">
        <f>IF(W55="","",IF(ISNA(VLOOKUP(W55,'Tablas Técnicas'!$AD$6:$AJ$188,7,FALSE)),"-",VLOOKUP(W55,'Tablas Técnicas'!$AD$6:$AJ$188,7,FALSE)))</f>
        <v/>
      </c>
      <c r="AG56" s="5382"/>
      <c r="AH56" s="5382"/>
      <c r="AI56" s="5382"/>
      <c r="AJ56" s="5382"/>
      <c r="AK56" s="5383"/>
      <c r="AL56" s="5379"/>
      <c r="AM56" s="803"/>
      <c r="AN56" s="773"/>
      <c r="AO56" s="962"/>
    </row>
    <row r="57" spans="1:41" ht="12" customHeight="1" x14ac:dyDescent="0.2">
      <c r="A57" s="771"/>
      <c r="B57" s="1349"/>
      <c r="C57" s="5384" t="str">
        <f>IF(C55="","",IF(ISNA(VLOOKUP(C55,'Tablas Técnicas'!$AD$6:$AJ$188,5,FALSE)),"-",VLOOKUP(C55,'Tablas Técnicas'!$AD$6:$AJ$188,5,FALSE)))</f>
        <v/>
      </c>
      <c r="D57" s="5385"/>
      <c r="E57" s="5385"/>
      <c r="F57" s="5385"/>
      <c r="G57" s="5385"/>
      <c r="H57" s="5385"/>
      <c r="I57" s="5385"/>
      <c r="J57" s="5385"/>
      <c r="K57" s="5385"/>
      <c r="L57" s="5385"/>
      <c r="M57" s="5385"/>
      <c r="N57" s="5385"/>
      <c r="O57" s="5385"/>
      <c r="P57" s="5385"/>
      <c r="Q57" s="5385"/>
      <c r="R57" s="5386"/>
      <c r="S57" s="871"/>
      <c r="T57" s="870"/>
      <c r="U57" s="771"/>
      <c r="V57" s="1349"/>
      <c r="W57" s="5384" t="str">
        <f>IF(W55="","",IF(ISNA(VLOOKUP(W55,'Tablas Técnicas'!$AD$6:$AJ$188,5,FALSE)),"-",VLOOKUP(W55,'Tablas Técnicas'!$AD$6:$AJ$188,5,FALSE)))</f>
        <v/>
      </c>
      <c r="X57" s="5385"/>
      <c r="Y57" s="5385"/>
      <c r="Z57" s="5385"/>
      <c r="AA57" s="5385"/>
      <c r="AB57" s="5385"/>
      <c r="AC57" s="5385"/>
      <c r="AD57" s="5385"/>
      <c r="AE57" s="5385"/>
      <c r="AF57" s="5385"/>
      <c r="AG57" s="5385"/>
      <c r="AH57" s="5385"/>
      <c r="AI57" s="5385"/>
      <c r="AJ57" s="5385"/>
      <c r="AK57" s="5385"/>
      <c r="AL57" s="5386"/>
      <c r="AM57" s="871"/>
      <c r="AN57" s="773"/>
      <c r="AO57" s="962"/>
    </row>
    <row r="58" spans="1:41" ht="12" customHeight="1" x14ac:dyDescent="0.2">
      <c r="A58" s="771"/>
      <c r="B58" s="1349"/>
      <c r="C58" s="5387"/>
      <c r="D58" s="5388"/>
      <c r="E58" s="5388"/>
      <c r="F58" s="5388"/>
      <c r="G58" s="5388"/>
      <c r="H58" s="5388"/>
      <c r="I58" s="5388"/>
      <c r="J58" s="5388"/>
      <c r="K58" s="5388"/>
      <c r="L58" s="5388"/>
      <c r="M58" s="5388"/>
      <c r="N58" s="5388"/>
      <c r="O58" s="5388"/>
      <c r="P58" s="5388"/>
      <c r="Q58" s="5388"/>
      <c r="R58" s="5389"/>
      <c r="S58" s="880"/>
      <c r="T58" s="870"/>
      <c r="U58" s="771"/>
      <c r="V58" s="1349"/>
      <c r="W58" s="5387"/>
      <c r="X58" s="5388"/>
      <c r="Y58" s="5388"/>
      <c r="Z58" s="5388"/>
      <c r="AA58" s="5388"/>
      <c r="AB58" s="5388"/>
      <c r="AC58" s="5388"/>
      <c r="AD58" s="5388"/>
      <c r="AE58" s="5388"/>
      <c r="AF58" s="5388"/>
      <c r="AG58" s="5388"/>
      <c r="AH58" s="5388"/>
      <c r="AI58" s="5388"/>
      <c r="AJ58" s="5388"/>
      <c r="AK58" s="5388"/>
      <c r="AL58" s="5389"/>
      <c r="AM58" s="880"/>
      <c r="AN58" s="773"/>
      <c r="AO58" s="962"/>
    </row>
    <row r="59" spans="1:41" ht="12" customHeight="1" x14ac:dyDescent="0.2">
      <c r="A59" s="771"/>
      <c r="B59" s="1349"/>
      <c r="C59" s="5387"/>
      <c r="D59" s="5388"/>
      <c r="E59" s="5388"/>
      <c r="F59" s="5388"/>
      <c r="G59" s="5388"/>
      <c r="H59" s="5388"/>
      <c r="I59" s="5388"/>
      <c r="J59" s="5388"/>
      <c r="K59" s="5388"/>
      <c r="L59" s="5388"/>
      <c r="M59" s="5388"/>
      <c r="N59" s="5388"/>
      <c r="O59" s="5388"/>
      <c r="P59" s="5388"/>
      <c r="Q59" s="5388"/>
      <c r="R59" s="5389"/>
      <c r="S59" s="880"/>
      <c r="T59" s="870"/>
      <c r="U59" s="771"/>
      <c r="V59" s="1349"/>
      <c r="W59" s="5387"/>
      <c r="X59" s="5388"/>
      <c r="Y59" s="5388"/>
      <c r="Z59" s="5388"/>
      <c r="AA59" s="5388"/>
      <c r="AB59" s="5388"/>
      <c r="AC59" s="5388"/>
      <c r="AD59" s="5388"/>
      <c r="AE59" s="5388"/>
      <c r="AF59" s="5388"/>
      <c r="AG59" s="5388"/>
      <c r="AH59" s="5388"/>
      <c r="AI59" s="5388"/>
      <c r="AJ59" s="5388"/>
      <c r="AK59" s="5388"/>
      <c r="AL59" s="5389"/>
      <c r="AM59" s="880"/>
      <c r="AN59" s="773"/>
      <c r="AO59" s="962"/>
    </row>
    <row r="60" spans="1:41" ht="12" customHeight="1" x14ac:dyDescent="0.2">
      <c r="A60" s="771"/>
      <c r="B60" s="1349"/>
      <c r="C60" s="5390"/>
      <c r="D60" s="5391"/>
      <c r="E60" s="5391"/>
      <c r="F60" s="5391"/>
      <c r="G60" s="5391"/>
      <c r="H60" s="5391"/>
      <c r="I60" s="5391"/>
      <c r="J60" s="5391"/>
      <c r="K60" s="5391"/>
      <c r="L60" s="5391"/>
      <c r="M60" s="5391"/>
      <c r="N60" s="5391"/>
      <c r="O60" s="5391"/>
      <c r="P60" s="5391"/>
      <c r="Q60" s="5391"/>
      <c r="R60" s="5392"/>
      <c r="S60" s="880"/>
      <c r="T60" s="870"/>
      <c r="U60" s="771"/>
      <c r="V60" s="1349"/>
      <c r="W60" s="5390"/>
      <c r="X60" s="5391"/>
      <c r="Y60" s="5391"/>
      <c r="Z60" s="5391"/>
      <c r="AA60" s="5391"/>
      <c r="AB60" s="5391"/>
      <c r="AC60" s="5391"/>
      <c r="AD60" s="5391"/>
      <c r="AE60" s="5391"/>
      <c r="AF60" s="5391"/>
      <c r="AG60" s="5391"/>
      <c r="AH60" s="5391"/>
      <c r="AI60" s="5391"/>
      <c r="AJ60" s="5391"/>
      <c r="AK60" s="5391"/>
      <c r="AL60" s="5392"/>
      <c r="AM60" s="880"/>
      <c r="AN60" s="773"/>
      <c r="AO60" s="962"/>
    </row>
    <row r="61" spans="1:41" ht="12" customHeight="1" x14ac:dyDescent="0.2">
      <c r="A61" s="771"/>
      <c r="B61" s="1353"/>
      <c r="C61" s="5393" t="str">
        <f>"Desventajas: "&amp;IF(C55="","",IF(ISNA(VLOOKUP(C55,'Tablas Técnicas'!$AD$6:$AJ$188,6,FALSE)),"-",VLOOKUP(C55,'Tablas Técnicas'!$AD$6:$AJ$188,6,FALSE)))</f>
        <v xml:space="preserve">Desventajas: </v>
      </c>
      <c r="D61" s="5394"/>
      <c r="E61" s="5394"/>
      <c r="F61" s="5394"/>
      <c r="G61" s="5394"/>
      <c r="H61" s="5394"/>
      <c r="I61" s="5394"/>
      <c r="J61" s="5394"/>
      <c r="K61" s="5394"/>
      <c r="L61" s="5394"/>
      <c r="M61" s="5394"/>
      <c r="N61" s="5395"/>
      <c r="O61" s="5399" t="s">
        <v>3500</v>
      </c>
      <c r="P61" s="5400"/>
      <c r="Q61" s="5400"/>
      <c r="R61" s="5401"/>
      <c r="S61" s="803"/>
      <c r="T61" s="771"/>
      <c r="U61" s="771"/>
      <c r="V61" s="1353"/>
      <c r="W61" s="5393" t="str">
        <f>"Desventajas: "&amp;IF(W55="","",IF(ISNA(VLOOKUP(W55,'Tablas Técnicas'!$AD$6:$AJ$188,6,FALSE)),"-",VLOOKUP(W55,'Tablas Técnicas'!$AD$6:$AJ$188,6,FALSE)))</f>
        <v xml:space="preserve">Desventajas: </v>
      </c>
      <c r="X61" s="5394"/>
      <c r="Y61" s="5394"/>
      <c r="Z61" s="5394"/>
      <c r="AA61" s="5394"/>
      <c r="AB61" s="5394"/>
      <c r="AC61" s="5394"/>
      <c r="AD61" s="5394"/>
      <c r="AE61" s="5394"/>
      <c r="AF61" s="5394"/>
      <c r="AG61" s="5394"/>
      <c r="AH61" s="5395"/>
      <c r="AI61" s="5399" t="s">
        <v>3500</v>
      </c>
      <c r="AJ61" s="5400"/>
      <c r="AK61" s="5400"/>
      <c r="AL61" s="5401"/>
      <c r="AM61" s="803"/>
      <c r="AN61" s="773"/>
      <c r="AO61" s="962"/>
    </row>
    <row r="62" spans="1:41" ht="12" customHeight="1" x14ac:dyDescent="0.2">
      <c r="A62" s="771"/>
      <c r="B62" s="1349"/>
      <c r="C62" s="5396"/>
      <c r="D62" s="5397"/>
      <c r="E62" s="5397"/>
      <c r="F62" s="5397"/>
      <c r="G62" s="5397"/>
      <c r="H62" s="5397"/>
      <c r="I62" s="5397"/>
      <c r="J62" s="5397"/>
      <c r="K62" s="5397"/>
      <c r="L62" s="5397"/>
      <c r="M62" s="5397"/>
      <c r="N62" s="5398"/>
      <c r="O62" s="5402"/>
      <c r="P62" s="5403"/>
      <c r="Q62" s="5403"/>
      <c r="R62" s="5404"/>
      <c r="S62" s="803"/>
      <c r="T62" s="771"/>
      <c r="U62" s="771"/>
      <c r="V62" s="1349"/>
      <c r="W62" s="5396"/>
      <c r="X62" s="5397"/>
      <c r="Y62" s="5397"/>
      <c r="Z62" s="5397"/>
      <c r="AA62" s="5397"/>
      <c r="AB62" s="5397"/>
      <c r="AC62" s="5397"/>
      <c r="AD62" s="5397"/>
      <c r="AE62" s="5397"/>
      <c r="AF62" s="5397"/>
      <c r="AG62" s="5397"/>
      <c r="AH62" s="5398"/>
      <c r="AI62" s="5402"/>
      <c r="AJ62" s="5403"/>
      <c r="AK62" s="5403"/>
      <c r="AL62" s="5404"/>
      <c r="AM62" s="803"/>
      <c r="AN62" s="773"/>
      <c r="AO62" s="962"/>
    </row>
    <row r="63" spans="1:41" ht="12" customHeight="1" x14ac:dyDescent="0.2">
      <c r="A63" s="771"/>
      <c r="B63" s="1353"/>
      <c r="C63" s="5411" t="str">
        <f>IF(C55="","",IF(ISNA(VLOOKUP(C55,'Tablas Técnicas'!$AD$6:$AJ$188,4,FALSE)),"-",VLOOKUP(C55,'Tablas Técnicas'!$AD$6:$AJ$188,4,FALSE)))</f>
        <v/>
      </c>
      <c r="D63" s="5412"/>
      <c r="E63" s="5412"/>
      <c r="F63" s="5412"/>
      <c r="G63" s="5412"/>
      <c r="H63" s="5412"/>
      <c r="I63" s="5412"/>
      <c r="J63" s="5412"/>
      <c r="K63" s="5412"/>
      <c r="L63" s="5412"/>
      <c r="M63" s="5412"/>
      <c r="N63" s="5412"/>
      <c r="O63" s="5405"/>
      <c r="P63" s="5406"/>
      <c r="Q63" s="5406"/>
      <c r="R63" s="5407"/>
      <c r="S63" s="803"/>
      <c r="T63" s="771"/>
      <c r="U63" s="771"/>
      <c r="V63" s="1353"/>
      <c r="W63" s="5411" t="str">
        <f>IF(W55="","",IF(ISNA(VLOOKUP(W55,'Tablas Técnicas'!$AD$6:$AJ$188,4,FALSE)),"-",VLOOKUP(W55,'Tablas Técnicas'!$AD$6:$AJ$188,4,FALSE)))</f>
        <v/>
      </c>
      <c r="X63" s="5412"/>
      <c r="Y63" s="5412"/>
      <c r="Z63" s="5412"/>
      <c r="AA63" s="5412"/>
      <c r="AB63" s="5412"/>
      <c r="AC63" s="5412"/>
      <c r="AD63" s="5412"/>
      <c r="AE63" s="5412"/>
      <c r="AF63" s="5412"/>
      <c r="AG63" s="5412"/>
      <c r="AH63" s="5412"/>
      <c r="AI63" s="5405"/>
      <c r="AJ63" s="5406"/>
      <c r="AK63" s="5406"/>
      <c r="AL63" s="5407"/>
      <c r="AM63" s="803"/>
      <c r="AN63" s="773"/>
      <c r="AO63" s="962"/>
    </row>
    <row r="64" spans="1:41" ht="12" customHeight="1" thickBot="1" x14ac:dyDescent="0.25">
      <c r="A64" s="771"/>
      <c r="B64" s="1349"/>
      <c r="C64" s="5413"/>
      <c r="D64" s="5414"/>
      <c r="E64" s="5414"/>
      <c r="F64" s="5414"/>
      <c r="G64" s="5414"/>
      <c r="H64" s="5414"/>
      <c r="I64" s="5414"/>
      <c r="J64" s="5414"/>
      <c r="K64" s="5414"/>
      <c r="L64" s="5414"/>
      <c r="M64" s="5414"/>
      <c r="N64" s="5414"/>
      <c r="O64" s="5408"/>
      <c r="P64" s="5409"/>
      <c r="Q64" s="5409"/>
      <c r="R64" s="5410"/>
      <c r="S64" s="803"/>
      <c r="T64" s="771"/>
      <c r="U64" s="771"/>
      <c r="V64" s="1349"/>
      <c r="W64" s="5413"/>
      <c r="X64" s="5414"/>
      <c r="Y64" s="5414"/>
      <c r="Z64" s="5414"/>
      <c r="AA64" s="5414"/>
      <c r="AB64" s="5414"/>
      <c r="AC64" s="5414"/>
      <c r="AD64" s="5414"/>
      <c r="AE64" s="5414"/>
      <c r="AF64" s="5414"/>
      <c r="AG64" s="5414"/>
      <c r="AH64" s="5414"/>
      <c r="AI64" s="5408"/>
      <c r="AJ64" s="5409"/>
      <c r="AK64" s="5409"/>
      <c r="AL64" s="5410"/>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15" t="s">
        <v>3740</v>
      </c>
      <c r="K67" s="5415"/>
      <c r="L67" s="907"/>
      <c r="M67" s="907"/>
      <c r="N67" s="907"/>
      <c r="O67" s="907"/>
      <c r="P67" s="907"/>
      <c r="Q67" s="907"/>
      <c r="R67" s="907"/>
      <c r="S67" s="908"/>
      <c r="T67" s="773"/>
      <c r="U67" s="772"/>
      <c r="V67" s="1355"/>
      <c r="W67" s="907"/>
      <c r="X67" s="907"/>
      <c r="Y67" s="907"/>
      <c r="Z67" s="907"/>
      <c r="AA67" s="907"/>
      <c r="AB67" s="907"/>
      <c r="AC67" s="907"/>
      <c r="AD67" s="5415" t="s">
        <v>3741</v>
      </c>
      <c r="AE67" s="5415"/>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96"/>
      <c r="D3" s="4497"/>
      <c r="E3" s="4497"/>
      <c r="F3" s="4497"/>
      <c r="G3" s="4497"/>
      <c r="H3" s="4497"/>
      <c r="I3" s="1214"/>
      <c r="J3" s="1214"/>
      <c r="K3" s="1214"/>
      <c r="L3" s="1214"/>
      <c r="M3" s="1214"/>
      <c r="N3" s="1214"/>
      <c r="O3" s="1214"/>
      <c r="P3" s="1214"/>
      <c r="Q3" s="1215"/>
      <c r="R3" s="1216"/>
      <c r="S3" s="1210"/>
      <c r="T3" s="1210"/>
      <c r="U3" s="615"/>
      <c r="V3" s="4496"/>
      <c r="W3" s="4497"/>
      <c r="X3" s="4497"/>
      <c r="Y3" s="4497"/>
      <c r="Z3" s="4497"/>
      <c r="AA3" s="4497"/>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498"/>
      <c r="D4" s="4499"/>
      <c r="E4" s="4499"/>
      <c r="F4" s="4499"/>
      <c r="G4" s="4499"/>
      <c r="H4" s="4499"/>
      <c r="I4" s="1219"/>
      <c r="J4" s="4502" t="s">
        <v>1628</v>
      </c>
      <c r="K4" s="4503"/>
      <c r="L4" s="3119" t="str">
        <f>IF(OR(General!$G$22="",General!$G$22=0),"",General!$G$22)</f>
        <v/>
      </c>
      <c r="M4" s="3119"/>
      <c r="N4" s="3119"/>
      <c r="O4" s="3119"/>
      <c r="P4" s="3119"/>
      <c r="Q4" s="813"/>
      <c r="R4" s="1216"/>
      <c r="S4" s="1210"/>
      <c r="T4" s="1210"/>
      <c r="U4" s="615"/>
      <c r="V4" s="4498"/>
      <c r="W4" s="4499"/>
      <c r="X4" s="4499"/>
      <c r="Y4" s="4499"/>
      <c r="Z4" s="4499"/>
      <c r="AA4" s="4499"/>
      <c r="AB4" s="1219"/>
      <c r="AC4" s="4494" t="s">
        <v>2125</v>
      </c>
      <c r="AD4" s="4495"/>
      <c r="AE4" s="4495"/>
      <c r="AF4" s="4495"/>
      <c r="AG4" s="4495"/>
      <c r="AH4" s="4495"/>
      <c r="AI4" s="4495"/>
      <c r="AJ4" s="813"/>
      <c r="AK4" s="1216"/>
      <c r="AL4" s="1210"/>
      <c r="AM4" s="1217"/>
      <c r="AN4" s="1217"/>
      <c r="AO4" s="1217"/>
      <c r="AP4" s="1220"/>
      <c r="AQ4" s="1220"/>
      <c r="AR4" s="1218"/>
      <c r="AS4" s="698"/>
    </row>
    <row r="5" spans="1:45" ht="12" customHeight="1" x14ac:dyDescent="0.2">
      <c r="A5" s="1210"/>
      <c r="B5" s="615"/>
      <c r="C5" s="4498"/>
      <c r="D5" s="4499"/>
      <c r="E5" s="4499"/>
      <c r="F5" s="4499"/>
      <c r="G5" s="4499"/>
      <c r="H5" s="4499"/>
      <c r="I5" s="1219"/>
      <c r="J5" s="4490" t="s">
        <v>1629</v>
      </c>
      <c r="K5" s="4491"/>
      <c r="L5" s="4492" t="str">
        <f>Principal!$L$5</f>
        <v>Hechicero</v>
      </c>
      <c r="M5" s="4493"/>
      <c r="N5" s="4493"/>
      <c r="O5" s="1221" t="s">
        <v>1630</v>
      </c>
      <c r="P5" s="1222" t="str">
        <f>Principal!$P$5</f>
        <v>1</v>
      </c>
      <c r="Q5" s="1223"/>
      <c r="R5" s="1216"/>
      <c r="S5" s="1210"/>
      <c r="T5" s="1210"/>
      <c r="U5" s="615"/>
      <c r="V5" s="4498"/>
      <c r="W5" s="4499"/>
      <c r="X5" s="4499"/>
      <c r="Y5" s="4499"/>
      <c r="Z5" s="4499"/>
      <c r="AA5" s="4499"/>
      <c r="AB5" s="1219"/>
      <c r="AC5" s="4495"/>
      <c r="AD5" s="4495"/>
      <c r="AE5" s="4495"/>
      <c r="AF5" s="4495"/>
      <c r="AG5" s="4495"/>
      <c r="AH5" s="4495"/>
      <c r="AI5" s="4495"/>
      <c r="AJ5" s="1223"/>
      <c r="AK5" s="1216"/>
      <c r="AL5" s="1210"/>
      <c r="AM5" s="1224"/>
      <c r="AN5" s="1224"/>
      <c r="AO5" s="1224"/>
      <c r="AP5" s="1225"/>
      <c r="AQ5" s="1225"/>
      <c r="AR5" s="1218"/>
      <c r="AS5" s="698"/>
    </row>
    <row r="6" spans="1:45" ht="12" customHeight="1" x14ac:dyDescent="0.2">
      <c r="A6" s="1210"/>
      <c r="B6" s="615"/>
      <c r="C6" s="4498"/>
      <c r="D6" s="4499"/>
      <c r="E6" s="4499"/>
      <c r="F6" s="4499"/>
      <c r="G6" s="4499"/>
      <c r="H6" s="4499"/>
      <c r="I6" s="1219"/>
      <c r="J6" s="4494" t="s">
        <v>8167</v>
      </c>
      <c r="K6" s="4495"/>
      <c r="L6" s="4495"/>
      <c r="M6" s="4495"/>
      <c r="N6" s="4495"/>
      <c r="O6" s="4495"/>
      <c r="P6" s="4495"/>
      <c r="Q6" s="1223"/>
      <c r="R6" s="1216"/>
      <c r="S6" s="1210"/>
      <c r="T6" s="1210"/>
      <c r="U6" s="615"/>
      <c r="V6" s="4498"/>
      <c r="W6" s="4499"/>
      <c r="X6" s="4499"/>
      <c r="Y6" s="4499"/>
      <c r="Z6" s="4499"/>
      <c r="AA6" s="4499"/>
      <c r="AB6" s="1219"/>
      <c r="AC6" s="5318"/>
      <c r="AD6" s="5319"/>
      <c r="AE6" s="5319"/>
      <c r="AF6" s="5319"/>
      <c r="AG6" s="5319"/>
      <c r="AH6" s="5319"/>
      <c r="AI6" s="5319"/>
      <c r="AJ6" s="1223"/>
      <c r="AK6" s="1216"/>
      <c r="AL6" s="1210"/>
      <c r="AM6" s="1226"/>
      <c r="AN6" s="1226"/>
      <c r="AO6" s="1226"/>
      <c r="AP6" s="1227"/>
      <c r="AQ6" s="1227"/>
      <c r="AR6" s="1218"/>
      <c r="AS6" s="698"/>
    </row>
    <row r="7" spans="1:45" ht="12" customHeight="1" x14ac:dyDescent="0.2">
      <c r="A7" s="1210"/>
      <c r="B7" s="615"/>
      <c r="C7" s="4498"/>
      <c r="D7" s="4499"/>
      <c r="E7" s="4499"/>
      <c r="F7" s="4499"/>
      <c r="G7" s="4499"/>
      <c r="H7" s="4499"/>
      <c r="I7" s="1219"/>
      <c r="J7" s="4495"/>
      <c r="K7" s="4495"/>
      <c r="L7" s="4495"/>
      <c r="M7" s="4495"/>
      <c r="N7" s="4495"/>
      <c r="O7" s="4495"/>
      <c r="P7" s="4495"/>
      <c r="Q7" s="1223"/>
      <c r="R7" s="1216"/>
      <c r="S7" s="1210"/>
      <c r="T7" s="1210"/>
      <c r="U7" s="615"/>
      <c r="V7" s="4498"/>
      <c r="W7" s="4499"/>
      <c r="X7" s="4499"/>
      <c r="Y7" s="4499"/>
      <c r="Z7" s="4499"/>
      <c r="AA7" s="4499"/>
      <c r="AB7" s="1219"/>
      <c r="AC7" s="5319"/>
      <c r="AD7" s="5319"/>
      <c r="AE7" s="5319"/>
      <c r="AF7" s="5319"/>
      <c r="AG7" s="5319"/>
      <c r="AH7" s="5319"/>
      <c r="AI7" s="5319"/>
      <c r="AJ7" s="1223"/>
      <c r="AK7" s="1216"/>
      <c r="AL7" s="1210"/>
      <c r="AM7" s="1224"/>
      <c r="AN7" s="1224"/>
      <c r="AO7" s="1224"/>
      <c r="AP7" s="1225"/>
      <c r="AQ7" s="1225"/>
      <c r="AR7" s="1218"/>
      <c r="AS7" s="698"/>
    </row>
    <row r="8" spans="1:45" ht="12" customHeight="1" thickBot="1" x14ac:dyDescent="0.25">
      <c r="A8" s="1210"/>
      <c r="B8" s="615"/>
      <c r="C8" s="4500"/>
      <c r="D8" s="4501"/>
      <c r="E8" s="4501"/>
      <c r="F8" s="4501"/>
      <c r="G8" s="4501"/>
      <c r="H8" s="4501"/>
      <c r="I8" s="1228"/>
      <c r="J8" s="1228"/>
      <c r="K8" s="1228"/>
      <c r="L8" s="1228"/>
      <c r="M8" s="1228"/>
      <c r="N8" s="1228"/>
      <c r="O8" s="1228"/>
      <c r="P8" s="1228"/>
      <c r="Q8" s="1229"/>
      <c r="R8" s="1216"/>
      <c r="S8" s="1210"/>
      <c r="T8" s="1210"/>
      <c r="U8" s="615"/>
      <c r="V8" s="4500"/>
      <c r="W8" s="4501"/>
      <c r="X8" s="4501"/>
      <c r="Y8" s="4501"/>
      <c r="Z8" s="4501"/>
      <c r="AA8" s="4501"/>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3"/>
      <c r="D10" s="5314"/>
      <c r="E10" s="5314"/>
      <c r="F10" s="5314"/>
      <c r="G10" s="5314"/>
      <c r="H10" s="5314"/>
      <c r="I10" s="1263" t="s">
        <v>1715</v>
      </c>
      <c r="K10" s="5313"/>
      <c r="L10" s="5314"/>
      <c r="M10" s="5314"/>
      <c r="N10" s="5314"/>
      <c r="O10" s="5314"/>
      <c r="P10" s="5314"/>
      <c r="Q10" s="1263" t="s">
        <v>1715</v>
      </c>
      <c r="R10" s="1216"/>
      <c r="S10" s="1210"/>
      <c r="T10" s="1210"/>
      <c r="U10" s="615"/>
      <c r="V10" s="5313"/>
      <c r="W10" s="5314"/>
      <c r="X10" s="5314"/>
      <c r="Y10" s="5314"/>
      <c r="Z10" s="5314"/>
      <c r="AA10" s="5314"/>
      <c r="AB10" s="1263" t="s">
        <v>1715</v>
      </c>
      <c r="AC10" s="1264"/>
      <c r="AD10" s="5313"/>
      <c r="AE10" s="5314"/>
      <c r="AF10" s="5314"/>
      <c r="AG10" s="5314"/>
      <c r="AH10" s="5314"/>
      <c r="AI10" s="5314"/>
      <c r="AJ10" s="1263" t="s">
        <v>1715</v>
      </c>
      <c r="AK10" s="1216"/>
      <c r="AL10" s="1210"/>
      <c r="AM10" s="1226"/>
      <c r="AN10" s="1226"/>
      <c r="AO10" s="1226"/>
      <c r="AP10" s="1227"/>
      <c r="AQ10" s="1227"/>
      <c r="AR10" s="1218"/>
      <c r="AS10" s="698"/>
    </row>
    <row r="11" spans="1:45" ht="12" customHeight="1" x14ac:dyDescent="0.2">
      <c r="A11" s="1210"/>
      <c r="B11" s="615"/>
      <c r="C11" s="5416" t="str">
        <f>IF(C10=0,"",VLOOKUP(C10,'Tablas psiquica'!$D$7:$R$145,2,FALSE))</f>
        <v/>
      </c>
      <c r="D11" s="5417"/>
      <c r="E11" s="5417"/>
      <c r="F11" s="5417"/>
      <c r="G11" s="5417"/>
      <c r="H11" s="5417"/>
      <c r="I11" s="1265" t="str">
        <f>IF(C10=0,"",VLOOKUP(C10,'Tablas psiquica'!$D$7:$R$145,3,FALSE))</f>
        <v/>
      </c>
      <c r="K11" s="5416" t="str">
        <f>IF(K10=0,"",VLOOKUP(K10,'Tablas psiquica'!$D$7:$R$145,2,FALSE))</f>
        <v/>
      </c>
      <c r="L11" s="5417"/>
      <c r="M11" s="5417"/>
      <c r="N11" s="5417"/>
      <c r="O11" s="5417"/>
      <c r="P11" s="5417"/>
      <c r="Q11" s="1265" t="str">
        <f>IF(K10=0,"",VLOOKUP(K10,'Tablas psiquica'!$D$7:$R$145,3,FALSE))</f>
        <v/>
      </c>
      <c r="R11" s="1216"/>
      <c r="S11" s="1210"/>
      <c r="T11" s="1210"/>
      <c r="U11" s="615"/>
      <c r="V11" s="5416" t="str">
        <f>IF(V10=0,"",VLOOKUP(V10,'Tablas psiquica'!$D$7:$R$145,2,FALSE))</f>
        <v/>
      </c>
      <c r="W11" s="5417"/>
      <c r="X11" s="5417"/>
      <c r="Y11" s="5417"/>
      <c r="Z11" s="5417"/>
      <c r="AA11" s="5417"/>
      <c r="AB11" s="1265" t="str">
        <f>IF(V10=0,"",VLOOKUP(V10,'Tablas psiquica'!$D$7:$R$145,3,FALSE))</f>
        <v/>
      </c>
      <c r="AC11" s="741"/>
      <c r="AD11" s="5416" t="str">
        <f>IF(AD10=0,"",VLOOKUP(AD10,'Tablas psiquica'!$D$7:$R$145,2,FALSE))</f>
        <v/>
      </c>
      <c r="AE11" s="5417"/>
      <c r="AF11" s="5417"/>
      <c r="AG11" s="5417"/>
      <c r="AH11" s="5417"/>
      <c r="AI11" s="5417"/>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18" t="s">
        <v>2055</v>
      </c>
      <c r="E12" s="5326"/>
      <c r="F12" s="5419" t="str">
        <f>IF(C10=0,"",VLOOKUP(C10,'Tablas psiquica'!$D$7:$R$145,6,FALSE))</f>
        <v/>
      </c>
      <c r="G12" s="5420"/>
      <c r="H12" s="5420"/>
      <c r="I12" s="5421"/>
      <c r="K12" s="1266">
        <v>20</v>
      </c>
      <c r="L12" s="5418" t="s">
        <v>2055</v>
      </c>
      <c r="M12" s="5326"/>
      <c r="N12" s="5419" t="str">
        <f>IF(K10=0,"",VLOOKUP(K10,'Tablas psiquica'!$D$7:$R$145,6,FALSE))</f>
        <v/>
      </c>
      <c r="O12" s="5420"/>
      <c r="P12" s="5420"/>
      <c r="Q12" s="5421"/>
      <c r="R12" s="1216"/>
      <c r="S12" s="1210"/>
      <c r="T12" s="1210"/>
      <c r="U12" s="615"/>
      <c r="V12" s="1266">
        <v>20</v>
      </c>
      <c r="W12" s="5418" t="s">
        <v>2055</v>
      </c>
      <c r="X12" s="5326"/>
      <c r="Y12" s="5419" t="str">
        <f>IF(V10=0,"",VLOOKUP(V10,'Tablas psiquica'!$D$7:$R$145,6,FALSE))</f>
        <v/>
      </c>
      <c r="Z12" s="5420"/>
      <c r="AA12" s="5420"/>
      <c r="AB12" s="5421"/>
      <c r="AC12" s="1267"/>
      <c r="AD12" s="1266">
        <v>20</v>
      </c>
      <c r="AE12" s="5418" t="s">
        <v>2055</v>
      </c>
      <c r="AF12" s="5326"/>
      <c r="AG12" s="5419" t="str">
        <f>IF(AD10=0,"",VLOOKUP(AD10,'Tablas psiquica'!$D$7:$R$145,6,FALSE))</f>
        <v/>
      </c>
      <c r="AH12" s="5420"/>
      <c r="AI12" s="5420"/>
      <c r="AJ12" s="5421"/>
      <c r="AK12" s="1216"/>
      <c r="AL12" s="1210"/>
      <c r="AM12" s="1226"/>
      <c r="AN12" s="1226"/>
      <c r="AO12" s="1226"/>
      <c r="AP12" s="1227"/>
      <c r="AQ12" s="1227"/>
      <c r="AR12" s="1218"/>
      <c r="AS12" s="698"/>
    </row>
    <row r="13" spans="1:45" ht="12" customHeight="1" x14ac:dyDescent="0.2">
      <c r="A13" s="1210"/>
      <c r="B13" s="615"/>
      <c r="C13" s="1268">
        <v>40</v>
      </c>
      <c r="D13" s="5422" t="s">
        <v>2059</v>
      </c>
      <c r="E13" s="5321"/>
      <c r="F13" s="5423" t="str">
        <f>IF(C10=0,"",VLOOKUP(C10,'Tablas psiquica'!$D$7:$R$145,7,FALSE))</f>
        <v/>
      </c>
      <c r="G13" s="5424"/>
      <c r="H13" s="5424"/>
      <c r="I13" s="5425"/>
      <c r="K13" s="1268">
        <v>40</v>
      </c>
      <c r="L13" s="5422" t="s">
        <v>2059</v>
      </c>
      <c r="M13" s="5321"/>
      <c r="N13" s="5423" t="str">
        <f>IF(K10=0,"",VLOOKUP(K10,'Tablas psiquica'!$D$7:$R$145,7,FALSE))</f>
        <v/>
      </c>
      <c r="O13" s="5424"/>
      <c r="P13" s="5424"/>
      <c r="Q13" s="5425"/>
      <c r="R13" s="1216"/>
      <c r="S13" s="1210"/>
      <c r="T13" s="1210"/>
      <c r="U13" s="615"/>
      <c r="V13" s="1268">
        <v>40</v>
      </c>
      <c r="W13" s="5422" t="s">
        <v>2059</v>
      </c>
      <c r="X13" s="5321"/>
      <c r="Y13" s="5423" t="str">
        <f>IF(V10=0,"",VLOOKUP(V10,'Tablas psiquica'!$D$7:$R$145,7,FALSE))</f>
        <v/>
      </c>
      <c r="Z13" s="5424"/>
      <c r="AA13" s="5424"/>
      <c r="AB13" s="5425"/>
      <c r="AC13" s="1267"/>
      <c r="AD13" s="1268">
        <v>40</v>
      </c>
      <c r="AE13" s="5422" t="s">
        <v>2059</v>
      </c>
      <c r="AF13" s="5321"/>
      <c r="AG13" s="5423" t="str">
        <f>IF(AD10=0,"",VLOOKUP(AD10,'Tablas psiquica'!$D$7:$R$145,7,FALSE))</f>
        <v/>
      </c>
      <c r="AH13" s="5424"/>
      <c r="AI13" s="5424"/>
      <c r="AJ13" s="5425"/>
      <c r="AK13" s="1216"/>
      <c r="AL13" s="1210"/>
      <c r="AM13" s="1224"/>
      <c r="AP13" s="1225"/>
      <c r="AQ13" s="1225"/>
      <c r="AR13" s="1218"/>
      <c r="AS13" s="698"/>
    </row>
    <row r="14" spans="1:45" ht="12" customHeight="1" x14ac:dyDescent="0.2">
      <c r="A14" s="1210"/>
      <c r="B14" s="615"/>
      <c r="C14" s="1266">
        <v>80</v>
      </c>
      <c r="D14" s="5418" t="s">
        <v>2062</v>
      </c>
      <c r="E14" s="5326"/>
      <c r="F14" s="5419" t="str">
        <f>IF(C10=0,"",VLOOKUP(C10,'Tablas psiquica'!$D$7:$R$145,8,FALSE))</f>
        <v/>
      </c>
      <c r="G14" s="5420"/>
      <c r="H14" s="5420"/>
      <c r="I14" s="5421"/>
      <c r="K14" s="1266">
        <v>80</v>
      </c>
      <c r="L14" s="5418" t="s">
        <v>2062</v>
      </c>
      <c r="M14" s="5326"/>
      <c r="N14" s="5419" t="str">
        <f>IF(K10=0,"",VLOOKUP(K10,'Tablas psiquica'!$D$7:$R$145,8,FALSE))</f>
        <v/>
      </c>
      <c r="O14" s="5420"/>
      <c r="P14" s="5420"/>
      <c r="Q14" s="5421"/>
      <c r="R14" s="1216"/>
      <c r="S14" s="1210"/>
      <c r="T14" s="1210"/>
      <c r="U14" s="615"/>
      <c r="V14" s="1266">
        <v>80</v>
      </c>
      <c r="W14" s="5418" t="s">
        <v>2062</v>
      </c>
      <c r="X14" s="5326"/>
      <c r="Y14" s="5419" t="str">
        <f>IF(V10=0,"",VLOOKUP(V10,'Tablas psiquica'!$D$7:$R$145,8,FALSE))</f>
        <v/>
      </c>
      <c r="Z14" s="5420"/>
      <c r="AA14" s="5420"/>
      <c r="AB14" s="5421"/>
      <c r="AC14" s="1267"/>
      <c r="AD14" s="1266">
        <v>80</v>
      </c>
      <c r="AE14" s="5418" t="s">
        <v>2062</v>
      </c>
      <c r="AF14" s="5326"/>
      <c r="AG14" s="5419" t="str">
        <f>IF(AD10=0,"",VLOOKUP(AD10,'Tablas psiquica'!$D$7:$R$145,8,FALSE))</f>
        <v/>
      </c>
      <c r="AH14" s="5420"/>
      <c r="AI14" s="5420"/>
      <c r="AJ14" s="5421"/>
      <c r="AK14" s="1216"/>
      <c r="AL14" s="1210"/>
      <c r="AM14" s="1226"/>
      <c r="AN14" s="1226"/>
      <c r="AO14" s="1226"/>
      <c r="AP14" s="1227"/>
      <c r="AQ14" s="1227"/>
      <c r="AR14" s="1218"/>
      <c r="AS14" s="698"/>
    </row>
    <row r="15" spans="1:45" ht="12" customHeight="1" x14ac:dyDescent="0.2">
      <c r="A15" s="1210"/>
      <c r="B15" s="615"/>
      <c r="C15" s="1268">
        <v>120</v>
      </c>
      <c r="D15" s="5422" t="s">
        <v>2066</v>
      </c>
      <c r="E15" s="5321"/>
      <c r="F15" s="5423" t="str">
        <f>IF(C10=0,"",VLOOKUP(C10,'Tablas psiquica'!$D$7:$R$145,9,FALSE))</f>
        <v/>
      </c>
      <c r="G15" s="5424"/>
      <c r="H15" s="5424"/>
      <c r="I15" s="5425"/>
      <c r="K15" s="1268">
        <v>120</v>
      </c>
      <c r="L15" s="5422" t="s">
        <v>2066</v>
      </c>
      <c r="M15" s="5321"/>
      <c r="N15" s="5423" t="str">
        <f>IF(K10=0,"",VLOOKUP(K10,'Tablas psiquica'!$D$7:$R$145,9,FALSE))</f>
        <v/>
      </c>
      <c r="O15" s="5424"/>
      <c r="P15" s="5424"/>
      <c r="Q15" s="5425"/>
      <c r="R15" s="1216"/>
      <c r="S15" s="1210"/>
      <c r="T15" s="1210"/>
      <c r="U15" s="615"/>
      <c r="V15" s="1268">
        <v>120</v>
      </c>
      <c r="W15" s="5422" t="s">
        <v>2066</v>
      </c>
      <c r="X15" s="5321"/>
      <c r="Y15" s="5423" t="str">
        <f>IF(V10=0,"",VLOOKUP(V10,'Tablas psiquica'!$D$7:$R$145,9,FALSE))</f>
        <v/>
      </c>
      <c r="Z15" s="5424"/>
      <c r="AA15" s="5424"/>
      <c r="AB15" s="5425"/>
      <c r="AC15" s="1269"/>
      <c r="AD15" s="1268">
        <v>120</v>
      </c>
      <c r="AE15" s="5422" t="s">
        <v>2066</v>
      </c>
      <c r="AF15" s="5321"/>
      <c r="AG15" s="5423" t="str">
        <f>IF(AD10=0,"",VLOOKUP(AD10,'Tablas psiquica'!$D$7:$R$145,9,FALSE))</f>
        <v/>
      </c>
      <c r="AH15" s="5424"/>
      <c r="AI15" s="5424"/>
      <c r="AJ15" s="5425"/>
      <c r="AK15" s="1216"/>
      <c r="AL15" s="1210"/>
      <c r="AM15" s="1224"/>
      <c r="AN15" s="1224"/>
      <c r="AO15" s="1224"/>
      <c r="AP15" s="1225"/>
      <c r="AQ15" s="1225"/>
      <c r="AR15" s="1218"/>
      <c r="AS15" s="698"/>
    </row>
    <row r="16" spans="1:45" ht="12" customHeight="1" x14ac:dyDescent="0.2">
      <c r="A16" s="1210"/>
      <c r="B16" s="615"/>
      <c r="C16" s="1266">
        <v>140</v>
      </c>
      <c r="D16" s="5418" t="s">
        <v>8168</v>
      </c>
      <c r="E16" s="5326"/>
      <c r="F16" s="5419" t="str">
        <f>IF(C10=0,"",VLOOKUP(C10,'Tablas psiquica'!$D$7:$R$145,10,FALSE))</f>
        <v/>
      </c>
      <c r="G16" s="5420"/>
      <c r="H16" s="5420"/>
      <c r="I16" s="5421"/>
      <c r="K16" s="1266">
        <v>140</v>
      </c>
      <c r="L16" s="5418" t="s">
        <v>8168</v>
      </c>
      <c r="M16" s="5326"/>
      <c r="N16" s="5419" t="str">
        <f>IF(K10=0,"",VLOOKUP(K10,'Tablas psiquica'!$D$7:$R$145,10,FALSE))</f>
        <v/>
      </c>
      <c r="O16" s="5420"/>
      <c r="P16" s="5420"/>
      <c r="Q16" s="5421"/>
      <c r="R16" s="1216"/>
      <c r="S16" s="1210"/>
      <c r="T16" s="1210"/>
      <c r="U16" s="615"/>
      <c r="V16" s="1266">
        <v>140</v>
      </c>
      <c r="W16" s="5418" t="s">
        <v>8168</v>
      </c>
      <c r="X16" s="5326"/>
      <c r="Y16" s="5419" t="str">
        <f>IF(V10=0,"",VLOOKUP(V10,'Tablas psiquica'!$D$7:$R$145,10,FALSE))</f>
        <v/>
      </c>
      <c r="Z16" s="5420"/>
      <c r="AA16" s="5420"/>
      <c r="AB16" s="5421"/>
      <c r="AC16" s="1270"/>
      <c r="AD16" s="1266">
        <v>140</v>
      </c>
      <c r="AE16" s="5418" t="s">
        <v>8168</v>
      </c>
      <c r="AF16" s="5326"/>
      <c r="AG16" s="5419" t="str">
        <f>IF(AD10=0,"",VLOOKUP(AD10,'Tablas psiquica'!$D$7:$R$145,10,FALSE))</f>
        <v/>
      </c>
      <c r="AH16" s="5420"/>
      <c r="AI16" s="5420"/>
      <c r="AJ16" s="5421"/>
      <c r="AK16" s="1216"/>
      <c r="AL16" s="1210"/>
      <c r="AM16" s="1226"/>
      <c r="AN16" s="1226"/>
      <c r="AO16" s="1226"/>
      <c r="AP16" s="1227"/>
      <c r="AQ16" s="1227"/>
      <c r="AR16" s="1218"/>
      <c r="AS16" s="698"/>
    </row>
    <row r="17" spans="1:45" ht="12" customHeight="1" x14ac:dyDescent="0.2">
      <c r="A17" s="1210"/>
      <c r="B17" s="615"/>
      <c r="C17" s="1268">
        <v>180</v>
      </c>
      <c r="D17" s="5422" t="s">
        <v>2071</v>
      </c>
      <c r="E17" s="5321"/>
      <c r="F17" s="5423" t="str">
        <f>IF(C10=0,"",VLOOKUP(C10,'Tablas psiquica'!$D$7:$R$145,11,FALSE))</f>
        <v/>
      </c>
      <c r="G17" s="5424"/>
      <c r="H17" s="5424"/>
      <c r="I17" s="5425"/>
      <c r="K17" s="1268">
        <v>180</v>
      </c>
      <c r="L17" s="5422" t="s">
        <v>2071</v>
      </c>
      <c r="M17" s="5321"/>
      <c r="N17" s="5423" t="str">
        <f>IF(K10=0,"",VLOOKUP(K10,'Tablas psiquica'!$D$7:$R$145,11,FALSE))</f>
        <v/>
      </c>
      <c r="O17" s="5424"/>
      <c r="P17" s="5424"/>
      <c r="Q17" s="5425"/>
      <c r="R17" s="1216"/>
      <c r="S17" s="1210"/>
      <c r="T17" s="1210"/>
      <c r="U17" s="615"/>
      <c r="V17" s="1268">
        <v>180</v>
      </c>
      <c r="W17" s="5422" t="s">
        <v>2071</v>
      </c>
      <c r="X17" s="5321"/>
      <c r="Y17" s="5423" t="str">
        <f>IF(V10=0,"",VLOOKUP(V10,'Tablas psiquica'!$D$7:$R$145,11,FALSE))</f>
        <v/>
      </c>
      <c r="Z17" s="5424"/>
      <c r="AA17" s="5424"/>
      <c r="AB17" s="5425"/>
      <c r="AC17" s="1258"/>
      <c r="AD17" s="1268">
        <v>180</v>
      </c>
      <c r="AE17" s="5422" t="s">
        <v>2071</v>
      </c>
      <c r="AF17" s="5321"/>
      <c r="AG17" s="5423" t="str">
        <f>IF(AD10=0,"",VLOOKUP(AD10,'Tablas psiquica'!$D$7:$R$145,11,FALSE))</f>
        <v/>
      </c>
      <c r="AH17" s="5424"/>
      <c r="AI17" s="5424"/>
      <c r="AJ17" s="5425"/>
      <c r="AK17" s="1216"/>
      <c r="AL17" s="1210"/>
      <c r="AM17" s="1224"/>
      <c r="AP17" s="1225"/>
      <c r="AQ17" s="1225"/>
      <c r="AR17" s="1218"/>
      <c r="AS17" s="698"/>
    </row>
    <row r="18" spans="1:45" ht="12" customHeight="1" x14ac:dyDescent="0.2">
      <c r="A18" s="1210"/>
      <c r="B18" s="615"/>
      <c r="C18" s="1266">
        <v>240</v>
      </c>
      <c r="D18" s="5418" t="s">
        <v>8169</v>
      </c>
      <c r="E18" s="5326"/>
      <c r="F18" s="5419" t="str">
        <f>IF(C10=0,"",VLOOKUP(C10,'Tablas psiquica'!$D$7:$R$145,12,FALSE))</f>
        <v/>
      </c>
      <c r="G18" s="5420"/>
      <c r="H18" s="5420"/>
      <c r="I18" s="5421"/>
      <c r="K18" s="1266">
        <v>240</v>
      </c>
      <c r="L18" s="5418" t="s">
        <v>8169</v>
      </c>
      <c r="M18" s="5326"/>
      <c r="N18" s="5419" t="str">
        <f>IF(K10=0,"",VLOOKUP(K10,'Tablas psiquica'!$D$7:$R$145,12,FALSE))</f>
        <v/>
      </c>
      <c r="O18" s="5420"/>
      <c r="P18" s="5420"/>
      <c r="Q18" s="5421"/>
      <c r="R18" s="1216"/>
      <c r="S18" s="1210"/>
      <c r="T18" s="1210"/>
      <c r="U18" s="615"/>
      <c r="V18" s="1266">
        <v>240</v>
      </c>
      <c r="W18" s="5418" t="s">
        <v>8169</v>
      </c>
      <c r="X18" s="5326"/>
      <c r="Y18" s="5419" t="str">
        <f>IF(V10=0,"",VLOOKUP(V10,'Tablas psiquica'!$D$7:$R$145,12,FALSE))</f>
        <v/>
      </c>
      <c r="Z18" s="5420"/>
      <c r="AA18" s="5420"/>
      <c r="AB18" s="5421"/>
      <c r="AC18" s="1258"/>
      <c r="AD18" s="1266">
        <v>240</v>
      </c>
      <c r="AE18" s="5418" t="s">
        <v>8169</v>
      </c>
      <c r="AF18" s="5326"/>
      <c r="AG18" s="5419" t="str">
        <f>IF(AD10=0,"",VLOOKUP(AD10,'Tablas psiquica'!$D$7:$R$145,12,FALSE))</f>
        <v/>
      </c>
      <c r="AH18" s="5420"/>
      <c r="AI18" s="5420"/>
      <c r="AJ18" s="5421"/>
      <c r="AK18" s="1216"/>
      <c r="AL18" s="1210"/>
      <c r="AM18" s="1226"/>
      <c r="AP18" s="1227"/>
      <c r="AQ18" s="1227"/>
      <c r="AR18" s="1218"/>
      <c r="AS18" s="698"/>
    </row>
    <row r="19" spans="1:45" ht="12" customHeight="1" x14ac:dyDescent="0.2">
      <c r="A19" s="1210"/>
      <c r="B19" s="615"/>
      <c r="C19" s="1268">
        <v>280</v>
      </c>
      <c r="D19" s="5422" t="s">
        <v>2076</v>
      </c>
      <c r="E19" s="5321"/>
      <c r="F19" s="5423" t="str">
        <f>IF(C10=0,"",VLOOKUP(C10,'Tablas psiquica'!$D$7:$R$145,13,FALSE))</f>
        <v/>
      </c>
      <c r="G19" s="5424"/>
      <c r="H19" s="5424"/>
      <c r="I19" s="5425"/>
      <c r="K19" s="1268">
        <v>280</v>
      </c>
      <c r="L19" s="5422" t="s">
        <v>2076</v>
      </c>
      <c r="M19" s="5321"/>
      <c r="N19" s="5423" t="str">
        <f>IF(K10=0,"",VLOOKUP(K10,'Tablas psiquica'!$D$7:$R$145,13,FALSE))</f>
        <v/>
      </c>
      <c r="O19" s="5424"/>
      <c r="P19" s="5424"/>
      <c r="Q19" s="5425"/>
      <c r="R19" s="1216"/>
      <c r="S19" s="1210"/>
      <c r="T19" s="1210"/>
      <c r="U19" s="615"/>
      <c r="V19" s="1268">
        <v>280</v>
      </c>
      <c r="W19" s="5422" t="s">
        <v>2076</v>
      </c>
      <c r="X19" s="5321"/>
      <c r="Y19" s="5423" t="str">
        <f>IF(V10=0,"",VLOOKUP(V10,'Tablas psiquica'!$D$7:$R$145,13,FALSE))</f>
        <v/>
      </c>
      <c r="Z19" s="5424"/>
      <c r="AA19" s="5424"/>
      <c r="AB19" s="5425"/>
      <c r="AC19" s="1258"/>
      <c r="AD19" s="1268">
        <v>280</v>
      </c>
      <c r="AE19" s="5422" t="s">
        <v>2076</v>
      </c>
      <c r="AF19" s="5321"/>
      <c r="AG19" s="5423" t="str">
        <f>IF(AD10=0,"",VLOOKUP(AD10,'Tablas psiquica'!$D$7:$R$145,13,FALSE))</f>
        <v/>
      </c>
      <c r="AH19" s="5424"/>
      <c r="AI19" s="5424"/>
      <c r="AJ19" s="5425"/>
      <c r="AK19" s="1216"/>
      <c r="AL19" s="1210"/>
      <c r="AM19" s="1224"/>
      <c r="AP19" s="1225"/>
      <c r="AQ19" s="1225"/>
      <c r="AR19" s="1218"/>
      <c r="AS19" s="698"/>
    </row>
    <row r="20" spans="1:45" ht="12" customHeight="1" x14ac:dyDescent="0.2">
      <c r="A20" s="1210"/>
      <c r="B20" s="615"/>
      <c r="C20" s="1266">
        <v>320</v>
      </c>
      <c r="D20" s="5418" t="s">
        <v>2078</v>
      </c>
      <c r="E20" s="5326"/>
      <c r="F20" s="5419" t="str">
        <f>IF(C10=0,"",VLOOKUP(C10,'Tablas psiquica'!$D$7:$R$145,14,FALSE))</f>
        <v/>
      </c>
      <c r="G20" s="5420"/>
      <c r="H20" s="5420"/>
      <c r="I20" s="5421"/>
      <c r="K20" s="1266">
        <v>320</v>
      </c>
      <c r="L20" s="5418" t="s">
        <v>2078</v>
      </c>
      <c r="M20" s="5326"/>
      <c r="N20" s="5419" t="str">
        <f>IF(K10=0,"",VLOOKUP(K10,'Tablas psiquica'!$D$7:$R$145,14,FALSE))</f>
        <v/>
      </c>
      <c r="O20" s="5420"/>
      <c r="P20" s="5420"/>
      <c r="Q20" s="5421"/>
      <c r="R20" s="1216"/>
      <c r="S20" s="1210"/>
      <c r="T20" s="1210"/>
      <c r="U20" s="615"/>
      <c r="V20" s="1266">
        <v>320</v>
      </c>
      <c r="W20" s="5418" t="s">
        <v>2078</v>
      </c>
      <c r="X20" s="5326"/>
      <c r="Y20" s="5419" t="str">
        <f>IF(V10=0,"",VLOOKUP(V10,'Tablas psiquica'!$D$7:$R$145,14,FALSE))</f>
        <v/>
      </c>
      <c r="Z20" s="5420"/>
      <c r="AA20" s="5420"/>
      <c r="AB20" s="5421"/>
      <c r="AC20" s="1258"/>
      <c r="AD20" s="1266">
        <v>320</v>
      </c>
      <c r="AE20" s="5418" t="s">
        <v>2078</v>
      </c>
      <c r="AF20" s="5326"/>
      <c r="AG20" s="5419" t="str">
        <f>IF(AD10=0,"",VLOOKUP(AD10,'Tablas psiquica'!$D$7:$R$145,14,FALSE))</f>
        <v/>
      </c>
      <c r="AH20" s="5420"/>
      <c r="AI20" s="5420"/>
      <c r="AJ20" s="5421"/>
      <c r="AK20" s="1216"/>
      <c r="AL20" s="1210"/>
      <c r="AM20" s="1226"/>
      <c r="AP20" s="1227"/>
      <c r="AQ20" s="1227"/>
      <c r="AR20" s="1218"/>
      <c r="AS20" s="698"/>
    </row>
    <row r="21" spans="1:45" ht="12" customHeight="1" x14ac:dyDescent="0.2">
      <c r="A21" s="1210"/>
      <c r="B21" s="615"/>
      <c r="C21" s="1271">
        <v>440</v>
      </c>
      <c r="D21" s="5426" t="s">
        <v>2012</v>
      </c>
      <c r="E21" s="5427"/>
      <c r="F21" s="5428" t="str">
        <f>IF(C10=0,"",VLOOKUP(C10,'Tablas psiquica'!$D$7:$R$145,15,FALSE))</f>
        <v/>
      </c>
      <c r="G21" s="5429"/>
      <c r="H21" s="5429"/>
      <c r="I21" s="5430"/>
      <c r="K21" s="1271">
        <v>440</v>
      </c>
      <c r="L21" s="5426" t="s">
        <v>2012</v>
      </c>
      <c r="M21" s="5427"/>
      <c r="N21" s="5428" t="str">
        <f>IF(K10=0,"",VLOOKUP(K10,'Tablas psiquica'!$D$7:$R$145,15,FALSE))</f>
        <v/>
      </c>
      <c r="O21" s="5429"/>
      <c r="P21" s="5429"/>
      <c r="Q21" s="5430"/>
      <c r="R21" s="1216"/>
      <c r="S21" s="1210"/>
      <c r="T21" s="1210"/>
      <c r="U21" s="615"/>
      <c r="V21" s="1271">
        <v>440</v>
      </c>
      <c r="W21" s="5426" t="s">
        <v>2012</v>
      </c>
      <c r="X21" s="5427"/>
      <c r="Y21" s="5428" t="str">
        <f>IF(V10=0,"",VLOOKUP(V10,'Tablas psiquica'!$D$7:$R$145,15,FALSE))</f>
        <v/>
      </c>
      <c r="Z21" s="5429"/>
      <c r="AA21" s="5429"/>
      <c r="AB21" s="5430"/>
      <c r="AC21" s="1258"/>
      <c r="AD21" s="1271">
        <v>440</v>
      </c>
      <c r="AE21" s="5426" t="s">
        <v>2012</v>
      </c>
      <c r="AF21" s="5427"/>
      <c r="AG21" s="5428" t="str">
        <f>IF(AD10=0,"",VLOOKUP(AD10,'Tablas psiquica'!$D$7:$R$145,15,FALSE))</f>
        <v/>
      </c>
      <c r="AH21" s="5429"/>
      <c r="AI21" s="5429"/>
      <c r="AJ21" s="5430"/>
      <c r="AK21" s="1216"/>
      <c r="AL21" s="1210"/>
      <c r="AM21" s="1224"/>
      <c r="AP21" s="1225"/>
      <c r="AQ21" s="1225"/>
      <c r="AR21" s="1218"/>
      <c r="AS21" s="698"/>
    </row>
    <row r="22" spans="1:45" ht="12" customHeight="1" thickBot="1" x14ac:dyDescent="0.25">
      <c r="A22" s="1210"/>
      <c r="B22" s="615"/>
      <c r="C22" s="5431" t="s">
        <v>8170</v>
      </c>
      <c r="D22" s="5432"/>
      <c r="E22" s="1272" t="str">
        <f>IF(C10=0,"",VLOOKUP(C10,'Tablas psiquica'!$D$7:$R$145,4,FALSE))</f>
        <v/>
      </c>
      <c r="F22" s="5433" t="s">
        <v>8165</v>
      </c>
      <c r="G22" s="5433"/>
      <c r="H22" s="4356" t="str">
        <f>IF(C10=0,"",VLOOKUP(C10,'Tablas psiquica'!$D$7:$R$145,5,FALSE))</f>
        <v/>
      </c>
      <c r="I22" s="4357"/>
      <c r="K22" s="5431" t="s">
        <v>8170</v>
      </c>
      <c r="L22" s="5432"/>
      <c r="M22" s="1272" t="str">
        <f>IF(K10=0,"",VLOOKUP(K10,'Tablas psiquica'!$D$7:$R$145,4,FALSE))</f>
        <v/>
      </c>
      <c r="N22" s="5433" t="s">
        <v>8165</v>
      </c>
      <c r="O22" s="5433"/>
      <c r="P22" s="4356" t="str">
        <f>IF(K10=0,"",VLOOKUP(K10,'Tablas psiquica'!$D$7:$R$145,5,FALSE))</f>
        <v/>
      </c>
      <c r="Q22" s="4357"/>
      <c r="R22" s="1216"/>
      <c r="S22" s="1210"/>
      <c r="T22" s="1210"/>
      <c r="U22" s="615"/>
      <c r="V22" s="5431" t="s">
        <v>8170</v>
      </c>
      <c r="W22" s="5432"/>
      <c r="X22" s="1272" t="str">
        <f>IF(V10=0,"",VLOOKUP(V10,'Tablas psiquica'!$D$7:$R$145,4,FALSE))</f>
        <v/>
      </c>
      <c r="Y22" s="5433" t="s">
        <v>8165</v>
      </c>
      <c r="Z22" s="5433"/>
      <c r="AA22" s="4356" t="str">
        <f>IF(V10=0,"",VLOOKUP(V10,'Tablas psiquica'!$D$7:$R$145,5,FALSE))</f>
        <v/>
      </c>
      <c r="AB22" s="4357"/>
      <c r="AC22" s="1258"/>
      <c r="AD22" s="5431" t="s">
        <v>8170</v>
      </c>
      <c r="AE22" s="5432"/>
      <c r="AF22" s="1272" t="str">
        <f>IF(AD10=0,"",VLOOKUP(AD10,'Tablas psiquica'!$D$7:$R$145,4,FALSE))</f>
        <v/>
      </c>
      <c r="AG22" s="5433" t="s">
        <v>8165</v>
      </c>
      <c r="AH22" s="5433"/>
      <c r="AI22" s="4356" t="str">
        <f>IF(AD10=0,"",VLOOKUP(AD10,'Tablas psiquica'!$D$7:$R$145,5,FALSE))</f>
        <v/>
      </c>
      <c r="AJ22" s="4357"/>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3"/>
      <c r="D24" s="5314"/>
      <c r="E24" s="5314"/>
      <c r="F24" s="5314"/>
      <c r="G24" s="5314"/>
      <c r="H24" s="5314"/>
      <c r="I24" s="1263" t="s">
        <v>1715</v>
      </c>
      <c r="K24" s="5313"/>
      <c r="L24" s="5314"/>
      <c r="M24" s="5314"/>
      <c r="N24" s="5314"/>
      <c r="O24" s="5314"/>
      <c r="P24" s="5314"/>
      <c r="Q24" s="1263" t="s">
        <v>1715</v>
      </c>
      <c r="R24" s="1216"/>
      <c r="S24" s="1210"/>
      <c r="T24" s="1210"/>
      <c r="U24" s="615"/>
      <c r="V24" s="5313"/>
      <c r="W24" s="5314"/>
      <c r="X24" s="5314"/>
      <c r="Y24" s="5314"/>
      <c r="Z24" s="5314"/>
      <c r="AA24" s="5314"/>
      <c r="AB24" s="1263" t="s">
        <v>1715</v>
      </c>
      <c r="AC24" s="1258"/>
      <c r="AD24" s="5313"/>
      <c r="AE24" s="5314"/>
      <c r="AF24" s="5314"/>
      <c r="AG24" s="5314"/>
      <c r="AH24" s="5314"/>
      <c r="AI24" s="5314"/>
      <c r="AJ24" s="1263" t="s">
        <v>1715</v>
      </c>
      <c r="AK24" s="1216"/>
      <c r="AL24" s="1210"/>
      <c r="AM24" s="1226"/>
      <c r="AN24" s="1226"/>
      <c r="AO24" s="1226"/>
      <c r="AP24" s="1227"/>
      <c r="AQ24" s="1227"/>
      <c r="AR24" s="1218"/>
      <c r="AS24" s="698"/>
    </row>
    <row r="25" spans="1:45" ht="12" customHeight="1" x14ac:dyDescent="0.2">
      <c r="A25" s="1210"/>
      <c r="B25" s="615"/>
      <c r="C25" s="5416" t="str">
        <f>IF(C24=0,"",VLOOKUP(C24,'Tablas psiquica'!$D$7:$R$145,2,FALSE))</f>
        <v/>
      </c>
      <c r="D25" s="5417"/>
      <c r="E25" s="5417"/>
      <c r="F25" s="5417"/>
      <c r="G25" s="5417"/>
      <c r="H25" s="5417"/>
      <c r="I25" s="1265" t="str">
        <f>IF(C24=0,"",VLOOKUP(C24,'Tablas psiquica'!$D$7:$R$145,3,FALSE))</f>
        <v/>
      </c>
      <c r="K25" s="5416" t="str">
        <f>IF(K24=0,"",VLOOKUP(K24,'Tablas psiquica'!$D$7:$R$145,2,FALSE))</f>
        <v/>
      </c>
      <c r="L25" s="5417"/>
      <c r="M25" s="5417"/>
      <c r="N25" s="5417"/>
      <c r="O25" s="5417"/>
      <c r="P25" s="5417"/>
      <c r="Q25" s="1265" t="str">
        <f>IF(K24=0,"",VLOOKUP(K24,'Tablas psiquica'!$D$7:$R$145,3,FALSE))</f>
        <v/>
      </c>
      <c r="R25" s="1216"/>
      <c r="S25" s="1210"/>
      <c r="T25" s="1210"/>
      <c r="U25" s="615"/>
      <c r="V25" s="5416" t="str">
        <f>IF(V24=0,"",VLOOKUP(V24,'Tablas psiquica'!$D$7:$R$145,2,FALSE))</f>
        <v/>
      </c>
      <c r="W25" s="5417"/>
      <c r="X25" s="5417"/>
      <c r="Y25" s="5417"/>
      <c r="Z25" s="5417"/>
      <c r="AA25" s="5417"/>
      <c r="AB25" s="1265" t="str">
        <f>IF(V24=0,"",VLOOKUP(V24,'Tablas psiquica'!$D$7:$R$145,3,FALSE))</f>
        <v/>
      </c>
      <c r="AC25" s="1258"/>
      <c r="AD25" s="5416" t="str">
        <f>IF(AD24=0,"",VLOOKUP(AD24,'Tablas psiquica'!$D$7:$R$145,2,FALSE))</f>
        <v/>
      </c>
      <c r="AE25" s="5417"/>
      <c r="AF25" s="5417"/>
      <c r="AG25" s="5417"/>
      <c r="AH25" s="5417"/>
      <c r="AI25" s="5417"/>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18" t="s">
        <v>2055</v>
      </c>
      <c r="E26" s="5326"/>
      <c r="F26" s="5419" t="str">
        <f>IF(C24=0,"",VLOOKUP(C24,'Tablas psiquica'!$D$7:$R$145,6,FALSE))</f>
        <v/>
      </c>
      <c r="G26" s="5420"/>
      <c r="H26" s="5420"/>
      <c r="I26" s="5421"/>
      <c r="K26" s="1266">
        <v>20</v>
      </c>
      <c r="L26" s="5418" t="s">
        <v>2055</v>
      </c>
      <c r="M26" s="5326"/>
      <c r="N26" s="5419" t="str">
        <f>IF(K24=0,"",VLOOKUP(K24,'Tablas psiquica'!$D$7:$R$145,6,FALSE))</f>
        <v/>
      </c>
      <c r="O26" s="5420"/>
      <c r="P26" s="5420"/>
      <c r="Q26" s="5421"/>
      <c r="R26" s="1216"/>
      <c r="S26" s="1210"/>
      <c r="T26" s="1210"/>
      <c r="U26" s="615"/>
      <c r="V26" s="1266">
        <v>20</v>
      </c>
      <c r="W26" s="5418" t="s">
        <v>2055</v>
      </c>
      <c r="X26" s="5326"/>
      <c r="Y26" s="5419" t="str">
        <f>IF(V24=0,"",VLOOKUP(V24,'Tablas psiquica'!$D$7:$R$145,6,FALSE))</f>
        <v/>
      </c>
      <c r="Z26" s="5420"/>
      <c r="AA26" s="5420"/>
      <c r="AB26" s="5421"/>
      <c r="AC26" s="1276"/>
      <c r="AD26" s="1266">
        <v>20</v>
      </c>
      <c r="AE26" s="5418" t="s">
        <v>2055</v>
      </c>
      <c r="AF26" s="5326"/>
      <c r="AG26" s="5419" t="str">
        <f>IF(AD24=0,"",VLOOKUP(AD24,'Tablas psiquica'!$D$7:$R$145,6,FALSE))</f>
        <v/>
      </c>
      <c r="AH26" s="5420"/>
      <c r="AI26" s="5420"/>
      <c r="AJ26" s="5421"/>
      <c r="AK26" s="1216"/>
      <c r="AL26" s="1210"/>
      <c r="AM26" s="698"/>
      <c r="AN26" s="1246"/>
      <c r="AO26" s="1246"/>
      <c r="AP26" s="1246"/>
      <c r="AQ26" s="1246"/>
      <c r="AR26" s="698"/>
      <c r="AS26" s="698"/>
    </row>
    <row r="27" spans="1:45" ht="12" customHeight="1" x14ac:dyDescent="0.2">
      <c r="A27" s="1210"/>
      <c r="B27" s="615"/>
      <c r="C27" s="1268">
        <v>40</v>
      </c>
      <c r="D27" s="5422" t="s">
        <v>2059</v>
      </c>
      <c r="E27" s="5321"/>
      <c r="F27" s="5423" t="str">
        <f>IF(C24=0,"",VLOOKUP(C24,'Tablas psiquica'!$D$7:$R$145,7,FALSE))</f>
        <v/>
      </c>
      <c r="G27" s="5424"/>
      <c r="H27" s="5424"/>
      <c r="I27" s="5425"/>
      <c r="K27" s="1268">
        <v>40</v>
      </c>
      <c r="L27" s="5422" t="s">
        <v>2059</v>
      </c>
      <c r="M27" s="5321"/>
      <c r="N27" s="5423" t="str">
        <f>IF(K24=0,"",VLOOKUP(K24,'Tablas psiquica'!$D$7:$R$145,7,FALSE))</f>
        <v/>
      </c>
      <c r="O27" s="5424"/>
      <c r="P27" s="5424"/>
      <c r="Q27" s="5425"/>
      <c r="R27" s="1216"/>
      <c r="S27" s="1210"/>
      <c r="T27" s="1210"/>
      <c r="U27" s="615"/>
      <c r="V27" s="1268">
        <v>40</v>
      </c>
      <c r="W27" s="5422" t="s">
        <v>2059</v>
      </c>
      <c r="X27" s="5321"/>
      <c r="Y27" s="5423" t="str">
        <f>IF(V24=0,"",VLOOKUP(V24,'Tablas psiquica'!$D$7:$R$145,7,FALSE))</f>
        <v/>
      </c>
      <c r="Z27" s="5424"/>
      <c r="AA27" s="5424"/>
      <c r="AB27" s="5425"/>
      <c r="AC27" s="1276"/>
      <c r="AD27" s="1268">
        <v>40</v>
      </c>
      <c r="AE27" s="5422" t="s">
        <v>2059</v>
      </c>
      <c r="AF27" s="5321"/>
      <c r="AG27" s="5423" t="str">
        <f>IF(AD24=0,"",VLOOKUP(AD24,'Tablas psiquica'!$D$7:$R$145,7,FALSE))</f>
        <v/>
      </c>
      <c r="AH27" s="5424"/>
      <c r="AI27" s="5424"/>
      <c r="AJ27" s="5425"/>
      <c r="AK27" s="1216"/>
      <c r="AL27" s="1210"/>
      <c r="AM27" s="698"/>
      <c r="AN27" s="698"/>
      <c r="AO27" s="698"/>
      <c r="AP27" s="698"/>
      <c r="AQ27" s="1217"/>
      <c r="AR27" s="1217"/>
      <c r="AS27" s="698"/>
    </row>
    <row r="28" spans="1:45" ht="12" customHeight="1" x14ac:dyDescent="0.2">
      <c r="A28" s="1210"/>
      <c r="B28" s="615"/>
      <c r="C28" s="1266">
        <v>80</v>
      </c>
      <c r="D28" s="5418" t="s">
        <v>2062</v>
      </c>
      <c r="E28" s="5326"/>
      <c r="F28" s="5419" t="str">
        <f>IF(C24=0,"",VLOOKUP(C24,'Tablas psiquica'!$D$7:$R$145,8,FALSE))</f>
        <v/>
      </c>
      <c r="G28" s="5420"/>
      <c r="H28" s="5420"/>
      <c r="I28" s="5421"/>
      <c r="K28" s="1266">
        <v>80</v>
      </c>
      <c r="L28" s="5418" t="s">
        <v>2062</v>
      </c>
      <c r="M28" s="5326"/>
      <c r="N28" s="5419" t="str">
        <f>IF(K24=0,"",VLOOKUP(K24,'Tablas psiquica'!$D$7:$R$145,8,FALSE))</f>
        <v/>
      </c>
      <c r="O28" s="5420"/>
      <c r="P28" s="5420"/>
      <c r="Q28" s="5421"/>
      <c r="R28" s="1216"/>
      <c r="S28" s="1210"/>
      <c r="T28" s="1210"/>
      <c r="U28" s="615"/>
      <c r="V28" s="1266">
        <v>80</v>
      </c>
      <c r="W28" s="5418" t="s">
        <v>2062</v>
      </c>
      <c r="X28" s="5326"/>
      <c r="Y28" s="5419" t="str">
        <f>IF(V24=0,"",VLOOKUP(V24,'Tablas psiquica'!$D$7:$R$145,8,FALSE))</f>
        <v/>
      </c>
      <c r="Z28" s="5420"/>
      <c r="AA28" s="5420"/>
      <c r="AB28" s="5421"/>
      <c r="AC28" s="1270"/>
      <c r="AD28" s="1266">
        <v>80</v>
      </c>
      <c r="AE28" s="5418" t="s">
        <v>2062</v>
      </c>
      <c r="AF28" s="5326"/>
      <c r="AG28" s="5419" t="str">
        <f>IF(AD24=0,"",VLOOKUP(AD24,'Tablas psiquica'!$D$7:$R$145,8,FALSE))</f>
        <v/>
      </c>
      <c r="AH28" s="5420"/>
      <c r="AI28" s="5420"/>
      <c r="AJ28" s="5421"/>
      <c r="AK28" s="1216"/>
      <c r="AL28" s="1210"/>
      <c r="AM28" s="698"/>
      <c r="AN28" s="698"/>
      <c r="AO28" s="698"/>
      <c r="AP28" s="698"/>
      <c r="AQ28" s="1218"/>
      <c r="AR28" s="1220"/>
      <c r="AS28" s="698"/>
    </row>
    <row r="29" spans="1:45" ht="12" customHeight="1" x14ac:dyDescent="0.2">
      <c r="A29" s="1210"/>
      <c r="B29" s="615"/>
      <c r="C29" s="1268">
        <v>120</v>
      </c>
      <c r="D29" s="5422" t="s">
        <v>2066</v>
      </c>
      <c r="E29" s="5321"/>
      <c r="F29" s="5423" t="str">
        <f>IF(C24=0,"",VLOOKUP(C24,'Tablas psiquica'!$D$7:$R$145,9,FALSE))</f>
        <v/>
      </c>
      <c r="G29" s="5424"/>
      <c r="H29" s="5424"/>
      <c r="I29" s="5425"/>
      <c r="K29" s="1268">
        <v>120</v>
      </c>
      <c r="L29" s="5422" t="s">
        <v>2066</v>
      </c>
      <c r="M29" s="5321"/>
      <c r="N29" s="5423" t="str">
        <f>IF(K24=0,"",VLOOKUP(K24,'Tablas psiquica'!$D$7:$R$145,9,FALSE))</f>
        <v/>
      </c>
      <c r="O29" s="5424"/>
      <c r="P29" s="5424"/>
      <c r="Q29" s="5425"/>
      <c r="R29" s="1216"/>
      <c r="S29" s="1210"/>
      <c r="T29" s="1210"/>
      <c r="U29" s="615"/>
      <c r="V29" s="1268">
        <v>120</v>
      </c>
      <c r="W29" s="5422" t="s">
        <v>2066</v>
      </c>
      <c r="X29" s="5321"/>
      <c r="Y29" s="5423" t="str">
        <f>IF(V24=0,"",VLOOKUP(V24,'Tablas psiquica'!$D$7:$R$145,9,FALSE))</f>
        <v/>
      </c>
      <c r="Z29" s="5424"/>
      <c r="AA29" s="5424"/>
      <c r="AB29" s="5425"/>
      <c r="AC29" s="1277"/>
      <c r="AD29" s="1268">
        <v>120</v>
      </c>
      <c r="AE29" s="5422" t="s">
        <v>2066</v>
      </c>
      <c r="AF29" s="5321"/>
      <c r="AG29" s="5423" t="str">
        <f>IF(AD24=0,"",VLOOKUP(AD24,'Tablas psiquica'!$D$7:$R$145,9,FALSE))</f>
        <v/>
      </c>
      <c r="AH29" s="5424"/>
      <c r="AI29" s="5424"/>
      <c r="AJ29" s="5425"/>
      <c r="AK29" s="1216"/>
      <c r="AL29" s="1210"/>
      <c r="AM29" s="698"/>
      <c r="AN29" s="698"/>
      <c r="AO29" s="698"/>
      <c r="AP29" s="698"/>
      <c r="AQ29" s="1218"/>
      <c r="AR29" s="1247"/>
      <c r="AS29" s="698"/>
    </row>
    <row r="30" spans="1:45" ht="12" customHeight="1" x14ac:dyDescent="0.2">
      <c r="A30" s="1210"/>
      <c r="B30" s="615"/>
      <c r="C30" s="1266">
        <v>140</v>
      </c>
      <c r="D30" s="5418" t="s">
        <v>8168</v>
      </c>
      <c r="E30" s="5326"/>
      <c r="F30" s="5419" t="str">
        <f>IF(C24=0,"",VLOOKUP(C24,'Tablas psiquica'!$D$7:$R$145,10,FALSE))</f>
        <v/>
      </c>
      <c r="G30" s="5420"/>
      <c r="H30" s="5420"/>
      <c r="I30" s="5421"/>
      <c r="K30" s="1266">
        <v>140</v>
      </c>
      <c r="L30" s="5418" t="s">
        <v>8168</v>
      </c>
      <c r="M30" s="5326"/>
      <c r="N30" s="5419" t="str">
        <f>IF(K24=0,"",VLOOKUP(K24,'Tablas psiquica'!$D$7:$R$145,10,FALSE))</f>
        <v/>
      </c>
      <c r="O30" s="5420"/>
      <c r="P30" s="5420"/>
      <c r="Q30" s="5421"/>
      <c r="R30" s="1216"/>
      <c r="S30" s="1210"/>
      <c r="T30" s="1210"/>
      <c r="U30" s="615"/>
      <c r="V30" s="1266">
        <v>140</v>
      </c>
      <c r="W30" s="5418" t="s">
        <v>8168</v>
      </c>
      <c r="X30" s="5326"/>
      <c r="Y30" s="5419" t="str">
        <f>IF(V24=0,"",VLOOKUP(V24,'Tablas psiquica'!$D$7:$R$145,10,FALSE))</f>
        <v/>
      </c>
      <c r="Z30" s="5420"/>
      <c r="AA30" s="5420"/>
      <c r="AB30" s="5421"/>
      <c r="AC30" s="1276"/>
      <c r="AD30" s="1266">
        <v>140</v>
      </c>
      <c r="AE30" s="5418" t="s">
        <v>8168</v>
      </c>
      <c r="AF30" s="5326"/>
      <c r="AG30" s="5419" t="str">
        <f>IF(AD24=0,"",VLOOKUP(AD24,'Tablas psiquica'!$D$7:$R$145,10,FALSE))</f>
        <v/>
      </c>
      <c r="AH30" s="5420"/>
      <c r="AI30" s="5420"/>
      <c r="AJ30" s="5421"/>
      <c r="AK30" s="1216"/>
      <c r="AL30" s="1210"/>
      <c r="AM30" s="698"/>
      <c r="AN30" s="698"/>
      <c r="AO30" s="698"/>
      <c r="AP30" s="698"/>
      <c r="AQ30" s="1218"/>
      <c r="AR30" s="1247"/>
      <c r="AS30" s="698"/>
    </row>
    <row r="31" spans="1:45" ht="12" customHeight="1" x14ac:dyDescent="0.2">
      <c r="A31" s="1210"/>
      <c r="B31" s="615"/>
      <c r="C31" s="1268">
        <v>180</v>
      </c>
      <c r="D31" s="5422" t="s">
        <v>2071</v>
      </c>
      <c r="E31" s="5321"/>
      <c r="F31" s="5423" t="str">
        <f>IF(C24=0,"",VLOOKUP(C24,'Tablas psiquica'!$D$7:$R$145,11,FALSE))</f>
        <v/>
      </c>
      <c r="G31" s="5424"/>
      <c r="H31" s="5424"/>
      <c r="I31" s="5425"/>
      <c r="K31" s="1268">
        <v>180</v>
      </c>
      <c r="L31" s="5422" t="s">
        <v>2071</v>
      </c>
      <c r="M31" s="5321"/>
      <c r="N31" s="5423" t="str">
        <f>IF(K24=0,"",VLOOKUP(K24,'Tablas psiquica'!$D$7:$R$145,11,FALSE))</f>
        <v/>
      </c>
      <c r="O31" s="5424"/>
      <c r="P31" s="5424"/>
      <c r="Q31" s="5425"/>
      <c r="R31" s="1216"/>
      <c r="S31" s="1210"/>
      <c r="T31" s="1210"/>
      <c r="U31" s="615"/>
      <c r="V31" s="1268">
        <v>180</v>
      </c>
      <c r="W31" s="5422" t="s">
        <v>2071</v>
      </c>
      <c r="X31" s="5321"/>
      <c r="Y31" s="5423" t="str">
        <f>IF(V24=0,"",VLOOKUP(V24,'Tablas psiquica'!$D$7:$R$145,11,FALSE))</f>
        <v/>
      </c>
      <c r="Z31" s="5424"/>
      <c r="AA31" s="5424"/>
      <c r="AB31" s="5425"/>
      <c r="AC31" s="1276"/>
      <c r="AD31" s="1268">
        <v>180</v>
      </c>
      <c r="AE31" s="5422" t="s">
        <v>2071</v>
      </c>
      <c r="AF31" s="5321"/>
      <c r="AG31" s="5423" t="str">
        <f>IF(AD24=0,"",VLOOKUP(AD24,'Tablas psiquica'!$D$7:$R$145,11,FALSE))</f>
        <v/>
      </c>
      <c r="AH31" s="5424"/>
      <c r="AI31" s="5424"/>
      <c r="AJ31" s="5425"/>
      <c r="AK31" s="1216"/>
      <c r="AL31" s="1210"/>
      <c r="AM31" s="698"/>
      <c r="AN31" s="698"/>
      <c r="AO31" s="698"/>
      <c r="AP31" s="698"/>
      <c r="AQ31" s="1218"/>
      <c r="AR31" s="1247"/>
      <c r="AS31" s="698"/>
    </row>
    <row r="32" spans="1:45" ht="12" customHeight="1" x14ac:dyDescent="0.2">
      <c r="A32" s="1210"/>
      <c r="B32" s="615"/>
      <c r="C32" s="1266">
        <v>240</v>
      </c>
      <c r="D32" s="5418" t="s">
        <v>8169</v>
      </c>
      <c r="E32" s="5326"/>
      <c r="F32" s="5419" t="str">
        <f>IF(C24=0,"",VLOOKUP(C24,'Tablas psiquica'!$D$7:$R$145,12,FALSE))</f>
        <v/>
      </c>
      <c r="G32" s="5420"/>
      <c r="H32" s="5420"/>
      <c r="I32" s="5421"/>
      <c r="K32" s="1266">
        <v>240</v>
      </c>
      <c r="L32" s="5418" t="s">
        <v>8169</v>
      </c>
      <c r="M32" s="5326"/>
      <c r="N32" s="5419" t="str">
        <f>IF(K24=0,"",VLOOKUP(K24,'Tablas psiquica'!$D$7:$R$145,12,FALSE))</f>
        <v/>
      </c>
      <c r="O32" s="5420"/>
      <c r="P32" s="5420"/>
      <c r="Q32" s="5421"/>
      <c r="R32" s="1216"/>
      <c r="S32" s="1210"/>
      <c r="T32" s="1210"/>
      <c r="U32" s="615"/>
      <c r="V32" s="1266">
        <v>240</v>
      </c>
      <c r="W32" s="5418" t="s">
        <v>8169</v>
      </c>
      <c r="X32" s="5326"/>
      <c r="Y32" s="5419" t="str">
        <f>IF(V24=0,"",VLOOKUP(V24,'Tablas psiquica'!$D$7:$R$145,12,FALSE))</f>
        <v/>
      </c>
      <c r="Z32" s="5420"/>
      <c r="AA32" s="5420"/>
      <c r="AB32" s="5421"/>
      <c r="AC32" s="1278"/>
      <c r="AD32" s="1266">
        <v>240</v>
      </c>
      <c r="AE32" s="5418" t="s">
        <v>8169</v>
      </c>
      <c r="AF32" s="5326"/>
      <c r="AG32" s="5419" t="str">
        <f>IF(AD24=0,"",VLOOKUP(AD24,'Tablas psiquica'!$D$7:$R$145,12,FALSE))</f>
        <v/>
      </c>
      <c r="AH32" s="5420"/>
      <c r="AI32" s="5420"/>
      <c r="AJ32" s="5421"/>
      <c r="AK32" s="1216"/>
      <c r="AL32" s="1210"/>
      <c r="AM32" s="698"/>
      <c r="AN32" s="698"/>
      <c r="AO32" s="698"/>
      <c r="AP32" s="698"/>
      <c r="AQ32" s="1218"/>
      <c r="AR32" s="1247"/>
      <c r="AS32" s="698"/>
    </row>
    <row r="33" spans="1:45" ht="12" customHeight="1" x14ac:dyDescent="0.2">
      <c r="A33" s="1210"/>
      <c r="B33" s="615"/>
      <c r="C33" s="1268">
        <v>280</v>
      </c>
      <c r="D33" s="5422" t="s">
        <v>2076</v>
      </c>
      <c r="E33" s="5321"/>
      <c r="F33" s="5423" t="str">
        <f>IF(C24=0,"",VLOOKUP(C24,'Tablas psiquica'!$D$7:$R$145,13,FALSE))</f>
        <v/>
      </c>
      <c r="G33" s="5424"/>
      <c r="H33" s="5424"/>
      <c r="I33" s="5425"/>
      <c r="K33" s="1268">
        <v>280</v>
      </c>
      <c r="L33" s="5422" t="s">
        <v>2076</v>
      </c>
      <c r="M33" s="5321"/>
      <c r="N33" s="5423" t="str">
        <f>IF(K24=0,"",VLOOKUP(K24,'Tablas psiquica'!$D$7:$R$145,13,FALSE))</f>
        <v/>
      </c>
      <c r="O33" s="5424"/>
      <c r="P33" s="5424"/>
      <c r="Q33" s="5425"/>
      <c r="R33" s="1216"/>
      <c r="S33" s="1210"/>
      <c r="T33" s="1210"/>
      <c r="U33" s="615"/>
      <c r="V33" s="1268">
        <v>280</v>
      </c>
      <c r="W33" s="5422" t="s">
        <v>2076</v>
      </c>
      <c r="X33" s="5321"/>
      <c r="Y33" s="5423" t="str">
        <f>IF(V24=0,"",VLOOKUP(V24,'Tablas psiquica'!$D$7:$R$145,13,FALSE))</f>
        <v/>
      </c>
      <c r="Z33" s="5424"/>
      <c r="AA33" s="5424"/>
      <c r="AB33" s="5425"/>
      <c r="AC33" s="1278"/>
      <c r="AD33" s="1268">
        <v>280</v>
      </c>
      <c r="AE33" s="5422" t="s">
        <v>2076</v>
      </c>
      <c r="AF33" s="5321"/>
      <c r="AG33" s="5423" t="str">
        <f>IF(AD24=0,"",VLOOKUP(AD24,'Tablas psiquica'!$D$7:$R$145,13,FALSE))</f>
        <v/>
      </c>
      <c r="AH33" s="5424"/>
      <c r="AI33" s="5424"/>
      <c r="AJ33" s="5425"/>
      <c r="AK33" s="1216"/>
      <c r="AL33" s="1210"/>
      <c r="AM33" s="698"/>
      <c r="AN33" s="698"/>
      <c r="AO33" s="698"/>
      <c r="AP33" s="698"/>
      <c r="AQ33" s="1218"/>
      <c r="AR33" s="1247"/>
      <c r="AS33" s="698"/>
    </row>
    <row r="34" spans="1:45" ht="12" customHeight="1" x14ac:dyDescent="0.2">
      <c r="A34" s="1210"/>
      <c r="B34" s="615"/>
      <c r="C34" s="1266">
        <v>320</v>
      </c>
      <c r="D34" s="5418" t="s">
        <v>2078</v>
      </c>
      <c r="E34" s="5326"/>
      <c r="F34" s="5419" t="str">
        <f>IF(C24=0,"",VLOOKUP(C24,'Tablas psiquica'!$D$7:$R$145,14,FALSE))</f>
        <v/>
      </c>
      <c r="G34" s="5420"/>
      <c r="H34" s="5420"/>
      <c r="I34" s="5421"/>
      <c r="K34" s="1266">
        <v>320</v>
      </c>
      <c r="L34" s="5418" t="s">
        <v>2078</v>
      </c>
      <c r="M34" s="5326"/>
      <c r="N34" s="5419" t="str">
        <f>IF(K24=0,"",VLOOKUP(K24,'Tablas psiquica'!$D$7:$R$145,14,FALSE))</f>
        <v/>
      </c>
      <c r="O34" s="5420"/>
      <c r="P34" s="5420"/>
      <c r="Q34" s="5421"/>
      <c r="R34" s="1216"/>
      <c r="S34" s="1210"/>
      <c r="T34" s="1210"/>
      <c r="U34" s="615"/>
      <c r="V34" s="1266">
        <v>320</v>
      </c>
      <c r="W34" s="5418" t="s">
        <v>2078</v>
      </c>
      <c r="X34" s="5326"/>
      <c r="Y34" s="5419" t="str">
        <f>IF(V24=0,"",VLOOKUP(V24,'Tablas psiquica'!$D$7:$R$145,14,FALSE))</f>
        <v/>
      </c>
      <c r="Z34" s="5420"/>
      <c r="AA34" s="5420"/>
      <c r="AB34" s="5421"/>
      <c r="AC34" s="1258"/>
      <c r="AD34" s="1266">
        <v>320</v>
      </c>
      <c r="AE34" s="5418" t="s">
        <v>2078</v>
      </c>
      <c r="AF34" s="5326"/>
      <c r="AG34" s="5419" t="str">
        <f>IF(AD24=0,"",VLOOKUP(AD24,'Tablas psiquica'!$D$7:$R$145,14,FALSE))</f>
        <v/>
      </c>
      <c r="AH34" s="5420"/>
      <c r="AI34" s="5420"/>
      <c r="AJ34" s="5421"/>
      <c r="AK34" s="1216"/>
      <c r="AL34" s="1210"/>
      <c r="AM34" s="698"/>
      <c r="AN34" s="698"/>
      <c r="AO34" s="698"/>
      <c r="AP34" s="698"/>
      <c r="AQ34" s="1218"/>
      <c r="AR34" s="1247"/>
      <c r="AS34" s="698"/>
    </row>
    <row r="35" spans="1:45" ht="12" customHeight="1" x14ac:dyDescent="0.2">
      <c r="A35" s="1210"/>
      <c r="B35" s="615"/>
      <c r="C35" s="1271">
        <v>440</v>
      </c>
      <c r="D35" s="5426" t="s">
        <v>2012</v>
      </c>
      <c r="E35" s="5427"/>
      <c r="F35" s="5428" t="str">
        <f>IF(C24=0,"",VLOOKUP(C24,'Tablas psiquica'!$D$7:$R$145,15,FALSE))</f>
        <v/>
      </c>
      <c r="G35" s="5429"/>
      <c r="H35" s="5429"/>
      <c r="I35" s="5430"/>
      <c r="K35" s="1271">
        <v>440</v>
      </c>
      <c r="L35" s="5426" t="s">
        <v>2012</v>
      </c>
      <c r="M35" s="5427"/>
      <c r="N35" s="5428" t="str">
        <f>IF(K24=0,"",VLOOKUP(K24,'Tablas psiquica'!$D$7:$R$145,15,FALSE))</f>
        <v/>
      </c>
      <c r="O35" s="5429"/>
      <c r="P35" s="5429"/>
      <c r="Q35" s="5430"/>
      <c r="R35" s="1216"/>
      <c r="S35" s="1210"/>
      <c r="T35" s="1210"/>
      <c r="U35" s="615"/>
      <c r="V35" s="1271">
        <v>440</v>
      </c>
      <c r="W35" s="5426" t="s">
        <v>2012</v>
      </c>
      <c r="X35" s="5427"/>
      <c r="Y35" s="5428" t="str">
        <f>IF(V24=0,"",VLOOKUP(V24,'Tablas psiquica'!$D$7:$R$145,15,FALSE))</f>
        <v/>
      </c>
      <c r="Z35" s="5429"/>
      <c r="AA35" s="5429"/>
      <c r="AB35" s="5430"/>
      <c r="AC35" s="1276"/>
      <c r="AD35" s="1271">
        <v>440</v>
      </c>
      <c r="AE35" s="5426" t="s">
        <v>2012</v>
      </c>
      <c r="AF35" s="5427"/>
      <c r="AG35" s="5428" t="str">
        <f>IF(AD24=0,"",VLOOKUP(AD24,'Tablas psiquica'!$D$7:$R$145,15,FALSE))</f>
        <v/>
      </c>
      <c r="AH35" s="5429"/>
      <c r="AI35" s="5429"/>
      <c r="AJ35" s="5430"/>
      <c r="AK35" s="1216"/>
      <c r="AL35" s="1210"/>
      <c r="AM35" s="698"/>
      <c r="AN35" s="698"/>
      <c r="AO35" s="698"/>
      <c r="AP35" s="698"/>
      <c r="AQ35" s="1218"/>
      <c r="AR35" s="1247"/>
      <c r="AS35" s="698"/>
    </row>
    <row r="36" spans="1:45" ht="12" customHeight="1" thickBot="1" x14ac:dyDescent="0.25">
      <c r="A36" s="1210"/>
      <c r="B36" s="615"/>
      <c r="C36" s="5431" t="s">
        <v>8170</v>
      </c>
      <c r="D36" s="5432"/>
      <c r="E36" s="1272" t="str">
        <f>IF(C24=0,"",VLOOKUP(C24,'Tablas psiquica'!$D$7:$R$145,4,FALSE))</f>
        <v/>
      </c>
      <c r="F36" s="5433" t="s">
        <v>8165</v>
      </c>
      <c r="G36" s="5433"/>
      <c r="H36" s="4356" t="str">
        <f>IF(C24=0,"",VLOOKUP(C24,'Tablas psiquica'!$D$7:$R$145,5,FALSE))</f>
        <v/>
      </c>
      <c r="I36" s="4357"/>
      <c r="K36" s="5431" t="s">
        <v>8170</v>
      </c>
      <c r="L36" s="5432"/>
      <c r="M36" s="1272" t="str">
        <f>IF(K24=0,"",VLOOKUP(K24,'Tablas psiquica'!$D$7:$R$145,4,FALSE))</f>
        <v/>
      </c>
      <c r="N36" s="5433" t="s">
        <v>8165</v>
      </c>
      <c r="O36" s="5433"/>
      <c r="P36" s="4356" t="str">
        <f>IF(K24=0,"",VLOOKUP(K24,'Tablas psiquica'!$D$7:$R$145,5,FALSE))</f>
        <v/>
      </c>
      <c r="Q36" s="4357"/>
      <c r="R36" s="1216"/>
      <c r="S36" s="1210"/>
      <c r="T36" s="1210"/>
      <c r="U36" s="615"/>
      <c r="V36" s="5431" t="s">
        <v>8170</v>
      </c>
      <c r="W36" s="5432"/>
      <c r="X36" s="1272" t="str">
        <f>IF(V24=0,"",VLOOKUP(V24,'Tablas psiquica'!$D$7:$R$145,4,FALSE))</f>
        <v/>
      </c>
      <c r="Y36" s="5433" t="s">
        <v>8165</v>
      </c>
      <c r="Z36" s="5433"/>
      <c r="AA36" s="4356" t="str">
        <f>IF(V24=0,"",VLOOKUP(V24,'Tablas psiquica'!$D$7:$R$145,5,FALSE))</f>
        <v/>
      </c>
      <c r="AB36" s="4357"/>
      <c r="AC36" s="1276"/>
      <c r="AD36" s="5431" t="s">
        <v>8170</v>
      </c>
      <c r="AE36" s="5432"/>
      <c r="AF36" s="1272" t="str">
        <f>IF(AD24=0,"",VLOOKUP(AD24,'Tablas psiquica'!$D$7:$R$145,4,FALSE))</f>
        <v/>
      </c>
      <c r="AG36" s="5433" t="s">
        <v>8165</v>
      </c>
      <c r="AH36" s="5433"/>
      <c r="AI36" s="4356" t="str">
        <f>IF(AD24=0,"",VLOOKUP(AD24,'Tablas psiquica'!$D$7:$R$145,5,FALSE))</f>
        <v/>
      </c>
      <c r="AJ36" s="4357"/>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3"/>
      <c r="D38" s="5314"/>
      <c r="E38" s="5314"/>
      <c r="F38" s="5314"/>
      <c r="G38" s="5314"/>
      <c r="H38" s="5314"/>
      <c r="I38" s="1263" t="s">
        <v>1715</v>
      </c>
      <c r="K38" s="5313"/>
      <c r="L38" s="5314"/>
      <c r="M38" s="5314"/>
      <c r="N38" s="5314"/>
      <c r="O38" s="5314"/>
      <c r="P38" s="5314"/>
      <c r="Q38" s="1263" t="s">
        <v>1715</v>
      </c>
      <c r="R38" s="1216"/>
      <c r="S38" s="1210"/>
      <c r="T38" s="1210"/>
      <c r="U38" s="615"/>
      <c r="V38" s="5313"/>
      <c r="W38" s="5314"/>
      <c r="X38" s="5314"/>
      <c r="Y38" s="5314"/>
      <c r="Z38" s="5314"/>
      <c r="AA38" s="5314"/>
      <c r="AB38" s="1263" t="s">
        <v>1715</v>
      </c>
      <c r="AC38" s="1277"/>
      <c r="AD38" s="5313"/>
      <c r="AE38" s="5314"/>
      <c r="AF38" s="5314"/>
      <c r="AG38" s="5314"/>
      <c r="AH38" s="5314"/>
      <c r="AI38" s="5314"/>
      <c r="AJ38" s="1263" t="s">
        <v>1715</v>
      </c>
      <c r="AK38" s="1216"/>
      <c r="AL38" s="1210"/>
      <c r="AQ38" s="741"/>
      <c r="AR38" s="1250"/>
    </row>
    <row r="39" spans="1:45" ht="12" customHeight="1" x14ac:dyDescent="0.2">
      <c r="A39" s="1210"/>
      <c r="B39" s="615"/>
      <c r="C39" s="5416" t="str">
        <f>IF(C38=0,"",VLOOKUP(C38,'Tablas psiquica'!$D$7:$R$145,2,FALSE))</f>
        <v/>
      </c>
      <c r="D39" s="5417"/>
      <c r="E39" s="5417"/>
      <c r="F39" s="5417"/>
      <c r="G39" s="5417"/>
      <c r="H39" s="5417"/>
      <c r="I39" s="1265" t="str">
        <f>IF(C38=0,"",VLOOKUP(C38,'Tablas psiquica'!$D$7:$R$145,3,FALSE))</f>
        <v/>
      </c>
      <c r="K39" s="5416" t="str">
        <f>IF(K38=0,"",VLOOKUP(K38,'Tablas psiquica'!$D$7:$R$145,2,FALSE))</f>
        <v/>
      </c>
      <c r="L39" s="5417"/>
      <c r="M39" s="5417"/>
      <c r="N39" s="5417"/>
      <c r="O39" s="5417"/>
      <c r="P39" s="5417"/>
      <c r="Q39" s="1265" t="str">
        <f>IF(K38=0,"",VLOOKUP(K38,'Tablas psiquica'!$D$7:$R$145,3,FALSE))</f>
        <v/>
      </c>
      <c r="R39" s="1216"/>
      <c r="S39" s="1210"/>
      <c r="T39" s="1210"/>
      <c r="U39" s="615"/>
      <c r="V39" s="5416" t="str">
        <f>IF(V38=0,"",VLOOKUP(V38,'Tablas psiquica'!$D$7:$R$145,2,FALSE))</f>
        <v/>
      </c>
      <c r="W39" s="5417"/>
      <c r="X39" s="5417"/>
      <c r="Y39" s="5417"/>
      <c r="Z39" s="5417"/>
      <c r="AA39" s="5417"/>
      <c r="AB39" s="1265" t="str">
        <f>IF(V38=0,"",VLOOKUP(V38,'Tablas psiquica'!$D$7:$R$145,3,FALSE))</f>
        <v/>
      </c>
      <c r="AC39" s="1276"/>
      <c r="AD39" s="5416" t="str">
        <f>IF(AD38=0,"",VLOOKUP(AD38,'Tablas psiquica'!$D$7:$R$145,2,FALSE))</f>
        <v/>
      </c>
      <c r="AE39" s="5417"/>
      <c r="AF39" s="5417"/>
      <c r="AG39" s="5417"/>
      <c r="AH39" s="5417"/>
      <c r="AI39" s="5417"/>
      <c r="AJ39" s="1265" t="str">
        <f>IF(AD38=0,"",VLOOKUP(AD38,'Tablas psiquica'!$D$7:$R$145,3,FALSE))</f>
        <v/>
      </c>
      <c r="AK39" s="1216"/>
      <c r="AL39" s="1210"/>
      <c r="AQ39" s="741"/>
      <c r="AR39" s="1250"/>
    </row>
    <row r="40" spans="1:45" ht="12" customHeight="1" x14ac:dyDescent="0.2">
      <c r="A40" s="1210"/>
      <c r="B40" s="615"/>
      <c r="C40" s="1266">
        <v>20</v>
      </c>
      <c r="D40" s="5418" t="s">
        <v>2055</v>
      </c>
      <c r="E40" s="5326"/>
      <c r="F40" s="5419" t="str">
        <f>IF(C38=0,"",VLOOKUP(C38,'Tablas psiquica'!$D$7:$R$145,6,FALSE))</f>
        <v/>
      </c>
      <c r="G40" s="5420"/>
      <c r="H40" s="5420"/>
      <c r="I40" s="5421"/>
      <c r="K40" s="1266">
        <v>20</v>
      </c>
      <c r="L40" s="5418" t="s">
        <v>2055</v>
      </c>
      <c r="M40" s="5326"/>
      <c r="N40" s="5419" t="str">
        <f>IF(K38=0,"",VLOOKUP(K38,'Tablas psiquica'!$D$7:$R$145,6,FALSE))</f>
        <v/>
      </c>
      <c r="O40" s="5420"/>
      <c r="P40" s="5420"/>
      <c r="Q40" s="5421"/>
      <c r="R40" s="1216"/>
      <c r="S40" s="1210"/>
      <c r="T40" s="1210"/>
      <c r="U40" s="615"/>
      <c r="V40" s="1266">
        <v>20</v>
      </c>
      <c r="W40" s="5418" t="s">
        <v>2055</v>
      </c>
      <c r="X40" s="5326"/>
      <c r="Y40" s="5419" t="str">
        <f>IF(V38=0,"",VLOOKUP(V38,'Tablas psiquica'!$D$7:$R$145,6,FALSE))</f>
        <v/>
      </c>
      <c r="Z40" s="5420"/>
      <c r="AA40" s="5420"/>
      <c r="AB40" s="5421"/>
      <c r="AC40" s="1276"/>
      <c r="AD40" s="1266">
        <v>20</v>
      </c>
      <c r="AE40" s="5418" t="s">
        <v>2055</v>
      </c>
      <c r="AF40" s="5326"/>
      <c r="AG40" s="5419" t="str">
        <f>IF(AD38=0,"",VLOOKUP(AD38,'Tablas psiquica'!$D$7:$R$145,6,FALSE))</f>
        <v/>
      </c>
      <c r="AH40" s="5420"/>
      <c r="AI40" s="5420"/>
      <c r="AJ40" s="5421"/>
      <c r="AK40" s="1216"/>
      <c r="AL40" s="1210"/>
      <c r="AQ40" s="741"/>
      <c r="AR40" s="1250"/>
    </row>
    <row r="41" spans="1:45" ht="12" customHeight="1" x14ac:dyDescent="0.2">
      <c r="A41" s="1210"/>
      <c r="B41" s="615"/>
      <c r="C41" s="1268">
        <v>40</v>
      </c>
      <c r="D41" s="5422" t="s">
        <v>2059</v>
      </c>
      <c r="E41" s="5321"/>
      <c r="F41" s="5423" t="str">
        <f>IF(C38=0,"",VLOOKUP(C38,'Tablas psiquica'!$D$7:$R$145,7,FALSE))</f>
        <v/>
      </c>
      <c r="G41" s="5424"/>
      <c r="H41" s="5424"/>
      <c r="I41" s="5425"/>
      <c r="K41" s="1268">
        <v>40</v>
      </c>
      <c r="L41" s="5422" t="s">
        <v>2059</v>
      </c>
      <c r="M41" s="5321"/>
      <c r="N41" s="5423" t="str">
        <f>IF(K38=0,"",VLOOKUP(K38,'Tablas psiquica'!$D$7:$R$145,7,FALSE))</f>
        <v/>
      </c>
      <c r="O41" s="5424"/>
      <c r="P41" s="5424"/>
      <c r="Q41" s="5425"/>
      <c r="R41" s="1216"/>
      <c r="S41" s="1210"/>
      <c r="T41" s="1210"/>
      <c r="U41" s="615"/>
      <c r="V41" s="1268">
        <v>40</v>
      </c>
      <c r="W41" s="5422" t="s">
        <v>2059</v>
      </c>
      <c r="X41" s="5321"/>
      <c r="Y41" s="5423" t="str">
        <f>IF(V38=0,"",VLOOKUP(V38,'Tablas psiquica'!$D$7:$R$145,7,FALSE))</f>
        <v/>
      </c>
      <c r="Z41" s="5424"/>
      <c r="AA41" s="5424"/>
      <c r="AB41" s="5425"/>
      <c r="AC41" s="1278"/>
      <c r="AD41" s="1268">
        <v>40</v>
      </c>
      <c r="AE41" s="5422" t="s">
        <v>2059</v>
      </c>
      <c r="AF41" s="5321"/>
      <c r="AG41" s="5423" t="str">
        <f>IF(AD38=0,"",VLOOKUP(AD38,'Tablas psiquica'!$D$7:$R$145,7,FALSE))</f>
        <v/>
      </c>
      <c r="AH41" s="5424"/>
      <c r="AI41" s="5424"/>
      <c r="AJ41" s="5425"/>
      <c r="AK41" s="1216"/>
      <c r="AL41" s="1210"/>
      <c r="AQ41" s="741"/>
      <c r="AR41" s="1250"/>
    </row>
    <row r="42" spans="1:45" ht="12" customHeight="1" x14ac:dyDescent="0.2">
      <c r="A42" s="1210"/>
      <c r="B42" s="615"/>
      <c r="C42" s="1266">
        <v>80</v>
      </c>
      <c r="D42" s="5418" t="s">
        <v>2062</v>
      </c>
      <c r="E42" s="5326"/>
      <c r="F42" s="5419" t="str">
        <f>IF(C38=0,"",VLOOKUP(C38,'Tablas psiquica'!$D$7:$R$145,8,FALSE))</f>
        <v/>
      </c>
      <c r="G42" s="5420"/>
      <c r="H42" s="5420"/>
      <c r="I42" s="5421"/>
      <c r="K42" s="1266">
        <v>80</v>
      </c>
      <c r="L42" s="5418" t="s">
        <v>2062</v>
      </c>
      <c r="M42" s="5326"/>
      <c r="N42" s="5419" t="str">
        <f>IF(K38=0,"",VLOOKUP(K38,'Tablas psiquica'!$D$7:$R$145,8,FALSE))</f>
        <v/>
      </c>
      <c r="O42" s="5420"/>
      <c r="P42" s="5420"/>
      <c r="Q42" s="5421"/>
      <c r="R42" s="1216"/>
      <c r="S42" s="1210"/>
      <c r="T42" s="1210"/>
      <c r="U42" s="615"/>
      <c r="V42" s="1266">
        <v>80</v>
      </c>
      <c r="W42" s="5418" t="s">
        <v>2062</v>
      </c>
      <c r="X42" s="5326"/>
      <c r="Y42" s="5419" t="str">
        <f>IF(V38=0,"",VLOOKUP(V38,'Tablas psiquica'!$D$7:$R$145,8,FALSE))</f>
        <v/>
      </c>
      <c r="Z42" s="5420"/>
      <c r="AA42" s="5420"/>
      <c r="AB42" s="5421"/>
      <c r="AC42" s="1278"/>
      <c r="AD42" s="1266">
        <v>80</v>
      </c>
      <c r="AE42" s="5418" t="s">
        <v>2062</v>
      </c>
      <c r="AF42" s="5326"/>
      <c r="AG42" s="5419" t="str">
        <f>IF(AD38=0,"",VLOOKUP(AD38,'Tablas psiquica'!$D$7:$R$145,8,FALSE))</f>
        <v/>
      </c>
      <c r="AH42" s="5420"/>
      <c r="AI42" s="5420"/>
      <c r="AJ42" s="5421"/>
      <c r="AK42" s="1216"/>
      <c r="AL42" s="1210"/>
      <c r="AQ42" s="741"/>
      <c r="AR42" s="1250"/>
    </row>
    <row r="43" spans="1:45" ht="12" customHeight="1" x14ac:dyDescent="0.2">
      <c r="A43" s="1210"/>
      <c r="B43" s="615"/>
      <c r="C43" s="1268">
        <v>120</v>
      </c>
      <c r="D43" s="5422" t="s">
        <v>2066</v>
      </c>
      <c r="E43" s="5321"/>
      <c r="F43" s="5423" t="str">
        <f>IF(C38=0,"",VLOOKUP(C38,'Tablas psiquica'!$D$7:$R$145,9,FALSE))</f>
        <v/>
      </c>
      <c r="G43" s="5424"/>
      <c r="H43" s="5424"/>
      <c r="I43" s="5425"/>
      <c r="K43" s="1268">
        <v>120</v>
      </c>
      <c r="L43" s="5422" t="s">
        <v>2066</v>
      </c>
      <c r="M43" s="5321"/>
      <c r="N43" s="5423" t="str">
        <f>IF(K38=0,"",VLOOKUP(K38,'Tablas psiquica'!$D$7:$R$145,9,FALSE))</f>
        <v/>
      </c>
      <c r="O43" s="5424"/>
      <c r="P43" s="5424"/>
      <c r="Q43" s="5425"/>
      <c r="R43" s="1216"/>
      <c r="S43" s="1210"/>
      <c r="T43" s="1210"/>
      <c r="U43" s="615"/>
      <c r="V43" s="1268">
        <v>120</v>
      </c>
      <c r="W43" s="5422" t="s">
        <v>2066</v>
      </c>
      <c r="X43" s="5321"/>
      <c r="Y43" s="5423" t="str">
        <f>IF(V38=0,"",VLOOKUP(V38,'Tablas psiquica'!$D$7:$R$145,9,FALSE))</f>
        <v/>
      </c>
      <c r="Z43" s="5424"/>
      <c r="AA43" s="5424"/>
      <c r="AB43" s="5425"/>
      <c r="AC43" s="1258"/>
      <c r="AD43" s="1268">
        <v>120</v>
      </c>
      <c r="AE43" s="5422" t="s">
        <v>2066</v>
      </c>
      <c r="AF43" s="5321"/>
      <c r="AG43" s="5423" t="str">
        <f>IF(AD38=0,"",VLOOKUP(AD38,'Tablas psiquica'!$D$7:$R$145,9,FALSE))</f>
        <v/>
      </c>
      <c r="AH43" s="5424"/>
      <c r="AI43" s="5424"/>
      <c r="AJ43" s="5425"/>
      <c r="AK43" s="1216"/>
      <c r="AL43" s="1210"/>
      <c r="AQ43" s="741"/>
      <c r="AR43" s="1250"/>
    </row>
    <row r="44" spans="1:45" ht="12" customHeight="1" x14ac:dyDescent="0.2">
      <c r="A44" s="1210"/>
      <c r="B44" s="615"/>
      <c r="C44" s="1266">
        <v>140</v>
      </c>
      <c r="D44" s="5418" t="s">
        <v>8168</v>
      </c>
      <c r="E44" s="5326"/>
      <c r="F44" s="5419" t="str">
        <f>IF(C38=0,"",VLOOKUP(C38,'Tablas psiquica'!$D$7:$R$145,10,FALSE))</f>
        <v/>
      </c>
      <c r="G44" s="5420"/>
      <c r="H44" s="5420"/>
      <c r="I44" s="5421"/>
      <c r="K44" s="1266">
        <v>140</v>
      </c>
      <c r="L44" s="5418" t="s">
        <v>8168</v>
      </c>
      <c r="M44" s="5326"/>
      <c r="N44" s="5419" t="str">
        <f>IF(K38=0,"",VLOOKUP(K38,'Tablas psiquica'!$D$7:$R$145,10,FALSE))</f>
        <v/>
      </c>
      <c r="O44" s="5420"/>
      <c r="P44" s="5420"/>
      <c r="Q44" s="5421"/>
      <c r="R44" s="1216"/>
      <c r="S44" s="1210"/>
      <c r="T44" s="1210"/>
      <c r="U44" s="615"/>
      <c r="V44" s="1266">
        <v>140</v>
      </c>
      <c r="W44" s="5418" t="s">
        <v>8168</v>
      </c>
      <c r="X44" s="5326"/>
      <c r="Y44" s="5419" t="str">
        <f>IF(V38=0,"",VLOOKUP(V38,'Tablas psiquica'!$D$7:$R$145,10,FALSE))</f>
        <v/>
      </c>
      <c r="Z44" s="5420"/>
      <c r="AA44" s="5420"/>
      <c r="AB44" s="5421"/>
      <c r="AC44" s="741"/>
      <c r="AD44" s="1266">
        <v>140</v>
      </c>
      <c r="AE44" s="5418" t="s">
        <v>8168</v>
      </c>
      <c r="AF44" s="5326"/>
      <c r="AG44" s="5419" t="str">
        <f>IF(AD38=0,"",VLOOKUP(AD38,'Tablas psiquica'!$D$7:$R$145,10,FALSE))</f>
        <v/>
      </c>
      <c r="AH44" s="5420"/>
      <c r="AI44" s="5420"/>
      <c r="AJ44" s="5421"/>
      <c r="AK44" s="1216"/>
      <c r="AL44" s="1210"/>
      <c r="AQ44" s="741"/>
      <c r="AR44" s="1250"/>
    </row>
    <row r="45" spans="1:45" ht="12" customHeight="1" x14ac:dyDescent="0.2">
      <c r="A45" s="1210"/>
      <c r="B45" s="615"/>
      <c r="C45" s="1268">
        <v>180</v>
      </c>
      <c r="D45" s="5422" t="s">
        <v>2071</v>
      </c>
      <c r="E45" s="5321"/>
      <c r="F45" s="5423" t="str">
        <f>IF(C38=0,"",VLOOKUP(C38,'Tablas psiquica'!$D$7:$R$145,11,FALSE))</f>
        <v/>
      </c>
      <c r="G45" s="5424"/>
      <c r="H45" s="5424"/>
      <c r="I45" s="5425"/>
      <c r="K45" s="1268">
        <v>180</v>
      </c>
      <c r="L45" s="5422" t="s">
        <v>2071</v>
      </c>
      <c r="M45" s="5321"/>
      <c r="N45" s="5423" t="str">
        <f>IF(K38=0,"",VLOOKUP(K38,'Tablas psiquica'!$D$7:$R$145,11,FALSE))</f>
        <v/>
      </c>
      <c r="O45" s="5424"/>
      <c r="P45" s="5424"/>
      <c r="Q45" s="5425"/>
      <c r="R45" s="1216"/>
      <c r="S45" s="1210"/>
      <c r="T45" s="1210"/>
      <c r="U45" s="615"/>
      <c r="V45" s="1268">
        <v>180</v>
      </c>
      <c r="W45" s="5422" t="s">
        <v>2071</v>
      </c>
      <c r="X45" s="5321"/>
      <c r="Y45" s="5423" t="str">
        <f>IF(V38=0,"",VLOOKUP(V38,'Tablas psiquica'!$D$7:$R$145,11,FALSE))</f>
        <v/>
      </c>
      <c r="Z45" s="5424"/>
      <c r="AA45" s="5424"/>
      <c r="AB45" s="5425"/>
      <c r="AC45" s="741"/>
      <c r="AD45" s="1268">
        <v>180</v>
      </c>
      <c r="AE45" s="5422" t="s">
        <v>2071</v>
      </c>
      <c r="AF45" s="5321"/>
      <c r="AG45" s="5423" t="str">
        <f>IF(AD38=0,"",VLOOKUP(AD38,'Tablas psiquica'!$D$7:$R$145,11,FALSE))</f>
        <v/>
      </c>
      <c r="AH45" s="5424"/>
      <c r="AI45" s="5424"/>
      <c r="AJ45" s="5425"/>
      <c r="AK45" s="1216"/>
      <c r="AL45" s="1210"/>
      <c r="AQ45" s="741"/>
      <c r="AR45" s="1250"/>
    </row>
    <row r="46" spans="1:45" ht="12" customHeight="1" x14ac:dyDescent="0.2">
      <c r="A46" s="1210"/>
      <c r="B46" s="615"/>
      <c r="C46" s="1266">
        <v>240</v>
      </c>
      <c r="D46" s="5418" t="s">
        <v>8169</v>
      </c>
      <c r="E46" s="5326"/>
      <c r="F46" s="5419" t="str">
        <f>IF(C38=0,"",VLOOKUP(C38,'Tablas psiquica'!$D$7:$R$145,12,FALSE))</f>
        <v/>
      </c>
      <c r="G46" s="5420"/>
      <c r="H46" s="5420"/>
      <c r="I46" s="5421"/>
      <c r="K46" s="1266">
        <v>240</v>
      </c>
      <c r="L46" s="5418" t="s">
        <v>8169</v>
      </c>
      <c r="M46" s="5326"/>
      <c r="N46" s="5419" t="str">
        <f>IF(K38=0,"",VLOOKUP(K38,'Tablas psiquica'!$D$7:$R$145,12,FALSE))</f>
        <v/>
      </c>
      <c r="O46" s="5420"/>
      <c r="P46" s="5420"/>
      <c r="Q46" s="5421"/>
      <c r="R46" s="1216"/>
      <c r="S46" s="1210"/>
      <c r="T46" s="1210"/>
      <c r="U46" s="615"/>
      <c r="V46" s="1266">
        <v>240</v>
      </c>
      <c r="W46" s="5418" t="s">
        <v>8169</v>
      </c>
      <c r="X46" s="5326"/>
      <c r="Y46" s="5419" t="str">
        <f>IF(V38=0,"",VLOOKUP(V38,'Tablas psiquica'!$D$7:$R$145,12,FALSE))</f>
        <v/>
      </c>
      <c r="Z46" s="5420"/>
      <c r="AA46" s="5420"/>
      <c r="AB46" s="5421"/>
      <c r="AC46" s="741"/>
      <c r="AD46" s="1266">
        <v>240</v>
      </c>
      <c r="AE46" s="5418" t="s">
        <v>8169</v>
      </c>
      <c r="AF46" s="5326"/>
      <c r="AG46" s="5419" t="str">
        <f>IF(AD38=0,"",VLOOKUP(AD38,'Tablas psiquica'!$D$7:$R$145,12,FALSE))</f>
        <v/>
      </c>
      <c r="AH46" s="5420"/>
      <c r="AI46" s="5420"/>
      <c r="AJ46" s="5421"/>
      <c r="AK46" s="1216"/>
      <c r="AL46" s="1210"/>
      <c r="AQ46" s="741"/>
      <c r="AR46" s="1250"/>
    </row>
    <row r="47" spans="1:45" ht="12" customHeight="1" x14ac:dyDescent="0.2">
      <c r="A47" s="1210"/>
      <c r="B47" s="615"/>
      <c r="C47" s="1268">
        <v>280</v>
      </c>
      <c r="D47" s="5422" t="s">
        <v>2076</v>
      </c>
      <c r="E47" s="5321"/>
      <c r="F47" s="5423" t="str">
        <f>IF(C38=0,"",VLOOKUP(C38,'Tablas psiquica'!$D$7:$R$145,13,FALSE))</f>
        <v/>
      </c>
      <c r="G47" s="5424"/>
      <c r="H47" s="5424"/>
      <c r="I47" s="5425"/>
      <c r="K47" s="1268">
        <v>280</v>
      </c>
      <c r="L47" s="5422" t="s">
        <v>2076</v>
      </c>
      <c r="M47" s="5321"/>
      <c r="N47" s="5423" t="str">
        <f>IF(K38=0,"",VLOOKUP(K38,'Tablas psiquica'!$D$7:$R$145,13,FALSE))</f>
        <v/>
      </c>
      <c r="O47" s="5424"/>
      <c r="P47" s="5424"/>
      <c r="Q47" s="5425"/>
      <c r="R47" s="1216"/>
      <c r="S47" s="1210"/>
      <c r="T47" s="1210"/>
      <c r="U47" s="615"/>
      <c r="V47" s="1268">
        <v>280</v>
      </c>
      <c r="W47" s="5422" t="s">
        <v>2076</v>
      </c>
      <c r="X47" s="5321"/>
      <c r="Y47" s="5423" t="str">
        <f>IF(V38=0,"",VLOOKUP(V38,'Tablas psiquica'!$D$7:$R$145,13,FALSE))</f>
        <v/>
      </c>
      <c r="Z47" s="5424"/>
      <c r="AA47" s="5424"/>
      <c r="AB47" s="5425"/>
      <c r="AC47" s="741"/>
      <c r="AD47" s="1268">
        <v>280</v>
      </c>
      <c r="AE47" s="5422" t="s">
        <v>2076</v>
      </c>
      <c r="AF47" s="5321"/>
      <c r="AG47" s="5423" t="str">
        <f>IF(AD38=0,"",VLOOKUP(AD38,'Tablas psiquica'!$D$7:$R$145,13,FALSE))</f>
        <v/>
      </c>
      <c r="AH47" s="5424"/>
      <c r="AI47" s="5424"/>
      <c r="AJ47" s="5425"/>
      <c r="AK47" s="1216"/>
      <c r="AL47" s="1210"/>
      <c r="AQ47" s="741"/>
      <c r="AR47" s="1250"/>
    </row>
    <row r="48" spans="1:45" ht="12" customHeight="1" x14ac:dyDescent="0.2">
      <c r="A48" s="1210"/>
      <c r="B48" s="615"/>
      <c r="C48" s="1266">
        <v>320</v>
      </c>
      <c r="D48" s="5418" t="s">
        <v>2078</v>
      </c>
      <c r="E48" s="5326"/>
      <c r="F48" s="5419" t="str">
        <f>IF(C38=0,"",VLOOKUP(C38,'Tablas psiquica'!$D$7:$R$145,14,FALSE))</f>
        <v/>
      </c>
      <c r="G48" s="5420"/>
      <c r="H48" s="5420"/>
      <c r="I48" s="5421"/>
      <c r="K48" s="1266">
        <v>320</v>
      </c>
      <c r="L48" s="5418" t="s">
        <v>2078</v>
      </c>
      <c r="M48" s="5326"/>
      <c r="N48" s="5419" t="str">
        <f>IF(K38=0,"",VLOOKUP(K38,'Tablas psiquica'!$D$7:$R$145,14,FALSE))</f>
        <v/>
      </c>
      <c r="O48" s="5420"/>
      <c r="P48" s="5420"/>
      <c r="Q48" s="5421"/>
      <c r="R48" s="1216"/>
      <c r="S48" s="1210"/>
      <c r="T48" s="1210"/>
      <c r="U48" s="615"/>
      <c r="V48" s="1266">
        <v>320</v>
      </c>
      <c r="W48" s="5418" t="s">
        <v>2078</v>
      </c>
      <c r="X48" s="5326"/>
      <c r="Y48" s="5419" t="str">
        <f>IF(V38=0,"",VLOOKUP(V38,'Tablas psiquica'!$D$7:$R$145,14,FALSE))</f>
        <v/>
      </c>
      <c r="Z48" s="5420"/>
      <c r="AA48" s="5420"/>
      <c r="AB48" s="5421"/>
      <c r="AC48" s="741"/>
      <c r="AD48" s="1266">
        <v>320</v>
      </c>
      <c r="AE48" s="5418" t="s">
        <v>2078</v>
      </c>
      <c r="AF48" s="5326"/>
      <c r="AG48" s="5419" t="str">
        <f>IF(AD38=0,"",VLOOKUP(AD38,'Tablas psiquica'!$D$7:$R$145,14,FALSE))</f>
        <v/>
      </c>
      <c r="AH48" s="5420"/>
      <c r="AI48" s="5420"/>
      <c r="AJ48" s="5421"/>
      <c r="AK48" s="1216"/>
      <c r="AL48" s="1210"/>
      <c r="AQ48" s="741"/>
      <c r="AR48" s="1250"/>
    </row>
    <row r="49" spans="1:44" ht="12" customHeight="1" x14ac:dyDescent="0.2">
      <c r="A49" s="1210"/>
      <c r="B49" s="615"/>
      <c r="C49" s="1271">
        <v>440</v>
      </c>
      <c r="D49" s="5426" t="s">
        <v>2012</v>
      </c>
      <c r="E49" s="5427"/>
      <c r="F49" s="5428" t="str">
        <f>IF(C38=0,"",VLOOKUP(C38,'Tablas psiquica'!$D$7:$R$145,15,FALSE))</f>
        <v/>
      </c>
      <c r="G49" s="5429"/>
      <c r="H49" s="5429"/>
      <c r="I49" s="5430"/>
      <c r="K49" s="1271">
        <v>440</v>
      </c>
      <c r="L49" s="5426" t="s">
        <v>2012</v>
      </c>
      <c r="M49" s="5427"/>
      <c r="N49" s="5428" t="str">
        <f>IF(K38=0,"",VLOOKUP(K38,'Tablas psiquica'!$D$7:$R$145,15,FALSE))</f>
        <v/>
      </c>
      <c r="O49" s="5429"/>
      <c r="P49" s="5429"/>
      <c r="Q49" s="5430"/>
      <c r="R49" s="1216"/>
      <c r="S49" s="1210"/>
      <c r="T49" s="1210"/>
      <c r="U49" s="615"/>
      <c r="V49" s="1271">
        <v>440</v>
      </c>
      <c r="W49" s="5426" t="s">
        <v>2012</v>
      </c>
      <c r="X49" s="5427"/>
      <c r="Y49" s="5428" t="str">
        <f>IF(V38=0,"",VLOOKUP(V38,'Tablas psiquica'!$D$7:$R$145,15,FALSE))</f>
        <v/>
      </c>
      <c r="Z49" s="5429"/>
      <c r="AA49" s="5429"/>
      <c r="AB49" s="5430"/>
      <c r="AC49" s="741"/>
      <c r="AD49" s="1271">
        <v>440</v>
      </c>
      <c r="AE49" s="5426" t="s">
        <v>2012</v>
      </c>
      <c r="AF49" s="5427"/>
      <c r="AG49" s="5428" t="str">
        <f>IF(AD38=0,"",VLOOKUP(AD38,'Tablas psiquica'!$D$7:$R$145,15,FALSE))</f>
        <v/>
      </c>
      <c r="AH49" s="5429"/>
      <c r="AI49" s="5429"/>
      <c r="AJ49" s="5430"/>
      <c r="AK49" s="1216"/>
      <c r="AL49" s="1210"/>
      <c r="AQ49" s="741"/>
      <c r="AR49" s="1250"/>
    </row>
    <row r="50" spans="1:44" ht="12" customHeight="1" thickBot="1" x14ac:dyDescent="0.25">
      <c r="A50" s="1210"/>
      <c r="B50" s="615"/>
      <c r="C50" s="5431" t="s">
        <v>8170</v>
      </c>
      <c r="D50" s="5432"/>
      <c r="E50" s="1272" t="str">
        <f>IF(C38=0,"",VLOOKUP(C38,'Tablas psiquica'!$D$7:$R$145,4,FALSE))</f>
        <v/>
      </c>
      <c r="F50" s="5433" t="s">
        <v>8165</v>
      </c>
      <c r="G50" s="5433"/>
      <c r="H50" s="4356" t="str">
        <f>IF(C38=0,"",VLOOKUP(C38,'Tablas psiquica'!$D$7:$R$145,5,FALSE))</f>
        <v/>
      </c>
      <c r="I50" s="4357"/>
      <c r="K50" s="5431" t="s">
        <v>8170</v>
      </c>
      <c r="L50" s="5432"/>
      <c r="M50" s="1272" t="str">
        <f>IF(K38=0,"",VLOOKUP(K38,'Tablas psiquica'!$D$7:$R$145,4,FALSE))</f>
        <v/>
      </c>
      <c r="N50" s="5433" t="s">
        <v>8165</v>
      </c>
      <c r="O50" s="5433"/>
      <c r="P50" s="4356" t="str">
        <f>IF(K38=0,"",VLOOKUP(K38,'Tablas psiquica'!$D$7:$R$145,5,FALSE))</f>
        <v/>
      </c>
      <c r="Q50" s="4357"/>
      <c r="R50" s="1216"/>
      <c r="S50" s="1210"/>
      <c r="T50" s="1210"/>
      <c r="U50" s="615"/>
      <c r="V50" s="5431" t="s">
        <v>8170</v>
      </c>
      <c r="W50" s="5432"/>
      <c r="X50" s="1272" t="str">
        <f>IF(V38=0,"",VLOOKUP(V38,'Tablas psiquica'!$D$7:$R$145,4,FALSE))</f>
        <v/>
      </c>
      <c r="Y50" s="5433" t="s">
        <v>8165</v>
      </c>
      <c r="Z50" s="5433"/>
      <c r="AA50" s="4356" t="str">
        <f>IF(V38=0,"",VLOOKUP(V38,'Tablas psiquica'!$D$7:$R$145,5,FALSE))</f>
        <v/>
      </c>
      <c r="AB50" s="4357"/>
      <c r="AC50" s="741"/>
      <c r="AD50" s="5431" t="s">
        <v>8170</v>
      </c>
      <c r="AE50" s="5432"/>
      <c r="AF50" s="1272" t="str">
        <f>IF(AD38=0,"",VLOOKUP(AD38,'Tablas psiquica'!$D$7:$R$145,4,FALSE))</f>
        <v/>
      </c>
      <c r="AG50" s="5433" t="s">
        <v>8165</v>
      </c>
      <c r="AH50" s="5433"/>
      <c r="AI50" s="4356" t="str">
        <f>IF(AD38=0,"",VLOOKUP(AD38,'Tablas psiquica'!$D$7:$R$145,5,FALSE))</f>
        <v/>
      </c>
      <c r="AJ50" s="4357"/>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3"/>
      <c r="D52" s="5314"/>
      <c r="E52" s="5314"/>
      <c r="F52" s="5314"/>
      <c r="G52" s="5314"/>
      <c r="H52" s="5314"/>
      <c r="I52" s="1263" t="s">
        <v>1715</v>
      </c>
      <c r="K52" s="5313"/>
      <c r="L52" s="5314"/>
      <c r="M52" s="5314"/>
      <c r="N52" s="5314"/>
      <c r="O52" s="5314"/>
      <c r="P52" s="5314"/>
      <c r="Q52" s="1263" t="s">
        <v>1715</v>
      </c>
      <c r="R52" s="1216"/>
      <c r="S52" s="1210"/>
      <c r="T52" s="1210"/>
      <c r="U52" s="615"/>
      <c r="V52" s="5313"/>
      <c r="W52" s="5314"/>
      <c r="X52" s="5314"/>
      <c r="Y52" s="5314"/>
      <c r="Z52" s="5314"/>
      <c r="AA52" s="5314"/>
      <c r="AB52" s="1263" t="s">
        <v>1715</v>
      </c>
      <c r="AC52" s="741"/>
      <c r="AD52" s="5313"/>
      <c r="AE52" s="5314"/>
      <c r="AF52" s="5314"/>
      <c r="AG52" s="5314"/>
      <c r="AH52" s="5314"/>
      <c r="AI52" s="5314"/>
      <c r="AJ52" s="1263" t="s">
        <v>1715</v>
      </c>
      <c r="AK52" s="1216"/>
      <c r="AL52" s="1210"/>
      <c r="AQ52" s="741"/>
      <c r="AR52" s="1250"/>
    </row>
    <row r="53" spans="1:44" ht="12" customHeight="1" x14ac:dyDescent="0.2">
      <c r="A53" s="1210"/>
      <c r="B53" s="615"/>
      <c r="C53" s="5416" t="str">
        <f>IF(C52=0,"",VLOOKUP(C52,'Tablas psiquica'!$D$7:$R$145,2,FALSE))</f>
        <v/>
      </c>
      <c r="D53" s="5417"/>
      <c r="E53" s="5417"/>
      <c r="F53" s="5417"/>
      <c r="G53" s="5417"/>
      <c r="H53" s="5417"/>
      <c r="I53" s="1265" t="str">
        <f>IF(C52=0,"",VLOOKUP(C52,'Tablas psiquica'!$D$7:$R$145,3,FALSE))</f>
        <v/>
      </c>
      <c r="K53" s="5416" t="str">
        <f>IF(K52=0,"",VLOOKUP(K52,'Tablas psiquica'!$D$7:$R$145,2,FALSE))</f>
        <v/>
      </c>
      <c r="L53" s="5417"/>
      <c r="M53" s="5417"/>
      <c r="N53" s="5417"/>
      <c r="O53" s="5417"/>
      <c r="P53" s="5417"/>
      <c r="Q53" s="1265" t="str">
        <f>IF(K52=0,"",VLOOKUP(K52,'Tablas psiquica'!$D$7:$R$145,3,FALSE))</f>
        <v/>
      </c>
      <c r="R53" s="1216"/>
      <c r="S53" s="1210"/>
      <c r="T53" s="1210"/>
      <c r="U53" s="615"/>
      <c r="V53" s="5416" t="str">
        <f>IF(V52=0,"",VLOOKUP(V52,'Tablas psiquica'!$D$7:$R$145,2,FALSE))</f>
        <v/>
      </c>
      <c r="W53" s="5417"/>
      <c r="X53" s="5417"/>
      <c r="Y53" s="5417"/>
      <c r="Z53" s="5417"/>
      <c r="AA53" s="5417"/>
      <c r="AB53" s="1265" t="str">
        <f>IF(V52=0,"",VLOOKUP(V52,'Tablas psiquica'!$D$7:$R$145,3,FALSE))</f>
        <v/>
      </c>
      <c r="AC53" s="741"/>
      <c r="AD53" s="5416" t="str">
        <f>IF(AD52=0,"",VLOOKUP(AD52,'Tablas psiquica'!$D$7:$R$145,2,FALSE))</f>
        <v/>
      </c>
      <c r="AE53" s="5417"/>
      <c r="AF53" s="5417"/>
      <c r="AG53" s="5417"/>
      <c r="AH53" s="5417"/>
      <c r="AI53" s="5417"/>
      <c r="AJ53" s="1265" t="str">
        <f>IF(AD52=0,"",VLOOKUP(AD52,'Tablas psiquica'!$D$7:$R$145,3,FALSE))</f>
        <v/>
      </c>
      <c r="AK53" s="1216"/>
      <c r="AL53" s="1210"/>
      <c r="AQ53" s="741"/>
      <c r="AR53" s="1250"/>
    </row>
    <row r="54" spans="1:44" ht="12" customHeight="1" x14ac:dyDescent="0.2">
      <c r="A54" s="1210"/>
      <c r="B54" s="615"/>
      <c r="C54" s="1266">
        <v>20</v>
      </c>
      <c r="D54" s="5418" t="s">
        <v>2055</v>
      </c>
      <c r="E54" s="5326"/>
      <c r="F54" s="5419" t="str">
        <f>IF(C52=0,"",VLOOKUP(C52,'Tablas psiquica'!$D$7:$R$145,6,FALSE))</f>
        <v/>
      </c>
      <c r="G54" s="5420"/>
      <c r="H54" s="5420"/>
      <c r="I54" s="5421"/>
      <c r="K54" s="1266">
        <v>20</v>
      </c>
      <c r="L54" s="5418" t="s">
        <v>2055</v>
      </c>
      <c r="M54" s="5326"/>
      <c r="N54" s="5419" t="str">
        <f>IF(K52=0,"",VLOOKUP(K52,'Tablas psiquica'!$D$7:$R$145,6,FALSE))</f>
        <v/>
      </c>
      <c r="O54" s="5420"/>
      <c r="P54" s="5420"/>
      <c r="Q54" s="5421"/>
      <c r="R54" s="1216"/>
      <c r="S54" s="1210"/>
      <c r="T54" s="1210"/>
      <c r="U54" s="615"/>
      <c r="V54" s="1266">
        <v>20</v>
      </c>
      <c r="W54" s="5418" t="s">
        <v>2055</v>
      </c>
      <c r="X54" s="5326"/>
      <c r="Y54" s="5419" t="str">
        <f>IF(V52=0,"",VLOOKUP(V52,'Tablas psiquica'!$D$7:$R$145,6,FALSE))</f>
        <v/>
      </c>
      <c r="Z54" s="5420"/>
      <c r="AA54" s="5420"/>
      <c r="AB54" s="5421"/>
      <c r="AC54" s="741"/>
      <c r="AD54" s="1266">
        <v>20</v>
      </c>
      <c r="AE54" s="5418" t="s">
        <v>2055</v>
      </c>
      <c r="AF54" s="5326"/>
      <c r="AG54" s="5419" t="str">
        <f>IF(AD52=0,"",VLOOKUP(AD52,'Tablas psiquica'!$D$7:$R$145,6,FALSE))</f>
        <v/>
      </c>
      <c r="AH54" s="5420"/>
      <c r="AI54" s="5420"/>
      <c r="AJ54" s="5421"/>
      <c r="AK54" s="1216"/>
      <c r="AL54" s="1210"/>
      <c r="AQ54" s="741"/>
      <c r="AR54" s="1250"/>
    </row>
    <row r="55" spans="1:44" ht="12" customHeight="1" x14ac:dyDescent="0.2">
      <c r="A55" s="1210"/>
      <c r="B55" s="615"/>
      <c r="C55" s="1268">
        <v>40</v>
      </c>
      <c r="D55" s="5422" t="s">
        <v>2059</v>
      </c>
      <c r="E55" s="5321"/>
      <c r="F55" s="5423" t="str">
        <f>IF(C52=0,"",VLOOKUP(C52,'Tablas psiquica'!$D$7:$R$145,7,FALSE))</f>
        <v/>
      </c>
      <c r="G55" s="5424"/>
      <c r="H55" s="5424"/>
      <c r="I55" s="5425"/>
      <c r="K55" s="1268">
        <v>40</v>
      </c>
      <c r="L55" s="5422" t="s">
        <v>2059</v>
      </c>
      <c r="M55" s="5321"/>
      <c r="N55" s="5423" t="str">
        <f>IF(K52=0,"",VLOOKUP(K52,'Tablas psiquica'!$D$7:$R$145,7,FALSE))</f>
        <v/>
      </c>
      <c r="O55" s="5424"/>
      <c r="P55" s="5424"/>
      <c r="Q55" s="5425"/>
      <c r="R55" s="1216"/>
      <c r="S55" s="1210"/>
      <c r="T55" s="1210"/>
      <c r="U55" s="615"/>
      <c r="V55" s="1268">
        <v>40</v>
      </c>
      <c r="W55" s="5422" t="s">
        <v>2059</v>
      </c>
      <c r="X55" s="5321"/>
      <c r="Y55" s="5423" t="str">
        <f>IF(V52=0,"",VLOOKUP(V52,'Tablas psiquica'!$D$7:$R$145,7,FALSE))</f>
        <v/>
      </c>
      <c r="Z55" s="5424"/>
      <c r="AA55" s="5424"/>
      <c r="AB55" s="5425"/>
      <c r="AC55" s="741"/>
      <c r="AD55" s="1268">
        <v>40</v>
      </c>
      <c r="AE55" s="5422" t="s">
        <v>2059</v>
      </c>
      <c r="AF55" s="5321"/>
      <c r="AG55" s="5423" t="str">
        <f>IF(AD52=0,"",VLOOKUP(AD52,'Tablas psiquica'!$D$7:$R$145,7,FALSE))</f>
        <v/>
      </c>
      <c r="AH55" s="5424"/>
      <c r="AI55" s="5424"/>
      <c r="AJ55" s="5425"/>
      <c r="AK55" s="1216"/>
      <c r="AL55" s="1210"/>
      <c r="AQ55" s="741"/>
      <c r="AR55" s="1250"/>
    </row>
    <row r="56" spans="1:44" ht="12" customHeight="1" x14ac:dyDescent="0.2">
      <c r="A56" s="1210"/>
      <c r="B56" s="615"/>
      <c r="C56" s="1266">
        <v>80</v>
      </c>
      <c r="D56" s="5418" t="s">
        <v>2062</v>
      </c>
      <c r="E56" s="5326"/>
      <c r="F56" s="5419" t="str">
        <f>IF(C52=0,"",VLOOKUP(C52,'Tablas psiquica'!$D$7:$R$145,8,FALSE))</f>
        <v/>
      </c>
      <c r="G56" s="5420"/>
      <c r="H56" s="5420"/>
      <c r="I56" s="5421"/>
      <c r="K56" s="1266">
        <v>80</v>
      </c>
      <c r="L56" s="5418" t="s">
        <v>2062</v>
      </c>
      <c r="M56" s="5326"/>
      <c r="N56" s="5419" t="str">
        <f>IF(K52=0,"",VLOOKUP(K52,'Tablas psiquica'!$D$7:$R$145,8,FALSE))</f>
        <v/>
      </c>
      <c r="O56" s="5420"/>
      <c r="P56" s="5420"/>
      <c r="Q56" s="5421"/>
      <c r="R56" s="1216"/>
      <c r="S56" s="1210"/>
      <c r="T56" s="1210"/>
      <c r="U56" s="615"/>
      <c r="V56" s="1266">
        <v>80</v>
      </c>
      <c r="W56" s="5418" t="s">
        <v>2062</v>
      </c>
      <c r="X56" s="5326"/>
      <c r="Y56" s="5419" t="str">
        <f>IF(V52=0,"",VLOOKUP(V52,'Tablas psiquica'!$D$7:$R$145,8,FALSE))</f>
        <v/>
      </c>
      <c r="Z56" s="5420"/>
      <c r="AA56" s="5420"/>
      <c r="AB56" s="5421"/>
      <c r="AC56" s="741"/>
      <c r="AD56" s="1266">
        <v>80</v>
      </c>
      <c r="AE56" s="5418" t="s">
        <v>2062</v>
      </c>
      <c r="AF56" s="5326"/>
      <c r="AG56" s="5419" t="str">
        <f>IF(AD52=0,"",VLOOKUP(AD52,'Tablas psiquica'!$D$7:$R$145,8,FALSE))</f>
        <v/>
      </c>
      <c r="AH56" s="5420"/>
      <c r="AI56" s="5420"/>
      <c r="AJ56" s="5421"/>
      <c r="AK56" s="1216"/>
      <c r="AL56" s="1210"/>
      <c r="AQ56" s="741"/>
      <c r="AR56" s="1250"/>
    </row>
    <row r="57" spans="1:44" ht="12" customHeight="1" x14ac:dyDescent="0.2">
      <c r="A57" s="1210"/>
      <c r="B57" s="615"/>
      <c r="C57" s="1268">
        <v>120</v>
      </c>
      <c r="D57" s="5422" t="s">
        <v>2066</v>
      </c>
      <c r="E57" s="5321"/>
      <c r="F57" s="5423" t="str">
        <f>IF(C52=0,"",VLOOKUP(C52,'Tablas psiquica'!$D$7:$R$145,9,FALSE))</f>
        <v/>
      </c>
      <c r="G57" s="5424"/>
      <c r="H57" s="5424"/>
      <c r="I57" s="5425"/>
      <c r="K57" s="1268">
        <v>120</v>
      </c>
      <c r="L57" s="5422" t="s">
        <v>2066</v>
      </c>
      <c r="M57" s="5321"/>
      <c r="N57" s="5423" t="str">
        <f>IF(K52=0,"",VLOOKUP(K52,'Tablas psiquica'!$D$7:$R$145,9,FALSE))</f>
        <v/>
      </c>
      <c r="O57" s="5424"/>
      <c r="P57" s="5424"/>
      <c r="Q57" s="5425"/>
      <c r="R57" s="1216"/>
      <c r="S57" s="1210"/>
      <c r="T57" s="1210"/>
      <c r="U57" s="615"/>
      <c r="V57" s="1268">
        <v>120</v>
      </c>
      <c r="W57" s="5422" t="s">
        <v>2066</v>
      </c>
      <c r="X57" s="5321"/>
      <c r="Y57" s="5423" t="str">
        <f>IF(V52=0,"",VLOOKUP(V52,'Tablas psiquica'!$D$7:$R$145,9,FALSE))</f>
        <v/>
      </c>
      <c r="Z57" s="5424"/>
      <c r="AA57" s="5424"/>
      <c r="AB57" s="5425"/>
      <c r="AC57" s="741"/>
      <c r="AD57" s="1268">
        <v>120</v>
      </c>
      <c r="AE57" s="5422" t="s">
        <v>2066</v>
      </c>
      <c r="AF57" s="5321"/>
      <c r="AG57" s="5423" t="str">
        <f>IF(AD52=0,"",VLOOKUP(AD52,'Tablas psiquica'!$D$7:$R$145,9,FALSE))</f>
        <v/>
      </c>
      <c r="AH57" s="5424"/>
      <c r="AI57" s="5424"/>
      <c r="AJ57" s="5425"/>
      <c r="AK57" s="1216"/>
      <c r="AL57" s="1210"/>
      <c r="AQ57" s="741"/>
      <c r="AR57" s="1250"/>
    </row>
    <row r="58" spans="1:44" ht="12" customHeight="1" x14ac:dyDescent="0.2">
      <c r="A58" s="1210"/>
      <c r="B58" s="615"/>
      <c r="C58" s="1266">
        <v>140</v>
      </c>
      <c r="D58" s="5418" t="s">
        <v>8168</v>
      </c>
      <c r="E58" s="5326"/>
      <c r="F58" s="5419" t="str">
        <f>IF(C52=0,"",VLOOKUP(C52,'Tablas psiquica'!$D$7:$R$145,10,FALSE))</f>
        <v/>
      </c>
      <c r="G58" s="5420"/>
      <c r="H58" s="5420"/>
      <c r="I58" s="5421"/>
      <c r="K58" s="1266">
        <v>140</v>
      </c>
      <c r="L58" s="5418" t="s">
        <v>8168</v>
      </c>
      <c r="M58" s="5326"/>
      <c r="N58" s="5419" t="str">
        <f>IF(K52=0,"",VLOOKUP(K52,'Tablas psiquica'!$D$7:$R$145,10,FALSE))</f>
        <v/>
      </c>
      <c r="O58" s="5420"/>
      <c r="P58" s="5420"/>
      <c r="Q58" s="5421"/>
      <c r="R58" s="1216"/>
      <c r="S58" s="1210"/>
      <c r="T58" s="1210"/>
      <c r="U58" s="615"/>
      <c r="V58" s="1266">
        <v>140</v>
      </c>
      <c r="W58" s="5418" t="s">
        <v>8168</v>
      </c>
      <c r="X58" s="5326"/>
      <c r="Y58" s="5419" t="str">
        <f>IF(V52=0,"",VLOOKUP(V52,'Tablas psiquica'!$D$7:$R$145,10,FALSE))</f>
        <v/>
      </c>
      <c r="Z58" s="5420"/>
      <c r="AA58" s="5420"/>
      <c r="AB58" s="5421"/>
      <c r="AC58" s="1276"/>
      <c r="AD58" s="1266">
        <v>140</v>
      </c>
      <c r="AE58" s="5418" t="s">
        <v>8168</v>
      </c>
      <c r="AF58" s="5326"/>
      <c r="AG58" s="5419" t="str">
        <f>IF(AD52=0,"",VLOOKUP(AD52,'Tablas psiquica'!$D$7:$R$145,10,FALSE))</f>
        <v/>
      </c>
      <c r="AH58" s="5420"/>
      <c r="AI58" s="5420"/>
      <c r="AJ58" s="5421"/>
      <c r="AK58" s="1216"/>
      <c r="AL58" s="1210"/>
      <c r="AQ58" s="741"/>
      <c r="AR58" s="1250"/>
    </row>
    <row r="59" spans="1:44" ht="12" customHeight="1" x14ac:dyDescent="0.2">
      <c r="A59" s="1210"/>
      <c r="B59" s="615"/>
      <c r="C59" s="1268">
        <v>180</v>
      </c>
      <c r="D59" s="5422" t="s">
        <v>2071</v>
      </c>
      <c r="E59" s="5321"/>
      <c r="F59" s="5423" t="str">
        <f>IF(C52=0,"",VLOOKUP(C52,'Tablas psiquica'!$D$7:$R$145,11,FALSE))</f>
        <v/>
      </c>
      <c r="G59" s="5424"/>
      <c r="H59" s="5424"/>
      <c r="I59" s="5425"/>
      <c r="K59" s="1268">
        <v>180</v>
      </c>
      <c r="L59" s="5422" t="s">
        <v>2071</v>
      </c>
      <c r="M59" s="5321"/>
      <c r="N59" s="5423" t="str">
        <f>IF(K52=0,"",VLOOKUP(K52,'Tablas psiquica'!$D$7:$R$145,11,FALSE))</f>
        <v/>
      </c>
      <c r="O59" s="5424"/>
      <c r="P59" s="5424"/>
      <c r="Q59" s="5425"/>
      <c r="R59" s="1216"/>
      <c r="S59" s="1210"/>
      <c r="T59" s="1210"/>
      <c r="U59" s="615"/>
      <c r="V59" s="1268">
        <v>180</v>
      </c>
      <c r="W59" s="5422" t="s">
        <v>2071</v>
      </c>
      <c r="X59" s="5321"/>
      <c r="Y59" s="5423" t="str">
        <f>IF(V52=0,"",VLOOKUP(V52,'Tablas psiquica'!$D$7:$R$145,11,FALSE))</f>
        <v/>
      </c>
      <c r="Z59" s="5424"/>
      <c r="AA59" s="5424"/>
      <c r="AB59" s="5425"/>
      <c r="AC59" s="741"/>
      <c r="AD59" s="1268">
        <v>180</v>
      </c>
      <c r="AE59" s="5422" t="s">
        <v>2071</v>
      </c>
      <c r="AF59" s="5321"/>
      <c r="AG59" s="5423" t="str">
        <f>IF(AD52=0,"",VLOOKUP(AD52,'Tablas psiquica'!$D$7:$R$145,11,FALSE))</f>
        <v/>
      </c>
      <c r="AH59" s="5424"/>
      <c r="AI59" s="5424"/>
      <c r="AJ59" s="5425"/>
      <c r="AK59" s="1216"/>
      <c r="AL59" s="1210"/>
      <c r="AQ59" s="741"/>
      <c r="AR59" s="1250"/>
    </row>
    <row r="60" spans="1:44" ht="12" customHeight="1" x14ac:dyDescent="0.2">
      <c r="A60" s="1210"/>
      <c r="B60" s="615"/>
      <c r="C60" s="1266">
        <v>240</v>
      </c>
      <c r="D60" s="5418" t="s">
        <v>8169</v>
      </c>
      <c r="E60" s="5326"/>
      <c r="F60" s="5419" t="str">
        <f>IF(C52=0,"",VLOOKUP(C52,'Tablas psiquica'!$D$7:$R$145,12,FALSE))</f>
        <v/>
      </c>
      <c r="G60" s="5420"/>
      <c r="H60" s="5420"/>
      <c r="I60" s="5421"/>
      <c r="K60" s="1266">
        <v>240</v>
      </c>
      <c r="L60" s="5418" t="s">
        <v>8169</v>
      </c>
      <c r="M60" s="5326"/>
      <c r="N60" s="5419" t="str">
        <f>IF(K52=0,"",VLOOKUP(K52,'Tablas psiquica'!$D$7:$R$145,12,FALSE))</f>
        <v/>
      </c>
      <c r="O60" s="5420"/>
      <c r="P60" s="5420"/>
      <c r="Q60" s="5421"/>
      <c r="R60" s="1216"/>
      <c r="S60" s="1210"/>
      <c r="T60" s="1210"/>
      <c r="U60" s="615"/>
      <c r="V60" s="1266">
        <v>240</v>
      </c>
      <c r="W60" s="5418" t="s">
        <v>8169</v>
      </c>
      <c r="X60" s="5326"/>
      <c r="Y60" s="5419" t="str">
        <f>IF(V52=0,"",VLOOKUP(V52,'Tablas psiquica'!$D$7:$R$145,12,FALSE))</f>
        <v/>
      </c>
      <c r="Z60" s="5420"/>
      <c r="AA60" s="5420"/>
      <c r="AB60" s="5421"/>
      <c r="AC60" s="741"/>
      <c r="AD60" s="1266">
        <v>240</v>
      </c>
      <c r="AE60" s="5418" t="s">
        <v>8169</v>
      </c>
      <c r="AF60" s="5326"/>
      <c r="AG60" s="5419" t="str">
        <f>IF(AD52=0,"",VLOOKUP(AD52,'Tablas psiquica'!$D$7:$R$145,12,FALSE))</f>
        <v/>
      </c>
      <c r="AH60" s="5420"/>
      <c r="AI60" s="5420"/>
      <c r="AJ60" s="5421"/>
      <c r="AK60" s="1216"/>
      <c r="AL60" s="1210"/>
      <c r="AQ60" s="741"/>
      <c r="AR60" s="1250"/>
    </row>
    <row r="61" spans="1:44" ht="12" customHeight="1" x14ac:dyDescent="0.2">
      <c r="A61" s="1210"/>
      <c r="B61" s="615"/>
      <c r="C61" s="1268">
        <v>280</v>
      </c>
      <c r="D61" s="5422" t="s">
        <v>2076</v>
      </c>
      <c r="E61" s="5321"/>
      <c r="F61" s="5423" t="str">
        <f>IF(C52=0,"",VLOOKUP(C52,'Tablas psiquica'!$D$7:$R$145,13,FALSE))</f>
        <v/>
      </c>
      <c r="G61" s="5424"/>
      <c r="H61" s="5424"/>
      <c r="I61" s="5425"/>
      <c r="K61" s="1268">
        <v>280</v>
      </c>
      <c r="L61" s="5422" t="s">
        <v>2076</v>
      </c>
      <c r="M61" s="5321"/>
      <c r="N61" s="5423" t="str">
        <f>IF(K52=0,"",VLOOKUP(K52,'Tablas psiquica'!$D$7:$R$145,13,FALSE))</f>
        <v/>
      </c>
      <c r="O61" s="5424"/>
      <c r="P61" s="5424"/>
      <c r="Q61" s="5425"/>
      <c r="R61" s="1216"/>
      <c r="S61" s="1210"/>
      <c r="T61" s="1210"/>
      <c r="U61" s="615"/>
      <c r="V61" s="1268">
        <v>280</v>
      </c>
      <c r="W61" s="5422" t="s">
        <v>2076</v>
      </c>
      <c r="X61" s="5321"/>
      <c r="Y61" s="5423" t="str">
        <f>IF(V52=0,"",VLOOKUP(V52,'Tablas psiquica'!$D$7:$R$145,13,FALSE))</f>
        <v/>
      </c>
      <c r="Z61" s="5424"/>
      <c r="AA61" s="5424"/>
      <c r="AB61" s="5425"/>
      <c r="AC61" s="741"/>
      <c r="AD61" s="1268">
        <v>280</v>
      </c>
      <c r="AE61" s="5422" t="s">
        <v>2076</v>
      </c>
      <c r="AF61" s="5321"/>
      <c r="AG61" s="5423" t="str">
        <f>IF(AD52=0,"",VLOOKUP(AD52,'Tablas psiquica'!$D$7:$R$145,13,FALSE))</f>
        <v/>
      </c>
      <c r="AH61" s="5424"/>
      <c r="AI61" s="5424"/>
      <c r="AJ61" s="5425"/>
      <c r="AK61" s="1216"/>
      <c r="AL61" s="1210"/>
      <c r="AQ61" s="741"/>
      <c r="AR61" s="1250"/>
    </row>
    <row r="62" spans="1:44" ht="12" customHeight="1" x14ac:dyDescent="0.2">
      <c r="A62" s="1210"/>
      <c r="B62" s="615"/>
      <c r="C62" s="1266">
        <v>320</v>
      </c>
      <c r="D62" s="5418" t="s">
        <v>2078</v>
      </c>
      <c r="E62" s="5326"/>
      <c r="F62" s="5419" t="str">
        <f>IF(C52=0,"",VLOOKUP(C52,'Tablas psiquica'!$D$7:$R$145,14,FALSE))</f>
        <v/>
      </c>
      <c r="G62" s="5420"/>
      <c r="H62" s="5420"/>
      <c r="I62" s="5421"/>
      <c r="K62" s="1266">
        <v>320</v>
      </c>
      <c r="L62" s="5418" t="s">
        <v>2078</v>
      </c>
      <c r="M62" s="5326"/>
      <c r="N62" s="5419" t="str">
        <f>IF(K52=0,"",VLOOKUP(K52,'Tablas psiquica'!$D$7:$R$145,14,FALSE))</f>
        <v/>
      </c>
      <c r="O62" s="5420"/>
      <c r="P62" s="5420"/>
      <c r="Q62" s="5421"/>
      <c r="R62" s="1216"/>
      <c r="S62" s="1210"/>
      <c r="T62" s="1210"/>
      <c r="U62" s="615"/>
      <c r="V62" s="1266">
        <v>320</v>
      </c>
      <c r="W62" s="5418" t="s">
        <v>2078</v>
      </c>
      <c r="X62" s="5326"/>
      <c r="Y62" s="5419" t="str">
        <f>IF(V52=0,"",VLOOKUP(V52,'Tablas psiquica'!$D$7:$R$145,14,FALSE))</f>
        <v/>
      </c>
      <c r="Z62" s="5420"/>
      <c r="AA62" s="5420"/>
      <c r="AB62" s="5421"/>
      <c r="AC62" s="741"/>
      <c r="AD62" s="1266">
        <v>320</v>
      </c>
      <c r="AE62" s="5418" t="s">
        <v>2078</v>
      </c>
      <c r="AF62" s="5326"/>
      <c r="AG62" s="5419" t="str">
        <f>IF(AD52=0,"",VLOOKUP(AD52,'Tablas psiquica'!$D$7:$R$145,14,FALSE))</f>
        <v/>
      </c>
      <c r="AH62" s="5420"/>
      <c r="AI62" s="5420"/>
      <c r="AJ62" s="5421"/>
      <c r="AK62" s="1216"/>
      <c r="AL62" s="1210"/>
      <c r="AQ62" s="741"/>
      <c r="AR62" s="1250"/>
    </row>
    <row r="63" spans="1:44" ht="12" customHeight="1" x14ac:dyDescent="0.2">
      <c r="A63" s="1210"/>
      <c r="B63" s="615"/>
      <c r="C63" s="1271">
        <v>440</v>
      </c>
      <c r="D63" s="5426" t="s">
        <v>2012</v>
      </c>
      <c r="E63" s="5427"/>
      <c r="F63" s="5428" t="str">
        <f>IF(C52=0,"",VLOOKUP(C52,'Tablas psiquica'!$D$7:$R$145,15,FALSE))</f>
        <v/>
      </c>
      <c r="G63" s="5429"/>
      <c r="H63" s="5429"/>
      <c r="I63" s="5430"/>
      <c r="K63" s="1271">
        <v>440</v>
      </c>
      <c r="L63" s="5426" t="s">
        <v>2012</v>
      </c>
      <c r="M63" s="5427"/>
      <c r="N63" s="5428" t="str">
        <f>IF(K52=0,"",VLOOKUP(K52,'Tablas psiquica'!$D$7:$R$145,15,FALSE))</f>
        <v/>
      </c>
      <c r="O63" s="5429"/>
      <c r="P63" s="5429"/>
      <c r="Q63" s="5430"/>
      <c r="R63" s="1216"/>
      <c r="S63" s="1210"/>
      <c r="T63" s="1210"/>
      <c r="U63" s="615"/>
      <c r="V63" s="1271">
        <v>440</v>
      </c>
      <c r="W63" s="5426" t="s">
        <v>2012</v>
      </c>
      <c r="X63" s="5427"/>
      <c r="Y63" s="5428" t="str">
        <f>IF(V52=0,"",VLOOKUP(V52,'Tablas psiquica'!$D$7:$R$145,15,FALSE))</f>
        <v/>
      </c>
      <c r="Z63" s="5429"/>
      <c r="AA63" s="5429"/>
      <c r="AB63" s="5430"/>
      <c r="AC63" s="1258"/>
      <c r="AD63" s="1271">
        <v>440</v>
      </c>
      <c r="AE63" s="5426" t="s">
        <v>2012</v>
      </c>
      <c r="AF63" s="5427"/>
      <c r="AG63" s="5428" t="str">
        <f>IF(AD52=0,"",VLOOKUP(AD52,'Tablas psiquica'!$D$7:$R$145,15,FALSE))</f>
        <v/>
      </c>
      <c r="AH63" s="5429"/>
      <c r="AI63" s="5429"/>
      <c r="AJ63" s="5430"/>
      <c r="AK63" s="1216"/>
      <c r="AL63" s="1210"/>
      <c r="AQ63" s="741"/>
      <c r="AR63" s="1250"/>
    </row>
    <row r="64" spans="1:44" ht="12" customHeight="1" thickBot="1" x14ac:dyDescent="0.25">
      <c r="A64" s="1210"/>
      <c r="B64" s="615"/>
      <c r="C64" s="5431" t="s">
        <v>8170</v>
      </c>
      <c r="D64" s="5432"/>
      <c r="E64" s="1272" t="str">
        <f>IF(C52=0,"",VLOOKUP(C52,'Tablas psiquica'!$D$7:$R$145,4,FALSE))</f>
        <v/>
      </c>
      <c r="F64" s="5433" t="s">
        <v>8165</v>
      </c>
      <c r="G64" s="5433"/>
      <c r="H64" s="4356" t="str">
        <f>IF(C52=0,"",VLOOKUP(C52,'Tablas psiquica'!$D$7:$R$145,5,FALSE))</f>
        <v/>
      </c>
      <c r="I64" s="4357"/>
      <c r="K64" s="5431" t="s">
        <v>8170</v>
      </c>
      <c r="L64" s="5432"/>
      <c r="M64" s="1272" t="str">
        <f>IF(K52=0,"",VLOOKUP(K52,'Tablas psiquica'!$D$7:$R$145,4,FALSE))</f>
        <v/>
      </c>
      <c r="N64" s="5433" t="s">
        <v>8165</v>
      </c>
      <c r="O64" s="5433"/>
      <c r="P64" s="4356" t="str">
        <f>IF(K52=0,"",VLOOKUP(K52,'Tablas psiquica'!$D$7:$R$145,5,FALSE))</f>
        <v/>
      </c>
      <c r="Q64" s="4357"/>
      <c r="R64" s="1216"/>
      <c r="S64" s="1210"/>
      <c r="T64" s="1210"/>
      <c r="U64" s="615"/>
      <c r="V64" s="5431" t="s">
        <v>8170</v>
      </c>
      <c r="W64" s="5432"/>
      <c r="X64" s="1272" t="str">
        <f>IF(V52=0,"",VLOOKUP(V52,'Tablas psiquica'!$D$7:$R$145,4,FALSE))</f>
        <v/>
      </c>
      <c r="Y64" s="5433" t="s">
        <v>8165</v>
      </c>
      <c r="Z64" s="5433"/>
      <c r="AA64" s="4356" t="str">
        <f>IF(V52=0,"",VLOOKUP(V52,'Tablas psiquica'!$D$7:$R$145,5,FALSE))</f>
        <v/>
      </c>
      <c r="AB64" s="4357"/>
      <c r="AC64" s="1258"/>
      <c r="AD64" s="5431" t="s">
        <v>8170</v>
      </c>
      <c r="AE64" s="5432"/>
      <c r="AF64" s="1272" t="str">
        <f>IF(AD52=0,"",VLOOKUP(AD52,'Tablas psiquica'!$D$7:$R$145,4,FALSE))</f>
        <v/>
      </c>
      <c r="AG64" s="5433" t="s">
        <v>8165</v>
      </c>
      <c r="AH64" s="5433"/>
      <c r="AI64" s="4356" t="str">
        <f>IF(AD52=0,"",VLOOKUP(AD52,'Tablas psiquica'!$D$7:$R$145,5,FALSE))</f>
        <v/>
      </c>
      <c r="AJ64" s="4357"/>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2018-08-28T14:52:12Z</dcterms:modified>
</cp:coreProperties>
</file>